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/>
  </bookViews>
  <sheets>
    <sheet name="VHXH" sheetId="1" r:id="rId1"/>
    <sheet name="KT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Z9" i="2"/>
  <c r="C10"/>
  <c r="G10"/>
  <c r="H10" s="1"/>
  <c r="O10"/>
  <c r="Z10"/>
  <c r="H11"/>
  <c r="W11"/>
  <c r="X11"/>
  <c r="Z11"/>
  <c r="I12"/>
  <c r="O12"/>
  <c r="X12"/>
  <c r="Z12"/>
  <c r="Z13"/>
  <c r="Z14"/>
  <c r="G15"/>
  <c r="H15" s="1"/>
  <c r="I15"/>
  <c r="I14" s="1"/>
  <c r="L15"/>
  <c r="M15"/>
  <c r="N15"/>
  <c r="O15"/>
  <c r="O14" s="1"/>
  <c r="O13" s="1"/>
  <c r="P15"/>
  <c r="T15"/>
  <c r="U15"/>
  <c r="W15" s="1"/>
  <c r="X15"/>
  <c r="Z15"/>
  <c r="H16"/>
  <c r="W16"/>
  <c r="X16"/>
  <c r="Z16"/>
  <c r="H17"/>
  <c r="Q17"/>
  <c r="P17" s="1"/>
  <c r="W17"/>
  <c r="X17"/>
  <c r="H18"/>
  <c r="L18"/>
  <c r="L10" s="1"/>
  <c r="M18"/>
  <c r="M10" s="1"/>
  <c r="N18"/>
  <c r="T18"/>
  <c r="T10" s="1"/>
  <c r="U18"/>
  <c r="X18"/>
  <c r="H19"/>
  <c r="Q19"/>
  <c r="Q15" s="1"/>
  <c r="W19"/>
  <c r="X19"/>
  <c r="Z19"/>
  <c r="H20"/>
  <c r="Q20"/>
  <c r="W20"/>
  <c r="X20"/>
  <c r="H21"/>
  <c r="W21"/>
  <c r="X21"/>
  <c r="H22"/>
  <c r="Q22"/>
  <c r="W22"/>
  <c r="X22"/>
  <c r="Z22"/>
  <c r="H23"/>
  <c r="Q23"/>
  <c r="W23"/>
  <c r="X23"/>
  <c r="H24"/>
  <c r="Q24"/>
  <c r="W24"/>
  <c r="X24"/>
  <c r="H25"/>
  <c r="L25"/>
  <c r="M25"/>
  <c r="N25"/>
  <c r="P25"/>
  <c r="T25"/>
  <c r="U25"/>
  <c r="W25" s="1"/>
  <c r="X25"/>
  <c r="Z25"/>
  <c r="G27"/>
  <c r="G26" s="1"/>
  <c r="I27"/>
  <c r="J27"/>
  <c r="J26" s="1"/>
  <c r="K27"/>
  <c r="L27"/>
  <c r="M27"/>
  <c r="H28"/>
  <c r="Q28"/>
  <c r="W28"/>
  <c r="X28"/>
  <c r="H29"/>
  <c r="I29"/>
  <c r="Q29"/>
  <c r="Q30" s="1"/>
  <c r="Q27" s="1"/>
  <c r="W29"/>
  <c r="X29"/>
  <c r="C30"/>
  <c r="C27" s="1"/>
  <c r="H30"/>
  <c r="N30"/>
  <c r="P30"/>
  <c r="T30"/>
  <c r="U30"/>
  <c r="W30"/>
  <c r="X30"/>
  <c r="C31"/>
  <c r="H31" s="1"/>
  <c r="Q31"/>
  <c r="W31"/>
  <c r="X31"/>
  <c r="H32"/>
  <c r="I32"/>
  <c r="Q32"/>
  <c r="W32"/>
  <c r="X32"/>
  <c r="H33"/>
  <c r="N33"/>
  <c r="P33"/>
  <c r="Q33"/>
  <c r="U33"/>
  <c r="W33" s="1"/>
  <c r="X33"/>
  <c r="H34"/>
  <c r="I34"/>
  <c r="T34"/>
  <c r="U34"/>
  <c r="X34" s="1"/>
  <c r="Z34"/>
  <c r="H35"/>
  <c r="Q35"/>
  <c r="W35"/>
  <c r="X35"/>
  <c r="H36"/>
  <c r="L36"/>
  <c r="L34" s="1"/>
  <c r="M36"/>
  <c r="M34" s="1"/>
  <c r="N36"/>
  <c r="N34" s="1"/>
  <c r="W34" s="1"/>
  <c r="W36"/>
  <c r="X36"/>
  <c r="Z36"/>
  <c r="H37"/>
  <c r="Q37"/>
  <c r="U37"/>
  <c r="W37" s="1"/>
  <c r="H38"/>
  <c r="Q38"/>
  <c r="W38"/>
  <c r="X38"/>
  <c r="H39"/>
  <c r="I39"/>
  <c r="L39"/>
  <c r="M39"/>
  <c r="N39"/>
  <c r="Q39"/>
  <c r="T39"/>
  <c r="U39"/>
  <c r="W39" s="1"/>
  <c r="X39"/>
  <c r="C40"/>
  <c r="G40"/>
  <c r="H40" s="1"/>
  <c r="Q40"/>
  <c r="W40"/>
  <c r="X40"/>
  <c r="H41"/>
  <c r="W41"/>
  <c r="X41"/>
  <c r="H42"/>
  <c r="N42"/>
  <c r="Q42"/>
  <c r="T42"/>
  <c r="U42"/>
  <c r="W42" s="1"/>
  <c r="X42"/>
  <c r="C43"/>
  <c r="H43"/>
  <c r="L43"/>
  <c r="M43"/>
  <c r="N43"/>
  <c r="U43"/>
  <c r="V43"/>
  <c r="W43"/>
  <c r="X43"/>
  <c r="Z43"/>
  <c r="H44"/>
  <c r="Q44"/>
  <c r="T44"/>
  <c r="T43" s="1"/>
  <c r="W44"/>
  <c r="X44"/>
  <c r="Z44"/>
  <c r="H45"/>
  <c r="P45"/>
  <c r="P43" s="1"/>
  <c r="Q45"/>
  <c r="W45"/>
  <c r="X45"/>
  <c r="Z45"/>
  <c r="G46"/>
  <c r="I46"/>
  <c r="L46"/>
  <c r="M46"/>
  <c r="N46"/>
  <c r="P46"/>
  <c r="T46"/>
  <c r="U46"/>
  <c r="W46"/>
  <c r="X46"/>
  <c r="Z46"/>
  <c r="H47"/>
  <c r="Q47"/>
  <c r="W47"/>
  <c r="X47"/>
  <c r="H48"/>
  <c r="W48"/>
  <c r="X48"/>
  <c r="H49"/>
  <c r="W49"/>
  <c r="X49"/>
  <c r="C50"/>
  <c r="C46" s="1"/>
  <c r="H46" s="1"/>
  <c r="H50"/>
  <c r="Q50"/>
  <c r="W50"/>
  <c r="X50"/>
  <c r="Z50"/>
  <c r="H51"/>
  <c r="Q51"/>
  <c r="W51"/>
  <c r="X51"/>
  <c r="H52"/>
  <c r="W52"/>
  <c r="X52"/>
  <c r="H53"/>
  <c r="Q53"/>
  <c r="U53"/>
  <c r="W53" s="1"/>
  <c r="X53"/>
  <c r="Z54"/>
  <c r="I55"/>
  <c r="I54" s="1"/>
  <c r="J55"/>
  <c r="K55"/>
  <c r="H56"/>
  <c r="W56"/>
  <c r="X56"/>
  <c r="C57"/>
  <c r="O57"/>
  <c r="T57"/>
  <c r="Z57"/>
  <c r="H58"/>
  <c r="L58"/>
  <c r="N58"/>
  <c r="P58"/>
  <c r="W58"/>
  <c r="X58"/>
  <c r="Z58"/>
  <c r="H59"/>
  <c r="L59"/>
  <c r="M59"/>
  <c r="N59"/>
  <c r="W59" s="1"/>
  <c r="X59"/>
  <c r="Z59"/>
  <c r="H60"/>
  <c r="W60"/>
  <c r="X60"/>
  <c r="H61"/>
  <c r="L61"/>
  <c r="N61"/>
  <c r="W61" s="1"/>
  <c r="X61"/>
  <c r="H62"/>
  <c r="L62"/>
  <c r="N62"/>
  <c r="X62"/>
  <c r="Z62"/>
  <c r="H63"/>
  <c r="W63"/>
  <c r="X63"/>
  <c r="H64"/>
  <c r="Q64"/>
  <c r="W64"/>
  <c r="X64"/>
  <c r="Z64"/>
  <c r="H65"/>
  <c r="W65"/>
  <c r="X65"/>
  <c r="H66"/>
  <c r="Q66"/>
  <c r="W66"/>
  <c r="X66"/>
  <c r="G67"/>
  <c r="H67" s="1"/>
  <c r="L67"/>
  <c r="M67" s="1"/>
  <c r="N67"/>
  <c r="P67"/>
  <c r="P57" s="1"/>
  <c r="Q67"/>
  <c r="Q57" s="1"/>
  <c r="U67"/>
  <c r="U57" s="1"/>
  <c r="X67"/>
  <c r="Z67"/>
  <c r="H68"/>
  <c r="Q68"/>
  <c r="Q58" s="1"/>
  <c r="W68"/>
  <c r="X68"/>
  <c r="Z68"/>
  <c r="H69"/>
  <c r="P69"/>
  <c r="P59" s="1"/>
  <c r="Q69"/>
  <c r="W69"/>
  <c r="X69"/>
  <c r="Z69"/>
  <c r="H70"/>
  <c r="W70"/>
  <c r="X70"/>
  <c r="H71"/>
  <c r="Q71"/>
  <c r="W71"/>
  <c r="X71"/>
  <c r="C72"/>
  <c r="G72"/>
  <c r="G55" s="1"/>
  <c r="G54" s="1"/>
  <c r="H72"/>
  <c r="L72"/>
  <c r="M72"/>
  <c r="V72"/>
  <c r="X72"/>
  <c r="Z72"/>
  <c r="H73"/>
  <c r="P73"/>
  <c r="W73"/>
  <c r="X73"/>
  <c r="Z73"/>
  <c r="H74"/>
  <c r="L74"/>
  <c r="P74"/>
  <c r="T74"/>
  <c r="U74"/>
  <c r="X74"/>
  <c r="Z74"/>
  <c r="H75"/>
  <c r="H76"/>
  <c r="L76"/>
  <c r="N76"/>
  <c r="H77"/>
  <c r="L77"/>
  <c r="M77" s="1"/>
  <c r="N77"/>
  <c r="W77" s="1"/>
  <c r="P77"/>
  <c r="Q77"/>
  <c r="X77"/>
  <c r="Z77"/>
  <c r="H78"/>
  <c r="Q78"/>
  <c r="W78"/>
  <c r="X78"/>
  <c r="H79"/>
  <c r="Q79"/>
  <c r="W79"/>
  <c r="X79"/>
  <c r="Z79"/>
  <c r="H80"/>
  <c r="Q80"/>
  <c r="W80"/>
  <c r="X80"/>
  <c r="H81"/>
  <c r="Q81"/>
  <c r="T81"/>
  <c r="U81"/>
  <c r="W81" s="1"/>
  <c r="X81"/>
  <c r="H82"/>
  <c r="L82"/>
  <c r="M82" s="1"/>
  <c r="N82"/>
  <c r="P82"/>
  <c r="Q82"/>
  <c r="U82"/>
  <c r="W82" s="1"/>
  <c r="X82"/>
  <c r="H83"/>
  <c r="Q83"/>
  <c r="W83"/>
  <c r="X83"/>
  <c r="H84"/>
  <c r="N84"/>
  <c r="N74" s="1"/>
  <c r="Q84"/>
  <c r="W84"/>
  <c r="X84"/>
  <c r="Z84"/>
  <c r="H85"/>
  <c r="Q85"/>
  <c r="W85"/>
  <c r="X85"/>
  <c r="H86"/>
  <c r="T86"/>
  <c r="U86"/>
  <c r="W86"/>
  <c r="X86"/>
  <c r="H87"/>
  <c r="L87"/>
  <c r="M87"/>
  <c r="N87"/>
  <c r="O87"/>
  <c r="Q87"/>
  <c r="T87"/>
  <c r="U87" s="1"/>
  <c r="Z87"/>
  <c r="H88"/>
  <c r="Q88"/>
  <c r="W88"/>
  <c r="X88"/>
  <c r="H89"/>
  <c r="W89"/>
  <c r="X89"/>
  <c r="Z89"/>
  <c r="H90"/>
  <c r="L90"/>
  <c r="M90" s="1"/>
  <c r="N90"/>
  <c r="O90"/>
  <c r="P90"/>
  <c r="Q90"/>
  <c r="T90"/>
  <c r="U90" s="1"/>
  <c r="Z90"/>
  <c r="H91"/>
  <c r="Q91"/>
  <c r="W91"/>
  <c r="X91"/>
  <c r="Z91"/>
  <c r="H92"/>
  <c r="N92"/>
  <c r="Q92"/>
  <c r="W92"/>
  <c r="X92"/>
  <c r="Z92"/>
  <c r="H93"/>
  <c r="Q93"/>
  <c r="W93"/>
  <c r="X93"/>
  <c r="H94"/>
  <c r="T94"/>
  <c r="U94"/>
  <c r="W94" s="1"/>
  <c r="X94"/>
  <c r="H95"/>
  <c r="Q95"/>
  <c r="O95" s="1"/>
  <c r="U95"/>
  <c r="W95"/>
  <c r="X95"/>
  <c r="H96"/>
  <c r="W96"/>
  <c r="X96"/>
  <c r="Q97"/>
  <c r="Q99" s="1"/>
  <c r="W97"/>
  <c r="X97"/>
  <c r="W98"/>
  <c r="X98"/>
  <c r="W99"/>
  <c r="X99"/>
  <c r="A100"/>
  <c r="W100"/>
  <c r="X100"/>
  <c r="A101"/>
  <c r="W101"/>
  <c r="X101"/>
  <c r="A102"/>
  <c r="W102"/>
  <c r="X102"/>
  <c r="H103"/>
  <c r="L103"/>
  <c r="M103" s="1"/>
  <c r="Q103"/>
  <c r="O103" s="1"/>
  <c r="U103"/>
  <c r="W103" s="1"/>
  <c r="X103"/>
  <c r="Z103"/>
  <c r="H104"/>
  <c r="W104"/>
  <c r="X104"/>
  <c r="Z104"/>
  <c r="H105"/>
  <c r="W105"/>
  <c r="X105"/>
  <c r="W106"/>
  <c r="X106"/>
  <c r="W107"/>
  <c r="X107"/>
  <c r="W108"/>
  <c r="X108"/>
  <c r="W109"/>
  <c r="X109"/>
  <c r="C110"/>
  <c r="G110"/>
  <c r="I110"/>
  <c r="N110"/>
  <c r="O110"/>
  <c r="P110"/>
  <c r="R110"/>
  <c r="S110"/>
  <c r="T110"/>
  <c r="U110"/>
  <c r="W110" s="1"/>
  <c r="X110"/>
  <c r="N111"/>
  <c r="O111"/>
  <c r="Q111"/>
  <c r="R111"/>
  <c r="S111"/>
  <c r="U111"/>
  <c r="W111" s="1"/>
  <c r="H112"/>
  <c r="H110" s="1"/>
  <c r="Q112"/>
  <c r="W112"/>
  <c r="X112"/>
  <c r="Z112"/>
  <c r="H113"/>
  <c r="L113"/>
  <c r="W113"/>
  <c r="X113"/>
  <c r="Z113"/>
  <c r="H114"/>
  <c r="Q114"/>
  <c r="W114"/>
  <c r="X114"/>
  <c r="Z114"/>
  <c r="H115"/>
  <c r="L115"/>
  <c r="P115"/>
  <c r="T115"/>
  <c r="T111" s="1"/>
  <c r="W115"/>
  <c r="X115"/>
  <c r="Z115"/>
  <c r="H116"/>
  <c r="Q116"/>
  <c r="W116"/>
  <c r="X116"/>
  <c r="Z116"/>
  <c r="H117"/>
  <c r="L117"/>
  <c r="W117"/>
  <c r="X117"/>
  <c r="Z117"/>
  <c r="H118"/>
  <c r="Q118"/>
  <c r="W118"/>
  <c r="X118"/>
  <c r="Z118"/>
  <c r="H119"/>
  <c r="N119"/>
  <c r="L119" s="1"/>
  <c r="P119"/>
  <c r="W119"/>
  <c r="X119"/>
  <c r="Z119"/>
  <c r="H120"/>
  <c r="W120"/>
  <c r="X120"/>
  <c r="Z120"/>
  <c r="H121"/>
  <c r="W121"/>
  <c r="X121"/>
  <c r="Z121"/>
  <c r="H122"/>
  <c r="W122"/>
  <c r="X122"/>
  <c r="Z122"/>
  <c r="H123"/>
  <c r="Q123"/>
  <c r="W123"/>
  <c r="X123"/>
  <c r="H124"/>
  <c r="L124"/>
  <c r="P124"/>
  <c r="W124"/>
  <c r="X124"/>
  <c r="H125"/>
  <c r="W125"/>
  <c r="X125"/>
  <c r="H126"/>
  <c r="W126"/>
  <c r="X126"/>
  <c r="H127"/>
  <c r="L127"/>
  <c r="N127"/>
  <c r="W127" s="1"/>
  <c r="X127"/>
  <c r="Z127"/>
  <c r="H128"/>
  <c r="Q128"/>
  <c r="W128"/>
  <c r="X128"/>
  <c r="H129"/>
  <c r="N129"/>
  <c r="T129"/>
  <c r="U129"/>
  <c r="W129" s="1"/>
  <c r="H130"/>
  <c r="W130"/>
  <c r="X130"/>
  <c r="Z130"/>
  <c r="H131"/>
  <c r="W131"/>
  <c r="X131"/>
  <c r="H132"/>
  <c r="N132"/>
  <c r="P132"/>
  <c r="Q132"/>
  <c r="T132"/>
  <c r="T137" s="1"/>
  <c r="T136" s="1"/>
  <c r="U132"/>
  <c r="W132"/>
  <c r="X132"/>
  <c r="H133"/>
  <c r="W133"/>
  <c r="X133"/>
  <c r="Z133"/>
  <c r="H134"/>
  <c r="W134"/>
  <c r="X134"/>
  <c r="H135"/>
  <c r="W135"/>
  <c r="X135"/>
  <c r="C136"/>
  <c r="G136"/>
  <c r="H136"/>
  <c r="I136"/>
  <c r="L136"/>
  <c r="N136"/>
  <c r="V136"/>
  <c r="Z136"/>
  <c r="H137"/>
  <c r="Q137"/>
  <c r="U137"/>
  <c r="U136" s="1"/>
  <c r="X137"/>
  <c r="Z137"/>
  <c r="H138"/>
  <c r="Q138"/>
  <c r="W138"/>
  <c r="X138"/>
  <c r="Z138"/>
  <c r="H139"/>
  <c r="W139"/>
  <c r="X139"/>
  <c r="H140"/>
  <c r="W140"/>
  <c r="X140"/>
  <c r="H141"/>
  <c r="W141"/>
  <c r="X141"/>
  <c r="H142"/>
  <c r="L142"/>
  <c r="P142"/>
  <c r="Q142"/>
  <c r="U142"/>
  <c r="T142" s="1"/>
  <c r="W142"/>
  <c r="X142"/>
  <c r="Z142"/>
  <c r="H143"/>
  <c r="P143"/>
  <c r="Q143"/>
  <c r="U143"/>
  <c r="T143" s="1"/>
  <c r="W143"/>
  <c r="X143"/>
  <c r="Z143"/>
  <c r="H144"/>
  <c r="P144"/>
  <c r="Q144"/>
  <c r="U144"/>
  <c r="T144" s="1"/>
  <c r="X144"/>
  <c r="Z144"/>
  <c r="H145"/>
  <c r="N145"/>
  <c r="P145"/>
  <c r="Q145"/>
  <c r="U145"/>
  <c r="T145" s="1"/>
  <c r="H146"/>
  <c r="W146"/>
  <c r="X146"/>
  <c r="H147"/>
  <c r="W147"/>
  <c r="X147"/>
  <c r="H148"/>
  <c r="N148"/>
  <c r="P148"/>
  <c r="Q148"/>
  <c r="U148"/>
  <c r="T148" s="1"/>
  <c r="Z148"/>
  <c r="H149"/>
  <c r="N149"/>
  <c r="P149"/>
  <c r="Q149"/>
  <c r="U149"/>
  <c r="T149" s="1"/>
  <c r="X149"/>
  <c r="Z149"/>
  <c r="H150"/>
  <c r="N150"/>
  <c r="P150"/>
  <c r="Q150"/>
  <c r="U150"/>
  <c r="T150" s="1"/>
  <c r="Z150"/>
  <c r="H151"/>
  <c r="N151"/>
  <c r="P151"/>
  <c r="Q151"/>
  <c r="U151"/>
  <c r="T151" s="1"/>
  <c r="X151"/>
  <c r="Z151"/>
  <c r="H152"/>
  <c r="W152"/>
  <c r="X152"/>
  <c r="H153"/>
  <c r="W153"/>
  <c r="X153"/>
  <c r="H154"/>
  <c r="W154"/>
  <c r="X154"/>
  <c r="H155"/>
  <c r="W155"/>
  <c r="X155"/>
  <c r="H156"/>
  <c r="W156"/>
  <c r="X156"/>
  <c r="H157"/>
  <c r="W157"/>
  <c r="X157"/>
  <c r="H158"/>
  <c r="W158"/>
  <c r="X158"/>
  <c r="H159"/>
  <c r="W159"/>
  <c r="X159"/>
  <c r="H160"/>
  <c r="W160"/>
  <c r="X160"/>
  <c r="C161"/>
  <c r="H161" s="1"/>
  <c r="Z161"/>
  <c r="H162"/>
  <c r="N162"/>
  <c r="L162" s="1"/>
  <c r="P162"/>
  <c r="Q162"/>
  <c r="U162"/>
  <c r="T162" s="1"/>
  <c r="X162"/>
  <c r="Z162"/>
  <c r="H163"/>
  <c r="N163"/>
  <c r="L163" s="1"/>
  <c r="P163"/>
  <c r="Q163"/>
  <c r="U163"/>
  <c r="T163" s="1"/>
  <c r="X163"/>
  <c r="Z163"/>
  <c r="H164"/>
  <c r="N164"/>
  <c r="L164" s="1"/>
  <c r="P164"/>
  <c r="Q164"/>
  <c r="U164"/>
  <c r="T164" s="1"/>
  <c r="X164"/>
  <c r="Z164"/>
  <c r="C165"/>
  <c r="H165" s="1"/>
  <c r="Z165"/>
  <c r="H166"/>
  <c r="L166"/>
  <c r="N166"/>
  <c r="P166"/>
  <c r="Q166"/>
  <c r="T166"/>
  <c r="U166"/>
  <c r="W166"/>
  <c r="X166"/>
  <c r="Z166"/>
  <c r="H167"/>
  <c r="N167"/>
  <c r="L167" s="1"/>
  <c r="P167"/>
  <c r="Q167"/>
  <c r="U167"/>
  <c r="T167" s="1"/>
  <c r="W167"/>
  <c r="X167"/>
  <c r="Z167"/>
  <c r="H168"/>
  <c r="N168"/>
  <c r="L168" s="1"/>
  <c r="P168"/>
  <c r="Q168"/>
  <c r="U168"/>
  <c r="T168" s="1"/>
  <c r="X168"/>
  <c r="Z168"/>
  <c r="H169"/>
  <c r="N169"/>
  <c r="L169" s="1"/>
  <c r="P169"/>
  <c r="Q169"/>
  <c r="U169"/>
  <c r="T169" s="1"/>
  <c r="Z169"/>
  <c r="H170"/>
  <c r="N170"/>
  <c r="L170" s="1"/>
  <c r="P170"/>
  <c r="Q170"/>
  <c r="U170"/>
  <c r="T170" s="1"/>
  <c r="X170"/>
  <c r="Z170"/>
  <c r="H171"/>
  <c r="N171"/>
  <c r="L171" s="1"/>
  <c r="P171"/>
  <c r="Q171"/>
  <c r="U171"/>
  <c r="T171" s="1"/>
  <c r="Z171"/>
  <c r="H172"/>
  <c r="N172"/>
  <c r="L172" s="1"/>
  <c r="P172"/>
  <c r="Q172"/>
  <c r="U172"/>
  <c r="T172" s="1"/>
  <c r="X172"/>
  <c r="Z172"/>
  <c r="H173"/>
  <c r="N173"/>
  <c r="L173" s="1"/>
  <c r="P173"/>
  <c r="Q173"/>
  <c r="U173"/>
  <c r="T173" s="1"/>
  <c r="Z173"/>
  <c r="H174"/>
  <c r="N174"/>
  <c r="L174" s="1"/>
  <c r="P174"/>
  <c r="Q174"/>
  <c r="U174"/>
  <c r="T174" s="1"/>
  <c r="X174"/>
  <c r="Z174"/>
  <c r="C175"/>
  <c r="H175" s="1"/>
  <c r="Z175"/>
  <c r="H176"/>
  <c r="N176"/>
  <c r="P176"/>
  <c r="Q176"/>
  <c r="U176"/>
  <c r="X176" s="1"/>
  <c r="Z176"/>
  <c r="H177"/>
  <c r="N177"/>
  <c r="L177" s="1"/>
  <c r="P177"/>
  <c r="Q177"/>
  <c r="U177"/>
  <c r="T177" s="1"/>
  <c r="X177"/>
  <c r="Z177"/>
  <c r="H178"/>
  <c r="N178"/>
  <c r="L178" s="1"/>
  <c r="P178"/>
  <c r="Q178"/>
  <c r="U178"/>
  <c r="T178" s="1"/>
  <c r="Z178"/>
  <c r="H179"/>
  <c r="N179"/>
  <c r="L179" s="1"/>
  <c r="P179"/>
  <c r="Q179"/>
  <c r="U179"/>
  <c r="T179" s="1"/>
  <c r="X179"/>
  <c r="Z179"/>
  <c r="H180"/>
  <c r="N180"/>
  <c r="L180" s="1"/>
  <c r="P180"/>
  <c r="Q180"/>
  <c r="U180"/>
  <c r="T180" s="1"/>
  <c r="Z180"/>
  <c r="H181"/>
  <c r="W181"/>
  <c r="X181"/>
  <c r="Z182"/>
  <c r="C183"/>
  <c r="G183"/>
  <c r="H183"/>
  <c r="Z183"/>
  <c r="C184"/>
  <c r="E184"/>
  <c r="G184"/>
  <c r="H184" s="1"/>
  <c r="Z184"/>
  <c r="C185"/>
  <c r="E185"/>
  <c r="G185"/>
  <c r="H185"/>
  <c r="Z185"/>
  <c r="C186"/>
  <c r="W186"/>
  <c r="X186"/>
  <c r="E187"/>
  <c r="G187"/>
  <c r="H187"/>
  <c r="W187"/>
  <c r="X187"/>
  <c r="E188"/>
  <c r="G188"/>
  <c r="H188"/>
  <c r="W188"/>
  <c r="X188"/>
  <c r="E189"/>
  <c r="G189"/>
  <c r="H189" s="1"/>
  <c r="W189"/>
  <c r="X189"/>
  <c r="C190"/>
  <c r="T190"/>
  <c r="Z190"/>
  <c r="G191"/>
  <c r="P191"/>
  <c r="Q191"/>
  <c r="U191"/>
  <c r="X191"/>
  <c r="Z191"/>
  <c r="G192"/>
  <c r="H192" s="1"/>
  <c r="N192"/>
  <c r="P192"/>
  <c r="Q192"/>
  <c r="U192"/>
  <c r="W192" s="1"/>
  <c r="X192"/>
  <c r="Z192"/>
  <c r="E193"/>
  <c r="E190" s="1"/>
  <c r="G193"/>
  <c r="H193"/>
  <c r="N193"/>
  <c r="P193"/>
  <c r="Q193"/>
  <c r="U193"/>
  <c r="W193" s="1"/>
  <c r="Z193"/>
  <c r="J194"/>
  <c r="K194"/>
  <c r="L194"/>
  <c r="M194"/>
  <c r="N194"/>
  <c r="O194"/>
  <c r="W194"/>
  <c r="X194"/>
  <c r="C195"/>
  <c r="H195"/>
  <c r="W195"/>
  <c r="X195"/>
  <c r="C196"/>
  <c r="H196" s="1"/>
  <c r="W196"/>
  <c r="X196"/>
  <c r="C197"/>
  <c r="H197"/>
  <c r="W197"/>
  <c r="X197"/>
  <c r="H198"/>
  <c r="Q198"/>
  <c r="W198"/>
  <c r="X198"/>
  <c r="Z198"/>
  <c r="H199"/>
  <c r="W199"/>
  <c r="X199"/>
  <c r="H200"/>
  <c r="W200"/>
  <c r="X200"/>
  <c r="Z200"/>
  <c r="H201"/>
  <c r="W201"/>
  <c r="X201"/>
  <c r="Z201"/>
  <c r="H202"/>
  <c r="I202"/>
  <c r="W202"/>
  <c r="X202"/>
  <c r="Z202"/>
  <c r="H203"/>
  <c r="I203"/>
  <c r="W203"/>
  <c r="X203"/>
  <c r="Z203"/>
  <c r="H204"/>
  <c r="I204"/>
  <c r="W204"/>
  <c r="X204"/>
  <c r="Z204"/>
  <c r="H205"/>
  <c r="W205"/>
  <c r="X205"/>
  <c r="Z205"/>
  <c r="H206"/>
  <c r="W206"/>
  <c r="X206"/>
  <c r="Z206"/>
  <c r="K210"/>
  <c r="K212"/>
  <c r="B206" i="1"/>
  <c r="T190"/>
  <c r="S190"/>
  <c r="N190"/>
  <c r="T189"/>
  <c r="S189"/>
  <c r="N189"/>
  <c r="T188"/>
  <c r="S188"/>
  <c r="N188"/>
  <c r="T187"/>
  <c r="S187"/>
  <c r="N187"/>
  <c r="Q186"/>
  <c r="R186" s="1"/>
  <c r="T186" s="1"/>
  <c r="N186"/>
  <c r="T185"/>
  <c r="S185"/>
  <c r="N185"/>
  <c r="T184"/>
  <c r="S184"/>
  <c r="N184"/>
  <c r="T183"/>
  <c r="S183"/>
  <c r="N183"/>
  <c r="T182"/>
  <c r="S182"/>
  <c r="N182"/>
  <c r="T181"/>
  <c r="S181"/>
  <c r="N181"/>
  <c r="T180"/>
  <c r="S180"/>
  <c r="N180"/>
  <c r="R179"/>
  <c r="S179" s="1"/>
  <c r="N179"/>
  <c r="T178"/>
  <c r="S178"/>
  <c r="N178"/>
  <c r="T177"/>
  <c r="S177"/>
  <c r="N177"/>
  <c r="T176"/>
  <c r="S176"/>
  <c r="N176"/>
  <c r="G176"/>
  <c r="E176"/>
  <c r="D176"/>
  <c r="C176"/>
  <c r="R175"/>
  <c r="Q175"/>
  <c r="P175"/>
  <c r="M175"/>
  <c r="N175" s="1"/>
  <c r="J175"/>
  <c r="G175"/>
  <c r="E175"/>
  <c r="D175"/>
  <c r="C175"/>
  <c r="T174"/>
  <c r="S174"/>
  <c r="N174"/>
  <c r="T173"/>
  <c r="S173"/>
  <c r="N173"/>
  <c r="S172"/>
  <c r="P172"/>
  <c r="T172" s="1"/>
  <c r="N172"/>
  <c r="G172"/>
  <c r="T171"/>
  <c r="S171"/>
  <c r="N171"/>
  <c r="L171"/>
  <c r="N170"/>
  <c r="I170"/>
  <c r="E170"/>
  <c r="T169"/>
  <c r="S169"/>
  <c r="N169"/>
  <c r="T168"/>
  <c r="S168"/>
  <c r="N168"/>
  <c r="T167"/>
  <c r="S167"/>
  <c r="N167"/>
  <c r="G167"/>
  <c r="D167"/>
  <c r="C167"/>
  <c r="C170" s="1"/>
  <c r="Q166"/>
  <c r="P166"/>
  <c r="P170" s="1"/>
  <c r="N166"/>
  <c r="T165"/>
  <c r="S165"/>
  <c r="N165"/>
  <c r="T164"/>
  <c r="S164"/>
  <c r="N164"/>
  <c r="T163"/>
  <c r="S163"/>
  <c r="T162"/>
  <c r="S162"/>
  <c r="T161"/>
  <c r="S161"/>
  <c r="T160"/>
  <c r="S160"/>
  <c r="S159"/>
  <c r="M159"/>
  <c r="P159" s="1"/>
  <c r="T159" s="1"/>
  <c r="E159"/>
  <c r="S158"/>
  <c r="P158"/>
  <c r="T158" s="1"/>
  <c r="N158"/>
  <c r="E158"/>
  <c r="S157"/>
  <c r="M157"/>
  <c r="P157" s="1"/>
  <c r="T157" s="1"/>
  <c r="K157"/>
  <c r="N157" s="1"/>
  <c r="E157"/>
  <c r="S156"/>
  <c r="P156"/>
  <c r="T156" s="1"/>
  <c r="N156"/>
  <c r="E156"/>
  <c r="T155"/>
  <c r="S155"/>
  <c r="T154"/>
  <c r="S154"/>
  <c r="T153"/>
  <c r="S153"/>
  <c r="T152"/>
  <c r="S152"/>
  <c r="T151"/>
  <c r="S151"/>
  <c r="P150"/>
  <c r="T150" s="1"/>
  <c r="M150"/>
  <c r="N150" s="1"/>
  <c r="J150"/>
  <c r="S150" s="1"/>
  <c r="H150"/>
  <c r="E150"/>
  <c r="C150"/>
  <c r="T149"/>
  <c r="S149"/>
  <c r="K149"/>
  <c r="N149" s="1"/>
  <c r="I149"/>
  <c r="I150" s="1"/>
  <c r="T148"/>
  <c r="S148"/>
  <c r="N148"/>
  <c r="T147"/>
  <c r="S147"/>
  <c r="N147"/>
  <c r="T146"/>
  <c r="S146"/>
  <c r="N146"/>
  <c r="S145"/>
  <c r="M145"/>
  <c r="N145" s="1"/>
  <c r="T144"/>
  <c r="S144"/>
  <c r="N144"/>
  <c r="T143"/>
  <c r="S143"/>
  <c r="N143"/>
  <c r="T142"/>
  <c r="S142"/>
  <c r="N142"/>
  <c r="T141"/>
  <c r="S141"/>
  <c r="N141"/>
  <c r="J141"/>
  <c r="T140"/>
  <c r="S140"/>
  <c r="N140"/>
  <c r="T139"/>
  <c r="S139"/>
  <c r="N139"/>
  <c r="T138"/>
  <c r="S138"/>
  <c r="N138"/>
  <c r="T137"/>
  <c r="S137"/>
  <c r="N137"/>
  <c r="T136"/>
  <c r="S136"/>
  <c r="N136"/>
  <c r="T135"/>
  <c r="S135"/>
  <c r="N135"/>
  <c r="T134"/>
  <c r="S134"/>
  <c r="N134"/>
  <c r="R133"/>
  <c r="Q133"/>
  <c r="P133"/>
  <c r="O133"/>
  <c r="M133"/>
  <c r="N133" s="1"/>
  <c r="K133"/>
  <c r="J133"/>
  <c r="G133"/>
  <c r="E133"/>
  <c r="D133"/>
  <c r="C133"/>
  <c r="S132"/>
  <c r="P132"/>
  <c r="T132" s="1"/>
  <c r="N132"/>
  <c r="R131"/>
  <c r="Q131"/>
  <c r="M131"/>
  <c r="K131"/>
  <c r="J131"/>
  <c r="G131"/>
  <c r="E131"/>
  <c r="D131"/>
  <c r="C131"/>
  <c r="R130"/>
  <c r="Q130"/>
  <c r="M130"/>
  <c r="K130"/>
  <c r="J130"/>
  <c r="G130"/>
  <c r="E130"/>
  <c r="D130"/>
  <c r="C130"/>
  <c r="T129"/>
  <c r="S129"/>
  <c r="N129"/>
  <c r="T128"/>
  <c r="S128"/>
  <c r="N128"/>
  <c r="T127"/>
  <c r="S127"/>
  <c r="N127"/>
  <c r="P126"/>
  <c r="T126" s="1"/>
  <c r="M126"/>
  <c r="K126"/>
  <c r="J126"/>
  <c r="S126" s="1"/>
  <c r="G126"/>
  <c r="E126"/>
  <c r="D126"/>
  <c r="C126"/>
  <c r="T125"/>
  <c r="S125"/>
  <c r="N125"/>
  <c r="T124"/>
  <c r="S124"/>
  <c r="O124"/>
  <c r="N124"/>
  <c r="M123"/>
  <c r="K123"/>
  <c r="J123"/>
  <c r="S123" s="1"/>
  <c r="G123"/>
  <c r="E123"/>
  <c r="D123"/>
  <c r="C123"/>
  <c r="R122"/>
  <c r="Q122"/>
  <c r="M122"/>
  <c r="K122"/>
  <c r="N122" s="1"/>
  <c r="J122"/>
  <c r="I122"/>
  <c r="G122"/>
  <c r="E122"/>
  <c r="D122"/>
  <c r="C122"/>
  <c r="T121"/>
  <c r="S121"/>
  <c r="N121"/>
  <c r="T120"/>
  <c r="S120"/>
  <c r="N120"/>
  <c r="T119"/>
  <c r="S119"/>
  <c r="N119"/>
  <c r="P118"/>
  <c r="T118" s="1"/>
  <c r="M118"/>
  <c r="K118"/>
  <c r="J118"/>
  <c r="S118" s="1"/>
  <c r="G118"/>
  <c r="E118"/>
  <c r="D118"/>
  <c r="C118"/>
  <c r="T117"/>
  <c r="S117"/>
  <c r="N117"/>
  <c r="S116"/>
  <c r="P116"/>
  <c r="T116" s="1"/>
  <c r="N116"/>
  <c r="T115"/>
  <c r="S115"/>
  <c r="N115"/>
  <c r="T114"/>
  <c r="S114"/>
  <c r="N114"/>
  <c r="T113"/>
  <c r="S113"/>
  <c r="N113"/>
  <c r="T112"/>
  <c r="M112"/>
  <c r="K112"/>
  <c r="J112"/>
  <c r="S112" s="1"/>
  <c r="T111"/>
  <c r="S111"/>
  <c r="O111"/>
  <c r="N111"/>
  <c r="T110"/>
  <c r="S110"/>
  <c r="N110"/>
  <c r="T109"/>
  <c r="S109"/>
  <c r="N109"/>
  <c r="T108"/>
  <c r="S108"/>
  <c r="N108"/>
  <c r="T107"/>
  <c r="S107"/>
  <c r="N107"/>
  <c r="S106"/>
  <c r="P106"/>
  <c r="T106" s="1"/>
  <c r="N106"/>
  <c r="T105"/>
  <c r="S105"/>
  <c r="N105"/>
  <c r="T104"/>
  <c r="S104"/>
  <c r="O104"/>
  <c r="N104"/>
  <c r="T103"/>
  <c r="S103"/>
  <c r="N103"/>
  <c r="T102"/>
  <c r="S102"/>
  <c r="N102"/>
  <c r="T101"/>
  <c r="S101"/>
  <c r="N101"/>
  <c r="G101"/>
  <c r="E101"/>
  <c r="D101"/>
  <c r="C101"/>
  <c r="T100"/>
  <c r="S100"/>
  <c r="N100"/>
  <c r="P99"/>
  <c r="T99" s="1"/>
  <c r="M99"/>
  <c r="K99"/>
  <c r="J99"/>
  <c r="S99" s="1"/>
  <c r="G99"/>
  <c r="I105" s="1"/>
  <c r="I106" s="1"/>
  <c r="E99"/>
  <c r="D99"/>
  <c r="C99"/>
  <c r="P98"/>
  <c r="T98" s="1"/>
  <c r="M98"/>
  <c r="K98"/>
  <c r="J98"/>
  <c r="S98" s="1"/>
  <c r="I98"/>
  <c r="G98"/>
  <c r="E98"/>
  <c r="C98"/>
  <c r="T97"/>
  <c r="S97"/>
  <c r="N97"/>
  <c r="T96"/>
  <c r="S96"/>
  <c r="N96"/>
  <c r="T95"/>
  <c r="S95"/>
  <c r="N95"/>
  <c r="T94"/>
  <c r="S94"/>
  <c r="N94"/>
  <c r="T93"/>
  <c r="S93"/>
  <c r="N93"/>
  <c r="T92"/>
  <c r="S92"/>
  <c r="N92"/>
  <c r="T91"/>
  <c r="S91"/>
  <c r="N91"/>
  <c r="M90"/>
  <c r="N90" s="1"/>
  <c r="K90"/>
  <c r="J90"/>
  <c r="S90" s="1"/>
  <c r="G90"/>
  <c r="E90"/>
  <c r="D90"/>
  <c r="C90"/>
  <c r="R89"/>
  <c r="Q89"/>
  <c r="P89"/>
  <c r="O89"/>
  <c r="M89"/>
  <c r="K89"/>
  <c r="J89"/>
  <c r="I89"/>
  <c r="G89"/>
  <c r="E89"/>
  <c r="D89"/>
  <c r="C89"/>
  <c r="T88"/>
  <c r="S88"/>
  <c r="N88"/>
  <c r="T87"/>
  <c r="S87"/>
  <c r="C87"/>
  <c r="T86"/>
  <c r="S86"/>
  <c r="T85"/>
  <c r="S85"/>
  <c r="T84"/>
  <c r="S84"/>
  <c r="T83"/>
  <c r="S83"/>
  <c r="N83"/>
  <c r="R82"/>
  <c r="S82" s="1"/>
  <c r="N82"/>
  <c r="T81"/>
  <c r="S81"/>
  <c r="N81"/>
  <c r="T80"/>
  <c r="S80"/>
  <c r="T79"/>
  <c r="S79"/>
  <c r="T78"/>
  <c r="S78"/>
  <c r="N78"/>
  <c r="T77"/>
  <c r="S77"/>
  <c r="T76"/>
  <c r="S76"/>
  <c r="T75"/>
  <c r="S75"/>
  <c r="T74"/>
  <c r="S74"/>
  <c r="T73"/>
  <c r="S73"/>
  <c r="T72"/>
  <c r="S72"/>
  <c r="T71"/>
  <c r="S71"/>
  <c r="T70"/>
  <c r="S70"/>
  <c r="T69"/>
  <c r="S69"/>
  <c r="T68"/>
  <c r="S68"/>
  <c r="T67"/>
  <c r="S67"/>
  <c r="T66"/>
  <c r="S66"/>
  <c r="T65"/>
  <c r="S65"/>
  <c r="T64"/>
  <c r="S64"/>
  <c r="T63"/>
  <c r="S63"/>
  <c r="T62"/>
  <c r="S62"/>
  <c r="T61"/>
  <c r="S61"/>
  <c r="T60"/>
  <c r="S60"/>
  <c r="T59"/>
  <c r="S59"/>
  <c r="T58"/>
  <c r="S58"/>
  <c r="T57"/>
  <c r="S57"/>
  <c r="T56"/>
  <c r="S56"/>
  <c r="T55"/>
  <c r="S55"/>
  <c r="T54"/>
  <c r="S54"/>
  <c r="T53"/>
  <c r="S53"/>
  <c r="T52"/>
  <c r="S52"/>
  <c r="N52"/>
  <c r="G52"/>
  <c r="T51"/>
  <c r="S51"/>
  <c r="T50"/>
  <c r="S50"/>
  <c r="T49"/>
  <c r="S49"/>
  <c r="T48"/>
  <c r="S48"/>
  <c r="T47"/>
  <c r="S47"/>
  <c r="T46"/>
  <c r="S46"/>
  <c r="T45"/>
  <c r="S45"/>
  <c r="T44"/>
  <c r="S44"/>
  <c r="T43"/>
  <c r="S43"/>
  <c r="T42"/>
  <c r="S42"/>
  <c r="T41"/>
  <c r="S41"/>
  <c r="T40"/>
  <c r="S40"/>
  <c r="D40"/>
  <c r="T39"/>
  <c r="S39"/>
  <c r="D39"/>
  <c r="T38"/>
  <c r="S38"/>
  <c r="D38"/>
  <c r="T37"/>
  <c r="S37"/>
  <c r="T36"/>
  <c r="S36"/>
  <c r="T35"/>
  <c r="S35"/>
  <c r="T34"/>
  <c r="S34"/>
  <c r="T33"/>
  <c r="S33"/>
  <c r="T32"/>
  <c r="S32"/>
  <c r="T31"/>
  <c r="S31"/>
  <c r="T29"/>
  <c r="S29"/>
  <c r="T28"/>
  <c r="S28"/>
  <c r="E28"/>
  <c r="D28"/>
  <c r="C28"/>
  <c r="T27"/>
  <c r="S27"/>
  <c r="E27"/>
  <c r="E31" s="1"/>
  <c r="E32" s="1"/>
  <c r="D27"/>
  <c r="C27"/>
  <c r="C26" s="1"/>
  <c r="R26"/>
  <c r="S26" s="1"/>
  <c r="Q26"/>
  <c r="P26"/>
  <c r="O26"/>
  <c r="D26"/>
  <c r="T25"/>
  <c r="S25"/>
  <c r="T24"/>
  <c r="S24"/>
  <c r="N24"/>
  <c r="T23"/>
  <c r="S23"/>
  <c r="T22"/>
  <c r="S22"/>
  <c r="I22"/>
  <c r="G22"/>
  <c r="M21"/>
  <c r="M22" s="1"/>
  <c r="N22" s="1"/>
  <c r="T20"/>
  <c r="S20"/>
  <c r="T19"/>
  <c r="S19"/>
  <c r="G18"/>
  <c r="E43" s="1"/>
  <c r="G17"/>
  <c r="F17"/>
  <c r="K16"/>
  <c r="N16" s="1"/>
  <c r="G16"/>
  <c r="F16" s="1"/>
  <c r="C16"/>
  <c r="E15"/>
  <c r="C15"/>
  <c r="C17" s="1"/>
  <c r="M14"/>
  <c r="T13"/>
  <c r="S13"/>
  <c r="M13"/>
  <c r="K13"/>
  <c r="N13" s="1"/>
  <c r="T12"/>
  <c r="S12"/>
  <c r="M12"/>
  <c r="M15" s="1"/>
  <c r="F12"/>
  <c r="M11"/>
  <c r="K11"/>
  <c r="N11" s="1"/>
  <c r="J11"/>
  <c r="E11"/>
  <c r="C11"/>
  <c r="R10"/>
  <c r="Q10"/>
  <c r="K10"/>
  <c r="K9"/>
  <c r="N9" s="1"/>
  <c r="J9"/>
  <c r="J15" s="1"/>
  <c r="J21" s="1"/>
  <c r="D9"/>
  <c r="D15" s="1"/>
  <c r="F7"/>
  <c r="L161" i="2" l="1"/>
  <c r="L183" s="1"/>
  <c r="T161"/>
  <c r="T183" s="1"/>
  <c r="C194"/>
  <c r="H194" s="1"/>
  <c r="X193"/>
  <c r="U190"/>
  <c r="P190"/>
  <c r="E186"/>
  <c r="C182"/>
  <c r="H182" s="1"/>
  <c r="X180"/>
  <c r="X178"/>
  <c r="Q175"/>
  <c r="N175"/>
  <c r="N185" s="1"/>
  <c r="X173"/>
  <c r="X171"/>
  <c r="X169"/>
  <c r="U165"/>
  <c r="Q165"/>
  <c r="N165"/>
  <c r="N184" s="1"/>
  <c r="W164"/>
  <c r="W163"/>
  <c r="W162"/>
  <c r="P161"/>
  <c r="P183" s="1"/>
  <c r="X129"/>
  <c r="Q127"/>
  <c r="Q94"/>
  <c r="Q86"/>
  <c r="P55"/>
  <c r="P54" s="1"/>
  <c r="Q61"/>
  <c r="Q59"/>
  <c r="L57"/>
  <c r="Q46"/>
  <c r="X37"/>
  <c r="Q36"/>
  <c r="U27"/>
  <c r="N27"/>
  <c r="N26" s="1"/>
  <c r="Q25"/>
  <c r="Q26" s="1"/>
  <c r="Q21"/>
  <c r="Q18"/>
  <c r="P14"/>
  <c r="N14"/>
  <c r="L14"/>
  <c r="N190"/>
  <c r="Q190"/>
  <c r="G190"/>
  <c r="H190" s="1"/>
  <c r="G186"/>
  <c r="H186" s="1"/>
  <c r="D182"/>
  <c r="D181" s="1"/>
  <c r="U175"/>
  <c r="P175"/>
  <c r="P185" s="1"/>
  <c r="P165"/>
  <c r="P184" s="1"/>
  <c r="U161"/>
  <c r="Q161"/>
  <c r="Q183" s="1"/>
  <c r="N161"/>
  <c r="N183" s="1"/>
  <c r="N182" s="1"/>
  <c r="W151"/>
  <c r="X150"/>
  <c r="W149"/>
  <c r="X148"/>
  <c r="X145"/>
  <c r="W144"/>
  <c r="Q136"/>
  <c r="P111"/>
  <c r="Q110"/>
  <c r="X111"/>
  <c r="T76"/>
  <c r="T75" s="1"/>
  <c r="Q73"/>
  <c r="Q72"/>
  <c r="W74"/>
  <c r="W67"/>
  <c r="N57"/>
  <c r="T55"/>
  <c r="T54" s="1"/>
  <c r="C55"/>
  <c r="C54" s="1"/>
  <c r="H54" s="1"/>
  <c r="Q43"/>
  <c r="Q34"/>
  <c r="Q14"/>
  <c r="N10"/>
  <c r="T14"/>
  <c r="T13" s="1"/>
  <c r="M14"/>
  <c r="M13" s="1"/>
  <c r="I13"/>
  <c r="E196"/>
  <c r="E195"/>
  <c r="E194" s="1"/>
  <c r="E197"/>
  <c r="Q195"/>
  <c r="Q197"/>
  <c r="Q196"/>
  <c r="W175"/>
  <c r="U185"/>
  <c r="X175"/>
  <c r="X161"/>
  <c r="U183"/>
  <c r="W161"/>
  <c r="X90"/>
  <c r="W90"/>
  <c r="X87"/>
  <c r="W87"/>
  <c r="X190"/>
  <c r="W190"/>
  <c r="P196"/>
  <c r="P195"/>
  <c r="P197"/>
  <c r="Q185"/>
  <c r="W165"/>
  <c r="X165"/>
  <c r="U184"/>
  <c r="Q184"/>
  <c r="Q182" s="1"/>
  <c r="Q187" s="1"/>
  <c r="P182"/>
  <c r="P187" s="1"/>
  <c r="W136"/>
  <c r="X136"/>
  <c r="X57"/>
  <c r="U55"/>
  <c r="W57"/>
  <c r="L55"/>
  <c r="L54" s="1"/>
  <c r="M57"/>
  <c r="M55" s="1"/>
  <c r="M54" s="1"/>
  <c r="X27"/>
  <c r="U26"/>
  <c r="W27"/>
  <c r="C12"/>
  <c r="H12" s="1"/>
  <c r="H27"/>
  <c r="C26"/>
  <c r="T165"/>
  <c r="T184" s="1"/>
  <c r="L165"/>
  <c r="L184" s="1"/>
  <c r="Q55"/>
  <c r="Q54" s="1"/>
  <c r="C13"/>
  <c r="C9" s="1"/>
  <c r="H26"/>
  <c r="Q13"/>
  <c r="Q9" s="1"/>
  <c r="T9"/>
  <c r="M9"/>
  <c r="Q76"/>
  <c r="O55"/>
  <c r="O54" s="1"/>
  <c r="O9" s="1"/>
  <c r="U10"/>
  <c r="Q10"/>
  <c r="N13"/>
  <c r="L13"/>
  <c r="L9" s="1"/>
  <c r="W180"/>
  <c r="W179"/>
  <c r="W178"/>
  <c r="W177"/>
  <c r="W176"/>
  <c r="T176"/>
  <c r="T175" s="1"/>
  <c r="T185" s="1"/>
  <c r="L176"/>
  <c r="L175" s="1"/>
  <c r="L185" s="1"/>
  <c r="L182" s="1"/>
  <c r="W174"/>
  <c r="W173"/>
  <c r="W172"/>
  <c r="W171"/>
  <c r="W170"/>
  <c r="W169"/>
  <c r="W168"/>
  <c r="U76"/>
  <c r="Q74"/>
  <c r="N72"/>
  <c r="W72" s="1"/>
  <c r="W62"/>
  <c r="M62"/>
  <c r="P37"/>
  <c r="W18"/>
  <c r="P18"/>
  <c r="U14"/>
  <c r="G14"/>
  <c r="N12"/>
  <c r="W12" s="1"/>
  <c r="L12"/>
  <c r="W191"/>
  <c r="H191"/>
  <c r="W150"/>
  <c r="W148"/>
  <c r="W145"/>
  <c r="W137"/>
  <c r="H57"/>
  <c r="H55" s="1"/>
  <c r="Q12"/>
  <c r="M12"/>
  <c r="I20" i="1"/>
  <c r="N89"/>
  <c r="T89"/>
  <c r="N118"/>
  <c r="S122"/>
  <c r="S130"/>
  <c r="N131"/>
  <c r="T133"/>
  <c r="K12"/>
  <c r="K15" s="1"/>
  <c r="K21"/>
  <c r="N21" s="1"/>
  <c r="N98"/>
  <c r="N99"/>
  <c r="N112"/>
  <c r="P123"/>
  <c r="N126"/>
  <c r="N130"/>
  <c r="S131"/>
  <c r="T175"/>
  <c r="M17"/>
  <c r="V15"/>
  <c r="Q9"/>
  <c r="N15"/>
  <c r="M18"/>
  <c r="M20"/>
  <c r="N20" s="1"/>
  <c r="T123"/>
  <c r="P90"/>
  <c r="T90" s="1"/>
  <c r="N12"/>
  <c r="C31"/>
  <c r="C32" s="1"/>
  <c r="C43"/>
  <c r="T82"/>
  <c r="S89"/>
  <c r="I102"/>
  <c r="I103" s="1"/>
  <c r="I90" s="1"/>
  <c r="T122"/>
  <c r="N123"/>
  <c r="T130"/>
  <c r="T131"/>
  <c r="S133"/>
  <c r="P145"/>
  <c r="T145" s="1"/>
  <c r="N159"/>
  <c r="S175"/>
  <c r="T179"/>
  <c r="S186"/>
  <c r="T10"/>
  <c r="J10"/>
  <c r="S10" s="1"/>
  <c r="M10"/>
  <c r="N10" s="1"/>
  <c r="I19"/>
  <c r="M19" s="1"/>
  <c r="N19" s="1"/>
  <c r="G23"/>
  <c r="E26"/>
  <c r="T26"/>
  <c r="E42"/>
  <c r="R166"/>
  <c r="T182" i="2" l="1"/>
  <c r="P127"/>
  <c r="P129" s="1"/>
  <c r="P137" s="1"/>
  <c r="P136" s="1"/>
  <c r="Q129"/>
  <c r="Q60"/>
  <c r="U13"/>
  <c r="W14"/>
  <c r="X14"/>
  <c r="W76"/>
  <c r="U75"/>
  <c r="X76"/>
  <c r="W26"/>
  <c r="X26"/>
  <c r="U182"/>
  <c r="X183"/>
  <c r="W183"/>
  <c r="G13"/>
  <c r="H14"/>
  <c r="P10"/>
  <c r="P12"/>
  <c r="P39"/>
  <c r="P40"/>
  <c r="P34" s="1"/>
  <c r="P13" s="1"/>
  <c r="P9" s="1"/>
  <c r="X10"/>
  <c r="W10"/>
  <c r="U54"/>
  <c r="X55"/>
  <c r="W184"/>
  <c r="X184"/>
  <c r="X185"/>
  <c r="W185"/>
  <c r="N55"/>
  <c r="N54" s="1"/>
  <c r="N9" s="1"/>
  <c r="Q75"/>
  <c r="P188"/>
  <c r="P189"/>
  <c r="Q188"/>
  <c r="Q189"/>
  <c r="P194"/>
  <c r="Q194"/>
  <c r="Q15" i="1"/>
  <c r="R9"/>
  <c r="Q11"/>
  <c r="K17"/>
  <c r="N17" s="1"/>
  <c r="T166"/>
  <c r="R170"/>
  <c r="S166"/>
  <c r="N18"/>
  <c r="M23"/>
  <c r="N23" s="1"/>
  <c r="Q186" i="2" l="1"/>
  <c r="P186"/>
  <c r="X182"/>
  <c r="W182"/>
  <c r="W75"/>
  <c r="X75"/>
  <c r="X13"/>
  <c r="U9"/>
  <c r="W13"/>
  <c r="W54"/>
  <c r="X54"/>
  <c r="G9"/>
  <c r="H9" s="1"/>
  <c r="H13"/>
  <c r="W55"/>
  <c r="S9" i="1"/>
  <c r="T9"/>
  <c r="R15"/>
  <c r="R18" s="1"/>
  <c r="Q16"/>
  <c r="Q21"/>
  <c r="S170"/>
  <c r="T170"/>
  <c r="Q17"/>
  <c r="R11"/>
  <c r="Q18"/>
  <c r="Q30" s="1"/>
  <c r="W9" i="2" l="1"/>
  <c r="X9"/>
  <c r="T18" i="1"/>
  <c r="S18"/>
  <c r="R30"/>
  <c r="S11"/>
  <c r="R17"/>
  <c r="T11"/>
  <c r="R16"/>
  <c r="S15"/>
  <c r="T15"/>
  <c r="R21"/>
  <c r="S16" l="1"/>
  <c r="T16"/>
  <c r="S17"/>
  <c r="T17"/>
  <c r="T30"/>
  <c r="S30"/>
  <c r="S21"/>
  <c r="T21"/>
</calcChain>
</file>

<file path=xl/sharedStrings.xml><?xml version="1.0" encoding="utf-8"?>
<sst xmlns="http://schemas.openxmlformats.org/spreadsheetml/2006/main" count="962" uniqueCount="413">
  <si>
    <t>Biểu số 03</t>
  </si>
  <si>
    <t>BIỂU TÌNH HÌNH THỰC HIỆN PHÁT TRIỂN VĂN HOÁ - XÃ HỘI ƯỚC THỰC HIỆN 6 THÁNG ĐẦU NĂM 2018</t>
  </si>
  <si>
    <t>Chỉ tiêu</t>
  </si>
  <si>
    <t>ĐV
tính</t>
  </si>
  <si>
    <t>Năm 2016</t>
  </si>
  <si>
    <t>TH 2016</t>
  </si>
  <si>
    <t>Năm 2017</t>
  </si>
  <si>
    <t>Năm 2018</t>
  </si>
  <si>
    <t>% So sánh</t>
  </si>
  <si>
    <t>Ghi chú</t>
  </si>
  <si>
    <t>TH 6 tháng</t>
  </si>
  <si>
    <t>TH 9 tháng</t>
  </si>
  <si>
    <t>TH 11 tháng</t>
  </si>
  <si>
    <t>ƯTH cả năm</t>
  </si>
  <si>
    <t>Tỉnh giao</t>
  </si>
  <si>
    <t xml:space="preserve">KH huyện </t>
  </si>
  <si>
    <t>TH 30/6/2017</t>
  </si>
  <si>
    <t>ƯTH 30/9/2017</t>
  </si>
  <si>
    <t>ƯTH 15/11/2017</t>
  </si>
  <si>
    <t>TH 2017</t>
  </si>
  <si>
    <t>TH đến 31/5/2018</t>
  </si>
  <si>
    <t>ƯTH 6 tháng 2018</t>
  </si>
  <si>
    <t>ƯTH 6 tháng 2018 so cùng kỳ</t>
  </si>
  <si>
    <t>ƯTH 6 tháng 2018 so KH</t>
  </si>
  <si>
    <t>I. DÂN SỐ</t>
  </si>
  <si>
    <t>1. Tổng số hộ đầu năm</t>
  </si>
  <si>
    <t>Hộ</t>
  </si>
  <si>
    <t>1. Dân số đầu kỳ</t>
  </si>
  <si>
    <t>Người</t>
  </si>
  <si>
    <t>Trong đó: + Nữ</t>
  </si>
  <si>
    <t xml:space="preserve">  + Dân tộc TS</t>
  </si>
  <si>
    <t>2. Dân số tăng trong kỳ</t>
  </si>
  <si>
    <t>Trong đó: + Tăng tự nhiên</t>
  </si>
  <si>
    <t>3. Dân số cuối đến kỳ báo cáo</t>
  </si>
  <si>
    <t>4. Dân số trung bình</t>
  </si>
  <si>
    <t>DS sống ở đô thị</t>
  </si>
  <si>
    <t>DS sống ở nông thôn</t>
  </si>
  <si>
    <t>5. Lao đông trong độ tuổi</t>
  </si>
  <si>
    <t>LĐ</t>
  </si>
  <si>
    <t>6. Tỷ lệ tăng dân số tự nhiên</t>
  </si>
  <si>
    <t>%</t>
  </si>
  <si>
    <t>7. Mức giảm tỷ lệ sinh</t>
  </si>
  <si>
    <t>‰</t>
  </si>
  <si>
    <t>II. Y TẾ</t>
  </si>
  <si>
    <t>1. Tổng số giường bệnh</t>
  </si>
  <si>
    <t>Giường</t>
  </si>
  <si>
    <t xml:space="preserve"> + TT Y tế huyện</t>
  </si>
  <si>
    <t xml:space="preserve"> + Trạm Y tế xã, thị trấn</t>
  </si>
  <si>
    <t xml:space="preserve"> + Phòng khám đa khoa khu vực</t>
  </si>
  <si>
    <t>Phòng khám ĐKKV xã Rờ Kơi đã giải thể</t>
  </si>
  <si>
    <t xml:space="preserve"> + Số giường bệnh/ 1 vạn dân</t>
  </si>
  <si>
    <t>2. Công suất sử dụng giường bệnh</t>
  </si>
  <si>
    <t xml:space="preserve"> + Tại Trung tâm Y tế</t>
  </si>
  <si>
    <t xml:space="preserve"> + Tại các trạm Y tế xã, thị trấn </t>
  </si>
  <si>
    <t xml:space="preserve"> + Tại Phòng khám Đa khoa khu vực</t>
  </si>
  <si>
    <t>3. Số lượt khám chữa bệnh</t>
  </si>
  <si>
    <t xml:space="preserve"> + Tại bệnh viện Đa khoa huyện </t>
  </si>
  <si>
    <t>Lần</t>
  </si>
  <si>
    <t>+ Số xã, thị trấn có bác sỹ về công tác</t>
  </si>
  <si>
    <t>Xã</t>
  </si>
  <si>
    <t>+ Số bác sỹ/ vạn dân</t>
  </si>
  <si>
    <t>+ Số dược sỹ/ vạn dân</t>
  </si>
  <si>
    <t xml:space="preserve"> 4. Chiến dịch phòng chống sốt rét</t>
  </si>
  <si>
    <t>+ TS dân được bảo vệ</t>
  </si>
  <si>
    <t>Lượt</t>
  </si>
  <si>
    <t>+ TS màn được tẩm hóa chất</t>
  </si>
  <si>
    <t>Cái</t>
  </si>
  <si>
    <t>+ Tỷ lệ KST SR/lam máu XN</t>
  </si>
  <si>
    <t>&lt;1%</t>
  </si>
  <si>
    <t xml:space="preserve"> 5. Chương trình MTQG VSATTP</t>
  </si>
  <si>
    <t>+ TS cơ sở được kiểm tra</t>
  </si>
  <si>
    <t>cơ sở</t>
  </si>
  <si>
    <t>+ Số cơ sơ đạt chất lượng VSATTP</t>
  </si>
  <si>
    <t>+ Tỷ lệ</t>
  </si>
  <si>
    <t>+ Số cơ sở vi phạm bị phạt tiền</t>
  </si>
  <si>
    <t>6. CT MTQG về phòng chống phong</t>
  </si>
  <si>
    <t>+ Số người được điều trị phong</t>
  </si>
  <si>
    <t>+ Số bệnh nhân phong mới phát hiện</t>
  </si>
  <si>
    <t>+Số bệnh nhân phòng chống tàn phế được quản lý</t>
  </si>
  <si>
    <t>người</t>
  </si>
  <si>
    <t>7. CT MTQG về phòng chống Lao</t>
  </si>
  <si>
    <t>+ Tổng số người được điều trị Lao</t>
  </si>
  <si>
    <t>+ Số bệnh nhân lao mới phát hiện</t>
  </si>
  <si>
    <t>8. CT MTQG về phòng chống HIV</t>
  </si>
  <si>
    <t>+ Tỷ lệ các cơ quan thông tin đại chúng tổ chức truyền thông và phòng, chống HIV/AIDS</t>
  </si>
  <si>
    <t>+ Tỷ lệ phụ nữ mang thai được tiếp cận dịch vụ chăm sóc sức khỏe sinh sản và dự phòng lây truyền HIV/AIDS từ mẹ sang con</t>
  </si>
  <si>
    <t xml:space="preserve">+ Tỷ lệ các cơ quan thông tin đại chúng tổ chức truyền thông về  phòng, chống HIV/AIDS </t>
  </si>
  <si>
    <t>+ Số người được điều trị HIV (có địa chỉ rõ ràng)</t>
  </si>
  <si>
    <t>+ Số bệnh nhân HIV mới phát hiện</t>
  </si>
  <si>
    <t>9. CT MTQG VỀ DSKHHGĐ</t>
  </si>
  <si>
    <t>+ TS người sử dụng các biện pháp tránh thai</t>
  </si>
  <si>
    <t>+ Tỷ lệ sử dụng các biện pháp tránh thai hiện đại</t>
  </si>
  <si>
    <t>+ Tổng số người sinh con thứ 3+</t>
  </si>
  <si>
    <t>+ Tỷ số tử vong mẹ trên 100.000 trẻ sống</t>
  </si>
  <si>
    <t>+ Tỷ suất tử vong trẻ em dưới 1 tuổi trên 1.000 trẻ sống</t>
  </si>
  <si>
    <t>+ Tỷ suất tử vong trẻ em dưới 5 tuổi trên 1.000 trẻ sống</t>
  </si>
  <si>
    <t>10. Đạt chuẩn quốc gia về y tế</t>
  </si>
  <si>
    <t>Tỷ lệ xã đạt chuẩn quốc gia về y tế</t>
  </si>
  <si>
    <t>11. Hộ gia đình có người mắc tệ nạn xã hội trung bình giảm</t>
  </si>
  <si>
    <t>Tỷ lệ số hộ gia đình có người mắc tệ nạn xã hội trung bình giảm</t>
  </si>
  <si>
    <t>10-15%</t>
  </si>
  <si>
    <t>12. Bao phủ bảo hiểm y tế</t>
  </si>
  <si>
    <t>+ Tỷ lệ bao phủ bảo hiểm y tế</t>
  </si>
  <si>
    <t xml:space="preserve"> % </t>
  </si>
  <si>
    <t>+ Tỷ lệ tham gia bảo hiểm xã hội</t>
  </si>
  <si>
    <t>+ Tỷ lệ tham gia bảo hiểm thất nghiệp</t>
  </si>
  <si>
    <t>III. BẢO VỆ &amp; CHĂM SÓC TRẺ EM</t>
  </si>
  <si>
    <t>1. Tổng số thẻ BHYT cấp cho trẻ em &lt; 6 tuổi</t>
  </si>
  <si>
    <t>Thẻ</t>
  </si>
  <si>
    <t>Trong đó: + Số thẻ cấp mới năm báo cáo</t>
  </si>
  <si>
    <t>Trong 6 tháng đầu năm 2018 số thẻ hết hạn theo quy định 34 thẻ</t>
  </si>
  <si>
    <t>2. Tỷ lệ TE &lt; 05 tuổi suy dinh dưỡng (cân nặng/ tuổi)</t>
  </si>
  <si>
    <t>3. Tỷ lệ TE &lt; 2 tuổi suy dinh dưỡng</t>
  </si>
  <si>
    <t>4. Tỷ lệ trẻ &lt;1 tuổi được tiêm đầy đủ 7 loại văccin</t>
  </si>
  <si>
    <t>5. Số xã, thị trấn triển khai chương trình hành động vì trẻ em</t>
  </si>
  <si>
    <t>IV. GIÁO DỤC &amp; ĐÀO TẠO</t>
  </si>
  <si>
    <t>* Tổng số học sinh toàn huyện</t>
  </si>
  <si>
    <t>HS</t>
  </si>
  <si>
    <t xml:space="preserve"> Tr.đó: - Học sinh DTTS</t>
  </si>
  <si>
    <t>* Tổng số lớp học toàn huyện</t>
  </si>
  <si>
    <t>lớp</t>
  </si>
  <si>
    <t>* Tỷ lệ học sinh ra lớp</t>
  </si>
  <si>
    <t>1. Phòng Giáo dục &amp; Đào tạo</t>
  </si>
  <si>
    <t xml:space="preserve"> - Tổng số trường</t>
  </si>
  <si>
    <t>trường</t>
  </si>
  <si>
    <t xml:space="preserve"> - Tổng số lớp học</t>
  </si>
  <si>
    <t>- Tổng số học sinh</t>
  </si>
  <si>
    <t xml:space="preserve"> Tr.đó: - Số học sinh DTTS</t>
  </si>
  <si>
    <t xml:space="preserve"> - Học sinh ngoài công lập</t>
  </si>
  <si>
    <t>1. Giáo dục Mầm non</t>
  </si>
  <si>
    <t>Cháu</t>
  </si>
  <si>
    <t>Trường</t>
  </si>
  <si>
    <t>02 trường Mầm non tư thục</t>
  </si>
  <si>
    <t xml:space="preserve"> + Tỷ lệ trường đạt chuẩn quốc gia</t>
  </si>
  <si>
    <t xml:space="preserve"> + Nhà trẻ</t>
  </si>
  <si>
    <t>Tr.đó: - Học sinh DTTS</t>
  </si>
  <si>
    <t xml:space="preserve">   - Ngoài công lập</t>
  </si>
  <si>
    <t xml:space="preserve"> + Mẫu giáo</t>
  </si>
  <si>
    <t>Tr.đó:  - Học sinh DTTS</t>
  </si>
  <si>
    <t xml:space="preserve"> - Tổng số GV</t>
  </si>
  <si>
    <t>GV</t>
  </si>
  <si>
    <t xml:space="preserve"> + Tỷ lệ GV đạt chuẩn</t>
  </si>
  <si>
    <t xml:space="preserve"> - Tổng số trẻ em trong độ tuổi (3-5)</t>
  </si>
  <si>
    <t xml:space="preserve"> + Tỷ lệ trẻ học mẫu giáo trong độ tuổi (3-5)</t>
  </si>
  <si>
    <t xml:space="preserve">    - Ngoài công lập</t>
  </si>
  <si>
    <t>+ Tỷ lệ trẻ em trong độ tuổi đi học mẫu giáo 3-5 tuổi</t>
  </si>
  <si>
    <t xml:space="preserve"> + Tỷ lệ học sinh chuyên cần (Học sinh kinh)</t>
  </si>
  <si>
    <t xml:space="preserve"> + Tỷ lệ học sinh chuyên cần (Học sinh DTTS)</t>
  </si>
  <si>
    <t xml:space="preserve">2. Giáo dục Tiểu học </t>
  </si>
  <si>
    <t>Tr.đó: + Học sinh DTTS</t>
  </si>
  <si>
    <t>Do tách trường THCS Nguyễn Trãi</t>
  </si>
  <si>
    <t xml:space="preserve"> + Tỷ lệ huy động HS trong độ tuổi bậc Tiểu học</t>
  </si>
  <si>
    <t>3. Giáo dục Trung học cơ sở</t>
  </si>
  <si>
    <t>+ HS trường PT Dân tộc Nội trú</t>
  </si>
  <si>
    <t xml:space="preserve"> + Tỷ lệ huy động HS trong độ tuổi bậc THCS</t>
  </si>
  <si>
    <t>4. Giáo dục Trung học phổ thông</t>
  </si>
  <si>
    <t xml:space="preserve">  + HS trường PT Dân tộc Nội trú</t>
  </si>
  <si>
    <t xml:space="preserve">  * Bổ túc văn hóa</t>
  </si>
  <si>
    <t>+ TS học sinh bổ túc THCS</t>
  </si>
  <si>
    <t>Học viên Phòng GD&amp;ĐT tổ chưc</t>
  </si>
  <si>
    <t>+ TS học sinh THPT</t>
  </si>
  <si>
    <t>Học viên TT GDNN-GDTX tổ chức</t>
  </si>
  <si>
    <t>* Tỷ lệ học sinh  trong độ tuổi đi học mẫu giáo</t>
  </si>
  <si>
    <t>* Tỷ lệ học sinh đi học đúng độ tuổi</t>
  </si>
  <si>
    <t>- Tiểu học</t>
  </si>
  <si>
    <t>- Trung học sơ sở</t>
  </si>
  <si>
    <t>- Trung học phổ thông</t>
  </si>
  <si>
    <t>V. VĂN HOÁ - THÔNG TIN</t>
  </si>
  <si>
    <t>1. Số lần hoạt động văn nghệ</t>
  </si>
  <si>
    <t>2. Số lần tổ chức thi đấu các môn thể thao</t>
  </si>
  <si>
    <t>3. Số sách báo có trong thư viện</t>
  </si>
  <si>
    <t>Quyển</t>
  </si>
  <si>
    <t xml:space="preserve">4. Xã có thiết chế văn hóa-thể thao </t>
  </si>
  <si>
    <t xml:space="preserve">5. Tỷ lệ khu dân cư đạt tiêu chuẩn tiên tiến </t>
  </si>
  <si>
    <t>37,8</t>
  </si>
  <si>
    <t>50,7</t>
  </si>
  <si>
    <t xml:space="preserve">6. Tỷ lệ gia đình văn hóa </t>
  </si>
  <si>
    <t>46,8</t>
  </si>
  <si>
    <t>7. Tỷ lệ gia đình được tiếp cận thông tin về bạo lực gia đình</t>
  </si>
  <si>
    <t xml:space="preserve">8. Tỷ lệ xã, thị trấn có nhà văn hóa xã </t>
  </si>
  <si>
    <t>9. Tỷ lệ số hộ có bạo lực gia đình trung bình giảm</t>
  </si>
  <si>
    <t>10- 15%</t>
  </si>
  <si>
    <t>10- 15 %</t>
  </si>
  <si>
    <t>10. Tỷ lệ cán bộ, công chức, viên chức làm công tác bình đẳng giới và sự tiến bộ của phụ nữ ở các cấp, các ngành được tập huấn nghiệp vụ ít nhất 1 lần/1 năm</t>
  </si>
  <si>
    <t>11. Tỷ lệ người tham gia luyện tập thể dục, thể thao thường xuyên</t>
  </si>
  <si>
    <t>&gt;30</t>
  </si>
  <si>
    <t>&gt;25</t>
  </si>
  <si>
    <t>25,5</t>
  </si>
  <si>
    <t>12. Tỷ lệ gia đình tham gia luyện tập thể dục thể thao thường xuyên</t>
  </si>
  <si>
    <t>&gt;19</t>
  </si>
  <si>
    <t>22,4</t>
  </si>
  <si>
    <t>VI. PHÁT THANH-TRUYỀN HÌNH</t>
  </si>
  <si>
    <t>1. Số giờ phát sóng truyền thanh</t>
  </si>
  <si>
    <t>Giờ</t>
  </si>
  <si>
    <t>Tr.đó: + Giờ địa phương</t>
  </si>
  <si>
    <t>2. Số giờ phát sóng truyền hình</t>
  </si>
  <si>
    <t>3. Tỷ lệ phủ sóng đài truyền hình Việt Nam</t>
  </si>
  <si>
    <t>&gt;95</t>
  </si>
  <si>
    <t>4. Tỷ lệ phủ sóng Đài tiếng nói Việt Nam</t>
  </si>
  <si>
    <t>5. Tỷ lệ hộ xem Đài Truyền hình Việt Nam</t>
  </si>
  <si>
    <t>&gt;90</t>
  </si>
  <si>
    <t>6. Tỷ lệ hộ nghe Đài Tiếng nói Việt Nam</t>
  </si>
  <si>
    <t>&gt;86</t>
  </si>
  <si>
    <t>7. Tỷ lệ đài phát thanh và đài truyền hình cấp tỉnh và cấp huyện có chuyên mục, chuyên đề nâng cao nhận thức về bình đẳng giới</t>
  </si>
  <si>
    <t>VII. XOÁ ĐÓI GIẢM NGHÈO, CÁC CSXH</t>
  </si>
  <si>
    <t>1. Hộ nghèo đầu kỳ</t>
  </si>
  <si>
    <t>2. Hộ nghèo giảm trong kỳ</t>
  </si>
  <si>
    <t>3. Hộ nghèo phát sinh trong kỳ</t>
  </si>
  <si>
    <t>4. Hộ tái nghèo trong kỳ</t>
  </si>
  <si>
    <t>5. Hộ nghèo cuối kỳ</t>
  </si>
  <si>
    <t>+ Tỷ lệ hộ nghèo</t>
  </si>
  <si>
    <t>6. Mức giảm tỷ lệ hộ nghèo</t>
  </si>
  <si>
    <t>7. Đào tạo nghề</t>
  </si>
  <si>
    <t>7. Số lao động được GTVL tăng thêm</t>
  </si>
  <si>
    <t>8. Cấp thẻ BHYT</t>
  </si>
  <si>
    <t>Chia ra: + Người nghèo, cận ngèo và đối tượng BTXH</t>
  </si>
  <si>
    <t xml:space="preserve">    + DTTS vùng ĐBKK</t>
  </si>
  <si>
    <t>11.537</t>
  </si>
  <si>
    <t>9. Tỷ lệ lao động qua đào tạo chung</t>
  </si>
  <si>
    <t>10. Đào tạo nghề cho LĐ nông thôn (QĐ 1956)</t>
  </si>
  <si>
    <t>11. Tỷ lệ lao động nữ nông thôn dưới 45 tuổi được đào tạo nghề và chuyên môn kỹ thuật</t>
  </si>
  <si>
    <t>VIII. MÔI TRƯỜNG VÀ PT BỀN VỮNG</t>
  </si>
  <si>
    <t>1. Tỷ lệ che phủ rừng</t>
  </si>
  <si>
    <t>Không tính DT cao su trồng trên đất nông nghiệp theo quy định</t>
  </si>
  <si>
    <t>2. Tỷ lệ dân cư nông thôn sử dụng nước hợp vệ sinh</t>
  </si>
  <si>
    <t>3. Tỷ lệ hộ nông thôn có công trình hợp vệ sinh</t>
  </si>
  <si>
    <t>4. Tỷ lệ thu gom chất thải rắn ở đô thị</t>
  </si>
  <si>
    <t>Hiện nay, thị trấn có 4/8 thôn đã hợp đồng dịch vụ thu gom rác thải sinh hoạt với Trung tâm dịch vụ công ích 04 thôn còn lại tự xử lý rác</t>
  </si>
  <si>
    <t>5. Tỷ lệ cơ sở sản xuất mới xây dựng sử dụng công nghệ sạch có thiết bị xử lý ô nhiễm môi trường</t>
  </si>
  <si>
    <t>IX. CƠ SỞ HẠ TẦNG</t>
  </si>
  <si>
    <t>1. Tỷ lệ xã có đường ô tô đến trung tâm</t>
  </si>
  <si>
    <t>2. Tỷ lệ xã có chợ xã, liên xã</t>
  </si>
  <si>
    <t>3. Tỷ lệ hộ sử dụng điện</t>
  </si>
  <si>
    <t>6. Tỷ lệ bao phủ bảo hiểm y tế</t>
  </si>
  <si>
    <t>TT</t>
  </si>
  <si>
    <t>Sa Nghĩa</t>
  </si>
  <si>
    <t>Sa Bình</t>
  </si>
  <si>
    <t>Sa Sơn</t>
  </si>
  <si>
    <t>Sa Nhơn</t>
  </si>
  <si>
    <t>Ya Xiêr</t>
  </si>
  <si>
    <t>Ya Ly</t>
  </si>
  <si>
    <t>Ya Tăng</t>
  </si>
  <si>
    <t>Rờ Kơi</t>
  </si>
  <si>
    <t>Mô Rai</t>
  </si>
  <si>
    <t>Hơ Moong</t>
  </si>
  <si>
    <t>Kèm theo Báo cáo số   244  /BC-UBND ngày  15 tháng   6  năm 2018 của UBND huyện Sa Thầy</t>
  </si>
  <si>
    <t>Vượt</t>
  </si>
  <si>
    <t>Tr.đồng</t>
  </si>
  <si>
    <t xml:space="preserve">  + Chi thường xuyên </t>
  </si>
  <si>
    <t>Trong đó: + Chi đầu tư phát triển</t>
  </si>
  <si>
    <t>3. Tổng chi cân đối NS huyện</t>
  </si>
  <si>
    <t>Trong đó: Các khoản huyện hưởng theo phân cấp</t>
  </si>
  <si>
    <t xml:space="preserve">2. Tổng thu ngân sách huyện </t>
  </si>
  <si>
    <t>Trong đó: Phần Chi cục thuế thu</t>
  </si>
  <si>
    <t>1. Thu ngân sách trên địa bàn</t>
  </si>
  <si>
    <t xml:space="preserve">H/ THU - CHI NGÂN SÁCH </t>
  </si>
  <si>
    <t>5. Thu nhập bình quân đầu người</t>
  </si>
  <si>
    <t>- Thương mại - Dịch vụ</t>
  </si>
  <si>
    <t xml:space="preserve"> - Công nghiệp - Xây dựng</t>
  </si>
  <si>
    <t xml:space="preserve"> - Nông - Lâm - Thuỷ sản</t>
  </si>
  <si>
    <t>4. Tỷ lệ cơ cấu ngành</t>
  </si>
  <si>
    <t>Đạt</t>
  </si>
  <si>
    <t xml:space="preserve"> - Thương mại - Dịch vụ</t>
  </si>
  <si>
    <t>3. Tổng giá trị sản xuất (giá CĐ 2010)</t>
  </si>
  <si>
    <t>2. Tỷ lệ cơ cấu ngành</t>
  </si>
  <si>
    <t>1. Tổng giá trị sản xuất (giá HH)</t>
  </si>
  <si>
    <t>I/ CHỈ TIÊU TỔNG HỢP</t>
  </si>
  <si>
    <t>Trong đó: + Tiền lương HCSN</t>
  </si>
  <si>
    <t>2. Tổng giá trị dịch vụ</t>
  </si>
  <si>
    <t>Không đạt</t>
  </si>
  <si>
    <t xml:space="preserve"> + Doanh nghiệp, tổ chức</t>
  </si>
  <si>
    <t>Trong đó:+ Tiểu thương</t>
  </si>
  <si>
    <t>1. Tổng mức bán lẻ trên địa bàn</t>
  </si>
  <si>
    <t>F/ GIÁ TRỊ TM - DV</t>
  </si>
  <si>
    <t xml:space="preserve">  + Giá trị SXXD trong tư nhân</t>
  </si>
  <si>
    <t>Trong đó: + Giá trị SXXD huyện quản lý</t>
  </si>
  <si>
    <t>3. Tổng giá trị SX xây dựng</t>
  </si>
  <si>
    <t xml:space="preserve">  + Mộc dân dụng</t>
  </si>
  <si>
    <t>Trong đó: + Gạch xây dựng</t>
  </si>
  <si>
    <t>2. Tổng giá trị SX tiểu thủ CN</t>
  </si>
  <si>
    <t xml:space="preserve">      + Nhà máy sản xuất mủ cao su</t>
  </si>
  <si>
    <t>Trong đó: + Giá trị SX 2 Nhà máy sắn</t>
  </si>
  <si>
    <t>1. Tổng giá trị SX công nghiệp</t>
  </si>
  <si>
    <t>E/ GIÁ TRỊ SX CN - XD</t>
  </si>
  <si>
    <t>3. Tổng giá trị SX lâm nghiệp</t>
  </si>
  <si>
    <t>2. Tổng giá trị SX thủy sản</t>
  </si>
  <si>
    <t>1. Tổng giá trị SX nông nghiệp</t>
  </si>
  <si>
    <r>
      <t>D/ GIÁ TRỊ SX N</t>
    </r>
    <r>
      <rPr>
        <sz val="12"/>
        <rFont val="Times New Roman"/>
        <family val="1"/>
      </rPr>
      <t>-</t>
    </r>
    <r>
      <rPr>
        <b/>
        <sz val="12"/>
        <rFont val="Times New Roman"/>
        <family val="1"/>
      </rPr>
      <t>L</t>
    </r>
    <r>
      <rPr>
        <sz val="12"/>
        <rFont val="Times New Roman"/>
        <family val="1"/>
      </rPr>
      <t>-</t>
    </r>
    <r>
      <rPr>
        <b/>
        <sz val="12"/>
        <rFont val="Times New Roman"/>
        <family val="1"/>
      </rPr>
      <t>THỦY SẢN</t>
    </r>
  </si>
  <si>
    <t>đơn vị</t>
  </si>
  <si>
    <t>f) Nhà máy/ xưởng chế biến mủ cao su</t>
  </si>
  <si>
    <t>e) Nhà máy chế biến tinh bột sắn</t>
  </si>
  <si>
    <t>d) Cửa hàng dịch vụ nông nghiệp</t>
  </si>
  <si>
    <t>Chợ</t>
  </si>
  <si>
    <t>c) Chợ thương mại</t>
  </si>
  <si>
    <t>b) Cửa hàng thương mại</t>
  </si>
  <si>
    <t>a) Cửa hàng xăng dầu</t>
  </si>
  <si>
    <t>Trong đó một số cơ sở chính:</t>
  </si>
  <si>
    <t>1. Thương mại</t>
  </si>
  <si>
    <t>C/ HOẠT ĐÔNG TM-DV</t>
  </si>
  <si>
    <t>tấn</t>
  </si>
  <si>
    <t>d) Xay sát gạo</t>
  </si>
  <si>
    <t>SP</t>
  </si>
  <si>
    <t>c) Nông cụ cầm tay</t>
  </si>
  <si>
    <t>b) Mộc dân dụng</t>
  </si>
  <si>
    <t>1000 viên</t>
  </si>
  <si>
    <t>a) Gạch xây dựng</t>
  </si>
  <si>
    <t>Tr.đó: Một số sản phẩm chủ yếu:</t>
  </si>
  <si>
    <t>2. Tiểu thủ công nghiệp</t>
  </si>
  <si>
    <t>d) Nhà máy sản xuất mủ cao su khô</t>
  </si>
  <si>
    <t>m3</t>
  </si>
  <si>
    <t>c) Khai thác cát, sỏi xây dựng</t>
  </si>
  <si>
    <t>b) Đá xây dựng</t>
  </si>
  <si>
    <t>a) Sản lượng tinh bột sắn</t>
  </si>
  <si>
    <t>Tr. đó: Một số hoạt động chủ yếu:</t>
  </si>
  <si>
    <t>1. Công nghiệp</t>
  </si>
  <si>
    <t>B/ HOẠT ĐỘNG CN - XD</t>
  </si>
  <si>
    <t xml:space="preserve"> - Sản lượng khai thác tự nhiên</t>
  </si>
  <si>
    <t xml:space="preserve"> - Sản lượng nuôi trồng</t>
  </si>
  <si>
    <t>2. Sản lượng thủy sản</t>
  </si>
  <si>
    <t>Sản lượng</t>
  </si>
  <si>
    <t>11.7</t>
  </si>
  <si>
    <t>tạ/ha</t>
  </si>
  <si>
    <t>Năng suất</t>
  </si>
  <si>
    <t>Lồng</t>
  </si>
  <si>
    <t>c) Tổng số lồng nuôi thủy sản</t>
  </si>
  <si>
    <t>0.8</t>
  </si>
  <si>
    <t>ha</t>
  </si>
  <si>
    <t>b) DT nuôi mặt nước lớn</t>
  </si>
  <si>
    <t>a) DT nuôi ao, hồ nhỏ</t>
  </si>
  <si>
    <t>1. Nuôi trồng thuỷ sản</t>
  </si>
  <si>
    <t>IV/  THỦY SẢN</t>
  </si>
  <si>
    <t>Sản lượng thịt xuất chuồng</t>
  </si>
  <si>
    <t>Con</t>
  </si>
  <si>
    <t>5. Đàn dê</t>
  </si>
  <si>
    <t>1000 quả</t>
  </si>
  <si>
    <t>Trứng ngỗng</t>
  </si>
  <si>
    <t>Trứng vịt, ngan</t>
  </si>
  <si>
    <t>Trứng gà</t>
  </si>
  <si>
    <t>4. Đàn gia cầm</t>
  </si>
  <si>
    <t xml:space="preserve">3. Đàn heo &gt;2 tháng tuổi </t>
  </si>
  <si>
    <t>2. Tổng đàn bò</t>
  </si>
  <si>
    <t>1. Tổng đàn trâu</t>
  </si>
  <si>
    <t>III/  CHĂN NUÔI</t>
  </si>
  <si>
    <t>2. Tỷ lệ che phủ rừng</t>
  </si>
  <si>
    <t xml:space="preserve">   + Diện tích rừng trồng</t>
  </si>
  <si>
    <t>Tr.đó: + Diện tích rừng tự nhiên</t>
  </si>
  <si>
    <t>1. Tổng diện tích đất có rừng</t>
  </si>
  <si>
    <t>II/ LÂM NGHIỆP</t>
  </si>
  <si>
    <t xml:space="preserve"> + DT trồng mới</t>
  </si>
  <si>
    <t>2.2. Cây ăn quả</t>
  </si>
  <si>
    <t>Năng suất (khô)</t>
  </si>
  <si>
    <t xml:space="preserve"> + DT Kinh doanh</t>
  </si>
  <si>
    <t>e) Diện tích điều</t>
  </si>
  <si>
    <t>d) Cây hồ tiêu</t>
  </si>
  <si>
    <t xml:space="preserve">  - DT trồng dặm</t>
  </si>
  <si>
    <t>Trong đó: - DT Trồng mới</t>
  </si>
  <si>
    <t>c) Cây bời lời</t>
  </si>
  <si>
    <t>Cơ bản đạt</t>
  </si>
  <si>
    <t xml:space="preserve"> - Cao su tiểu điền</t>
  </si>
  <si>
    <t xml:space="preserve"> - Cao su DN và tổ chức</t>
  </si>
  <si>
    <t>b) Cao su</t>
  </si>
  <si>
    <t xml:space="preserve"> - Cà phê nhân dân</t>
  </si>
  <si>
    <t xml:space="preserve"> - Cà phê quốc doanh</t>
  </si>
  <si>
    <t>a) Cà phê tổng số</t>
  </si>
  <si>
    <t>Trong đó</t>
  </si>
  <si>
    <t>2.1. Cây công nghiệp</t>
  </si>
  <si>
    <t>2. Tổng DT cây lâu năm</t>
  </si>
  <si>
    <t>594.5</t>
  </si>
  <si>
    <t>Trồng mới</t>
  </si>
  <si>
    <t>b) Cây mía</t>
  </si>
  <si>
    <t>a) Cây lạc</t>
  </si>
  <si>
    <t>1.4. Cây CN hàng năm</t>
  </si>
  <si>
    <t xml:space="preserve">b) Đậu đỗ các loại </t>
  </si>
  <si>
    <t xml:space="preserve">a) Rau các loại </t>
  </si>
  <si>
    <t>1.3. Cây rau, đậu, hoa, cây cảnh</t>
  </si>
  <si>
    <t>- Sắn vụ mùa</t>
  </si>
  <si>
    <t>- Sắn vụ Đông xuân</t>
  </si>
  <si>
    <t>b) Sắn</t>
  </si>
  <si>
    <t>a) Khoai lang</t>
  </si>
  <si>
    <t>1.2. Cây có bột có củ</t>
  </si>
  <si>
    <t>- Ngô vụ mùa</t>
  </si>
  <si>
    <t>- Ngô vụ Đông xuân</t>
  </si>
  <si>
    <t>b) Cây ngô</t>
  </si>
  <si>
    <t xml:space="preserve">- Lúa rẫy  </t>
  </si>
  <si>
    <t>- Lúa nước vụ mùa</t>
  </si>
  <si>
    <t xml:space="preserve">- Lúa đông xuân </t>
  </si>
  <si>
    <t>a) Cây lúa</t>
  </si>
  <si>
    <t>1.1. Cây lương thực</t>
  </si>
  <si>
    <t>1. Tổng DTGT cây hàng năm</t>
  </si>
  <si>
    <t>Trong đó: Thóc</t>
  </si>
  <si>
    <t>kg</t>
  </si>
  <si>
    <t>- Lương thực bình quân đầu người</t>
  </si>
  <si>
    <t>* Tổng sản lượng lương thực cây có hạt</t>
  </si>
  <si>
    <t xml:space="preserve">* Tổng diện tích cây trồng </t>
  </si>
  <si>
    <t>I/ TRỒNG TRỌT</t>
  </si>
  <si>
    <t>A/ NÔNG NGHIỆP</t>
  </si>
  <si>
    <t>KH Huyện
giao</t>
  </si>
  <si>
    <t>KH Tỉnh giao</t>
  </si>
  <si>
    <t>ƯTH 30/7/2017</t>
  </si>
  <si>
    <t>Đến 30/4/2017</t>
  </si>
  <si>
    <t>Đến 31/3/2017</t>
  </si>
  <si>
    <t xml:space="preserve">HĐND Huyện giao </t>
  </si>
  <si>
    <t>KH huyện giao</t>
  </si>
  <si>
    <t>Cả năm</t>
  </si>
  <si>
    <t>Quý I</t>
  </si>
  <si>
    <t xml:space="preserve">TH 9 tháng </t>
  </si>
  <si>
    <t>Đánh giá 
đạt, không 
đạt so KH</t>
  </si>
  <si>
    <t>Đánh giá 
đạt, không
 đạt so KH</t>
  </si>
  <si>
    <t>Chỉ tiêu NQ
ĐH XVI</t>
  </si>
  <si>
    <t>TH 2015</t>
  </si>
  <si>
    <t>Kèm theo Báo cáo số 244 /BC-UBND ngày  15 tháng 6 năm 2018 của UBND huyện Sa Thầy</t>
  </si>
  <si>
    <t>BIỂU TÌNH HÌNH THỰC HIỆN PHÁT TRIỂN KINH TẾ ƯỚC THỰC 6 THÁNG ĐẦU NĂM NĂM 2018</t>
  </si>
  <si>
    <t>Biểu số 01</t>
  </si>
</sst>
</file>

<file path=xl/styles.xml><?xml version="1.0" encoding="utf-8"?>
<styleSheet xmlns="http://schemas.openxmlformats.org/spreadsheetml/2006/main">
  <numFmts count="7">
    <numFmt numFmtId="164" formatCode="_-* #,##0_-;\-* #,##0_-;_-* &quot;-&quot;??_-;_-@_-"/>
    <numFmt numFmtId="165" formatCode="_-* #,##0.00_-;\-* #,##0.00_-;_-* &quot;-&quot;??_-;_-@_-"/>
    <numFmt numFmtId="166" formatCode="_-* #,##0.0_-;\-* #,##0.0_-;_-* &quot;-&quot;??_-;_-@_-"/>
    <numFmt numFmtId="167" formatCode="#,##0.0"/>
    <numFmt numFmtId="168" formatCode="_-* #,##0.00\ _₫_-;\-* #,##0.00\ _₫_-;_-* &quot;-&quot;\ _₫_-;_-@_-"/>
    <numFmt numFmtId="169" formatCode="0.0"/>
    <numFmt numFmtId="170" formatCode="#,##0.000"/>
  </numFmts>
  <fonts count="89"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2"/>
      <color theme="0"/>
      <name val="Times New Roman"/>
      <family val="1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i/>
      <sz val="12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rgb="FFFF3300"/>
      <name val="Times New Roman"/>
      <family val="1"/>
    </font>
    <font>
      <sz val="10"/>
      <color rgb="FF7030A0"/>
      <name val="Times New Roman"/>
      <family val="1"/>
    </font>
    <font>
      <sz val="10"/>
      <color rgb="FF0000FF"/>
      <name val="Times New Roman"/>
      <family val="1"/>
    </font>
    <font>
      <b/>
      <sz val="12"/>
      <color theme="1"/>
      <name val="Times New Roman"/>
      <family val="1"/>
    </font>
    <font>
      <sz val="14"/>
      <name val="Times New Roman"/>
      <family val="1"/>
      <charset val="163"/>
    </font>
    <font>
      <b/>
      <sz val="12"/>
      <color rgb="FFFF0000"/>
      <name val="Times New Roman"/>
      <family val="1"/>
    </font>
    <font>
      <b/>
      <sz val="12"/>
      <color rgb="FFFF3300"/>
      <name val="Times New Roman"/>
      <family val="1"/>
    </font>
    <font>
      <b/>
      <sz val="12"/>
      <color rgb="FF7030A0"/>
      <name val="Times New Roman"/>
      <family val="1"/>
    </font>
    <font>
      <b/>
      <sz val="12"/>
      <name val="Times New Roman"/>
      <family val="1"/>
    </font>
    <font>
      <b/>
      <sz val="12"/>
      <color rgb="FF0000FF"/>
      <name val="Times New Roman"/>
      <family val="1"/>
    </font>
    <font>
      <sz val="12"/>
      <color rgb="FFFF0000"/>
      <name val="Times New Roman"/>
      <family val="1"/>
    </font>
    <font>
      <sz val="12"/>
      <color rgb="FFFF3300"/>
      <name val="Times New Roman"/>
      <family val="1"/>
    </font>
    <font>
      <sz val="12"/>
      <color rgb="FF7030A0"/>
      <name val="Times New Roman"/>
      <family val="1"/>
    </font>
    <font>
      <sz val="12"/>
      <color rgb="FF0000FF"/>
      <name val="Times New Roman"/>
      <family val="1"/>
    </font>
    <font>
      <sz val="12"/>
      <color indexed="12"/>
      <name val="Times New Roman"/>
      <family val="1"/>
    </font>
    <font>
      <i/>
      <sz val="12"/>
      <color indexed="12"/>
      <name val="Times New Roman"/>
      <family val="1"/>
      <charset val="163"/>
    </font>
    <font>
      <i/>
      <sz val="12"/>
      <color rgb="FF0000FF"/>
      <name val="Times New Roman"/>
      <family val="1"/>
    </font>
    <font>
      <i/>
      <sz val="12"/>
      <color rgb="FFFF3300"/>
      <name val="Times New Roman"/>
      <family val="1"/>
    </font>
    <font>
      <i/>
      <sz val="12"/>
      <color rgb="FF7030A0"/>
      <name val="Times New Roman"/>
      <family val="1"/>
    </font>
    <font>
      <i/>
      <sz val="16"/>
      <color theme="1"/>
      <name val="Times New Roman"/>
      <family val="1"/>
    </font>
    <font>
      <i/>
      <sz val="12"/>
      <color rgb="FFFF0000"/>
      <name val="Times New Roman"/>
      <family val="1"/>
      <charset val="163"/>
    </font>
    <font>
      <i/>
      <sz val="12"/>
      <color theme="1"/>
      <name val="Times New Roman"/>
      <family val="1"/>
      <charset val="163"/>
    </font>
    <font>
      <sz val="11"/>
      <color theme="1"/>
      <name val="Times New Roman"/>
      <family val="1"/>
    </font>
    <font>
      <sz val="12"/>
      <color theme="0"/>
      <name val="Times New Roman"/>
      <family val="1"/>
    </font>
    <font>
      <sz val="12"/>
      <name val="Times New Roman"/>
      <family val="1"/>
    </font>
    <font>
      <sz val="16"/>
      <color theme="1"/>
      <name val="Times New Roman"/>
      <family val="1"/>
    </font>
    <font>
      <b/>
      <i/>
      <sz val="12"/>
      <color rgb="FF0000FF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FF3300"/>
      <name val="Times New Roman"/>
      <family val="1"/>
    </font>
    <font>
      <b/>
      <i/>
      <sz val="12"/>
      <color rgb="FF7030A0"/>
      <name val="Times New Roman"/>
      <family val="1"/>
    </font>
    <font>
      <i/>
      <sz val="12"/>
      <color rgb="FFFF0000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theme="1"/>
      <name val="Cambria"/>
      <family val="1"/>
    </font>
    <font>
      <b/>
      <sz val="12"/>
      <color indexed="12"/>
      <name val="Times New Roman"/>
      <family val="1"/>
    </font>
    <font>
      <b/>
      <sz val="12"/>
      <color indexed="10"/>
      <name val="Times New Roman"/>
      <family val="1"/>
    </font>
    <font>
      <b/>
      <sz val="10"/>
      <color rgb="FFFF0000"/>
      <name val="Times New Roman"/>
      <family val="1"/>
    </font>
    <font>
      <i/>
      <sz val="9"/>
      <color rgb="FFFF0000"/>
      <name val="Times New Roman"/>
      <family val="1"/>
    </font>
    <font>
      <i/>
      <sz val="12"/>
      <name val="Times New Roman"/>
      <family val="1"/>
    </font>
    <font>
      <b/>
      <i/>
      <sz val="12"/>
      <color indexed="12"/>
      <name val="Times New Roman"/>
      <family val="1"/>
    </font>
    <font>
      <sz val="13"/>
      <color indexed="8"/>
      <name val="Times New Roman"/>
      <family val="1"/>
    </font>
    <font>
      <sz val="13"/>
      <color rgb="FF0000FF"/>
      <name val="Times New Roman"/>
      <family val="1"/>
    </font>
    <font>
      <sz val="13"/>
      <color theme="1"/>
      <name val="Times New Roman"/>
      <family val="1"/>
    </font>
    <font>
      <sz val="13"/>
      <color rgb="FFFF3300"/>
      <name val="Times New Roman"/>
      <family val="1"/>
    </font>
    <font>
      <sz val="13"/>
      <color rgb="FF7030A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b/>
      <i/>
      <sz val="16"/>
      <color theme="1"/>
      <name val="Times New Roman"/>
      <family val="1"/>
    </font>
    <font>
      <i/>
      <sz val="12"/>
      <name val="Times New Roman"/>
      <family val="1"/>
      <charset val="163"/>
    </font>
    <font>
      <sz val="12"/>
      <name val="Times New Roman"/>
      <family val="1"/>
      <charset val="163"/>
    </font>
    <font>
      <i/>
      <sz val="12"/>
      <color rgb="FF0000FF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3"/>
      <color rgb="FFFF0000"/>
      <name val="Times New Roman"/>
      <family val="1"/>
    </font>
    <font>
      <b/>
      <sz val="13"/>
      <color rgb="FFFF3300"/>
      <name val="Times New Roman"/>
      <family val="1"/>
    </font>
    <font>
      <b/>
      <sz val="13"/>
      <color rgb="FF7030A0"/>
      <name val="Times New Roman"/>
      <family val="1"/>
    </font>
    <font>
      <b/>
      <sz val="13"/>
      <color rgb="FF0000FF"/>
      <name val="Times New Roman"/>
      <family val="1"/>
    </font>
    <font>
      <sz val="16"/>
      <name val="Times New Roman"/>
      <family val="1"/>
    </font>
    <font>
      <b/>
      <i/>
      <sz val="12"/>
      <name val="Times New Roman"/>
      <family val="1"/>
    </font>
    <font>
      <b/>
      <sz val="18"/>
      <name val="Times New Roman"/>
      <family val="1"/>
    </font>
    <font>
      <b/>
      <sz val="28"/>
      <name val="Times New Roman"/>
      <family val="1"/>
    </font>
    <font>
      <b/>
      <sz val="16"/>
      <color theme="0"/>
      <name val="Times New Roman"/>
      <family val="1"/>
    </font>
    <font>
      <b/>
      <sz val="16"/>
      <name val="Times New Roman"/>
      <family val="1"/>
    </font>
    <font>
      <i/>
      <sz val="16"/>
      <name val="Times New Roman"/>
      <family val="1"/>
    </font>
    <font>
      <sz val="13"/>
      <name val="Times New Roman"/>
      <family val="1"/>
    </font>
    <font>
      <sz val="11"/>
      <name val="Times New Roman"/>
      <family val="1"/>
    </font>
    <font>
      <sz val="16"/>
      <color rgb="FF7030A0"/>
      <name val="Times New Roman"/>
      <family val="1"/>
    </font>
    <font>
      <i/>
      <sz val="16"/>
      <color rgb="FFFF0000"/>
      <name val="Times New Roman"/>
      <family val="1"/>
    </font>
    <font>
      <sz val="16"/>
      <color rgb="FFFF0000"/>
      <name val="Times New Roman"/>
      <family val="1"/>
    </font>
    <font>
      <i/>
      <sz val="14"/>
      <name val="Times New Roman"/>
      <family val="1"/>
    </font>
    <font>
      <b/>
      <i/>
      <sz val="16"/>
      <name val="Times New Roman"/>
      <family val="1"/>
    </font>
    <font>
      <i/>
      <sz val="12"/>
      <color rgb="FFCC3300"/>
      <name val="Times New Roman"/>
      <family val="1"/>
    </font>
    <font>
      <sz val="12"/>
      <color rgb="FFCC3300"/>
      <name val="Times New Roman"/>
      <family val="1"/>
    </font>
    <font>
      <i/>
      <sz val="16"/>
      <color rgb="FF0000FF"/>
      <name val="Times New Roman"/>
      <family val="1"/>
    </font>
    <font>
      <sz val="16"/>
      <color rgb="FF0000FF"/>
      <name val="Times New Roman"/>
      <family val="1"/>
    </font>
    <font>
      <sz val="10"/>
      <name val="Times New Roman"/>
      <family val="1"/>
    </font>
    <font>
      <b/>
      <sz val="16"/>
      <color rgb="FF0000FF"/>
      <name val="Times New Roman"/>
      <family val="1"/>
    </font>
    <font>
      <i/>
      <sz val="18"/>
      <name val="Times New Roman"/>
      <family val="1"/>
    </font>
    <font>
      <b/>
      <sz val="20"/>
      <name val="Times New Roman"/>
      <family val="1"/>
    </font>
    <font>
      <b/>
      <sz val="13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0" fontId="1" fillId="0" borderId="0"/>
  </cellStyleXfs>
  <cellXfs count="836">
    <xf numFmtId="0" fontId="0" fillId="0" borderId="0" xfId="0"/>
    <xf numFmtId="0" fontId="2" fillId="2" borderId="0" xfId="1" applyFont="1" applyFill="1" applyAlignment="1" applyProtection="1">
      <alignment horizontal="right" vertical="center" wrapText="1"/>
    </xf>
    <xf numFmtId="0" fontId="3" fillId="2" borderId="0" xfId="1" applyFont="1" applyFill="1" applyAlignment="1" applyProtection="1">
      <alignment vertical="center"/>
    </xf>
    <xf numFmtId="0" fontId="4" fillId="2" borderId="0" xfId="1" applyFont="1" applyFill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horizontal="center" vertic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/>
    </xf>
    <xf numFmtId="164" fontId="7" fillId="2" borderId="0" xfId="1" applyNumberFormat="1" applyFont="1" applyFill="1" applyAlignment="1" applyProtection="1">
      <alignment vertical="center"/>
    </xf>
    <xf numFmtId="164" fontId="8" fillId="2" borderId="0" xfId="1" applyNumberFormat="1" applyFont="1" applyFill="1" applyAlignment="1" applyProtection="1">
      <alignment vertical="center"/>
    </xf>
    <xf numFmtId="164" fontId="9" fillId="2" borderId="0" xfId="1" applyNumberFormat="1" applyFont="1" applyFill="1" applyAlignment="1" applyProtection="1">
      <alignment vertical="center"/>
    </xf>
    <xf numFmtId="164" fontId="10" fillId="2" borderId="0" xfId="1" applyNumberFormat="1" applyFont="1" applyFill="1" applyAlignment="1" applyProtection="1">
      <alignment vertical="center"/>
    </xf>
    <xf numFmtId="164" fontId="10" fillId="3" borderId="0" xfId="1" applyNumberFormat="1" applyFont="1" applyFill="1" applyAlignment="1" applyProtection="1">
      <alignment vertical="center"/>
    </xf>
    <xf numFmtId="164" fontId="11" fillId="2" borderId="0" xfId="1" applyNumberFormat="1" applyFont="1" applyFill="1" applyAlignment="1" applyProtection="1">
      <alignment vertical="center"/>
    </xf>
    <xf numFmtId="0" fontId="8" fillId="2" borderId="0" xfId="1" applyFont="1" applyFill="1" applyAlignment="1" applyProtection="1">
      <alignment vertical="center"/>
    </xf>
    <xf numFmtId="0" fontId="7" fillId="2" borderId="0" xfId="1" applyFont="1" applyFill="1" applyAlignment="1" applyProtection="1">
      <alignment horizontal="center" vertical="center" shrinkToFit="1"/>
    </xf>
    <xf numFmtId="0" fontId="7" fillId="2" borderId="0" xfId="1" applyFont="1" applyFill="1" applyAlignment="1" applyProtection="1">
      <alignment vertical="center"/>
    </xf>
    <xf numFmtId="0" fontId="12" fillId="2" borderId="1" xfId="1" applyFont="1" applyFill="1" applyBorder="1" applyAlignment="1" applyProtection="1">
      <alignment horizontal="center" vertical="center" wrapText="1"/>
    </xf>
    <xf numFmtId="164" fontId="12" fillId="2" borderId="2" xfId="0" applyNumberFormat="1" applyFont="1" applyFill="1" applyBorder="1" applyAlignment="1" applyProtection="1">
      <alignment horizontal="center" vertical="center" wrapText="1"/>
    </xf>
    <xf numFmtId="164" fontId="12" fillId="2" borderId="3" xfId="0" applyNumberFormat="1" applyFont="1" applyFill="1" applyBorder="1" applyAlignment="1" applyProtection="1">
      <alignment horizontal="center" vertical="center" wrapText="1"/>
    </xf>
    <xf numFmtId="164" fontId="12" fillId="2" borderId="4" xfId="0" applyNumberFormat="1" applyFont="1" applyFill="1" applyBorder="1" applyAlignment="1" applyProtection="1">
      <alignment horizontal="center" vertical="center" wrapText="1"/>
    </xf>
    <xf numFmtId="164" fontId="12" fillId="2" borderId="5" xfId="0" applyNumberFormat="1" applyFont="1" applyFill="1" applyBorder="1" applyAlignment="1" applyProtection="1">
      <alignment horizontal="center" vertical="center" wrapText="1"/>
    </xf>
    <xf numFmtId="164" fontId="12" fillId="2" borderId="4" xfId="0" applyNumberFormat="1" applyFont="1" applyFill="1" applyBorder="1" applyAlignment="1" applyProtection="1">
      <alignment horizontal="center" vertical="center" wrapText="1"/>
    </xf>
    <xf numFmtId="164" fontId="12" fillId="2" borderId="6" xfId="0" applyNumberFormat="1" applyFont="1" applyFill="1" applyBorder="1" applyAlignment="1" applyProtection="1">
      <alignment horizontal="center" vertical="center" wrapText="1"/>
    </xf>
    <xf numFmtId="0" fontId="14" fillId="0" borderId="7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2" fillId="2" borderId="6" xfId="1" applyFont="1" applyFill="1" applyBorder="1" applyAlignment="1" applyProtection="1">
      <alignment horizontal="center" vertical="center" shrinkToFit="1"/>
    </xf>
    <xf numFmtId="0" fontId="12" fillId="2" borderId="0" xfId="1" applyFont="1" applyFill="1" applyAlignment="1" applyProtection="1">
      <alignment vertical="center" wrapText="1"/>
    </xf>
    <xf numFmtId="0" fontId="12" fillId="2" borderId="8" xfId="1" applyFont="1" applyFill="1" applyBorder="1" applyAlignment="1" applyProtection="1">
      <alignment horizontal="center" vertical="center" wrapText="1"/>
    </xf>
    <xf numFmtId="164" fontId="12" fillId="2" borderId="6" xfId="0" applyNumberFormat="1" applyFont="1" applyFill="1" applyBorder="1" applyAlignment="1" applyProtection="1">
      <alignment horizontal="center" vertical="center" wrapText="1"/>
    </xf>
    <xf numFmtId="164" fontId="14" fillId="2" borderId="6" xfId="0" applyNumberFormat="1" applyFont="1" applyFill="1" applyBorder="1" applyAlignment="1" applyProtection="1">
      <alignment horizontal="center" vertical="center" wrapText="1"/>
    </xf>
    <xf numFmtId="164" fontId="12" fillId="2" borderId="9" xfId="0" applyNumberFormat="1" applyFont="1" applyFill="1" applyBorder="1" applyAlignment="1" applyProtection="1">
      <alignment horizontal="center" vertical="center" wrapText="1"/>
    </xf>
    <xf numFmtId="0" fontId="15" fillId="0" borderId="6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6" fillId="3" borderId="6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17" fillId="0" borderId="8" xfId="2" applyFont="1" applyFill="1" applyBorder="1" applyAlignment="1">
      <alignment horizontal="center" vertical="center" wrapText="1"/>
    </xf>
    <xf numFmtId="164" fontId="18" fillId="2" borderId="6" xfId="0" applyNumberFormat="1" applyFont="1" applyFill="1" applyBorder="1" applyAlignment="1" applyProtection="1">
      <alignment horizontal="center" vertical="center" wrapText="1"/>
    </xf>
    <xf numFmtId="0" fontId="12" fillId="4" borderId="10" xfId="1" applyFont="1" applyFill="1" applyBorder="1" applyAlignment="1" applyProtection="1">
      <alignment vertical="center" wrapText="1"/>
    </xf>
    <xf numFmtId="0" fontId="3" fillId="4" borderId="10" xfId="1" applyFont="1" applyFill="1" applyBorder="1" applyAlignment="1" applyProtection="1">
      <alignment horizontal="center" vertical="center"/>
    </xf>
    <xf numFmtId="164" fontId="3" fillId="4" borderId="11" xfId="1" applyNumberFormat="1" applyFont="1" applyFill="1" applyBorder="1" applyAlignment="1" applyProtection="1">
      <alignment vertical="center"/>
    </xf>
    <xf numFmtId="164" fontId="19" fillId="4" borderId="10" xfId="1" applyNumberFormat="1" applyFont="1" applyFill="1" applyBorder="1" applyAlignment="1" applyProtection="1">
      <alignment vertical="center"/>
    </xf>
    <xf numFmtId="164" fontId="3" fillId="4" borderId="10" xfId="1" applyNumberFormat="1" applyFont="1" applyFill="1" applyBorder="1" applyAlignment="1" applyProtection="1">
      <alignment vertical="center"/>
    </xf>
    <xf numFmtId="164" fontId="20" fillId="4" borderId="10" xfId="1" applyNumberFormat="1" applyFont="1" applyFill="1" applyBorder="1" applyAlignment="1" applyProtection="1">
      <alignment vertical="center"/>
    </xf>
    <xf numFmtId="164" fontId="21" fillId="4" borderId="10" xfId="1" applyNumberFormat="1" applyFont="1" applyFill="1" applyBorder="1" applyAlignment="1" applyProtection="1">
      <alignment vertical="center"/>
    </xf>
    <xf numFmtId="164" fontId="22" fillId="4" borderId="10" xfId="1" applyNumberFormat="1" applyFont="1" applyFill="1" applyBorder="1" applyAlignment="1" applyProtection="1">
      <alignment vertical="center"/>
    </xf>
    <xf numFmtId="0" fontId="19" fillId="4" borderId="10" xfId="1" applyFont="1" applyFill="1" applyBorder="1" applyAlignment="1" applyProtection="1">
      <alignment vertical="center"/>
    </xf>
    <xf numFmtId="0" fontId="3" fillId="4" borderId="10" xfId="1" applyFont="1" applyFill="1" applyBorder="1" applyAlignment="1" applyProtection="1">
      <alignment horizontal="center" vertical="center" shrinkToFit="1"/>
    </xf>
    <xf numFmtId="0" fontId="3" fillId="2" borderId="0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horizontal="right" vertical="center"/>
    </xf>
    <xf numFmtId="4" fontId="3" fillId="2" borderId="0" xfId="1" applyNumberFormat="1" applyFont="1" applyFill="1" applyBorder="1" applyAlignment="1" applyProtection="1">
      <alignment horizontal="right" vertical="center"/>
    </xf>
    <xf numFmtId="0" fontId="12" fillId="2" borderId="0" xfId="1" applyFont="1" applyFill="1" applyBorder="1" applyAlignment="1" applyProtection="1">
      <alignment vertical="center"/>
    </xf>
    <xf numFmtId="0" fontId="3" fillId="2" borderId="0" xfId="1" applyFont="1" applyFill="1" applyBorder="1" applyAlignment="1" applyProtection="1">
      <alignment horizontal="center" vertical="center"/>
    </xf>
    <xf numFmtId="0" fontId="3" fillId="2" borderId="12" xfId="1" applyFont="1" applyFill="1" applyBorder="1" applyAlignment="1" applyProtection="1">
      <alignment vertical="center" wrapText="1"/>
    </xf>
    <xf numFmtId="0" fontId="3" fillId="2" borderId="12" xfId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right" vertical="center"/>
    </xf>
    <xf numFmtId="164" fontId="19" fillId="2" borderId="12" xfId="1" applyNumberFormat="1" applyFont="1" applyFill="1" applyBorder="1" applyAlignment="1" applyProtection="1">
      <alignment horizontal="right" vertical="center"/>
    </xf>
    <xf numFmtId="164" fontId="20" fillId="2" borderId="12" xfId="1" applyNumberFormat="1" applyFont="1" applyFill="1" applyBorder="1" applyAlignment="1" applyProtection="1">
      <alignment horizontal="right" vertical="center"/>
    </xf>
    <xf numFmtId="164" fontId="21" fillId="2" borderId="12" xfId="1" applyNumberFormat="1" applyFont="1" applyFill="1" applyBorder="1" applyAlignment="1" applyProtection="1">
      <alignment horizontal="right" vertical="center"/>
    </xf>
    <xf numFmtId="164" fontId="21" fillId="3" borderId="12" xfId="1" applyNumberFormat="1" applyFont="1" applyFill="1" applyBorder="1" applyAlignment="1" applyProtection="1">
      <alignment horizontal="right" vertical="center"/>
    </xf>
    <xf numFmtId="164" fontId="22" fillId="2" borderId="12" xfId="1" applyNumberFormat="1" applyFont="1" applyFill="1" applyBorder="1" applyAlignment="1" applyProtection="1">
      <alignment horizontal="right" vertical="center"/>
    </xf>
    <xf numFmtId="3" fontId="19" fillId="2" borderId="12" xfId="1" applyNumberFormat="1" applyFont="1" applyFill="1" applyBorder="1" applyAlignment="1" applyProtection="1">
      <alignment horizontal="right" vertical="center"/>
    </xf>
    <xf numFmtId="0" fontId="3" fillId="2" borderId="12" xfId="1" applyFont="1" applyFill="1" applyBorder="1" applyAlignment="1" applyProtection="1">
      <alignment horizontal="center" vertical="center" shrinkToFit="1"/>
    </xf>
    <xf numFmtId="164" fontId="23" fillId="2" borderId="12" xfId="1" applyNumberFormat="1" applyFont="1" applyFill="1" applyBorder="1" applyAlignment="1" applyProtection="1">
      <alignment horizontal="right" vertical="center"/>
    </xf>
    <xf numFmtId="4" fontId="19" fillId="2" borderId="12" xfId="0" applyNumberFormat="1" applyFont="1" applyFill="1" applyBorder="1" applyAlignment="1" applyProtection="1">
      <alignment horizontal="center" vertical="center" wrapText="1"/>
    </xf>
    <xf numFmtId="0" fontId="5" fillId="2" borderId="12" xfId="1" applyFont="1" applyFill="1" applyBorder="1" applyAlignment="1" applyProtection="1">
      <alignment horizontal="left" vertical="center" wrapText="1"/>
    </xf>
    <xf numFmtId="0" fontId="5" fillId="2" borderId="12" xfId="1" applyFont="1" applyFill="1" applyBorder="1" applyAlignment="1" applyProtection="1">
      <alignment horizontal="center" vertical="center"/>
    </xf>
    <xf numFmtId="164" fontId="24" fillId="2" borderId="12" xfId="1" applyNumberFormat="1" applyFont="1" applyFill="1" applyBorder="1" applyAlignment="1" applyProtection="1">
      <alignment horizontal="right" vertical="center"/>
    </xf>
    <xf numFmtId="164" fontId="25" fillId="2" borderId="12" xfId="1" applyNumberFormat="1" applyFont="1" applyFill="1" applyBorder="1" applyAlignment="1" applyProtection="1">
      <alignment horizontal="right" vertical="center"/>
    </xf>
    <xf numFmtId="164" fontId="5" fillId="2" borderId="12" xfId="1" applyNumberFormat="1" applyFont="1" applyFill="1" applyBorder="1" applyAlignment="1" applyProtection="1">
      <alignment horizontal="right" vertical="center"/>
    </xf>
    <xf numFmtId="164" fontId="26" fillId="2" borderId="12" xfId="1" applyNumberFormat="1" applyFont="1" applyFill="1" applyBorder="1" applyAlignment="1" applyProtection="1">
      <alignment horizontal="right" vertical="center"/>
    </xf>
    <xf numFmtId="164" fontId="27" fillId="2" borderId="12" xfId="1" applyNumberFormat="1" applyFont="1" applyFill="1" applyBorder="1" applyAlignment="1" applyProtection="1">
      <alignment horizontal="right" vertical="center"/>
    </xf>
    <xf numFmtId="164" fontId="27" fillId="3" borderId="12" xfId="1" applyNumberFormat="1" applyFont="1" applyFill="1" applyBorder="1" applyAlignment="1" applyProtection="1">
      <alignment horizontal="right" vertical="center"/>
    </xf>
    <xf numFmtId="0" fontId="28" fillId="2" borderId="0" xfId="1" applyFont="1" applyFill="1" applyAlignment="1" applyProtection="1">
      <alignment vertical="center"/>
    </xf>
    <xf numFmtId="0" fontId="5" fillId="2" borderId="0" xfId="1" applyFont="1" applyFill="1" applyAlignment="1" applyProtection="1">
      <alignment vertical="center"/>
    </xf>
    <xf numFmtId="0" fontId="5" fillId="2" borderId="12" xfId="1" applyFont="1" applyFill="1" applyBorder="1" applyAlignment="1" applyProtection="1">
      <alignment horizontal="left" vertical="center" wrapText="1" indent="4"/>
    </xf>
    <xf numFmtId="164" fontId="3" fillId="2" borderId="0" xfId="1" applyNumberFormat="1" applyFont="1" applyFill="1" applyAlignment="1" applyProtection="1">
      <alignment vertical="center"/>
    </xf>
    <xf numFmtId="164" fontId="29" fillId="2" borderId="12" xfId="1" applyNumberFormat="1" applyFont="1" applyFill="1" applyBorder="1" applyAlignment="1" applyProtection="1">
      <alignment horizontal="right" vertical="center"/>
    </xf>
    <xf numFmtId="164" fontId="30" fillId="2" borderId="12" xfId="1" applyNumberFormat="1" applyFont="1" applyFill="1" applyBorder="1" applyAlignment="1" applyProtection="1">
      <alignment horizontal="right" vertical="center"/>
    </xf>
    <xf numFmtId="0" fontId="5" fillId="2" borderId="12" xfId="1" applyFont="1" applyFill="1" applyBorder="1" applyAlignment="1" applyProtection="1">
      <alignment horizontal="center" vertical="center" shrinkToFit="1"/>
    </xf>
    <xf numFmtId="164" fontId="5" fillId="2" borderId="0" xfId="1" applyNumberFormat="1" applyFont="1" applyFill="1" applyAlignment="1" applyProtection="1">
      <alignment vertical="center"/>
    </xf>
    <xf numFmtId="0" fontId="5" fillId="5" borderId="12" xfId="1" applyFont="1" applyFill="1" applyBorder="1" applyAlignment="1" applyProtection="1">
      <alignment horizontal="left" vertical="center" wrapText="1"/>
    </xf>
    <xf numFmtId="164" fontId="5" fillId="2" borderId="12" xfId="1" applyNumberFormat="1" applyFont="1" applyFill="1" applyBorder="1" applyAlignment="1" applyProtection="1">
      <alignment horizontal="center" vertical="center"/>
    </xf>
    <xf numFmtId="0" fontId="31" fillId="2" borderId="12" xfId="1" applyFont="1" applyFill="1" applyBorder="1" applyAlignment="1" applyProtection="1">
      <alignment horizontal="center" vertical="center" wrapText="1" shrinkToFit="1"/>
    </xf>
    <xf numFmtId="164" fontId="3" fillId="3" borderId="12" xfId="1" applyNumberFormat="1" applyFont="1" applyFill="1" applyBorder="1" applyAlignment="1" applyProtection="1">
      <alignment horizontal="right" vertical="center"/>
    </xf>
    <xf numFmtId="164" fontId="32" fillId="2" borderId="12" xfId="1" applyNumberFormat="1" applyFont="1" applyFill="1" applyBorder="1" applyAlignment="1" applyProtection="1">
      <alignment horizontal="right" vertical="center"/>
    </xf>
    <xf numFmtId="3" fontId="3" fillId="2" borderId="12" xfId="1" applyNumberFormat="1" applyFont="1" applyFill="1" applyBorder="1" applyAlignment="1" applyProtection="1">
      <alignment horizontal="center" vertical="center" shrinkToFit="1"/>
    </xf>
    <xf numFmtId="2" fontId="3" fillId="2" borderId="0" xfId="1" applyNumberFormat="1" applyFont="1" applyFill="1" applyAlignment="1" applyProtection="1">
      <alignment vertical="center"/>
    </xf>
    <xf numFmtId="0" fontId="19" fillId="2" borderId="12" xfId="1" applyFont="1" applyFill="1" applyBorder="1" applyAlignment="1" applyProtection="1">
      <alignment vertical="center" wrapText="1"/>
    </xf>
    <xf numFmtId="0" fontId="19" fillId="2" borderId="12" xfId="1" applyFont="1" applyFill="1" applyBorder="1" applyAlignment="1" applyProtection="1">
      <alignment horizontal="center" vertical="center"/>
    </xf>
    <xf numFmtId="3" fontId="19" fillId="2" borderId="12" xfId="1" applyNumberFormat="1" applyFont="1" applyFill="1" applyBorder="1" applyAlignment="1" applyProtection="1">
      <alignment horizontal="center" vertical="center" shrinkToFit="1"/>
    </xf>
    <xf numFmtId="0" fontId="19" fillId="2" borderId="0" xfId="1" applyFont="1" applyFill="1" applyAlignment="1" applyProtection="1">
      <alignment vertical="center"/>
    </xf>
    <xf numFmtId="0" fontId="19" fillId="2" borderId="12" xfId="1" applyFont="1" applyFill="1" applyBorder="1" applyAlignment="1" applyProtection="1">
      <alignment horizontal="center" vertical="center" shrinkToFit="1"/>
    </xf>
    <xf numFmtId="165" fontId="22" fillId="2" borderId="12" xfId="1" applyNumberFormat="1" applyFont="1" applyFill="1" applyBorder="1" applyAlignment="1" applyProtection="1">
      <alignment horizontal="right" vertical="center"/>
    </xf>
    <xf numFmtId="165" fontId="3" fillId="2" borderId="12" xfId="1" applyNumberFormat="1" applyFont="1" applyFill="1" applyBorder="1" applyAlignment="1" applyProtection="1">
      <alignment horizontal="right" vertical="center"/>
    </xf>
    <xf numFmtId="165" fontId="20" fillId="2" borderId="12" xfId="1" applyNumberFormat="1" applyFont="1" applyFill="1" applyBorder="1" applyAlignment="1" applyProtection="1">
      <alignment horizontal="right" vertical="center"/>
    </xf>
    <xf numFmtId="165" fontId="21" fillId="2" borderId="12" xfId="1" applyNumberFormat="1" applyFont="1" applyFill="1" applyBorder="1" applyAlignment="1" applyProtection="1">
      <alignment horizontal="right" vertical="center"/>
    </xf>
    <xf numFmtId="165" fontId="21" fillId="3" borderId="12" xfId="1" applyNumberFormat="1" applyFont="1" applyFill="1" applyBorder="1" applyAlignment="1" applyProtection="1">
      <alignment horizontal="right" vertical="center"/>
    </xf>
    <xf numFmtId="166" fontId="3" fillId="2" borderId="12" xfId="1" applyNumberFormat="1" applyFont="1" applyFill="1" applyBorder="1" applyAlignment="1" applyProtection="1">
      <alignment horizontal="right" vertical="center"/>
    </xf>
    <xf numFmtId="166" fontId="22" fillId="2" borderId="12" xfId="1" applyNumberFormat="1" applyFont="1" applyFill="1" applyBorder="1" applyAlignment="1" applyProtection="1">
      <alignment horizontal="right" vertical="center"/>
    </xf>
    <xf numFmtId="166" fontId="20" fillId="2" borderId="12" xfId="1" applyNumberFormat="1" applyFont="1" applyFill="1" applyBorder="1" applyAlignment="1" applyProtection="1">
      <alignment horizontal="right" vertical="center"/>
    </xf>
    <xf numFmtId="166" fontId="21" fillId="2" borderId="12" xfId="1" applyNumberFormat="1" applyFont="1" applyFill="1" applyBorder="1" applyAlignment="1" applyProtection="1">
      <alignment horizontal="right" vertical="center"/>
    </xf>
    <xf numFmtId="0" fontId="12" fillId="4" borderId="12" xfId="1" applyFont="1" applyFill="1" applyBorder="1" applyAlignment="1" applyProtection="1">
      <alignment vertical="center" wrapText="1"/>
    </xf>
    <xf numFmtId="0" fontId="3" fillId="4" borderId="12" xfId="1" applyFont="1" applyFill="1" applyBorder="1" applyAlignment="1" applyProtection="1">
      <alignment horizontal="center" vertical="center"/>
    </xf>
    <xf numFmtId="164" fontId="33" fillId="4" borderId="12" xfId="1" applyNumberFormat="1" applyFont="1" applyFill="1" applyBorder="1" applyAlignment="1" applyProtection="1">
      <alignment vertical="center"/>
    </xf>
    <xf numFmtId="164" fontId="19" fillId="4" borderId="12" xfId="1" applyNumberFormat="1" applyFont="1" applyFill="1" applyBorder="1" applyAlignment="1" applyProtection="1">
      <alignment vertical="center"/>
    </xf>
    <xf numFmtId="164" fontId="3" fillId="4" borderId="12" xfId="1" applyNumberFormat="1" applyFont="1" applyFill="1" applyBorder="1" applyAlignment="1" applyProtection="1">
      <alignment vertical="center"/>
    </xf>
    <xf numFmtId="164" fontId="20" fillId="4" borderId="12" xfId="1" applyNumberFormat="1" applyFont="1" applyFill="1" applyBorder="1" applyAlignment="1" applyProtection="1">
      <alignment vertical="center"/>
    </xf>
    <xf numFmtId="164" fontId="21" fillId="4" borderId="12" xfId="1" applyNumberFormat="1" applyFont="1" applyFill="1" applyBorder="1" applyAlignment="1" applyProtection="1">
      <alignment vertical="center"/>
    </xf>
    <xf numFmtId="164" fontId="3" fillId="4" borderId="12" xfId="1" applyNumberFormat="1" applyFont="1" applyFill="1" applyBorder="1" applyAlignment="1" applyProtection="1">
      <alignment horizontal="right" vertical="center"/>
    </xf>
    <xf numFmtId="164" fontId="22" fillId="4" borderId="12" xfId="1" applyNumberFormat="1" applyFont="1" applyFill="1" applyBorder="1" applyAlignment="1" applyProtection="1">
      <alignment vertical="center"/>
    </xf>
    <xf numFmtId="4" fontId="19" fillId="4" borderId="12" xfId="0" applyNumberFormat="1" applyFont="1" applyFill="1" applyBorder="1" applyAlignment="1" applyProtection="1">
      <alignment horizontal="center" vertical="center" wrapText="1"/>
    </xf>
    <xf numFmtId="0" fontId="3" fillId="4" borderId="12" xfId="1" applyFont="1" applyFill="1" applyBorder="1" applyAlignment="1" applyProtection="1">
      <alignment horizontal="center" vertical="center" shrinkToFit="1"/>
    </xf>
    <xf numFmtId="0" fontId="34" fillId="2" borderId="0" xfId="1" applyFont="1" applyFill="1" applyAlignment="1" applyProtection="1">
      <alignment vertical="center"/>
    </xf>
    <xf numFmtId="0" fontId="12" fillId="2" borderId="12" xfId="1" applyFont="1" applyFill="1" applyBorder="1" applyAlignment="1" applyProtection="1">
      <alignment vertical="center" wrapText="1"/>
    </xf>
    <xf numFmtId="0" fontId="12" fillId="2" borderId="12" xfId="1" applyFont="1" applyFill="1" applyBorder="1" applyAlignment="1" applyProtection="1">
      <alignment horizontal="center" vertical="center"/>
    </xf>
    <xf numFmtId="164" fontId="18" fillId="2" borderId="12" xfId="1" applyNumberFormat="1" applyFont="1" applyFill="1" applyBorder="1" applyAlignment="1" applyProtection="1">
      <alignment vertical="center"/>
    </xf>
    <xf numFmtId="164" fontId="12" fillId="2" borderId="12" xfId="1" applyNumberFormat="1" applyFont="1" applyFill="1" applyBorder="1" applyAlignment="1" applyProtection="1">
      <alignment vertical="center"/>
    </xf>
    <xf numFmtId="164" fontId="15" fillId="2" borderId="12" xfId="1" applyNumberFormat="1" applyFont="1" applyFill="1" applyBorder="1" applyAlignment="1" applyProtection="1">
      <alignment vertical="center"/>
    </xf>
    <xf numFmtId="164" fontId="15" fillId="3" borderId="12" xfId="1" applyNumberFormat="1" applyFont="1" applyFill="1" applyBorder="1" applyAlignment="1" applyProtection="1">
      <alignment vertical="center"/>
    </xf>
    <xf numFmtId="164" fontId="12" fillId="2" borderId="12" xfId="1" applyNumberFormat="1" applyFont="1" applyFill="1" applyBorder="1" applyAlignment="1" applyProtection="1">
      <alignment horizontal="right" vertical="center"/>
    </xf>
    <xf numFmtId="0" fontId="12" fillId="2" borderId="12" xfId="1" applyFont="1" applyFill="1" applyBorder="1" applyAlignment="1" applyProtection="1">
      <alignment horizontal="center" vertical="center" shrinkToFit="1"/>
    </xf>
    <xf numFmtId="0" fontId="12" fillId="2" borderId="0" xfId="1" applyFont="1" applyFill="1" applyAlignment="1" applyProtection="1">
      <alignment vertical="center"/>
    </xf>
    <xf numFmtId="0" fontId="3" fillId="2" borderId="12" xfId="1" applyFont="1" applyFill="1" applyBorder="1" applyAlignment="1" applyProtection="1">
      <alignment horizontal="left" vertical="center" wrapText="1"/>
    </xf>
    <xf numFmtId="164" fontId="22" fillId="2" borderId="12" xfId="1" applyNumberFormat="1" applyFont="1" applyFill="1" applyBorder="1" applyAlignment="1" applyProtection="1">
      <alignment vertical="center"/>
    </xf>
    <xf numFmtId="164" fontId="3" fillId="2" borderId="12" xfId="1" applyNumberFormat="1" applyFont="1" applyFill="1" applyBorder="1" applyAlignment="1" applyProtection="1">
      <alignment vertical="center"/>
    </xf>
    <xf numFmtId="164" fontId="20" fillId="2" borderId="12" xfId="1" applyNumberFormat="1" applyFont="1" applyFill="1" applyBorder="1" applyAlignment="1" applyProtection="1">
      <alignment vertical="center"/>
    </xf>
    <xf numFmtId="164" fontId="20" fillId="3" borderId="12" xfId="1" applyNumberFormat="1" applyFont="1" applyFill="1" applyBorder="1" applyAlignment="1" applyProtection="1">
      <alignment vertical="center"/>
    </xf>
    <xf numFmtId="0" fontId="3" fillId="2" borderId="12" xfId="1" applyFont="1" applyFill="1" applyBorder="1" applyAlignment="1" applyProtection="1">
      <alignment horizontal="center" vertical="center" wrapText="1" shrinkToFit="1"/>
    </xf>
    <xf numFmtId="0" fontId="31" fillId="2" borderId="12" xfId="1" applyFont="1" applyFill="1" applyBorder="1" applyAlignment="1" applyProtection="1">
      <alignment horizontal="center" vertical="center" shrinkToFit="1"/>
    </xf>
    <xf numFmtId="164" fontId="33" fillId="2" borderId="12" xfId="1" applyNumberFormat="1" applyFont="1" applyFill="1" applyBorder="1" applyAlignment="1" applyProtection="1">
      <alignment vertical="center"/>
    </xf>
    <xf numFmtId="0" fontId="22" fillId="2" borderId="12" xfId="1" applyNumberFormat="1" applyFont="1" applyFill="1" applyBorder="1" applyAlignment="1" applyProtection="1">
      <alignment vertical="center"/>
    </xf>
    <xf numFmtId="165" fontId="3" fillId="2" borderId="12" xfId="1" applyNumberFormat="1" applyFont="1" applyFill="1" applyBorder="1" applyAlignment="1" applyProtection="1">
      <alignment vertical="center"/>
    </xf>
    <xf numFmtId="165" fontId="20" fillId="2" borderId="12" xfId="1" applyNumberFormat="1" applyFont="1" applyFill="1" applyBorder="1" applyAlignment="1" applyProtection="1">
      <alignment vertical="center"/>
    </xf>
    <xf numFmtId="165" fontId="21" fillId="2" borderId="12" xfId="1" applyNumberFormat="1" applyFont="1" applyFill="1" applyBorder="1" applyAlignment="1" applyProtection="1">
      <alignment vertical="center"/>
    </xf>
    <xf numFmtId="165" fontId="21" fillId="3" borderId="12" xfId="1" applyNumberFormat="1" applyFont="1" applyFill="1" applyBorder="1" applyAlignment="1" applyProtection="1">
      <alignment vertical="center"/>
    </xf>
    <xf numFmtId="165" fontId="19" fillId="2" borderId="12" xfId="1" applyNumberFormat="1" applyFont="1" applyFill="1" applyBorder="1" applyAlignment="1" applyProtection="1">
      <alignment vertical="center"/>
    </xf>
    <xf numFmtId="2" fontId="22" fillId="2" borderId="12" xfId="1" applyNumberFormat="1" applyFont="1" applyFill="1" applyBorder="1" applyAlignment="1" applyProtection="1">
      <alignment vertical="center"/>
    </xf>
    <xf numFmtId="0" fontId="19" fillId="2" borderId="12" xfId="1" applyFont="1" applyFill="1" applyBorder="1" applyAlignment="1" applyProtection="1">
      <alignment horizontal="left" vertical="center" wrapText="1"/>
    </xf>
    <xf numFmtId="164" fontId="19" fillId="2" borderId="12" xfId="1" applyNumberFormat="1" applyFont="1" applyFill="1" applyBorder="1" applyAlignment="1" applyProtection="1">
      <alignment vertical="center"/>
    </xf>
    <xf numFmtId="164" fontId="21" fillId="2" borderId="12" xfId="1" applyNumberFormat="1" applyFont="1" applyFill="1" applyBorder="1" applyAlignment="1" applyProtection="1">
      <alignment vertical="center"/>
    </xf>
    <xf numFmtId="164" fontId="21" fillId="3" borderId="12" xfId="1" applyNumberFormat="1" applyFont="1" applyFill="1" applyBorder="1" applyAlignment="1" applyProtection="1">
      <alignment vertical="center"/>
    </xf>
    <xf numFmtId="165" fontId="22" fillId="2" borderId="12" xfId="1" applyNumberFormat="1" applyFont="1" applyFill="1" applyBorder="1" applyAlignment="1" applyProtection="1">
      <alignment vertical="center"/>
    </xf>
    <xf numFmtId="164" fontId="14" fillId="2" borderId="12" xfId="1" applyNumberFormat="1" applyFont="1" applyFill="1" applyBorder="1" applyAlignment="1" applyProtection="1">
      <alignment vertical="center"/>
    </xf>
    <xf numFmtId="164" fontId="16" fillId="2" borderId="12" xfId="1" applyNumberFormat="1" applyFont="1" applyFill="1" applyBorder="1" applyAlignment="1" applyProtection="1">
      <alignment vertical="center"/>
    </xf>
    <xf numFmtId="164" fontId="16" fillId="3" borderId="12" xfId="1" applyNumberFormat="1" applyFont="1" applyFill="1" applyBorder="1" applyAlignment="1" applyProtection="1">
      <alignment vertical="center"/>
    </xf>
    <xf numFmtId="166" fontId="19" fillId="2" borderId="12" xfId="1" applyNumberFormat="1" applyFont="1" applyFill="1" applyBorder="1" applyAlignment="1" applyProtection="1">
      <alignment vertical="center"/>
    </xf>
    <xf numFmtId="166" fontId="22" fillId="2" borderId="12" xfId="1" applyNumberFormat="1" applyFont="1" applyFill="1" applyBorder="1" applyAlignment="1" applyProtection="1">
      <alignment vertical="center"/>
    </xf>
    <xf numFmtId="166" fontId="20" fillId="2" borderId="12" xfId="1" applyNumberFormat="1" applyFont="1" applyFill="1" applyBorder="1" applyAlignment="1" applyProtection="1">
      <alignment vertical="center"/>
    </xf>
    <xf numFmtId="166" fontId="21" fillId="2" borderId="12" xfId="1" applyNumberFormat="1" applyFont="1" applyFill="1" applyBorder="1" applyAlignment="1" applyProtection="1">
      <alignment vertical="center"/>
    </xf>
    <xf numFmtId="166" fontId="21" fillId="3" borderId="12" xfId="1" applyNumberFormat="1" applyFont="1" applyFill="1" applyBorder="1" applyAlignment="1" applyProtection="1">
      <alignment vertical="center"/>
    </xf>
    <xf numFmtId="166" fontId="3" fillId="2" borderId="12" xfId="1" applyNumberFormat="1" applyFont="1" applyFill="1" applyBorder="1" applyAlignment="1" applyProtection="1">
      <alignment vertical="center"/>
    </xf>
    <xf numFmtId="0" fontId="20" fillId="2" borderId="12" xfId="1" applyFont="1" applyFill="1" applyBorder="1" applyAlignment="1" applyProtection="1">
      <alignment horizontal="center" vertical="center" wrapText="1"/>
    </xf>
    <xf numFmtId="164" fontId="35" fillId="2" borderId="12" xfId="1" applyNumberFormat="1" applyFont="1" applyFill="1" applyBorder="1" applyAlignment="1" applyProtection="1">
      <alignment vertical="center"/>
    </xf>
    <xf numFmtId="164" fontId="36" fillId="2" borderId="12" xfId="1" applyNumberFormat="1" applyFont="1" applyFill="1" applyBorder="1" applyAlignment="1" applyProtection="1">
      <alignment vertical="center"/>
    </xf>
    <xf numFmtId="164" fontId="37" fillId="2" borderId="12" xfId="1" applyNumberFormat="1" applyFont="1" applyFill="1" applyBorder="1" applyAlignment="1" applyProtection="1">
      <alignment vertical="center"/>
    </xf>
    <xf numFmtId="164" fontId="38" fillId="2" borderId="12" xfId="1" applyNumberFormat="1" applyFont="1" applyFill="1" applyBorder="1" applyAlignment="1" applyProtection="1">
      <alignment vertical="center"/>
    </xf>
    <xf numFmtId="164" fontId="39" fillId="2" borderId="12" xfId="1" applyNumberFormat="1" applyFont="1" applyFill="1" applyBorder="1" applyAlignment="1" applyProtection="1">
      <alignment vertical="center"/>
    </xf>
    <xf numFmtId="164" fontId="39" fillId="3" borderId="12" xfId="1" applyNumberFormat="1" applyFont="1" applyFill="1" applyBorder="1" applyAlignment="1" applyProtection="1">
      <alignment vertical="center"/>
    </xf>
    <xf numFmtId="0" fontId="37" fillId="2" borderId="12" xfId="1" applyFont="1" applyFill="1" applyBorder="1" applyAlignment="1" applyProtection="1">
      <alignment horizontal="center" vertical="center" shrinkToFit="1"/>
    </xf>
    <xf numFmtId="0" fontId="37" fillId="2" borderId="0" xfId="1" applyFont="1" applyFill="1" applyAlignment="1" applyProtection="1">
      <alignment vertical="center"/>
    </xf>
    <xf numFmtId="0" fontId="3" fillId="2" borderId="12" xfId="1" quotePrefix="1" applyFont="1" applyFill="1" applyBorder="1" applyAlignment="1" applyProtection="1">
      <alignment horizontal="left" vertical="center" wrapText="1"/>
    </xf>
    <xf numFmtId="0" fontId="12" fillId="2" borderId="12" xfId="1" applyFont="1" applyFill="1" applyBorder="1" applyAlignment="1" applyProtection="1">
      <alignment horizontal="left" vertical="center" wrapText="1"/>
    </xf>
    <xf numFmtId="164" fontId="19" fillId="2" borderId="12" xfId="0" applyNumberFormat="1" applyFont="1" applyFill="1" applyBorder="1" applyAlignment="1" applyProtection="1">
      <alignment vertical="center"/>
    </xf>
    <xf numFmtId="164" fontId="22" fillId="2" borderId="12" xfId="0" applyNumberFormat="1" applyFont="1" applyFill="1" applyBorder="1" applyAlignment="1" applyProtection="1">
      <alignment vertical="center"/>
    </xf>
    <xf numFmtId="165" fontId="19" fillId="2" borderId="12" xfId="0" applyNumberFormat="1" applyFont="1" applyFill="1" applyBorder="1" applyAlignment="1" applyProtection="1">
      <alignment horizontal="right" vertical="center"/>
    </xf>
    <xf numFmtId="165" fontId="22" fillId="2" borderId="12" xfId="0" applyNumberFormat="1" applyFont="1" applyFill="1" applyBorder="1" applyAlignment="1" applyProtection="1">
      <alignment horizontal="right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20" fillId="2" borderId="12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horizontal="center" vertical="center"/>
    </xf>
    <xf numFmtId="164" fontId="22" fillId="2" borderId="12" xfId="1" applyNumberFormat="1" applyFont="1" applyFill="1" applyBorder="1" applyAlignment="1" applyProtection="1">
      <alignment horizontal="center" vertical="center"/>
    </xf>
    <xf numFmtId="164" fontId="3" fillId="3" borderId="12" xfId="1" applyNumberFormat="1" applyFont="1" applyFill="1" applyBorder="1" applyAlignment="1" applyProtection="1">
      <alignment vertical="center"/>
    </xf>
    <xf numFmtId="166" fontId="33" fillId="2" borderId="12" xfId="1" applyNumberFormat="1" applyFont="1" applyFill="1" applyBorder="1" applyAlignment="1" applyProtection="1">
      <alignment vertical="center"/>
    </xf>
    <xf numFmtId="0" fontId="5" fillId="2" borderId="12" xfId="1" quotePrefix="1" applyFont="1" applyFill="1" applyBorder="1" applyAlignment="1" applyProtection="1">
      <alignment horizontal="left" vertical="center" wrapText="1"/>
    </xf>
    <xf numFmtId="164" fontId="25" fillId="2" borderId="12" xfId="1" applyNumberFormat="1" applyFont="1" applyFill="1" applyBorder="1" applyAlignment="1" applyProtection="1">
      <alignment vertical="center"/>
    </xf>
    <xf numFmtId="164" fontId="40" fillId="2" borderId="12" xfId="1" applyNumberFormat="1" applyFont="1" applyFill="1" applyBorder="1" applyAlignment="1" applyProtection="1">
      <alignment vertical="center"/>
    </xf>
    <xf numFmtId="164" fontId="41" fillId="2" borderId="12" xfId="1" applyNumberFormat="1" applyFont="1" applyFill="1" applyBorder="1" applyAlignment="1" applyProtection="1">
      <alignment vertical="center"/>
    </xf>
    <xf numFmtId="164" fontId="42" fillId="2" borderId="12" xfId="1" applyNumberFormat="1" applyFont="1" applyFill="1" applyBorder="1" applyAlignment="1" applyProtection="1">
      <alignment horizontal="right" vertical="center"/>
    </xf>
    <xf numFmtId="0" fontId="43" fillId="2" borderId="12" xfId="1" applyFont="1" applyFill="1" applyBorder="1" applyAlignment="1" applyProtection="1">
      <alignment horizontal="center" vertical="center"/>
    </xf>
    <xf numFmtId="166" fontId="21" fillId="3" borderId="12" xfId="1" applyNumberFormat="1" applyFont="1" applyFill="1" applyBorder="1" applyAlignment="1" applyProtection="1">
      <alignment horizontal="right" vertical="center"/>
    </xf>
    <xf numFmtId="0" fontId="3" fillId="2" borderId="13" xfId="1" quotePrefix="1" applyFont="1" applyFill="1" applyBorder="1" applyAlignment="1" applyProtection="1">
      <alignment horizontal="left" vertical="center" wrapText="1"/>
    </xf>
    <xf numFmtId="0" fontId="43" fillId="2" borderId="13" xfId="1" applyFont="1" applyFill="1" applyBorder="1" applyAlignment="1" applyProtection="1">
      <alignment horizontal="center" vertical="center"/>
    </xf>
    <xf numFmtId="164" fontId="42" fillId="2" borderId="13" xfId="1" applyNumberFormat="1" applyFont="1" applyFill="1" applyBorder="1" applyAlignment="1" applyProtection="1">
      <alignment horizontal="right" vertical="center"/>
    </xf>
    <xf numFmtId="164" fontId="22" fillId="2" borderId="13" xfId="1" applyNumberFormat="1" applyFont="1" applyFill="1" applyBorder="1" applyAlignment="1" applyProtection="1">
      <alignment horizontal="right" vertical="center"/>
    </xf>
    <xf numFmtId="164" fontId="3" fillId="2" borderId="13" xfId="1" applyNumberFormat="1" applyFont="1" applyFill="1" applyBorder="1" applyAlignment="1" applyProtection="1">
      <alignment horizontal="right" vertical="center"/>
    </xf>
    <xf numFmtId="166" fontId="20" fillId="2" borderId="13" xfId="1" applyNumberFormat="1" applyFont="1" applyFill="1" applyBorder="1" applyAlignment="1" applyProtection="1">
      <alignment horizontal="right" vertical="center"/>
    </xf>
    <xf numFmtId="166" fontId="21" fillId="2" borderId="13" xfId="1" applyNumberFormat="1" applyFont="1" applyFill="1" applyBorder="1" applyAlignment="1" applyProtection="1">
      <alignment horizontal="right" vertical="center"/>
    </xf>
    <xf numFmtId="166" fontId="21" fillId="3" borderId="13" xfId="1" applyNumberFormat="1" applyFont="1" applyFill="1" applyBorder="1" applyAlignment="1" applyProtection="1">
      <alignment horizontal="right" vertical="center"/>
    </xf>
    <xf numFmtId="166" fontId="3" fillId="2" borderId="13" xfId="1" applyNumberFormat="1" applyFont="1" applyFill="1" applyBorder="1" applyAlignment="1" applyProtection="1">
      <alignment horizontal="right" vertical="center"/>
    </xf>
    <xf numFmtId="0" fontId="12" fillId="2" borderId="12" xfId="1" applyFont="1" applyFill="1" applyBorder="1" applyAlignment="1" applyProtection="1">
      <alignment horizontal="left" vertical="center"/>
    </xf>
    <xf numFmtId="164" fontId="44" fillId="2" borderId="12" xfId="1" applyNumberFormat="1" applyFont="1" applyFill="1" applyBorder="1" applyAlignment="1" applyProtection="1">
      <alignment horizontal="left" vertical="center"/>
    </xf>
    <xf numFmtId="164" fontId="14" fillId="2" borderId="12" xfId="1" applyNumberFormat="1" applyFont="1" applyFill="1" applyBorder="1" applyAlignment="1" applyProtection="1">
      <alignment horizontal="left" vertical="center"/>
    </xf>
    <xf numFmtId="164" fontId="12" fillId="2" borderId="12" xfId="1" applyNumberFormat="1" applyFont="1" applyFill="1" applyBorder="1" applyAlignment="1" applyProtection="1">
      <alignment horizontal="left" vertical="center"/>
    </xf>
    <xf numFmtId="164" fontId="15" fillId="2" borderId="12" xfId="1" applyNumberFormat="1" applyFont="1" applyFill="1" applyBorder="1" applyAlignment="1" applyProtection="1">
      <alignment horizontal="left" vertical="center"/>
    </xf>
    <xf numFmtId="164" fontId="16" fillId="2" borderId="12" xfId="1" applyNumberFormat="1" applyFont="1" applyFill="1" applyBorder="1" applyAlignment="1" applyProtection="1">
      <alignment horizontal="left" vertical="center"/>
    </xf>
    <xf numFmtId="164" fontId="16" fillId="3" borderId="12" xfId="1" applyNumberFormat="1" applyFont="1" applyFill="1" applyBorder="1" applyAlignment="1" applyProtection="1">
      <alignment horizontal="left" vertical="center"/>
    </xf>
    <xf numFmtId="0" fontId="12" fillId="2" borderId="0" xfId="1" applyFont="1" applyFill="1" applyBorder="1" applyAlignment="1" applyProtection="1">
      <alignment horizontal="left" vertical="center"/>
    </xf>
    <xf numFmtId="165" fontId="33" fillId="2" borderId="12" xfId="1" applyNumberFormat="1" applyFont="1" applyFill="1" applyBorder="1" applyAlignment="1" applyProtection="1">
      <alignment vertical="center"/>
    </xf>
    <xf numFmtId="0" fontId="3" fillId="2" borderId="11" xfId="1" applyFont="1" applyFill="1" applyBorder="1" applyAlignment="1" applyProtection="1">
      <alignment vertical="center" wrapText="1"/>
    </xf>
    <xf numFmtId="0" fontId="3" fillId="2" borderId="11" xfId="1" applyFont="1" applyFill="1" applyBorder="1" applyAlignment="1" applyProtection="1">
      <alignment horizontal="center" vertical="center"/>
    </xf>
    <xf numFmtId="164" fontId="42" fillId="2" borderId="11" xfId="1" applyNumberFormat="1" applyFont="1" applyFill="1" applyBorder="1" applyAlignment="1" applyProtection="1">
      <alignment horizontal="right" vertical="center"/>
    </xf>
    <xf numFmtId="164" fontId="19" fillId="2" borderId="11" xfId="1" applyNumberFormat="1" applyFont="1" applyFill="1" applyBorder="1" applyAlignment="1" applyProtection="1">
      <alignment horizontal="right" vertical="center"/>
    </xf>
    <xf numFmtId="164" fontId="3" fillId="2" borderId="11" xfId="1" applyNumberFormat="1" applyFont="1" applyFill="1" applyBorder="1" applyAlignment="1" applyProtection="1">
      <alignment horizontal="right" vertical="center"/>
    </xf>
    <xf numFmtId="164" fontId="20" fillId="2" borderId="11" xfId="1" applyNumberFormat="1" applyFont="1" applyFill="1" applyBorder="1" applyAlignment="1" applyProtection="1">
      <alignment horizontal="right" vertical="center"/>
    </xf>
    <xf numFmtId="164" fontId="3" fillId="3" borderId="11" xfId="1" applyNumberFormat="1" applyFont="1" applyFill="1" applyBorder="1" applyAlignment="1" applyProtection="1">
      <alignment horizontal="right" vertical="center"/>
    </xf>
    <xf numFmtId="164" fontId="45" fillId="2" borderId="12" xfId="1" applyNumberFormat="1" applyFont="1" applyFill="1" applyBorder="1" applyAlignment="1" applyProtection="1">
      <alignment horizontal="right" vertical="center"/>
    </xf>
    <xf numFmtId="164" fontId="14" fillId="2" borderId="12" xfId="1" applyNumberFormat="1" applyFont="1" applyFill="1" applyBorder="1" applyAlignment="1" applyProtection="1">
      <alignment horizontal="right" vertical="center"/>
    </xf>
    <xf numFmtId="164" fontId="15" fillId="2" borderId="12" xfId="1" applyNumberFormat="1" applyFont="1" applyFill="1" applyBorder="1" applyAlignment="1" applyProtection="1">
      <alignment horizontal="right" vertical="center"/>
    </xf>
    <xf numFmtId="164" fontId="12" fillId="3" borderId="12" xfId="1" applyNumberFormat="1" applyFont="1" applyFill="1" applyBorder="1" applyAlignment="1" applyProtection="1">
      <alignment horizontal="right" vertical="center"/>
    </xf>
    <xf numFmtId="164" fontId="18" fillId="2" borderId="12" xfId="1" applyNumberFormat="1" applyFont="1" applyFill="1" applyBorder="1" applyAlignment="1" applyProtection="1">
      <alignment horizontal="right" vertical="center"/>
    </xf>
    <xf numFmtId="0" fontId="3" fillId="2" borderId="12" xfId="1" quotePrefix="1" applyFont="1" applyFill="1" applyBorder="1" applyAlignment="1" applyProtection="1">
      <alignment vertical="center" wrapText="1"/>
    </xf>
    <xf numFmtId="166" fontId="33" fillId="2" borderId="12" xfId="1" applyNumberFormat="1" applyFont="1" applyFill="1" applyBorder="1" applyAlignment="1" applyProtection="1">
      <alignment horizontal="right" vertical="center"/>
    </xf>
    <xf numFmtId="165" fontId="19" fillId="0" borderId="12" xfId="1" applyNumberFormat="1" applyFont="1" applyFill="1" applyBorder="1" applyAlignment="1" applyProtection="1">
      <alignment horizontal="right" vertical="center"/>
    </xf>
    <xf numFmtId="165" fontId="3" fillId="0" borderId="12" xfId="1" applyNumberFormat="1" applyFont="1" applyFill="1" applyBorder="1" applyAlignment="1" applyProtection="1">
      <alignment horizontal="right" vertical="center"/>
    </xf>
    <xf numFmtId="0" fontId="46" fillId="2" borderId="12" xfId="1" applyFont="1" applyFill="1" applyBorder="1" applyAlignment="1" applyProtection="1">
      <alignment horizontal="center" vertical="center" shrinkToFit="1"/>
    </xf>
    <xf numFmtId="164" fontId="19" fillId="0" borderId="12" xfId="1" applyNumberFormat="1" applyFont="1" applyFill="1" applyBorder="1" applyAlignment="1" applyProtection="1">
      <alignment horizontal="right" vertical="center"/>
    </xf>
    <xf numFmtId="0" fontId="19" fillId="2" borderId="12" xfId="1" quotePrefix="1" applyFont="1" applyFill="1" applyBorder="1" applyAlignment="1" applyProtection="1">
      <alignment horizontal="left" vertical="center" wrapText="1"/>
    </xf>
    <xf numFmtId="164" fontId="3" fillId="0" borderId="12" xfId="1" applyNumberFormat="1" applyFont="1" applyFill="1" applyBorder="1" applyAlignment="1" applyProtection="1">
      <alignment horizontal="right" vertical="center"/>
    </xf>
    <xf numFmtId="164" fontId="19" fillId="0" borderId="12" xfId="1" applyNumberFormat="1" applyFont="1" applyFill="1" applyBorder="1" applyAlignment="1" applyProtection="1">
      <alignment vertical="center"/>
    </xf>
    <xf numFmtId="164" fontId="5" fillId="0" borderId="12" xfId="1" applyNumberFormat="1" applyFont="1" applyFill="1" applyBorder="1" applyAlignment="1" applyProtection="1">
      <alignment vertical="center"/>
    </xf>
    <xf numFmtId="164" fontId="5" fillId="2" borderId="12" xfId="1" applyNumberFormat="1" applyFont="1" applyFill="1" applyBorder="1" applyAlignment="1" applyProtection="1">
      <alignment vertical="center"/>
    </xf>
    <xf numFmtId="164" fontId="26" fillId="2" borderId="12" xfId="1" applyNumberFormat="1" applyFont="1" applyFill="1" applyBorder="1" applyAlignment="1" applyProtection="1">
      <alignment vertical="center"/>
    </xf>
    <xf numFmtId="164" fontId="27" fillId="2" borderId="12" xfId="1" applyNumberFormat="1" applyFont="1" applyFill="1" applyBorder="1" applyAlignment="1" applyProtection="1">
      <alignment vertical="center"/>
    </xf>
    <xf numFmtId="164" fontId="27" fillId="3" borderId="12" xfId="1" applyNumberFormat="1" applyFont="1" applyFill="1" applyBorder="1" applyAlignment="1" applyProtection="1">
      <alignment vertical="center"/>
    </xf>
    <xf numFmtId="164" fontId="5" fillId="0" borderId="12" xfId="1" applyNumberFormat="1" applyFont="1" applyFill="1" applyBorder="1" applyAlignment="1" applyProtection="1">
      <alignment horizontal="right" vertical="center"/>
    </xf>
    <xf numFmtId="4" fontId="40" fillId="2" borderId="12" xfId="0" applyNumberFormat="1" applyFont="1" applyFill="1" applyBorder="1" applyAlignment="1" applyProtection="1">
      <alignment horizontal="center" vertical="center" wrapText="1"/>
    </xf>
    <xf numFmtId="0" fontId="5" fillId="2" borderId="0" xfId="1" applyFont="1" applyFill="1" applyBorder="1" applyAlignment="1" applyProtection="1">
      <alignment vertical="center"/>
    </xf>
    <xf numFmtId="0" fontId="47" fillId="2" borderId="12" xfId="1" applyFont="1" applyFill="1" applyBorder="1" applyAlignment="1" applyProtection="1">
      <alignment horizontal="justify" vertical="center" wrapText="1"/>
    </xf>
    <xf numFmtId="0" fontId="3" fillId="2" borderId="12" xfId="1" quotePrefix="1" applyFont="1" applyFill="1" applyBorder="1" applyAlignment="1" applyProtection="1">
      <alignment horizontal="justify" vertical="center" wrapText="1"/>
    </xf>
    <xf numFmtId="166" fontId="3" fillId="0" borderId="12" xfId="1" applyNumberFormat="1" applyFont="1" applyFill="1" applyBorder="1" applyAlignment="1" applyProtection="1">
      <alignment vertical="center"/>
    </xf>
    <xf numFmtId="0" fontId="3" fillId="2" borderId="12" xfId="1" applyFont="1" applyFill="1" applyBorder="1" applyAlignment="1" applyProtection="1">
      <alignment horizontal="justify" vertical="center" wrapText="1" shrinkToFit="1"/>
    </xf>
    <xf numFmtId="0" fontId="3" fillId="2" borderId="12" xfId="1" quotePrefix="1" applyFont="1" applyFill="1" applyBorder="1" applyAlignment="1" applyProtection="1">
      <alignment horizontal="left" vertical="center" wrapText="1" shrinkToFit="1"/>
    </xf>
    <xf numFmtId="164" fontId="3" fillId="0" borderId="12" xfId="1" applyNumberFormat="1" applyFont="1" applyFill="1" applyBorder="1" applyAlignment="1" applyProtection="1">
      <alignment vertical="center"/>
    </xf>
    <xf numFmtId="3" fontId="3" fillId="2" borderId="0" xfId="1" applyNumberFormat="1" applyFont="1" applyFill="1" applyBorder="1" applyAlignment="1" applyProtection="1">
      <alignment vertical="center"/>
    </xf>
    <xf numFmtId="164" fontId="44" fillId="0" borderId="12" xfId="1" applyNumberFormat="1" applyFont="1" applyFill="1" applyBorder="1" applyAlignment="1" applyProtection="1">
      <alignment vertical="center"/>
    </xf>
    <xf numFmtId="3" fontId="12" fillId="2" borderId="0" xfId="1" applyNumberFormat="1" applyFont="1" applyFill="1" applyBorder="1" applyAlignment="1" applyProtection="1">
      <alignment vertical="center"/>
    </xf>
    <xf numFmtId="164" fontId="48" fillId="0" borderId="12" xfId="1" applyNumberFormat="1" applyFont="1" applyFill="1" applyBorder="1" applyAlignment="1" applyProtection="1">
      <alignment vertical="center"/>
    </xf>
    <xf numFmtId="3" fontId="5" fillId="2" borderId="0" xfId="1" applyNumberFormat="1" applyFont="1" applyFill="1" applyBorder="1" applyAlignment="1" applyProtection="1">
      <alignment vertical="center"/>
    </xf>
    <xf numFmtId="164" fontId="45" fillId="0" borderId="12" xfId="1" applyNumberFormat="1" applyFont="1" applyFill="1" applyBorder="1" applyAlignment="1" applyProtection="1">
      <alignment vertical="center"/>
    </xf>
    <xf numFmtId="164" fontId="17" fillId="0" borderId="12" xfId="1" applyNumberFormat="1" applyFont="1" applyFill="1" applyBorder="1" applyAlignment="1" applyProtection="1">
      <alignment vertical="center"/>
    </xf>
    <xf numFmtId="164" fontId="42" fillId="0" borderId="12" xfId="1" applyNumberFormat="1" applyFont="1" applyFill="1" applyBorder="1" applyAlignment="1" applyProtection="1">
      <alignment vertical="center"/>
    </xf>
    <xf numFmtId="3" fontId="5" fillId="2" borderId="12" xfId="1" applyNumberFormat="1" applyFont="1" applyFill="1" applyBorder="1" applyAlignment="1" applyProtection="1">
      <alignment horizontal="center" vertical="center" shrinkToFit="1"/>
    </xf>
    <xf numFmtId="0" fontId="5" fillId="2" borderId="12" xfId="1" applyFont="1" applyFill="1" applyBorder="1" applyAlignment="1" applyProtection="1">
      <alignment horizontal="left" vertical="center" wrapText="1" indent="3"/>
    </xf>
    <xf numFmtId="0" fontId="37" fillId="2" borderId="12" xfId="1" applyFont="1" applyFill="1" applyBorder="1" applyAlignment="1" applyProtection="1">
      <alignment vertical="center" wrapText="1"/>
    </xf>
    <xf numFmtId="0" fontId="37" fillId="2" borderId="12" xfId="1" applyFont="1" applyFill="1" applyBorder="1" applyAlignment="1" applyProtection="1">
      <alignment horizontal="center" vertical="center"/>
    </xf>
    <xf numFmtId="164" fontId="49" fillId="2" borderId="12" xfId="1" applyNumberFormat="1" applyFont="1" applyFill="1" applyBorder="1" applyAlignment="1" applyProtection="1">
      <alignment vertical="center"/>
    </xf>
    <xf numFmtId="0" fontId="37" fillId="2" borderId="0" xfId="1" applyFont="1" applyFill="1" applyBorder="1" applyAlignment="1" applyProtection="1">
      <alignment vertical="center"/>
    </xf>
    <xf numFmtId="164" fontId="50" fillId="2" borderId="12" xfId="0" applyNumberFormat="1" applyFont="1" applyFill="1" applyBorder="1" applyAlignment="1">
      <alignment vertical="center"/>
    </xf>
    <xf numFmtId="164" fontId="51" fillId="2" borderId="12" xfId="0" applyNumberFormat="1" applyFont="1" applyFill="1" applyBorder="1" applyAlignment="1">
      <alignment vertical="center"/>
    </xf>
    <xf numFmtId="164" fontId="52" fillId="2" borderId="12" xfId="0" applyNumberFormat="1" applyFont="1" applyFill="1" applyBorder="1" applyAlignment="1">
      <alignment vertical="center"/>
    </xf>
    <xf numFmtId="164" fontId="53" fillId="2" borderId="12" xfId="0" applyNumberFormat="1" applyFont="1" applyFill="1" applyBorder="1" applyAlignment="1">
      <alignment vertical="center"/>
    </xf>
    <xf numFmtId="164" fontId="54" fillId="2" borderId="12" xfId="0" applyNumberFormat="1" applyFont="1" applyFill="1" applyBorder="1" applyAlignment="1">
      <alignment vertical="center"/>
    </xf>
    <xf numFmtId="164" fontId="54" fillId="3" borderId="12" xfId="0" applyNumberFormat="1" applyFont="1" applyFill="1" applyBorder="1" applyAlignment="1">
      <alignment vertical="center"/>
    </xf>
    <xf numFmtId="164" fontId="33" fillId="0" borderId="12" xfId="0" applyNumberFormat="1" applyFont="1" applyFill="1" applyBorder="1" applyAlignment="1" applyProtection="1">
      <alignment vertical="center"/>
    </xf>
    <xf numFmtId="164" fontId="3" fillId="2" borderId="12" xfId="0" applyNumberFormat="1" applyFont="1" applyFill="1" applyBorder="1" applyAlignment="1" applyProtection="1">
      <alignment vertical="center"/>
    </xf>
    <xf numFmtId="164" fontId="20" fillId="2" borderId="12" xfId="0" applyNumberFormat="1" applyFont="1" applyFill="1" applyBorder="1" applyAlignment="1" applyProtection="1">
      <alignment vertical="center"/>
    </xf>
    <xf numFmtId="164" fontId="21" fillId="2" borderId="12" xfId="0" applyNumberFormat="1" applyFont="1" applyFill="1" applyBorder="1" applyAlignment="1" applyProtection="1">
      <alignment vertical="center"/>
    </xf>
    <xf numFmtId="164" fontId="21" fillId="3" borderId="12" xfId="0" applyNumberFormat="1" applyFont="1" applyFill="1" applyBorder="1" applyAlignment="1" applyProtection="1">
      <alignment vertical="center"/>
    </xf>
    <xf numFmtId="164" fontId="48" fillId="0" borderId="12" xfId="0" applyNumberFormat="1" applyFont="1" applyFill="1" applyBorder="1" applyAlignment="1" applyProtection="1">
      <alignment vertical="center"/>
    </xf>
    <xf numFmtId="164" fontId="25" fillId="2" borderId="12" xfId="0" applyNumberFormat="1" applyFont="1" applyFill="1" applyBorder="1" applyAlignment="1" applyProtection="1">
      <alignment vertical="center"/>
    </xf>
    <xf numFmtId="164" fontId="5" fillId="2" borderId="12" xfId="0" applyNumberFormat="1" applyFont="1" applyFill="1" applyBorder="1" applyAlignment="1" applyProtection="1">
      <alignment vertical="center"/>
    </xf>
    <xf numFmtId="164" fontId="26" fillId="2" borderId="12" xfId="0" applyNumberFormat="1" applyFont="1" applyFill="1" applyBorder="1" applyAlignment="1" applyProtection="1">
      <alignment vertical="center"/>
    </xf>
    <xf numFmtId="164" fontId="27" fillId="2" borderId="12" xfId="0" applyNumberFormat="1" applyFont="1" applyFill="1" applyBorder="1" applyAlignment="1" applyProtection="1">
      <alignment vertical="center"/>
    </xf>
    <xf numFmtId="164" fontId="27" fillId="3" borderId="12" xfId="0" applyNumberFormat="1" applyFont="1" applyFill="1" applyBorder="1" applyAlignment="1" applyProtection="1">
      <alignment vertical="center"/>
    </xf>
    <xf numFmtId="0" fontId="5" fillId="2" borderId="12" xfId="1" applyFont="1" applyFill="1" applyBorder="1" applyAlignment="1" applyProtection="1">
      <alignment horizontal="left" vertical="center" wrapText="1" indent="2"/>
    </xf>
    <xf numFmtId="164" fontId="33" fillId="0" borderId="12" xfId="0" applyNumberFormat="1" applyFont="1" applyFill="1" applyBorder="1" applyAlignment="1">
      <alignment vertical="center"/>
    </xf>
    <xf numFmtId="164" fontId="22" fillId="2" borderId="12" xfId="0" applyNumberFormat="1" applyFont="1" applyFill="1" applyBorder="1" applyAlignment="1">
      <alignment vertical="center"/>
    </xf>
    <xf numFmtId="164" fontId="3" fillId="2" borderId="12" xfId="0" applyNumberFormat="1" applyFont="1" applyFill="1" applyBorder="1" applyAlignment="1">
      <alignment vertical="center"/>
    </xf>
    <xf numFmtId="164" fontId="20" fillId="2" borderId="12" xfId="0" applyNumberFormat="1" applyFont="1" applyFill="1" applyBorder="1" applyAlignment="1">
      <alignment vertical="center"/>
    </xf>
    <xf numFmtId="164" fontId="21" fillId="2" borderId="12" xfId="0" applyNumberFormat="1" applyFont="1" applyFill="1" applyBorder="1" applyAlignment="1">
      <alignment vertical="center"/>
    </xf>
    <xf numFmtId="164" fontId="21" fillId="3" borderId="12" xfId="0" applyNumberFormat="1" applyFont="1" applyFill="1" applyBorder="1" applyAlignment="1">
      <alignment vertical="center"/>
    </xf>
    <xf numFmtId="164" fontId="48" fillId="0" borderId="12" xfId="0" applyNumberFormat="1" applyFont="1" applyFill="1" applyBorder="1" applyAlignment="1">
      <alignment vertical="center"/>
    </xf>
    <xf numFmtId="164" fontId="25" fillId="2" borderId="12" xfId="0" applyNumberFormat="1" applyFont="1" applyFill="1" applyBorder="1" applyAlignment="1">
      <alignment vertical="center"/>
    </xf>
    <xf numFmtId="164" fontId="5" fillId="2" borderId="12" xfId="0" applyNumberFormat="1" applyFont="1" applyFill="1" applyBorder="1" applyAlignment="1">
      <alignment vertical="center"/>
    </xf>
    <xf numFmtId="164" fontId="26" fillId="2" borderId="12" xfId="0" applyNumberFormat="1" applyFont="1" applyFill="1" applyBorder="1" applyAlignment="1">
      <alignment vertical="center"/>
    </xf>
    <xf numFmtId="164" fontId="27" fillId="2" borderId="12" xfId="0" applyNumberFormat="1" applyFont="1" applyFill="1" applyBorder="1" applyAlignment="1">
      <alignment vertical="center"/>
    </xf>
    <xf numFmtId="164" fontId="27" fillId="3" borderId="12" xfId="0" applyNumberFormat="1" applyFont="1" applyFill="1" applyBorder="1" applyAlignment="1">
      <alignment vertical="center"/>
    </xf>
    <xf numFmtId="0" fontId="5" fillId="2" borderId="12" xfId="1" applyFont="1" applyFill="1" applyBorder="1" applyAlignment="1" applyProtection="1">
      <alignment vertical="center" wrapText="1"/>
    </xf>
    <xf numFmtId="164" fontId="48" fillId="0" borderId="12" xfId="1" applyNumberFormat="1" applyFont="1" applyFill="1" applyBorder="1" applyAlignment="1">
      <alignment vertical="center"/>
    </xf>
    <xf numFmtId="164" fontId="25" fillId="2" borderId="12" xfId="1" applyNumberFormat="1" applyFont="1" applyFill="1" applyBorder="1" applyAlignment="1">
      <alignment vertical="center"/>
    </xf>
    <xf numFmtId="164" fontId="5" fillId="2" borderId="12" xfId="1" applyNumberFormat="1" applyFont="1" applyFill="1" applyBorder="1" applyAlignment="1">
      <alignment vertical="center"/>
    </xf>
    <xf numFmtId="164" fontId="26" fillId="2" borderId="12" xfId="1" applyNumberFormat="1" applyFont="1" applyFill="1" applyBorder="1" applyAlignment="1">
      <alignment vertical="center"/>
    </xf>
    <xf numFmtId="164" fontId="27" fillId="2" borderId="12" xfId="1" applyNumberFormat="1" applyFont="1" applyFill="1" applyBorder="1" applyAlignment="1">
      <alignment vertical="center"/>
    </xf>
    <xf numFmtId="164" fontId="27" fillId="3" borderId="12" xfId="1" applyNumberFormat="1" applyFont="1" applyFill="1" applyBorder="1" applyAlignment="1">
      <alignment vertical="center"/>
    </xf>
    <xf numFmtId="164" fontId="50" fillId="0" borderId="12" xfId="0" applyNumberFormat="1" applyFont="1" applyFill="1" applyBorder="1" applyAlignment="1">
      <alignment vertical="center"/>
    </xf>
    <xf numFmtId="166" fontId="53" fillId="0" borderId="12" xfId="0" applyNumberFormat="1" applyFont="1" applyFill="1" applyBorder="1" applyAlignment="1">
      <alignment vertical="center"/>
    </xf>
    <xf numFmtId="166" fontId="54" fillId="0" borderId="12" xfId="0" applyNumberFormat="1" applyFont="1" applyFill="1" applyBorder="1" applyAlignment="1">
      <alignment vertical="center"/>
    </xf>
    <xf numFmtId="166" fontId="54" fillId="3" borderId="12" xfId="0" applyNumberFormat="1" applyFont="1" applyFill="1" applyBorder="1" applyAlignment="1">
      <alignment vertical="center"/>
    </xf>
    <xf numFmtId="166" fontId="52" fillId="0" borderId="12" xfId="0" applyNumberFormat="1" applyFont="1" applyFill="1" applyBorder="1" applyAlignment="1">
      <alignment vertical="center"/>
    </xf>
    <xf numFmtId="166" fontId="52" fillId="2" borderId="12" xfId="0" applyNumberFormat="1" applyFont="1" applyFill="1" applyBorder="1" applyAlignment="1">
      <alignment vertical="center"/>
    </xf>
    <xf numFmtId="164" fontId="55" fillId="2" borderId="12" xfId="0" applyNumberFormat="1" applyFont="1" applyFill="1" applyBorder="1" applyAlignment="1">
      <alignment vertical="center"/>
    </xf>
    <xf numFmtId="166" fontId="53" fillId="2" borderId="12" xfId="0" applyNumberFormat="1" applyFont="1" applyFill="1" applyBorder="1" applyAlignment="1">
      <alignment vertical="center"/>
    </xf>
    <xf numFmtId="166" fontId="54" fillId="2" borderId="12" xfId="0" applyNumberFormat="1" applyFont="1" applyFill="1" applyBorder="1" applyAlignment="1">
      <alignment vertical="center"/>
    </xf>
    <xf numFmtId="0" fontId="56" fillId="2" borderId="0" xfId="1" applyFont="1" applyFill="1" applyAlignment="1" applyProtection="1">
      <alignment vertical="center"/>
    </xf>
    <xf numFmtId="164" fontId="49" fillId="0" borderId="12" xfId="1" applyNumberFormat="1" applyFont="1" applyFill="1" applyBorder="1" applyAlignment="1">
      <alignment vertical="center"/>
    </xf>
    <xf numFmtId="164" fontId="35" fillId="2" borderId="12" xfId="1" applyNumberFormat="1" applyFont="1" applyFill="1" applyBorder="1" applyAlignment="1">
      <alignment vertical="center"/>
    </xf>
    <xf numFmtId="164" fontId="37" fillId="2" borderId="12" xfId="1" applyNumberFormat="1" applyFont="1" applyFill="1" applyBorder="1" applyAlignment="1">
      <alignment vertical="center"/>
    </xf>
    <xf numFmtId="164" fontId="33" fillId="0" borderId="12" xfId="1" applyNumberFormat="1" applyFont="1" applyFill="1" applyBorder="1" applyAlignment="1">
      <alignment vertical="center"/>
    </xf>
    <xf numFmtId="164" fontId="22" fillId="2" borderId="12" xfId="1" applyNumberFormat="1" applyFont="1" applyFill="1" applyBorder="1" applyAlignment="1">
      <alignment vertical="center"/>
    </xf>
    <xf numFmtId="164" fontId="3" fillId="2" borderId="12" xfId="1" applyNumberFormat="1" applyFont="1" applyFill="1" applyBorder="1" applyAlignment="1">
      <alignment vertical="center"/>
    </xf>
    <xf numFmtId="164" fontId="20" fillId="2" borderId="12" xfId="1" applyNumberFormat="1" applyFont="1" applyFill="1" applyBorder="1" applyAlignment="1">
      <alignment vertical="center"/>
    </xf>
    <xf numFmtId="164" fontId="21" fillId="2" borderId="12" xfId="1" applyNumberFormat="1" applyFont="1" applyFill="1" applyBorder="1" applyAlignment="1">
      <alignment vertical="center"/>
    </xf>
    <xf numFmtId="164" fontId="21" fillId="3" borderId="12" xfId="1" applyNumberFormat="1" applyFont="1" applyFill="1" applyBorder="1" applyAlignment="1">
      <alignment vertical="center"/>
    </xf>
    <xf numFmtId="164" fontId="19" fillId="2" borderId="12" xfId="1" applyNumberFormat="1" applyFont="1" applyFill="1" applyBorder="1" applyAlignment="1">
      <alignment vertical="center"/>
    </xf>
    <xf numFmtId="166" fontId="55" fillId="2" borderId="12" xfId="0" applyNumberFormat="1" applyFont="1" applyFill="1" applyBorder="1" applyAlignment="1">
      <alignment vertical="center"/>
    </xf>
    <xf numFmtId="164" fontId="55" fillId="0" borderId="12" xfId="0" applyNumberFormat="1" applyFont="1" applyFill="1" applyBorder="1" applyAlignment="1">
      <alignment vertical="center"/>
    </xf>
    <xf numFmtId="0" fontId="3" fillId="2" borderId="12" xfId="1" applyFont="1" applyFill="1" applyBorder="1" applyAlignment="1" applyProtection="1">
      <alignment horizontal="center" vertical="center" wrapText="1"/>
    </xf>
    <xf numFmtId="0" fontId="57" fillId="2" borderId="0" xfId="1" applyFont="1" applyFill="1" applyAlignment="1" applyProtection="1">
      <alignment vertical="center"/>
    </xf>
    <xf numFmtId="0" fontId="5" fillId="2" borderId="12" xfId="1" quotePrefix="1" applyFont="1" applyFill="1" applyBorder="1" applyAlignment="1" applyProtection="1">
      <alignment horizontal="left" vertical="center" wrapText="1" indent="3"/>
    </xf>
    <xf numFmtId="164" fontId="5" fillId="0" borderId="12" xfId="0" applyNumberFormat="1" applyFont="1" applyFill="1" applyBorder="1" applyAlignment="1">
      <alignment vertical="center"/>
    </xf>
    <xf numFmtId="0" fontId="3" fillId="2" borderId="12" xfId="1" applyFont="1" applyFill="1" applyBorder="1" applyAlignment="1" applyProtection="1">
      <alignment horizontal="justify" vertical="center" wrapText="1"/>
    </xf>
    <xf numFmtId="164" fontId="49" fillId="2" borderId="12" xfId="2" applyNumberFormat="1" applyFont="1" applyFill="1" applyBorder="1" applyAlignment="1" applyProtection="1">
      <alignment vertical="center"/>
    </xf>
    <xf numFmtId="164" fontId="35" fillId="2" borderId="12" xfId="2" applyNumberFormat="1" applyFont="1" applyFill="1" applyBorder="1" applyAlignment="1" applyProtection="1">
      <alignment vertical="center"/>
    </xf>
    <xf numFmtId="164" fontId="37" fillId="2" borderId="12" xfId="2" applyNumberFormat="1" applyFont="1" applyFill="1" applyBorder="1" applyAlignment="1" applyProtection="1">
      <alignment vertical="center"/>
    </xf>
    <xf numFmtId="164" fontId="38" fillId="2" borderId="12" xfId="2" applyNumberFormat="1" applyFont="1" applyFill="1" applyBorder="1" applyAlignment="1" applyProtection="1">
      <alignment vertical="center"/>
    </xf>
    <xf numFmtId="164" fontId="39" fillId="2" borderId="12" xfId="2" applyNumberFormat="1" applyFont="1" applyFill="1" applyBorder="1" applyAlignment="1" applyProtection="1">
      <alignment vertical="center"/>
    </xf>
    <xf numFmtId="164" fontId="39" fillId="3" borderId="12" xfId="2" applyNumberFormat="1" applyFont="1" applyFill="1" applyBorder="1" applyAlignment="1" applyProtection="1">
      <alignment vertical="center"/>
    </xf>
    <xf numFmtId="164" fontId="37" fillId="0" borderId="12" xfId="2" applyNumberFormat="1" applyFont="1" applyFill="1" applyBorder="1" applyAlignment="1" applyProtection="1">
      <alignment vertical="center"/>
    </xf>
    <xf numFmtId="164" fontId="48" fillId="2" borderId="12" xfId="2" applyNumberFormat="1" applyFont="1" applyFill="1" applyBorder="1" applyAlignment="1" applyProtection="1">
      <alignment vertical="center"/>
    </xf>
    <xf numFmtId="164" fontId="25" fillId="2" borderId="12" xfId="2" applyNumberFormat="1" applyFont="1" applyFill="1" applyBorder="1" applyAlignment="1" applyProtection="1">
      <alignment vertical="center"/>
    </xf>
    <xf numFmtId="164" fontId="5" fillId="2" borderId="12" xfId="2" applyNumberFormat="1" applyFont="1" applyFill="1" applyBorder="1" applyAlignment="1" applyProtection="1">
      <alignment vertical="center"/>
    </xf>
    <xf numFmtId="164" fontId="26" fillId="2" borderId="12" xfId="2" applyNumberFormat="1" applyFont="1" applyFill="1" applyBorder="1" applyAlignment="1" applyProtection="1">
      <alignment vertical="center"/>
    </xf>
    <xf numFmtId="164" fontId="27" fillId="2" borderId="12" xfId="2" applyNumberFormat="1" applyFont="1" applyFill="1" applyBorder="1" applyAlignment="1" applyProtection="1">
      <alignment vertical="center"/>
    </xf>
    <xf numFmtId="164" fontId="27" fillId="3" borderId="12" xfId="2" applyNumberFormat="1" applyFont="1" applyFill="1" applyBorder="1" applyAlignment="1" applyProtection="1">
      <alignment vertical="center"/>
    </xf>
    <xf numFmtId="164" fontId="5" fillId="0" borderId="12" xfId="2" applyNumberFormat="1" applyFont="1" applyFill="1" applyBorder="1" applyAlignment="1" applyProtection="1">
      <alignment vertical="center"/>
    </xf>
    <xf numFmtId="0" fontId="5" fillId="2" borderId="12" xfId="1" quotePrefix="1" applyFont="1" applyFill="1" applyBorder="1" applyAlignment="1" applyProtection="1">
      <alignment horizontal="left" vertical="center" wrapText="1" indent="2"/>
    </xf>
    <xf numFmtId="0" fontId="35" fillId="2" borderId="12" xfId="1" applyFont="1" applyFill="1" applyBorder="1" applyAlignment="1" applyProtection="1">
      <alignment horizontal="left" vertical="center" wrapText="1"/>
    </xf>
    <xf numFmtId="0" fontId="35" fillId="2" borderId="12" xfId="1" applyFont="1" applyFill="1" applyBorder="1" applyAlignment="1" applyProtection="1">
      <alignment horizontal="center" vertical="center"/>
    </xf>
    <xf numFmtId="164" fontId="35" fillId="0" borderId="12" xfId="3" applyNumberFormat="1" applyFont="1" applyFill="1" applyBorder="1" applyAlignment="1" applyProtection="1">
      <alignment vertical="center"/>
    </xf>
    <xf numFmtId="164" fontId="35" fillId="2" borderId="12" xfId="3" applyNumberFormat="1" applyFont="1" applyFill="1" applyBorder="1" applyAlignment="1" applyProtection="1">
      <alignment vertical="center"/>
    </xf>
    <xf numFmtId="164" fontId="35" fillId="3" borderId="12" xfId="3" applyNumberFormat="1" applyFont="1" applyFill="1" applyBorder="1" applyAlignment="1" applyProtection="1">
      <alignment vertical="center"/>
    </xf>
    <xf numFmtId="0" fontId="22" fillId="2" borderId="12" xfId="1" applyFont="1" applyFill="1" applyBorder="1" applyAlignment="1" applyProtection="1">
      <alignment horizontal="center" vertical="center" shrinkToFit="1"/>
    </xf>
    <xf numFmtId="0" fontId="35" fillId="2" borderId="0" xfId="1" applyFont="1" applyFill="1" applyAlignment="1" applyProtection="1">
      <alignment vertical="center"/>
    </xf>
    <xf numFmtId="164" fontId="33" fillId="0" borderId="12" xfId="3" applyNumberFormat="1" applyFont="1" applyFill="1" applyBorder="1" applyAlignment="1" applyProtection="1">
      <alignment vertical="center"/>
    </xf>
    <xf numFmtId="164" fontId="22" fillId="2" borderId="12" xfId="3" applyNumberFormat="1" applyFont="1" applyFill="1" applyBorder="1" applyAlignment="1" applyProtection="1">
      <alignment vertical="center"/>
    </xf>
    <xf numFmtId="164" fontId="3" fillId="2" borderId="12" xfId="3" applyNumberFormat="1" applyFont="1" applyFill="1" applyBorder="1" applyAlignment="1" applyProtection="1">
      <alignment vertical="center"/>
    </xf>
    <xf numFmtId="164" fontId="20" fillId="2" borderId="12" xfId="3" applyNumberFormat="1" applyFont="1" applyFill="1" applyBorder="1" applyAlignment="1" applyProtection="1">
      <alignment vertical="center"/>
    </xf>
    <xf numFmtId="164" fontId="21" fillId="2" borderId="12" xfId="3" applyNumberFormat="1" applyFont="1" applyFill="1" applyBorder="1" applyAlignment="1" applyProtection="1">
      <alignment vertical="center"/>
    </xf>
    <xf numFmtId="164" fontId="21" fillId="3" borderId="12" xfId="3" applyNumberFormat="1" applyFont="1" applyFill="1" applyBorder="1" applyAlignment="1" applyProtection="1">
      <alignment vertical="center"/>
    </xf>
    <xf numFmtId="164" fontId="17" fillId="6" borderId="12" xfId="1" applyNumberFormat="1" applyFont="1" applyFill="1" applyBorder="1" applyAlignment="1" applyProtection="1">
      <alignment vertical="center"/>
    </xf>
    <xf numFmtId="164" fontId="33" fillId="6" borderId="12" xfId="1" applyNumberFormat="1" applyFont="1" applyFill="1" applyBorder="1" applyAlignment="1" applyProtection="1">
      <alignment vertical="center"/>
    </xf>
    <xf numFmtId="164" fontId="33" fillId="0" borderId="12" xfId="1" applyNumberFormat="1" applyFont="1" applyFill="1" applyBorder="1" applyAlignment="1" applyProtection="1">
      <alignment vertical="center"/>
    </xf>
    <xf numFmtId="164" fontId="33" fillId="0" borderId="12" xfId="1" applyNumberFormat="1" applyFont="1" applyFill="1" applyBorder="1" applyAlignment="1" applyProtection="1">
      <alignment horizontal="right" vertical="center"/>
    </xf>
    <xf numFmtId="164" fontId="33" fillId="2" borderId="12" xfId="1" applyNumberFormat="1" applyFont="1" applyFill="1" applyBorder="1" applyAlignment="1" applyProtection="1">
      <alignment horizontal="right" vertical="center"/>
    </xf>
    <xf numFmtId="164" fontId="42" fillId="0" borderId="12" xfId="1" applyNumberFormat="1" applyFont="1" applyFill="1" applyBorder="1" applyAlignment="1" applyProtection="1">
      <alignment horizontal="right" vertical="center"/>
    </xf>
    <xf numFmtId="164" fontId="42" fillId="5" borderId="12" xfId="1" applyNumberFormat="1" applyFont="1" applyFill="1" applyBorder="1" applyAlignment="1" applyProtection="1">
      <alignment horizontal="right" vertical="center"/>
    </xf>
    <xf numFmtId="164" fontId="20" fillId="5" borderId="12" xfId="1" applyNumberFormat="1" applyFont="1" applyFill="1" applyBorder="1" applyAlignment="1" applyProtection="1">
      <alignment horizontal="right" vertical="center"/>
    </xf>
    <xf numFmtId="164" fontId="21" fillId="5" borderId="12" xfId="1" applyNumberFormat="1" applyFont="1" applyFill="1" applyBorder="1" applyAlignment="1" applyProtection="1">
      <alignment horizontal="right" vertical="center"/>
    </xf>
    <xf numFmtId="164" fontId="58" fillId="0" borderId="12" xfId="1" applyNumberFormat="1" applyFont="1" applyFill="1" applyBorder="1" applyAlignment="1" applyProtection="1">
      <alignment vertical="center"/>
    </xf>
    <xf numFmtId="164" fontId="59" fillId="0" borderId="12" xfId="1" applyNumberFormat="1" applyFont="1" applyFill="1" applyBorder="1" applyAlignment="1" applyProtection="1">
      <alignment vertical="center"/>
    </xf>
    <xf numFmtId="164" fontId="58" fillId="2" borderId="12" xfId="1" applyNumberFormat="1" applyFont="1" applyFill="1" applyBorder="1" applyAlignment="1" applyProtection="1">
      <alignment vertical="center"/>
    </xf>
    <xf numFmtId="4" fontId="3" fillId="2" borderId="12" xfId="1" applyNumberFormat="1" applyFont="1" applyFill="1" applyBorder="1" applyAlignment="1" applyProtection="1">
      <alignment horizontal="center" vertical="center" shrinkToFit="1"/>
    </xf>
    <xf numFmtId="164" fontId="12" fillId="2" borderId="0" xfId="1" applyNumberFormat="1" applyFont="1" applyFill="1" applyAlignment="1" applyProtection="1">
      <alignment vertical="center"/>
    </xf>
    <xf numFmtId="164" fontId="22" fillId="0" borderId="12" xfId="1" applyNumberFormat="1" applyFont="1" applyFill="1" applyBorder="1" applyAlignment="1" applyProtection="1">
      <alignment horizontal="right" vertical="center"/>
    </xf>
    <xf numFmtId="164" fontId="60" fillId="0" borderId="12" xfId="1" applyNumberFormat="1" applyFont="1" applyFill="1" applyBorder="1" applyAlignment="1" applyProtection="1">
      <alignment horizontal="right" vertical="center"/>
    </xf>
    <xf numFmtId="165" fontId="30" fillId="2" borderId="12" xfId="1" applyNumberFormat="1" applyFont="1" applyFill="1" applyBorder="1" applyAlignment="1" applyProtection="1">
      <alignment horizontal="right" vertical="center"/>
    </xf>
    <xf numFmtId="165" fontId="26" fillId="2" borderId="12" xfId="1" applyNumberFormat="1" applyFont="1" applyFill="1" applyBorder="1" applyAlignment="1" applyProtection="1">
      <alignment horizontal="right" vertical="center"/>
    </xf>
    <xf numFmtId="165" fontId="27" fillId="2" borderId="12" xfId="1" applyNumberFormat="1" applyFont="1" applyFill="1" applyBorder="1" applyAlignment="1" applyProtection="1">
      <alignment horizontal="right" vertical="center"/>
    </xf>
    <xf numFmtId="165" fontId="27" fillId="3" borderId="12" xfId="1" applyNumberFormat="1" applyFont="1" applyFill="1" applyBorder="1" applyAlignment="1" applyProtection="1">
      <alignment horizontal="right" vertical="center"/>
    </xf>
    <xf numFmtId="165" fontId="25" fillId="2" borderId="12" xfId="1" applyNumberFormat="1" applyFont="1" applyFill="1" applyBorder="1" applyAlignment="1" applyProtection="1">
      <alignment horizontal="right" vertical="center"/>
    </xf>
    <xf numFmtId="165" fontId="22" fillId="2" borderId="12" xfId="1" quotePrefix="1" applyNumberFormat="1" applyFont="1" applyFill="1" applyBorder="1" applyAlignment="1" applyProtection="1">
      <alignment horizontal="right" vertical="center"/>
    </xf>
    <xf numFmtId="9" fontId="22" fillId="2" borderId="12" xfId="1" applyNumberFormat="1" applyFont="1" applyFill="1" applyBorder="1" applyAlignment="1" applyProtection="1">
      <alignment horizontal="right" vertical="center"/>
    </xf>
    <xf numFmtId="165" fontId="20" fillId="2" borderId="12" xfId="1" quotePrefix="1" applyNumberFormat="1" applyFont="1" applyFill="1" applyBorder="1" applyAlignment="1" applyProtection="1">
      <alignment horizontal="right" vertical="center"/>
    </xf>
    <xf numFmtId="165" fontId="21" fillId="2" borderId="12" xfId="1" quotePrefix="1" applyNumberFormat="1" applyFont="1" applyFill="1" applyBorder="1" applyAlignment="1" applyProtection="1">
      <alignment horizontal="right" vertical="center"/>
    </xf>
    <xf numFmtId="165" fontId="21" fillId="3" borderId="12" xfId="1" quotePrefix="1" applyNumberFormat="1" applyFont="1" applyFill="1" applyBorder="1" applyAlignment="1" applyProtection="1">
      <alignment horizontal="right" vertical="center"/>
    </xf>
    <xf numFmtId="2" fontId="12" fillId="2" borderId="0" xfId="1" applyNumberFormat="1" applyFont="1" applyFill="1" applyAlignment="1" applyProtection="1">
      <alignment vertical="center"/>
    </xf>
    <xf numFmtId="0" fontId="61" fillId="2" borderId="12" xfId="1" applyFont="1" applyFill="1" applyBorder="1" applyAlignment="1" applyProtection="1">
      <alignment vertical="center" wrapText="1"/>
    </xf>
    <xf numFmtId="0" fontId="61" fillId="2" borderId="12" xfId="1" applyFont="1" applyFill="1" applyBorder="1" applyAlignment="1" applyProtection="1">
      <alignment horizontal="center" vertical="center"/>
    </xf>
    <xf numFmtId="0" fontId="61" fillId="2" borderId="12" xfId="1" applyFont="1" applyFill="1" applyBorder="1" applyAlignment="1" applyProtection="1">
      <alignment horizontal="center" vertical="center" shrinkToFit="1"/>
    </xf>
    <xf numFmtId="0" fontId="61" fillId="2" borderId="0" xfId="1" applyFont="1" applyFill="1" applyAlignment="1" applyProtection="1">
      <alignment vertical="center"/>
    </xf>
    <xf numFmtId="9" fontId="61" fillId="2" borderId="0" xfId="1" applyNumberFormat="1" applyFont="1" applyFill="1" applyAlignment="1" applyProtection="1">
      <alignment vertical="center"/>
    </xf>
    <xf numFmtId="0" fontId="30" fillId="2" borderId="12" xfId="1" applyFont="1" applyFill="1" applyBorder="1" applyAlignment="1" applyProtection="1">
      <alignment horizontal="justify" vertical="center" wrapText="1" shrinkToFit="1"/>
    </xf>
    <xf numFmtId="0" fontId="30" fillId="2" borderId="12" xfId="1" applyFont="1" applyFill="1" applyBorder="1" applyAlignment="1" applyProtection="1">
      <alignment horizontal="center" vertical="center"/>
    </xf>
    <xf numFmtId="0" fontId="30" fillId="2" borderId="12" xfId="1" applyFont="1" applyFill="1" applyBorder="1" applyAlignment="1" applyProtection="1">
      <alignment horizontal="center" vertical="center" shrinkToFit="1"/>
    </xf>
    <xf numFmtId="164" fontId="30" fillId="2" borderId="0" xfId="1" applyNumberFormat="1" applyFont="1" applyFill="1" applyAlignment="1" applyProtection="1">
      <alignment vertical="center"/>
    </xf>
    <xf numFmtId="0" fontId="30" fillId="2" borderId="0" xfId="1" applyFont="1" applyFill="1" applyAlignment="1" applyProtection="1">
      <alignment vertical="center"/>
    </xf>
    <xf numFmtId="0" fontId="30" fillId="2" borderId="13" xfId="1" quotePrefix="1" applyFont="1" applyFill="1" applyBorder="1" applyAlignment="1" applyProtection="1">
      <alignment horizontal="left" vertical="center" wrapText="1"/>
    </xf>
    <xf numFmtId="164" fontId="60" fillId="0" borderId="13" xfId="1" applyNumberFormat="1" applyFont="1" applyFill="1" applyBorder="1" applyAlignment="1" applyProtection="1">
      <alignment horizontal="right" vertical="center"/>
    </xf>
    <xf numFmtId="164" fontId="25" fillId="2" borderId="13" xfId="1" applyNumberFormat="1" applyFont="1" applyFill="1" applyBorder="1" applyAlignment="1" applyProtection="1">
      <alignment horizontal="right" vertical="center"/>
    </xf>
    <xf numFmtId="164" fontId="30" fillId="2" borderId="13" xfId="1" applyNumberFormat="1" applyFont="1" applyFill="1" applyBorder="1" applyAlignment="1" applyProtection="1">
      <alignment horizontal="right" vertical="center"/>
    </xf>
    <xf numFmtId="164" fontId="26" fillId="2" borderId="13" xfId="1" applyNumberFormat="1" applyFont="1" applyFill="1" applyBorder="1" applyAlignment="1" applyProtection="1">
      <alignment horizontal="right" vertical="center"/>
    </xf>
    <xf numFmtId="164" fontId="27" fillId="2" borderId="13" xfId="1" applyNumberFormat="1" applyFont="1" applyFill="1" applyBorder="1" applyAlignment="1" applyProtection="1">
      <alignment horizontal="right" vertical="center"/>
    </xf>
    <xf numFmtId="164" fontId="27" fillId="3" borderId="13" xfId="1" applyNumberFormat="1" applyFont="1" applyFill="1" applyBorder="1" applyAlignment="1" applyProtection="1">
      <alignment horizontal="right" vertical="center"/>
    </xf>
    <xf numFmtId="0" fontId="30" fillId="2" borderId="13" xfId="1" applyFont="1" applyFill="1" applyBorder="1" applyAlignment="1" applyProtection="1">
      <alignment horizontal="center" vertical="center" shrinkToFit="1"/>
    </xf>
    <xf numFmtId="165" fontId="20" fillId="0" borderId="12" xfId="1" applyNumberFormat="1" applyFont="1" applyFill="1" applyBorder="1" applyAlignment="1" applyProtection="1">
      <alignment horizontal="right" vertical="center"/>
    </xf>
    <xf numFmtId="165" fontId="42" fillId="0" borderId="12" xfId="1" applyNumberFormat="1" applyFont="1" applyFill="1" applyBorder="1" applyAlignment="1" applyProtection="1">
      <alignment horizontal="right" vertical="center"/>
    </xf>
    <xf numFmtId="165" fontId="42" fillId="2" borderId="12" xfId="1" applyNumberFormat="1" applyFont="1" applyFill="1" applyBorder="1" applyAlignment="1" applyProtection="1">
      <alignment horizontal="right" vertical="center"/>
    </xf>
    <xf numFmtId="0" fontId="7" fillId="4" borderId="12" xfId="1" applyFont="1" applyFill="1" applyBorder="1" applyAlignment="1" applyProtection="1">
      <alignment horizontal="center" vertical="center" shrinkToFit="1"/>
    </xf>
    <xf numFmtId="164" fontId="33" fillId="2" borderId="12" xfId="1" applyNumberFormat="1" applyFont="1" applyFill="1" applyBorder="1" applyAlignment="1">
      <alignment vertical="center"/>
    </xf>
    <xf numFmtId="165" fontId="33" fillId="2" borderId="12" xfId="1" applyNumberFormat="1" applyFont="1" applyFill="1" applyBorder="1" applyAlignment="1">
      <alignment vertical="center"/>
    </xf>
    <xf numFmtId="165" fontId="22" fillId="2" borderId="12" xfId="1" applyNumberFormat="1" applyFont="1" applyFill="1" applyBorder="1" applyAlignment="1">
      <alignment vertical="center"/>
    </xf>
    <xf numFmtId="165" fontId="3" fillId="2" borderId="12" xfId="1" applyNumberFormat="1" applyFont="1" applyFill="1" applyBorder="1" applyAlignment="1">
      <alignment vertical="center"/>
    </xf>
    <xf numFmtId="165" fontId="20" fillId="2" borderId="12" xfId="1" applyNumberFormat="1" applyFont="1" applyFill="1" applyBorder="1" applyAlignment="1">
      <alignment vertical="center"/>
    </xf>
    <xf numFmtId="165" fontId="21" fillId="2" borderId="12" xfId="1" applyNumberFormat="1" applyFont="1" applyFill="1" applyBorder="1" applyAlignment="1">
      <alignment vertical="center"/>
    </xf>
    <xf numFmtId="165" fontId="21" fillId="3" borderId="12" xfId="1" applyNumberFormat="1" applyFont="1" applyFill="1" applyBorder="1" applyAlignment="1">
      <alignment vertical="center"/>
    </xf>
    <xf numFmtId="0" fontId="7" fillId="2" borderId="12" xfId="1" applyFont="1" applyFill="1" applyBorder="1" applyAlignment="1" applyProtection="1">
      <alignment horizontal="justify" vertical="center" wrapText="1"/>
    </xf>
    <xf numFmtId="166" fontId="33" fillId="2" borderId="12" xfId="1" applyNumberFormat="1" applyFont="1" applyFill="1" applyBorder="1" applyAlignment="1">
      <alignment vertical="center"/>
    </xf>
    <xf numFmtId="0" fontId="31" fillId="2" borderId="12" xfId="1" applyFont="1" applyFill="1" applyBorder="1" applyAlignment="1" applyProtection="1">
      <alignment horizontal="center" vertical="center" wrapText="1"/>
    </xf>
    <xf numFmtId="166" fontId="22" fillId="2" borderId="12" xfId="1" applyNumberFormat="1" applyFont="1" applyFill="1" applyBorder="1" applyAlignment="1">
      <alignment vertical="center"/>
    </xf>
    <xf numFmtId="166" fontId="3" fillId="2" borderId="12" xfId="1" applyNumberFormat="1" applyFont="1" applyFill="1" applyBorder="1" applyAlignment="1">
      <alignment vertical="center"/>
    </xf>
    <xf numFmtId="166" fontId="20" fillId="2" borderId="12" xfId="1" applyNumberFormat="1" applyFont="1" applyFill="1" applyBorder="1" applyAlignment="1">
      <alignment vertical="center"/>
    </xf>
    <xf numFmtId="166" fontId="21" fillId="2" borderId="12" xfId="1" applyNumberFormat="1" applyFont="1" applyFill="1" applyBorder="1" applyAlignment="1">
      <alignment vertical="center"/>
    </xf>
    <xf numFmtId="166" fontId="21" fillId="3" borderId="12" xfId="1" applyNumberFormat="1" applyFont="1" applyFill="1" applyBorder="1" applyAlignment="1">
      <alignment vertical="center"/>
    </xf>
    <xf numFmtId="0" fontId="31" fillId="2" borderId="12" xfId="1" applyFont="1" applyFill="1" applyBorder="1" applyAlignment="1" applyProtection="1">
      <alignment horizontal="justify" vertical="center" wrapText="1"/>
    </xf>
    <xf numFmtId="0" fontId="3" fillId="2" borderId="13" xfId="1" quotePrefix="1" applyFont="1" applyFill="1" applyBorder="1" applyAlignment="1" applyProtection="1">
      <alignment vertical="center" wrapText="1"/>
    </xf>
    <xf numFmtId="164" fontId="33" fillId="2" borderId="13" xfId="1" applyNumberFormat="1" applyFont="1" applyFill="1" applyBorder="1" applyAlignment="1" applyProtection="1">
      <alignment horizontal="right" vertical="center"/>
    </xf>
    <xf numFmtId="164" fontId="20" fillId="2" borderId="13" xfId="1" applyNumberFormat="1" applyFont="1" applyFill="1" applyBorder="1" applyAlignment="1" applyProtection="1">
      <alignment horizontal="right" vertical="center"/>
    </xf>
    <xf numFmtId="164" fontId="21" fillId="2" borderId="13" xfId="1" applyNumberFormat="1" applyFont="1" applyFill="1" applyBorder="1" applyAlignment="1" applyProtection="1">
      <alignment horizontal="right" vertical="center"/>
    </xf>
    <xf numFmtId="164" fontId="21" fillId="3" borderId="13" xfId="1" applyNumberFormat="1" applyFont="1" applyFill="1" applyBorder="1" applyAlignment="1" applyProtection="1">
      <alignment horizontal="right" vertical="center"/>
    </xf>
    <xf numFmtId="0" fontId="12" fillId="2" borderId="13" xfId="1" applyFont="1" applyFill="1" applyBorder="1" applyAlignment="1" applyProtection="1">
      <alignment horizontal="center" vertical="center" shrinkToFit="1"/>
    </xf>
    <xf numFmtId="0" fontId="3" fillId="2" borderId="14" xfId="1" quotePrefix="1" applyFont="1" applyFill="1" applyBorder="1" applyAlignment="1" applyProtection="1">
      <alignment vertical="center" wrapText="1"/>
    </xf>
    <xf numFmtId="0" fontId="3" fillId="2" borderId="14" xfId="1" applyFont="1" applyFill="1" applyBorder="1" applyAlignment="1" applyProtection="1">
      <alignment horizontal="center" vertical="center"/>
    </xf>
    <xf numFmtId="164" fontId="3" fillId="2" borderId="14" xfId="1" applyNumberFormat="1" applyFont="1" applyFill="1" applyBorder="1" applyAlignment="1" applyProtection="1">
      <alignment horizontal="right" vertical="center"/>
    </xf>
    <xf numFmtId="164" fontId="22" fillId="2" borderId="14" xfId="1" applyNumberFormat="1" applyFont="1" applyFill="1" applyBorder="1" applyAlignment="1" applyProtection="1">
      <alignment horizontal="right" vertical="center"/>
    </xf>
    <xf numFmtId="164" fontId="20" fillId="2" borderId="14" xfId="1" applyNumberFormat="1" applyFont="1" applyFill="1" applyBorder="1" applyAlignment="1" applyProtection="1">
      <alignment horizontal="right" vertical="center"/>
    </xf>
    <xf numFmtId="164" fontId="21" fillId="2" borderId="14" xfId="1" applyNumberFormat="1" applyFont="1" applyFill="1" applyBorder="1" applyAlignment="1" applyProtection="1">
      <alignment horizontal="right" vertical="center"/>
    </xf>
    <xf numFmtId="164" fontId="21" fillId="3" borderId="14" xfId="1" applyNumberFormat="1" applyFont="1" applyFill="1" applyBorder="1" applyAlignment="1" applyProtection="1">
      <alignment horizontal="right" vertical="center"/>
    </xf>
    <xf numFmtId="4" fontId="19" fillId="2" borderId="14" xfId="0" applyNumberFormat="1" applyFont="1" applyFill="1" applyBorder="1" applyAlignment="1" applyProtection="1">
      <alignment horizontal="center" vertical="center" wrapText="1"/>
    </xf>
    <xf numFmtId="0" fontId="12" fillId="2" borderId="14" xfId="1" applyFont="1" applyFill="1" applyBorder="1" applyAlignment="1" applyProtection="1">
      <alignment horizontal="center" vertical="center" shrinkToFit="1"/>
    </xf>
    <xf numFmtId="0" fontId="3" fillId="2" borderId="0" xfId="1" applyFont="1" applyFill="1" applyAlignment="1" applyProtection="1">
      <alignment vertical="center" wrapText="1"/>
    </xf>
    <xf numFmtId="0" fontId="3" fillId="2" borderId="0" xfId="1" applyFont="1" applyFill="1" applyAlignment="1" applyProtection="1">
      <alignment horizontal="center" vertical="center"/>
    </xf>
    <xf numFmtId="164" fontId="19" fillId="2" borderId="0" xfId="1" applyNumberFormat="1" applyFont="1" applyFill="1" applyAlignment="1" applyProtection="1">
      <alignment vertical="center"/>
    </xf>
    <xf numFmtId="164" fontId="20" fillId="2" borderId="0" xfId="1" applyNumberFormat="1" applyFont="1" applyFill="1" applyAlignment="1" applyProtection="1">
      <alignment vertical="center"/>
    </xf>
    <xf numFmtId="164" fontId="21" fillId="2" borderId="0" xfId="1" applyNumberFormat="1" applyFont="1" applyFill="1" applyAlignment="1" applyProtection="1">
      <alignment vertical="center"/>
    </xf>
    <xf numFmtId="164" fontId="21" fillId="3" borderId="0" xfId="1" applyNumberFormat="1" applyFont="1" applyFill="1" applyAlignment="1" applyProtection="1">
      <alignment vertical="center"/>
    </xf>
    <xf numFmtId="164" fontId="22" fillId="2" borderId="0" xfId="1" applyNumberFormat="1" applyFont="1" applyFill="1" applyAlignment="1" applyProtection="1">
      <alignment vertical="center"/>
    </xf>
    <xf numFmtId="0" fontId="3" fillId="2" borderId="0" xfId="1" applyFont="1" applyFill="1" applyAlignment="1" applyProtection="1">
      <alignment horizontal="center" vertical="center" shrinkToFit="1"/>
    </xf>
    <xf numFmtId="164" fontId="4" fillId="2" borderId="0" xfId="1" applyNumberFormat="1" applyFont="1" applyFill="1" applyAlignment="1" applyProtection="1">
      <alignment horizontal="center" vertical="center"/>
    </xf>
    <xf numFmtId="164" fontId="62" fillId="2" borderId="0" xfId="1" applyNumberFormat="1" applyFont="1" applyFill="1" applyAlignment="1" applyProtection="1">
      <alignment horizontal="center" vertical="center"/>
    </xf>
    <xf numFmtId="164" fontId="63" fillId="2" borderId="0" xfId="1" applyNumberFormat="1" applyFont="1" applyFill="1" applyAlignment="1" applyProtection="1">
      <alignment horizontal="center" vertical="center"/>
    </xf>
    <xf numFmtId="164" fontId="64" fillId="2" borderId="0" xfId="1" applyNumberFormat="1" applyFont="1" applyFill="1" applyAlignment="1" applyProtection="1">
      <alignment horizontal="center" vertical="center"/>
    </xf>
    <xf numFmtId="164" fontId="64" fillId="3" borderId="0" xfId="1" applyNumberFormat="1" applyFont="1" applyFill="1" applyAlignment="1" applyProtection="1">
      <alignment horizontal="center" vertical="center"/>
    </xf>
    <xf numFmtId="164" fontId="65" fillId="2" borderId="0" xfId="1" applyNumberFormat="1" applyFont="1" applyFill="1" applyAlignment="1" applyProtection="1">
      <alignment horizontal="center" vertical="center"/>
    </xf>
    <xf numFmtId="0" fontId="62" fillId="2" borderId="0" xfId="1" applyFont="1" applyFill="1" applyAlignment="1" applyProtection="1">
      <alignment horizontal="center" vertical="center"/>
    </xf>
    <xf numFmtId="3" fontId="3" fillId="2" borderId="0" xfId="1" applyNumberFormat="1" applyFont="1" applyFill="1" applyAlignment="1" applyProtection="1">
      <alignment vertical="center" wrapText="1"/>
    </xf>
    <xf numFmtId="2" fontId="3" fillId="2" borderId="0" xfId="1" applyNumberFormat="1" applyFont="1" applyFill="1" applyAlignment="1" applyProtection="1">
      <alignment horizontal="center" vertical="center"/>
    </xf>
    <xf numFmtId="0" fontId="33" fillId="0" borderId="0" xfId="2" applyFont="1" applyFill="1" applyAlignment="1">
      <alignment vertical="center"/>
    </xf>
    <xf numFmtId="0" fontId="66" fillId="0" borderId="0" xfId="2" applyFont="1" applyFill="1" applyAlignment="1">
      <alignment vertical="center"/>
    </xf>
    <xf numFmtId="0" fontId="33" fillId="0" borderId="0" xfId="2" applyFont="1" applyFill="1" applyAlignment="1">
      <alignment horizontal="center" vertical="center" wrapText="1" shrinkToFit="1"/>
    </xf>
    <xf numFmtId="3" fontId="20" fillId="0" borderId="0" xfId="2" applyNumberFormat="1" applyFont="1" applyFill="1" applyAlignment="1">
      <alignment horizontal="center" vertical="center"/>
    </xf>
    <xf numFmtId="3" fontId="19" fillId="0" borderId="0" xfId="2" applyNumberFormat="1" applyFont="1" applyFill="1" applyAlignment="1">
      <alignment vertical="center"/>
    </xf>
    <xf numFmtId="167" fontId="22" fillId="0" borderId="0" xfId="2" applyNumberFormat="1" applyFont="1" applyFill="1" applyAlignment="1">
      <alignment vertical="center"/>
    </xf>
    <xf numFmtId="3" fontId="33" fillId="0" borderId="0" xfId="2" applyNumberFormat="1" applyFont="1" applyFill="1" applyAlignment="1">
      <alignment vertical="center"/>
    </xf>
    <xf numFmtId="3" fontId="21" fillId="0" borderId="0" xfId="2" applyNumberFormat="1" applyFont="1" applyFill="1" applyAlignment="1">
      <alignment vertical="center"/>
    </xf>
    <xf numFmtId="3" fontId="33" fillId="2" borderId="0" xfId="2" applyNumberFormat="1" applyFont="1" applyFill="1" applyAlignment="1">
      <alignment vertical="center"/>
    </xf>
    <xf numFmtId="0" fontId="33" fillId="0" borderId="0" xfId="2" applyFont="1" applyFill="1" applyAlignment="1">
      <alignment horizontal="center" vertical="center"/>
    </xf>
    <xf numFmtId="0" fontId="33" fillId="0" borderId="0" xfId="2" applyFont="1" applyFill="1" applyAlignment="1">
      <alignment vertical="center" wrapText="1"/>
    </xf>
    <xf numFmtId="0" fontId="33" fillId="0" borderId="0" xfId="2" applyFont="1" applyFill="1" applyAlignment="1">
      <alignment vertical="center" shrinkToFit="1"/>
    </xf>
    <xf numFmtId="0" fontId="20" fillId="0" borderId="0" xfId="2" applyFont="1" applyFill="1" applyAlignment="1">
      <alignment horizontal="center" vertical="center"/>
    </xf>
    <xf numFmtId="0" fontId="19" fillId="0" borderId="0" xfId="2" applyFont="1" applyFill="1" applyAlignment="1">
      <alignment vertical="center"/>
    </xf>
    <xf numFmtId="0" fontId="21" fillId="0" borderId="0" xfId="2" applyFont="1" applyFill="1" applyAlignment="1">
      <alignment vertical="center"/>
    </xf>
    <xf numFmtId="0" fontId="33" fillId="2" borderId="0" xfId="2" applyFont="1" applyFill="1" applyAlignment="1">
      <alignment vertical="center"/>
    </xf>
    <xf numFmtId="0" fontId="33" fillId="0" borderId="0" xfId="2" applyFont="1" applyFill="1" applyBorder="1" applyAlignment="1">
      <alignment vertical="center"/>
    </xf>
    <xf numFmtId="0" fontId="66" fillId="0" borderId="0" xfId="2" applyFont="1" applyFill="1" applyBorder="1" applyAlignment="1">
      <alignment vertical="center"/>
    </xf>
    <xf numFmtId="0" fontId="33" fillId="0" borderId="0" xfId="2" applyFont="1" applyFill="1" applyBorder="1" applyAlignment="1">
      <alignment horizontal="center" vertical="center" wrapText="1" shrinkToFit="1"/>
    </xf>
    <xf numFmtId="4" fontId="33" fillId="0" borderId="0" xfId="2" applyNumberFormat="1" applyFont="1" applyFill="1" applyAlignment="1">
      <alignment horizontal="center" vertical="center"/>
    </xf>
    <xf numFmtId="0" fontId="33" fillId="0" borderId="0" xfId="2" applyFont="1" applyFill="1" applyAlignment="1">
      <alignment horizontal="left" vertical="center" wrapText="1"/>
    </xf>
    <xf numFmtId="0" fontId="33" fillId="0" borderId="0" xfId="2" applyFont="1" applyFill="1" applyBorder="1" applyAlignment="1">
      <alignment horizontal="center" vertical="center"/>
    </xf>
    <xf numFmtId="0" fontId="33" fillId="0" borderId="0" xfId="2" applyFont="1" applyFill="1" applyBorder="1" applyAlignment="1">
      <alignment horizontal="left" vertical="center" wrapText="1"/>
    </xf>
    <xf numFmtId="0" fontId="48" fillId="0" borderId="0" xfId="2" quotePrefix="1" applyFont="1" applyFill="1" applyBorder="1" applyAlignment="1">
      <alignment horizontal="left" vertical="center" wrapText="1"/>
    </xf>
    <xf numFmtId="0" fontId="48" fillId="0" borderId="0" xfId="2" applyFont="1" applyFill="1" applyBorder="1" applyAlignment="1">
      <alignment vertical="center" wrapText="1"/>
    </xf>
    <xf numFmtId="0" fontId="33" fillId="0" borderId="0" xfId="2" applyFont="1" applyFill="1" applyBorder="1" applyAlignment="1">
      <alignment horizontal="center" vertical="center" wrapText="1"/>
    </xf>
    <xf numFmtId="0" fontId="33" fillId="0" borderId="0" xfId="2" applyFont="1" applyFill="1" applyBorder="1" applyAlignment="1">
      <alignment vertical="center" wrapText="1"/>
    </xf>
    <xf numFmtId="0" fontId="48" fillId="0" borderId="0" xfId="2" applyFont="1" applyFill="1" applyBorder="1" applyAlignment="1">
      <alignment horizontal="left" vertical="center" wrapText="1"/>
    </xf>
    <xf numFmtId="3" fontId="17" fillId="0" borderId="0" xfId="2" applyNumberFormat="1" applyFont="1" applyFill="1" applyBorder="1" applyAlignment="1">
      <alignment horizontal="center" vertical="center" wrapText="1" shrinkToFit="1"/>
    </xf>
    <xf numFmtId="0" fontId="33" fillId="0" borderId="0" xfId="2" applyFont="1" applyFill="1" applyAlignment="1">
      <alignment horizontal="center" vertical="center" wrapText="1"/>
    </xf>
    <xf numFmtId="0" fontId="33" fillId="0" borderId="0" xfId="2" applyFont="1" applyFill="1" applyAlignment="1">
      <alignment horizontal="left" vertical="center"/>
    </xf>
    <xf numFmtId="0" fontId="33" fillId="0" borderId="0" xfId="2" quotePrefix="1" applyFont="1" applyFill="1" applyAlignment="1">
      <alignment horizontal="center" vertical="center" wrapText="1"/>
    </xf>
    <xf numFmtId="0" fontId="20" fillId="0" borderId="0" xfId="2" quotePrefix="1" applyFont="1" applyFill="1" applyAlignment="1">
      <alignment horizontal="center" vertical="center"/>
    </xf>
    <xf numFmtId="0" fontId="19" fillId="0" borderId="0" xfId="2" quotePrefix="1" applyFont="1" applyFill="1" applyAlignment="1">
      <alignment vertical="center"/>
    </xf>
    <xf numFmtId="0" fontId="19" fillId="0" borderId="0" xfId="2" quotePrefix="1" applyFont="1" applyFill="1" applyAlignment="1">
      <alignment horizontal="left" vertical="center"/>
    </xf>
    <xf numFmtId="167" fontId="22" fillId="0" borderId="0" xfId="2" quotePrefix="1" applyNumberFormat="1" applyFont="1" applyFill="1" applyAlignment="1">
      <alignment horizontal="left" vertical="center"/>
    </xf>
    <xf numFmtId="0" fontId="33" fillId="0" borderId="0" xfId="2" quotePrefix="1" applyFont="1" applyFill="1" applyAlignment="1">
      <alignment horizontal="left" vertical="center"/>
    </xf>
    <xf numFmtId="0" fontId="21" fillId="0" borderId="0" xfId="2" quotePrefix="1" applyFont="1" applyFill="1" applyAlignment="1">
      <alignment horizontal="left" vertical="center"/>
    </xf>
    <xf numFmtId="0" fontId="33" fillId="0" borderId="0" xfId="2" quotePrefix="1" applyFont="1" applyFill="1" applyAlignment="1">
      <alignment horizontal="left" vertical="center" wrapText="1"/>
    </xf>
    <xf numFmtId="0" fontId="20" fillId="0" borderId="0" xfId="2" quotePrefix="1" applyFont="1" applyFill="1" applyAlignment="1">
      <alignment horizontal="center" vertical="center" wrapText="1"/>
    </xf>
    <xf numFmtId="0" fontId="19" fillId="0" borderId="0" xfId="2" quotePrefix="1" applyFont="1" applyFill="1" applyAlignment="1">
      <alignment vertical="center" wrapText="1"/>
    </xf>
    <xf numFmtId="0" fontId="19" fillId="0" borderId="0" xfId="2" quotePrefix="1" applyFont="1" applyFill="1" applyAlignment="1">
      <alignment horizontal="left" vertical="center" wrapText="1"/>
    </xf>
    <xf numFmtId="167" fontId="22" fillId="0" borderId="0" xfId="2" quotePrefix="1" applyNumberFormat="1" applyFont="1" applyFill="1" applyAlignment="1">
      <alignment horizontal="left" vertical="center" wrapText="1"/>
    </xf>
    <xf numFmtId="0" fontId="21" fillId="0" borderId="0" xfId="2" quotePrefix="1" applyFont="1" applyFill="1" applyAlignment="1">
      <alignment horizontal="left" vertical="center" wrapText="1"/>
    </xf>
    <xf numFmtId="165" fontId="33" fillId="0" borderId="0" xfId="2" quotePrefix="1" applyNumberFormat="1" applyFont="1" applyFill="1" applyAlignment="1">
      <alignment horizontal="left" vertical="center" wrapText="1"/>
    </xf>
    <xf numFmtId="1" fontId="33" fillId="0" borderId="0" xfId="2" quotePrefix="1" applyNumberFormat="1" applyFont="1" applyFill="1" applyAlignment="1">
      <alignment horizontal="right" vertical="center" wrapText="1"/>
    </xf>
    <xf numFmtId="164" fontId="33" fillId="0" borderId="0" xfId="2" quotePrefix="1" applyNumberFormat="1" applyFont="1" applyFill="1" applyAlignment="1">
      <alignment horizontal="left" vertical="center" wrapText="1"/>
    </xf>
    <xf numFmtId="3" fontId="33" fillId="0" borderId="0" xfId="2" quotePrefix="1" applyNumberFormat="1" applyFont="1" applyFill="1" applyAlignment="1">
      <alignment horizontal="left" vertical="center" wrapText="1"/>
    </xf>
    <xf numFmtId="3" fontId="33" fillId="0" borderId="0" xfId="2" quotePrefix="1" applyNumberFormat="1" applyFont="1" applyFill="1" applyAlignment="1">
      <alignment horizontal="right" vertical="center" wrapText="1"/>
    </xf>
    <xf numFmtId="165" fontId="19" fillId="0" borderId="0" xfId="2" applyNumberFormat="1" applyFont="1" applyFill="1" applyBorder="1" applyAlignment="1">
      <alignment vertical="center" shrinkToFit="1"/>
    </xf>
    <xf numFmtId="167" fontId="22" fillId="0" borderId="0" xfId="2" quotePrefix="1" applyNumberFormat="1" applyFont="1" applyFill="1" applyAlignment="1">
      <alignment horizontal="right" vertical="center" wrapText="1"/>
    </xf>
    <xf numFmtId="3" fontId="21" fillId="0" borderId="0" xfId="2" quotePrefix="1" applyNumberFormat="1" applyFont="1" applyFill="1" applyAlignment="1">
      <alignment horizontal="right" vertical="center" wrapText="1"/>
    </xf>
    <xf numFmtId="3" fontId="19" fillId="0" borderId="0" xfId="2" quotePrefix="1" applyNumberFormat="1" applyFont="1" applyFill="1" applyAlignment="1">
      <alignment horizontal="right" vertical="center" wrapText="1"/>
    </xf>
    <xf numFmtId="0" fontId="20" fillId="0" borderId="0" xfId="2" applyFont="1" applyFill="1" applyBorder="1" applyAlignment="1">
      <alignment horizontal="center" vertical="center" shrinkToFit="1"/>
    </xf>
    <xf numFmtId="0" fontId="19" fillId="0" borderId="0" xfId="2" applyFont="1" applyFill="1" applyBorder="1" applyAlignment="1">
      <alignment vertical="center" shrinkToFit="1"/>
    </xf>
    <xf numFmtId="0" fontId="33" fillId="0" borderId="0" xfId="2" applyFont="1" applyFill="1" applyBorder="1" applyAlignment="1">
      <alignment vertical="center" shrinkToFit="1"/>
    </xf>
    <xf numFmtId="167" fontId="22" fillId="0" borderId="0" xfId="2" applyNumberFormat="1" applyFont="1" applyFill="1" applyBorder="1" applyAlignment="1">
      <alignment vertical="center" shrinkToFit="1"/>
    </xf>
    <xf numFmtId="0" fontId="21" fillId="0" borderId="0" xfId="2" applyFont="1" applyFill="1" applyBorder="1" applyAlignment="1">
      <alignment vertical="center" shrinkToFit="1"/>
    </xf>
    <xf numFmtId="0" fontId="33" fillId="2" borderId="0" xfId="2" applyFont="1" applyFill="1" applyBorder="1" applyAlignment="1">
      <alignment vertical="center" shrinkToFit="1"/>
    </xf>
    <xf numFmtId="0" fontId="67" fillId="0" borderId="0" xfId="2" applyFont="1" applyFill="1" applyAlignment="1">
      <alignment vertical="center"/>
    </xf>
    <xf numFmtId="2" fontId="67" fillId="0" borderId="0" xfId="2" applyNumberFormat="1" applyFont="1" applyFill="1" applyBorder="1" applyAlignment="1">
      <alignment vertical="center"/>
    </xf>
    <xf numFmtId="2" fontId="68" fillId="0" borderId="0" xfId="2" applyNumberFormat="1" applyFont="1" applyFill="1" applyBorder="1" applyAlignment="1">
      <alignment vertical="center"/>
    </xf>
    <xf numFmtId="4" fontId="33" fillId="0" borderId="14" xfId="2" applyNumberFormat="1" applyFont="1" applyFill="1" applyBorder="1" applyAlignment="1">
      <alignment horizontal="center" vertical="center" wrapText="1" shrinkToFit="1"/>
    </xf>
    <xf numFmtId="168" fontId="20" fillId="0" borderId="8" xfId="2" applyNumberFormat="1" applyFont="1" applyFill="1" applyBorder="1" applyAlignment="1">
      <alignment horizontal="center" vertical="center"/>
    </xf>
    <xf numFmtId="168" fontId="20" fillId="0" borderId="14" xfId="2" applyNumberFormat="1" applyFont="1" applyFill="1" applyBorder="1" applyAlignment="1">
      <alignment horizontal="center" vertical="center"/>
    </xf>
    <xf numFmtId="168" fontId="20" fillId="0" borderId="14" xfId="4" applyNumberFormat="1" applyFont="1" applyFill="1" applyBorder="1" applyAlignment="1">
      <alignment horizontal="center" vertical="center"/>
    </xf>
    <xf numFmtId="168" fontId="19" fillId="0" borderId="14" xfId="2" applyNumberFormat="1" applyFont="1" applyFill="1" applyBorder="1" applyAlignment="1">
      <alignment horizontal="right" vertical="center"/>
    </xf>
    <xf numFmtId="164" fontId="19" fillId="0" borderId="14" xfId="4" applyNumberFormat="1" applyFont="1" applyFill="1" applyBorder="1" applyAlignment="1">
      <alignment horizontal="right" vertical="center"/>
    </xf>
    <xf numFmtId="3" fontId="22" fillId="0" borderId="14" xfId="2" applyNumberFormat="1" applyFont="1" applyFill="1" applyBorder="1" applyAlignment="1">
      <alignment horizontal="right" vertical="center"/>
    </xf>
    <xf numFmtId="164" fontId="22" fillId="2" borderId="14" xfId="4" applyNumberFormat="1" applyFont="1" applyFill="1" applyBorder="1" applyAlignment="1">
      <alignment horizontal="right" vertical="center"/>
    </xf>
    <xf numFmtId="164" fontId="19" fillId="2" borderId="14" xfId="4" applyNumberFormat="1" applyFont="1" applyFill="1" applyBorder="1" applyAlignment="1">
      <alignment horizontal="right" vertical="center"/>
    </xf>
    <xf numFmtId="164" fontId="19" fillId="2" borderId="12" xfId="2" applyNumberFormat="1" applyFont="1" applyFill="1" applyBorder="1" applyAlignment="1">
      <alignment horizontal="right" vertical="center"/>
    </xf>
    <xf numFmtId="164" fontId="21" fillId="2" borderId="14" xfId="4" applyNumberFormat="1" applyFont="1" applyFill="1" applyBorder="1" applyAlignment="1">
      <alignment horizontal="right" vertical="center"/>
    </xf>
    <xf numFmtId="0" fontId="48" fillId="0" borderId="14" xfId="2" applyFont="1" applyFill="1" applyBorder="1" applyAlignment="1">
      <alignment horizontal="center" vertical="center"/>
    </xf>
    <xf numFmtId="0" fontId="48" fillId="0" borderId="14" xfId="2" quotePrefix="1" applyFont="1" applyFill="1" applyBorder="1" applyAlignment="1">
      <alignment horizontal="left" vertical="center" wrapText="1" indent="4"/>
    </xf>
    <xf numFmtId="4" fontId="33" fillId="0" borderId="12" xfId="2" applyNumberFormat="1" applyFont="1" applyFill="1" applyBorder="1" applyAlignment="1">
      <alignment horizontal="center" vertical="center" wrapText="1" shrinkToFit="1"/>
    </xf>
    <xf numFmtId="168" fontId="20" fillId="0" borderId="15" xfId="2" applyNumberFormat="1" applyFont="1" applyFill="1" applyBorder="1" applyAlignment="1">
      <alignment horizontal="center" vertical="center"/>
    </xf>
    <xf numFmtId="168" fontId="20" fillId="0" borderId="12" xfId="2" applyNumberFormat="1" applyFont="1" applyFill="1" applyBorder="1" applyAlignment="1">
      <alignment horizontal="center" vertical="center"/>
    </xf>
    <xf numFmtId="168" fontId="19" fillId="0" borderId="12" xfId="2" applyNumberFormat="1" applyFont="1" applyFill="1" applyBorder="1" applyAlignment="1">
      <alignment horizontal="right" vertical="center"/>
    </xf>
    <xf numFmtId="164" fontId="40" fillId="0" borderId="12" xfId="4" applyNumberFormat="1" applyFont="1" applyFill="1" applyBorder="1" applyAlignment="1">
      <alignment horizontal="right" vertical="center"/>
    </xf>
    <xf numFmtId="3" fontId="25" fillId="0" borderId="12" xfId="2" applyNumberFormat="1" applyFont="1" applyFill="1" applyBorder="1" applyAlignment="1">
      <alignment horizontal="right" vertical="center"/>
    </xf>
    <xf numFmtId="164" fontId="25" fillId="2" borderId="12" xfId="4" applyNumberFormat="1" applyFont="1" applyFill="1" applyBorder="1" applyAlignment="1">
      <alignment horizontal="right" vertical="center"/>
    </xf>
    <xf numFmtId="164" fontId="21" fillId="2" borderId="12" xfId="2" applyNumberFormat="1" applyFont="1" applyFill="1" applyBorder="1" applyAlignment="1">
      <alignment horizontal="right" vertical="center"/>
    </xf>
    <xf numFmtId="164" fontId="40" fillId="2" borderId="12" xfId="4" applyNumberFormat="1" applyFont="1" applyFill="1" applyBorder="1" applyAlignment="1">
      <alignment horizontal="right" vertical="center"/>
    </xf>
    <xf numFmtId="164" fontId="27" fillId="2" borderId="12" xfId="4" applyNumberFormat="1" applyFont="1" applyFill="1" applyBorder="1" applyAlignment="1">
      <alignment horizontal="right" vertical="center"/>
    </xf>
    <xf numFmtId="0" fontId="48" fillId="0" borderId="12" xfId="2" applyFont="1" applyFill="1" applyBorder="1" applyAlignment="1">
      <alignment horizontal="center" vertical="center"/>
    </xf>
    <xf numFmtId="0" fontId="48" fillId="0" borderId="12" xfId="2" applyFont="1" applyFill="1" applyBorder="1" applyAlignment="1">
      <alignment vertical="center" wrapText="1"/>
    </xf>
    <xf numFmtId="0" fontId="17" fillId="0" borderId="0" xfId="2" applyFont="1" applyFill="1" applyAlignment="1">
      <alignment vertical="center"/>
    </xf>
    <xf numFmtId="2" fontId="17" fillId="0" borderId="0" xfId="2" applyNumberFormat="1" applyFont="1" applyFill="1" applyBorder="1" applyAlignment="1">
      <alignment vertical="center"/>
    </xf>
    <xf numFmtId="164" fontId="19" fillId="0" borderId="12" xfId="4" applyNumberFormat="1" applyFont="1" applyFill="1" applyBorder="1" applyAlignment="1">
      <alignment horizontal="right" vertical="center"/>
    </xf>
    <xf numFmtId="3" fontId="22" fillId="0" borderId="12" xfId="2" applyNumberFormat="1" applyFont="1" applyFill="1" applyBorder="1" applyAlignment="1">
      <alignment horizontal="right" vertical="center"/>
    </xf>
    <xf numFmtId="164" fontId="22" fillId="2" borderId="12" xfId="4" applyNumberFormat="1" applyFont="1" applyFill="1" applyBorder="1" applyAlignment="1">
      <alignment horizontal="right" vertical="center"/>
    </xf>
    <xf numFmtId="164" fontId="19" fillId="2" borderId="12" xfId="4" applyNumberFormat="1" applyFont="1" applyFill="1" applyBorder="1" applyAlignment="1">
      <alignment horizontal="right" vertical="center"/>
    </xf>
    <xf numFmtId="164" fontId="21" fillId="2" borderId="12" xfId="4" applyNumberFormat="1" applyFont="1" applyFill="1" applyBorder="1" applyAlignment="1">
      <alignment horizontal="right" vertical="center"/>
    </xf>
    <xf numFmtId="0" fontId="33" fillId="0" borderId="12" xfId="2" applyFont="1" applyFill="1" applyBorder="1" applyAlignment="1">
      <alignment horizontal="center" vertical="center"/>
    </xf>
    <xf numFmtId="0" fontId="33" fillId="0" borderId="12" xfId="2" applyFont="1" applyFill="1" applyBorder="1" applyAlignment="1">
      <alignment vertical="center" wrapText="1"/>
    </xf>
    <xf numFmtId="2" fontId="69" fillId="0" borderId="0" xfId="2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64" fontId="22" fillId="5" borderId="12" xfId="4" applyNumberFormat="1" applyFont="1" applyFill="1" applyBorder="1" applyAlignment="1">
      <alignment horizontal="right" vertical="center"/>
    </xf>
    <xf numFmtId="0" fontId="48" fillId="0" borderId="12" xfId="2" applyFont="1" applyFill="1" applyBorder="1" applyAlignment="1">
      <alignment horizontal="left" vertical="center" wrapText="1"/>
    </xf>
    <xf numFmtId="168" fontId="20" fillId="0" borderId="13" xfId="2" applyNumberFormat="1" applyFont="1" applyFill="1" applyBorder="1" applyAlignment="1">
      <alignment horizontal="center" vertical="center"/>
    </xf>
    <xf numFmtId="2" fontId="70" fillId="0" borderId="0" xfId="2" applyNumberFormat="1" applyFont="1" applyFill="1" applyBorder="1" applyAlignment="1">
      <alignment vertical="center"/>
    </xf>
    <xf numFmtId="167" fontId="22" fillId="0" borderId="12" xfId="2" applyNumberFormat="1" applyFont="1" applyFill="1" applyBorder="1" applyAlignment="1">
      <alignment horizontal="right" vertical="center"/>
    </xf>
    <xf numFmtId="164" fontId="21" fillId="0" borderId="12" xfId="2" applyNumberFormat="1" applyFont="1" applyFill="1" applyBorder="1" applyAlignment="1">
      <alignment horizontal="right" vertical="center"/>
    </xf>
    <xf numFmtId="164" fontId="33" fillId="0" borderId="12" xfId="4" applyNumberFormat="1" applyFont="1" applyFill="1" applyBorder="1" applyAlignment="1">
      <alignment horizontal="right" vertical="center"/>
    </xf>
    <xf numFmtId="164" fontId="19" fillId="0" borderId="12" xfId="2" applyNumberFormat="1" applyFont="1" applyFill="1" applyBorder="1" applyAlignment="1">
      <alignment horizontal="right" vertical="center"/>
    </xf>
    <xf numFmtId="0" fontId="17" fillId="0" borderId="12" xfId="2" applyFont="1" applyFill="1" applyBorder="1" applyAlignment="1">
      <alignment vertical="center" wrapText="1"/>
    </xf>
    <xf numFmtId="2" fontId="33" fillId="0" borderId="12" xfId="2" applyNumberFormat="1" applyFont="1" applyFill="1" applyBorder="1" applyAlignment="1">
      <alignment horizontal="center" vertical="center" wrapText="1" shrinkToFit="1"/>
    </xf>
    <xf numFmtId="166" fontId="19" fillId="0" borderId="12" xfId="2" applyNumberFormat="1" applyFont="1" applyFill="1" applyBorder="1" applyAlignment="1">
      <alignment vertical="center"/>
    </xf>
    <xf numFmtId="164" fontId="33" fillId="0" borderId="12" xfId="2" applyNumberFormat="1" applyFont="1" applyFill="1" applyBorder="1" applyAlignment="1">
      <alignment vertical="center"/>
    </xf>
    <xf numFmtId="165" fontId="33" fillId="0" borderId="12" xfId="2" applyNumberFormat="1" applyFont="1" applyFill="1" applyBorder="1" applyAlignment="1">
      <alignment vertical="center"/>
    </xf>
    <xf numFmtId="164" fontId="33" fillId="2" borderId="12" xfId="2" applyNumberFormat="1" applyFont="1" applyFill="1" applyBorder="1" applyAlignment="1">
      <alignment vertical="center"/>
    </xf>
    <xf numFmtId="164" fontId="19" fillId="0" borderId="12" xfId="2" applyNumberFormat="1" applyFont="1" applyFill="1" applyBorder="1" applyAlignment="1">
      <alignment vertical="center"/>
    </xf>
    <xf numFmtId="164" fontId="3" fillId="0" borderId="12" xfId="2" applyNumberFormat="1" applyFont="1" applyFill="1" applyBorder="1" applyAlignment="1">
      <alignment vertical="center"/>
    </xf>
    <xf numFmtId="164" fontId="3" fillId="0" borderId="12" xfId="2" applyNumberFormat="1" applyFont="1" applyFill="1" applyBorder="1" applyAlignment="1">
      <alignment horizontal="right" vertical="center"/>
    </xf>
    <xf numFmtId="165" fontId="3" fillId="0" borderId="12" xfId="2" applyNumberFormat="1" applyFont="1" applyFill="1" applyBorder="1" applyAlignment="1">
      <alignment vertical="center"/>
    </xf>
    <xf numFmtId="164" fontId="22" fillId="0" borderId="12" xfId="2" applyNumberFormat="1" applyFont="1" applyFill="1" applyBorder="1" applyAlignment="1">
      <alignment vertical="center"/>
    </xf>
    <xf numFmtId="2" fontId="33" fillId="0" borderId="0" xfId="2" applyNumberFormat="1" applyFont="1" applyFill="1" applyBorder="1" applyAlignment="1">
      <alignment vertical="center"/>
    </xf>
    <xf numFmtId="2" fontId="66" fillId="0" borderId="0" xfId="2" applyNumberFormat="1" applyFont="1" applyFill="1" applyBorder="1" applyAlignment="1">
      <alignment vertical="center"/>
    </xf>
    <xf numFmtId="165" fontId="19" fillId="0" borderId="12" xfId="2" applyNumberFormat="1" applyFont="1" applyFill="1" applyBorder="1" applyAlignment="1">
      <alignment vertical="center"/>
    </xf>
    <xf numFmtId="165" fontId="22" fillId="0" borderId="12" xfId="2" applyNumberFormat="1" applyFont="1" applyFill="1" applyBorder="1" applyAlignment="1">
      <alignment vertical="center"/>
    </xf>
    <xf numFmtId="0" fontId="33" fillId="0" borderId="12" xfId="2" quotePrefix="1" applyFont="1" applyFill="1" applyBorder="1" applyAlignment="1">
      <alignment horizontal="left" vertical="center" wrapText="1"/>
    </xf>
    <xf numFmtId="2" fontId="71" fillId="0" borderId="0" xfId="2" applyNumberFormat="1" applyFont="1" applyFill="1" applyBorder="1" applyAlignment="1">
      <alignment vertical="center"/>
    </xf>
    <xf numFmtId="2" fontId="17" fillId="0" borderId="12" xfId="2" applyNumberFormat="1" applyFont="1" applyFill="1" applyBorder="1" applyAlignment="1">
      <alignment horizontal="center" vertical="center" wrapText="1" shrinkToFit="1"/>
    </xf>
    <xf numFmtId="164" fontId="14" fillId="0" borderId="12" xfId="4" applyNumberFormat="1" applyFont="1" applyFill="1" applyBorder="1" applyAlignment="1">
      <alignment horizontal="right" vertical="center"/>
    </xf>
    <xf numFmtId="164" fontId="17" fillId="0" borderId="12" xfId="4" applyNumberFormat="1" applyFont="1" applyFill="1" applyBorder="1" applyAlignment="1">
      <alignment horizontal="right" vertical="center"/>
    </xf>
    <xf numFmtId="164" fontId="18" fillId="0" borderId="12" xfId="4" applyNumberFormat="1" applyFont="1" applyFill="1" applyBorder="1" applyAlignment="1">
      <alignment horizontal="right" vertical="center"/>
    </xf>
    <xf numFmtId="0" fontId="17" fillId="0" borderId="12" xfId="2" applyFont="1" applyFill="1" applyBorder="1" applyAlignment="1">
      <alignment horizontal="center" vertical="center"/>
    </xf>
    <xf numFmtId="164" fontId="33" fillId="2" borderId="12" xfId="4" applyNumberFormat="1" applyFont="1" applyFill="1" applyBorder="1" applyAlignment="1">
      <alignment horizontal="right" vertical="center"/>
    </xf>
    <xf numFmtId="164" fontId="22" fillId="0" borderId="12" xfId="4" applyNumberFormat="1" applyFont="1" applyFill="1" applyBorder="1" applyAlignment="1">
      <alignment horizontal="right" vertical="center"/>
    </xf>
    <xf numFmtId="0" fontId="33" fillId="0" borderId="12" xfId="2" applyFont="1" applyFill="1" applyBorder="1" applyAlignment="1">
      <alignment horizontal="left" vertical="center" wrapText="1"/>
    </xf>
    <xf numFmtId="169" fontId="66" fillId="0" borderId="0" xfId="2" applyNumberFormat="1" applyFont="1" applyFill="1" applyBorder="1" applyAlignment="1">
      <alignment horizontal="right" vertical="center"/>
    </xf>
    <xf numFmtId="2" fontId="33" fillId="2" borderId="12" xfId="2" applyNumberFormat="1" applyFont="1" applyFill="1" applyBorder="1" applyAlignment="1">
      <alignment horizontal="center" vertical="center" wrapText="1" shrinkToFit="1"/>
    </xf>
    <xf numFmtId="164" fontId="18" fillId="2" borderId="12" xfId="2" applyNumberFormat="1" applyFont="1" applyFill="1" applyBorder="1" applyAlignment="1">
      <alignment horizontal="right" vertical="center"/>
    </xf>
    <xf numFmtId="164" fontId="17" fillId="0" borderId="12" xfId="2" applyNumberFormat="1" applyFont="1" applyFill="1" applyBorder="1" applyAlignment="1">
      <alignment horizontal="right" vertical="center"/>
    </xf>
    <xf numFmtId="164" fontId="17" fillId="2" borderId="12" xfId="2" applyNumberFormat="1" applyFont="1" applyFill="1" applyBorder="1" applyAlignment="1">
      <alignment horizontal="right" vertical="center"/>
    </xf>
    <xf numFmtId="0" fontId="17" fillId="0" borderId="12" xfId="2" applyFont="1" applyFill="1" applyBorder="1" applyAlignment="1">
      <alignment horizontal="justify" vertical="center" wrapText="1"/>
    </xf>
    <xf numFmtId="164" fontId="14" fillId="0" borderId="12" xfId="2" applyNumberFormat="1" applyFont="1" applyFill="1" applyBorder="1" applyAlignment="1">
      <alignment horizontal="right" vertical="center"/>
    </xf>
    <xf numFmtId="164" fontId="18" fillId="0" borderId="12" xfId="2" applyNumberFormat="1" applyFont="1" applyFill="1" applyBorder="1" applyAlignment="1">
      <alignment horizontal="right" vertical="center"/>
    </xf>
    <xf numFmtId="0" fontId="17" fillId="0" borderId="12" xfId="2" applyFont="1" applyFill="1" applyBorder="1" applyAlignment="1">
      <alignment vertical="center" wrapText="1" shrinkToFit="1"/>
    </xf>
    <xf numFmtId="0" fontId="48" fillId="0" borderId="0" xfId="2" applyFont="1" applyFill="1" applyAlignment="1">
      <alignment vertical="center"/>
    </xf>
    <xf numFmtId="2" fontId="48" fillId="0" borderId="0" xfId="2" applyNumberFormat="1" applyFont="1" applyFill="1" applyBorder="1" applyAlignment="1">
      <alignment vertical="center"/>
    </xf>
    <xf numFmtId="2" fontId="72" fillId="0" borderId="0" xfId="2" applyNumberFormat="1" applyFont="1" applyFill="1" applyBorder="1" applyAlignment="1">
      <alignment vertical="center"/>
    </xf>
    <xf numFmtId="164" fontId="25" fillId="0" borderId="12" xfId="4" applyNumberFormat="1" applyFont="1" applyFill="1" applyBorder="1" applyAlignment="1">
      <alignment horizontal="right" vertical="center"/>
    </xf>
    <xf numFmtId="164" fontId="48" fillId="0" borderId="12" xfId="4" applyNumberFormat="1" applyFont="1" applyFill="1" applyBorder="1" applyAlignment="1">
      <alignment horizontal="right" vertical="center"/>
    </xf>
    <xf numFmtId="164" fontId="48" fillId="2" borderId="12" xfId="4" applyNumberFormat="1" applyFont="1" applyFill="1" applyBorder="1" applyAlignment="1">
      <alignment horizontal="right" vertical="center"/>
    </xf>
    <xf numFmtId="0" fontId="48" fillId="0" borderId="12" xfId="2" quotePrefix="1" applyFont="1" applyFill="1" applyBorder="1" applyAlignment="1">
      <alignment horizontal="left" vertical="center" wrapText="1" indent="4"/>
    </xf>
    <xf numFmtId="2" fontId="48" fillId="0" borderId="12" xfId="2" applyNumberFormat="1" applyFont="1" applyFill="1" applyBorder="1" applyAlignment="1">
      <alignment horizontal="center" vertical="center" wrapText="1" shrinkToFit="1"/>
    </xf>
    <xf numFmtId="164" fontId="14" fillId="0" borderId="12" xfId="2" applyNumberFormat="1" applyFont="1" applyFill="1" applyBorder="1" applyAlignment="1">
      <alignment vertical="center"/>
    </xf>
    <xf numFmtId="3" fontId="18" fillId="0" borderId="12" xfId="2" applyNumberFormat="1" applyFont="1" applyFill="1" applyBorder="1" applyAlignment="1">
      <alignment horizontal="right" vertical="center"/>
    </xf>
    <xf numFmtId="164" fontId="17" fillId="0" borderId="12" xfId="2" applyNumberFormat="1" applyFont="1" applyFill="1" applyBorder="1" applyAlignment="1">
      <alignment vertical="center"/>
    </xf>
    <xf numFmtId="164" fontId="18" fillId="0" borderId="12" xfId="2" applyNumberFormat="1" applyFont="1" applyFill="1" applyBorder="1" applyAlignment="1">
      <alignment vertical="center"/>
    </xf>
    <xf numFmtId="0" fontId="48" fillId="0" borderId="12" xfId="2" quotePrefix="1" applyFont="1" applyFill="1" applyBorder="1" applyAlignment="1">
      <alignment horizontal="left" vertical="center" wrapText="1" indent="3"/>
    </xf>
    <xf numFmtId="164" fontId="18" fillId="2" borderId="12" xfId="2" applyNumberFormat="1" applyFont="1" applyFill="1" applyBorder="1" applyAlignment="1">
      <alignment vertical="center"/>
    </xf>
    <xf numFmtId="164" fontId="17" fillId="2" borderId="12" xfId="2" applyNumberFormat="1" applyFont="1" applyFill="1" applyBorder="1" applyAlignment="1">
      <alignment vertical="center"/>
    </xf>
    <xf numFmtId="168" fontId="20" fillId="0" borderId="12" xfId="2" applyNumberFormat="1" applyFont="1" applyFill="1" applyBorder="1" applyAlignment="1">
      <alignment horizontal="right" vertical="center"/>
    </xf>
    <xf numFmtId="164" fontId="3" fillId="0" borderId="12" xfId="4" applyNumberFormat="1" applyFont="1" applyFill="1" applyBorder="1" applyAlignment="1">
      <alignment horizontal="right" vertical="center"/>
    </xf>
    <xf numFmtId="164" fontId="19" fillId="5" borderId="12" xfId="4" applyNumberFormat="1" applyFont="1" applyFill="1" applyBorder="1" applyAlignment="1">
      <alignment horizontal="right" vertical="center"/>
    </xf>
    <xf numFmtId="0" fontId="73" fillId="0" borderId="12" xfId="2" applyFont="1" applyFill="1" applyBorder="1" applyAlignment="1">
      <alignment horizontal="center" vertical="center"/>
    </xf>
    <xf numFmtId="0" fontId="73" fillId="0" borderId="12" xfId="2" applyFont="1" applyFill="1" applyBorder="1" applyAlignment="1">
      <alignment vertical="center" wrapText="1"/>
    </xf>
    <xf numFmtId="0" fontId="74" fillId="0" borderId="12" xfId="2" applyFont="1" applyFill="1" applyBorder="1" applyAlignment="1">
      <alignment horizontal="center" vertical="center"/>
    </xf>
    <xf numFmtId="3" fontId="22" fillId="2" borderId="12" xfId="2" applyNumberFormat="1" applyFont="1" applyFill="1" applyBorder="1" applyAlignment="1">
      <alignment horizontal="right" vertical="center"/>
    </xf>
    <xf numFmtId="0" fontId="48" fillId="0" borderId="12" xfId="2" applyFont="1" applyFill="1" applyBorder="1" applyAlignment="1" applyProtection="1">
      <alignment horizontal="center" vertical="center"/>
    </xf>
    <xf numFmtId="0" fontId="48" fillId="0" borderId="12" xfId="2" applyFont="1" applyFill="1" applyBorder="1" applyAlignment="1" applyProtection="1">
      <alignment vertical="center" wrapText="1"/>
    </xf>
    <xf numFmtId="0" fontId="48" fillId="0" borderId="12" xfId="2" applyFont="1" applyFill="1" applyBorder="1" applyAlignment="1" applyProtection="1">
      <alignment horizontal="left" vertical="center" wrapText="1"/>
    </xf>
    <xf numFmtId="0" fontId="17" fillId="0" borderId="12" xfId="2" applyFont="1" applyFill="1" applyBorder="1" applyAlignment="1" applyProtection="1">
      <alignment horizontal="center" vertical="center"/>
    </xf>
    <xf numFmtId="0" fontId="17" fillId="0" borderId="12" xfId="2" applyFont="1" applyFill="1" applyBorder="1" applyAlignment="1" applyProtection="1">
      <alignment vertical="center" wrapText="1"/>
    </xf>
    <xf numFmtId="164" fontId="40" fillId="0" borderId="12" xfId="2" applyNumberFormat="1" applyFont="1" applyFill="1" applyBorder="1" applyAlignment="1">
      <alignment horizontal="right" vertical="center"/>
    </xf>
    <xf numFmtId="164" fontId="25" fillId="0" borderId="12" xfId="2" applyNumberFormat="1" applyFont="1" applyFill="1" applyBorder="1" applyAlignment="1">
      <alignment horizontal="right" vertical="center"/>
    </xf>
    <xf numFmtId="164" fontId="48" fillId="0" borderId="12" xfId="2" applyNumberFormat="1" applyFont="1" applyFill="1" applyBorder="1" applyAlignment="1">
      <alignment horizontal="right" vertical="center"/>
    </xf>
    <xf numFmtId="164" fontId="48" fillId="2" borderId="12" xfId="2" applyNumberFormat="1" applyFont="1" applyFill="1" applyBorder="1" applyAlignment="1">
      <alignment horizontal="right" vertical="center"/>
    </xf>
    <xf numFmtId="164" fontId="25" fillId="2" borderId="12" xfId="2" applyNumberFormat="1" applyFont="1" applyFill="1" applyBorder="1" applyAlignment="1">
      <alignment horizontal="right" vertical="center"/>
    </xf>
    <xf numFmtId="0" fontId="33" fillId="0" borderId="12" xfId="2" applyFont="1" applyFill="1" applyBorder="1" applyAlignment="1" applyProtection="1">
      <alignment horizontal="center" vertical="center"/>
    </xf>
    <xf numFmtId="0" fontId="33" fillId="0" borderId="12" xfId="2" applyFont="1" applyFill="1" applyBorder="1" applyAlignment="1" applyProtection="1">
      <alignment vertical="center" wrapText="1"/>
    </xf>
    <xf numFmtId="4" fontId="25" fillId="0" borderId="12" xfId="2" applyNumberFormat="1" applyFont="1" applyFill="1" applyBorder="1" applyAlignment="1">
      <alignment horizontal="right" vertical="center"/>
    </xf>
    <xf numFmtId="165" fontId="48" fillId="2" borderId="12" xfId="2" applyNumberFormat="1" applyFont="1" applyFill="1" applyBorder="1" applyAlignment="1">
      <alignment horizontal="right" vertical="center"/>
    </xf>
    <xf numFmtId="165" fontId="48" fillId="0" borderId="12" xfId="2" applyNumberFormat="1" applyFont="1" applyFill="1" applyBorder="1" applyAlignment="1">
      <alignment horizontal="right" vertical="center"/>
    </xf>
    <xf numFmtId="165" fontId="25" fillId="0" borderId="12" xfId="2" applyNumberFormat="1" applyFont="1" applyFill="1" applyBorder="1" applyAlignment="1">
      <alignment horizontal="right" vertical="center"/>
    </xf>
    <xf numFmtId="164" fontId="22" fillId="0" borderId="12" xfId="2" applyNumberFormat="1" applyFont="1" applyFill="1" applyBorder="1" applyAlignment="1">
      <alignment horizontal="right" vertical="center"/>
    </xf>
    <xf numFmtId="164" fontId="33" fillId="0" borderId="12" xfId="2" applyNumberFormat="1" applyFont="1" applyFill="1" applyBorder="1" applyAlignment="1">
      <alignment horizontal="right" vertical="center"/>
    </xf>
    <xf numFmtId="166" fontId="22" fillId="0" borderId="12" xfId="2" applyNumberFormat="1" applyFont="1" applyFill="1" applyBorder="1" applyAlignment="1">
      <alignment horizontal="right" vertical="center"/>
    </xf>
    <xf numFmtId="166" fontId="33" fillId="0" borderId="12" xfId="2" applyNumberFormat="1" applyFont="1" applyFill="1" applyBorder="1" applyAlignment="1">
      <alignment horizontal="right" vertical="center"/>
    </xf>
    <xf numFmtId="166" fontId="33" fillId="2" borderId="12" xfId="2" applyNumberFormat="1" applyFont="1" applyFill="1" applyBorder="1" applyAlignment="1">
      <alignment horizontal="right" vertical="center"/>
    </xf>
    <xf numFmtId="166" fontId="19" fillId="0" borderId="12" xfId="2" applyNumberFormat="1" applyFont="1" applyFill="1" applyBorder="1" applyAlignment="1">
      <alignment horizontal="right" vertical="center"/>
    </xf>
    <xf numFmtId="166" fontId="22" fillId="2" borderId="12" xfId="2" applyNumberFormat="1" applyFont="1" applyFill="1" applyBorder="1" applyAlignment="1">
      <alignment horizontal="right" vertical="center"/>
    </xf>
    <xf numFmtId="2" fontId="21" fillId="0" borderId="0" xfId="2" applyNumberFormat="1" applyFont="1" applyFill="1" applyBorder="1" applyAlignment="1">
      <alignment vertical="center"/>
    </xf>
    <xf numFmtId="2" fontId="75" fillId="0" borderId="0" xfId="2" applyNumberFormat="1" applyFont="1" applyFill="1" applyBorder="1" applyAlignment="1">
      <alignment vertical="center"/>
    </xf>
    <xf numFmtId="2" fontId="21" fillId="0" borderId="12" xfId="2" applyNumberFormat="1" applyFont="1" applyFill="1" applyBorder="1" applyAlignment="1">
      <alignment horizontal="center" vertical="center" wrapText="1" shrinkToFit="1"/>
    </xf>
    <xf numFmtId="168" fontId="21" fillId="0" borderId="12" xfId="2" applyNumberFormat="1" applyFont="1" applyFill="1" applyBorder="1" applyAlignment="1">
      <alignment horizontal="center" vertical="center"/>
    </xf>
    <xf numFmtId="166" fontId="25" fillId="0" borderId="12" xfId="4" applyNumberFormat="1" applyFont="1" applyFill="1" applyBorder="1" applyAlignment="1">
      <alignment horizontal="right" vertical="center"/>
    </xf>
    <xf numFmtId="166" fontId="48" fillId="0" borderId="12" xfId="4" applyNumberFormat="1" applyFont="1" applyFill="1" applyBorder="1" applyAlignment="1">
      <alignment horizontal="right" vertical="center"/>
    </xf>
    <xf numFmtId="166" fontId="48" fillId="2" borderId="12" xfId="4" applyNumberFormat="1" applyFont="1" applyFill="1" applyBorder="1" applyAlignment="1">
      <alignment horizontal="right" vertical="center"/>
    </xf>
    <xf numFmtId="166" fontId="40" fillId="0" borderId="12" xfId="4" applyNumberFormat="1" applyFont="1" applyFill="1" applyBorder="1" applyAlignment="1">
      <alignment horizontal="right" vertical="center"/>
    </xf>
    <xf numFmtId="0" fontId="21" fillId="0" borderId="12" xfId="2" applyFont="1" applyFill="1" applyBorder="1" applyAlignment="1">
      <alignment horizontal="center" vertical="center"/>
    </xf>
    <xf numFmtId="0" fontId="21" fillId="0" borderId="12" xfId="2" applyFont="1" applyFill="1" applyBorder="1" applyAlignment="1">
      <alignment vertical="center" wrapText="1"/>
    </xf>
    <xf numFmtId="164" fontId="33" fillId="2" borderId="12" xfId="2" applyNumberFormat="1" applyFont="1" applyFill="1" applyBorder="1" applyAlignment="1">
      <alignment horizontal="right" vertical="center"/>
    </xf>
    <xf numFmtId="2" fontId="76" fillId="0" borderId="0" xfId="2" applyNumberFormat="1" applyFont="1" applyFill="1" applyBorder="1" applyAlignment="1">
      <alignment vertical="center"/>
    </xf>
    <xf numFmtId="3" fontId="77" fillId="0" borderId="0" xfId="2" applyNumberFormat="1" applyFont="1" applyFill="1" applyBorder="1" applyAlignment="1">
      <alignment vertical="center"/>
    </xf>
    <xf numFmtId="4" fontId="76" fillId="0" borderId="0" xfId="2" applyNumberFormat="1" applyFont="1" applyFill="1" applyBorder="1" applyAlignment="1">
      <alignment vertical="center"/>
    </xf>
    <xf numFmtId="1" fontId="77" fillId="0" borderId="0" xfId="2" applyNumberFormat="1" applyFont="1" applyFill="1" applyBorder="1" applyAlignment="1">
      <alignment vertical="center"/>
    </xf>
    <xf numFmtId="1" fontId="66" fillId="0" borderId="0" xfId="2" applyNumberFormat="1" applyFont="1" applyFill="1" applyBorder="1" applyAlignment="1">
      <alignment vertical="center"/>
    </xf>
    <xf numFmtId="2" fontId="32" fillId="2" borderId="12" xfId="2" applyNumberFormat="1" applyFont="1" applyFill="1" applyBorder="1" applyAlignment="1">
      <alignment horizontal="center" vertical="center" wrapText="1" shrinkToFit="1"/>
    </xf>
    <xf numFmtId="168" fontId="32" fillId="2" borderId="12" xfId="2" applyNumberFormat="1" applyFont="1" applyFill="1" applyBorder="1" applyAlignment="1">
      <alignment horizontal="center" vertical="center"/>
    </xf>
    <xf numFmtId="168" fontId="19" fillId="2" borderId="12" xfId="2" applyNumberFormat="1" applyFont="1" applyFill="1" applyBorder="1" applyAlignment="1">
      <alignment horizontal="right" vertical="center"/>
    </xf>
    <xf numFmtId="164" fontId="32" fillId="2" borderId="12" xfId="4" applyNumberFormat="1" applyFont="1" applyFill="1" applyBorder="1" applyAlignment="1">
      <alignment horizontal="right" vertical="center"/>
    </xf>
    <xf numFmtId="0" fontId="32" fillId="2" borderId="12" xfId="2" applyFont="1" applyFill="1" applyBorder="1" applyAlignment="1">
      <alignment horizontal="center" vertical="center"/>
    </xf>
    <xf numFmtId="0" fontId="33" fillId="0" borderId="12" xfId="2" applyFont="1" applyFill="1" applyBorder="1" applyAlignment="1">
      <alignment horizontal="center" vertical="center" wrapText="1" shrinkToFit="1"/>
    </xf>
    <xf numFmtId="168" fontId="15" fillId="0" borderId="12" xfId="2" applyNumberFormat="1" applyFont="1" applyFill="1" applyBorder="1" applyAlignment="1">
      <alignment horizontal="center" vertical="center"/>
    </xf>
    <xf numFmtId="165" fontId="17" fillId="0" borderId="12" xfId="4" applyNumberFormat="1" applyFont="1" applyFill="1" applyBorder="1" applyAlignment="1">
      <alignment horizontal="right" vertical="center"/>
    </xf>
    <xf numFmtId="165" fontId="17" fillId="2" borderId="12" xfId="4" applyNumberFormat="1" applyFont="1" applyFill="1" applyBorder="1" applyAlignment="1">
      <alignment horizontal="right" vertical="center"/>
    </xf>
    <xf numFmtId="165" fontId="14" fillId="0" borderId="12" xfId="4" applyNumberFormat="1" applyFont="1" applyFill="1" applyBorder="1" applyAlignment="1">
      <alignment horizontal="right" vertical="center"/>
    </xf>
    <xf numFmtId="168" fontId="26" fillId="0" borderId="12" xfId="2" applyNumberFormat="1" applyFont="1" applyFill="1" applyBorder="1" applyAlignment="1">
      <alignment horizontal="center" vertical="center"/>
    </xf>
    <xf numFmtId="2" fontId="78" fillId="0" borderId="0" xfId="2" applyNumberFormat="1" applyFont="1" applyFill="1" applyBorder="1" applyAlignment="1">
      <alignment vertical="center"/>
    </xf>
    <xf numFmtId="166" fontId="17" fillId="0" borderId="12" xfId="4" applyNumberFormat="1" applyFont="1" applyFill="1" applyBorder="1" applyAlignment="1">
      <alignment horizontal="right" vertical="center"/>
    </xf>
    <xf numFmtId="166" fontId="17" fillId="2" borderId="12" xfId="4" applyNumberFormat="1" applyFont="1" applyFill="1" applyBorder="1" applyAlignment="1">
      <alignment horizontal="right" vertical="center"/>
    </xf>
    <xf numFmtId="166" fontId="14" fillId="0" borderId="12" xfId="4" applyNumberFormat="1" applyFont="1" applyFill="1" applyBorder="1" applyAlignment="1">
      <alignment horizontal="right" vertical="center"/>
    </xf>
    <xf numFmtId="2" fontId="33" fillId="0" borderId="12" xfId="2" applyNumberFormat="1" applyFont="1" applyFill="1" applyBorder="1" applyAlignment="1">
      <alignment horizontal="center" vertical="center" wrapText="1"/>
    </xf>
    <xf numFmtId="164" fontId="36" fillId="0" borderId="12" xfId="2" applyNumberFormat="1" applyFont="1" applyFill="1" applyBorder="1" applyAlignment="1">
      <alignment vertical="center"/>
    </xf>
    <xf numFmtId="164" fontId="35" fillId="2" borderId="12" xfId="2" applyNumberFormat="1" applyFont="1" applyFill="1" applyBorder="1" applyAlignment="1">
      <alignment vertical="center"/>
    </xf>
    <xf numFmtId="164" fontId="67" fillId="2" borderId="12" xfId="2" applyNumberFormat="1" applyFont="1" applyFill="1" applyBorder="1" applyAlignment="1">
      <alignment vertical="center"/>
    </xf>
    <xf numFmtId="164" fontId="67" fillId="0" borderId="12" xfId="2" applyNumberFormat="1" applyFont="1" applyFill="1" applyBorder="1" applyAlignment="1">
      <alignment vertical="center"/>
    </xf>
    <xf numFmtId="0" fontId="67" fillId="0" borderId="12" xfId="2" applyFont="1" applyFill="1" applyBorder="1" applyAlignment="1">
      <alignment horizontal="center" vertical="center"/>
    </xf>
    <xf numFmtId="0" fontId="67" fillId="0" borderId="12" xfId="2" applyFont="1" applyFill="1" applyBorder="1" applyAlignment="1">
      <alignment vertical="center" wrapText="1"/>
    </xf>
    <xf numFmtId="2" fontId="33" fillId="2" borderId="0" xfId="2" applyNumberFormat="1" applyFont="1" applyFill="1" applyBorder="1" applyAlignment="1">
      <alignment vertical="center"/>
    </xf>
    <xf numFmtId="2" fontId="66" fillId="2" borderId="0" xfId="2" applyNumberFormat="1" applyFont="1" applyFill="1" applyBorder="1" applyAlignment="1">
      <alignment vertical="center"/>
    </xf>
    <xf numFmtId="1" fontId="33" fillId="2" borderId="12" xfId="2" applyNumberFormat="1" applyFont="1" applyFill="1" applyBorder="1" applyAlignment="1">
      <alignment horizontal="center" vertical="center" wrapText="1" shrinkToFit="1"/>
    </xf>
    <xf numFmtId="168" fontId="20" fillId="2" borderId="12" xfId="2" applyNumberFormat="1" applyFont="1" applyFill="1" applyBorder="1" applyAlignment="1">
      <alignment horizontal="center" vertical="center"/>
    </xf>
    <xf numFmtId="166" fontId="19" fillId="2" borderId="12" xfId="2" applyNumberFormat="1" applyFont="1" applyFill="1" applyBorder="1" applyAlignment="1">
      <alignment horizontal="right" vertical="center"/>
    </xf>
    <xf numFmtId="164" fontId="22" fillId="2" borderId="12" xfId="2" applyNumberFormat="1" applyFont="1" applyFill="1" applyBorder="1" applyAlignment="1">
      <alignment horizontal="right" vertical="center"/>
    </xf>
    <xf numFmtId="0" fontId="33" fillId="2" borderId="12" xfId="2" applyFont="1" applyFill="1" applyBorder="1" applyAlignment="1">
      <alignment horizontal="center" vertical="center"/>
    </xf>
    <xf numFmtId="3" fontId="33" fillId="0" borderId="12" xfId="2" applyNumberFormat="1" applyFont="1" applyFill="1" applyBorder="1" applyAlignment="1">
      <alignment horizontal="left" vertical="center" wrapText="1"/>
    </xf>
    <xf numFmtId="1" fontId="17" fillId="0" borderId="12" xfId="2" applyNumberFormat="1" applyFont="1" applyFill="1" applyBorder="1" applyAlignment="1">
      <alignment horizontal="center" vertical="center" wrapText="1" shrinkToFit="1"/>
    </xf>
    <xf numFmtId="166" fontId="14" fillId="0" borderId="12" xfId="2" applyNumberFormat="1" applyFont="1" applyFill="1" applyBorder="1" applyAlignment="1">
      <alignment horizontal="right" vertical="center"/>
    </xf>
    <xf numFmtId="166" fontId="17" fillId="2" borderId="12" xfId="2" applyNumberFormat="1" applyFont="1" applyFill="1" applyBorder="1" applyAlignment="1">
      <alignment horizontal="right" vertical="center"/>
    </xf>
    <xf numFmtId="166" fontId="17" fillId="0" borderId="12" xfId="2" applyNumberFormat="1" applyFont="1" applyFill="1" applyBorder="1" applyAlignment="1">
      <alignment horizontal="right" vertical="center"/>
    </xf>
    <xf numFmtId="166" fontId="25" fillId="2" borderId="12" xfId="2" applyNumberFormat="1" applyFont="1" applyFill="1" applyBorder="1" applyAlignment="1">
      <alignment horizontal="right" vertical="center"/>
    </xf>
    <xf numFmtId="166" fontId="48" fillId="2" borderId="12" xfId="2" applyNumberFormat="1" applyFont="1" applyFill="1" applyBorder="1" applyAlignment="1">
      <alignment horizontal="right" vertical="center"/>
    </xf>
    <xf numFmtId="164" fontId="27" fillId="0" borderId="12" xfId="2" applyNumberFormat="1" applyFont="1" applyFill="1" applyBorder="1" applyAlignment="1">
      <alignment horizontal="right" vertical="center"/>
    </xf>
    <xf numFmtId="166" fontId="40" fillId="2" borderId="12" xfId="2" applyNumberFormat="1" applyFont="1" applyFill="1" applyBorder="1" applyAlignment="1">
      <alignment horizontal="right" vertical="center"/>
    </xf>
    <xf numFmtId="0" fontId="48" fillId="2" borderId="12" xfId="2" applyFont="1" applyFill="1" applyBorder="1" applyAlignment="1">
      <alignment horizontal="center" vertical="center"/>
    </xf>
    <xf numFmtId="164" fontId="22" fillId="5" borderId="12" xfId="2" applyNumberFormat="1" applyFont="1" applyFill="1" applyBorder="1" applyAlignment="1">
      <alignment horizontal="right" vertical="center"/>
    </xf>
    <xf numFmtId="164" fontId="33" fillId="5" borderId="12" xfId="2" applyNumberFormat="1" applyFont="1" applyFill="1" applyBorder="1" applyAlignment="1">
      <alignment horizontal="right" vertical="center"/>
    </xf>
    <xf numFmtId="164" fontId="21" fillId="5" borderId="12" xfId="2" applyNumberFormat="1" applyFont="1" applyFill="1" applyBorder="1" applyAlignment="1">
      <alignment horizontal="right" vertical="center"/>
    </xf>
    <xf numFmtId="166" fontId="33" fillId="5" borderId="12" xfId="2" applyNumberFormat="1" applyFont="1" applyFill="1" applyBorder="1" applyAlignment="1">
      <alignment horizontal="right" vertical="center"/>
    </xf>
    <xf numFmtId="0" fontId="33" fillId="2" borderId="12" xfId="2" applyFont="1" applyFill="1" applyBorder="1" applyAlignment="1">
      <alignment vertical="center" wrapText="1"/>
    </xf>
    <xf numFmtId="165" fontId="40" fillId="0" borderId="12" xfId="2" applyNumberFormat="1" applyFont="1" applyFill="1" applyBorder="1" applyAlignment="1">
      <alignment horizontal="right" vertical="center"/>
    </xf>
    <xf numFmtId="166" fontId="19" fillId="0" borderId="12" xfId="4" applyNumberFormat="1" applyFont="1" applyFill="1" applyBorder="1" applyAlignment="1">
      <alignment horizontal="right" vertical="center"/>
    </xf>
    <xf numFmtId="165" fontId="22" fillId="0" borderId="12" xfId="4" applyNumberFormat="1" applyFont="1" applyFill="1" applyBorder="1" applyAlignment="1">
      <alignment horizontal="right" vertical="center"/>
    </xf>
    <xf numFmtId="166" fontId="22" fillId="0" borderId="12" xfId="4" applyNumberFormat="1" applyFont="1" applyFill="1" applyBorder="1" applyAlignment="1">
      <alignment horizontal="right" vertical="center"/>
    </xf>
    <xf numFmtId="166" fontId="33" fillId="0" borderId="12" xfId="4" applyNumberFormat="1" applyFont="1" applyFill="1" applyBorder="1" applyAlignment="1">
      <alignment horizontal="right" vertical="center"/>
    </xf>
    <xf numFmtId="165" fontId="33" fillId="0" borderId="12" xfId="4" applyNumberFormat="1" applyFont="1" applyFill="1" applyBorder="1" applyAlignment="1">
      <alignment horizontal="right" vertical="center"/>
    </xf>
    <xf numFmtId="167" fontId="18" fillId="0" borderId="12" xfId="2" applyNumberFormat="1" applyFont="1" applyFill="1" applyBorder="1" applyAlignment="1">
      <alignment horizontal="right" vertical="center"/>
    </xf>
    <xf numFmtId="166" fontId="18" fillId="0" borderId="12" xfId="2" applyNumberFormat="1" applyFont="1" applyFill="1" applyBorder="1" applyAlignment="1">
      <alignment horizontal="right" vertical="center"/>
    </xf>
    <xf numFmtId="0" fontId="48" fillId="0" borderId="12" xfId="2" quotePrefix="1" applyFont="1" applyFill="1" applyBorder="1" applyAlignment="1">
      <alignment horizontal="left" vertical="center" wrapText="1"/>
    </xf>
    <xf numFmtId="2" fontId="66" fillId="0" borderId="0" xfId="2" applyNumberFormat="1" applyFont="1" applyFill="1" applyBorder="1" applyAlignment="1">
      <alignment vertical="center" wrapText="1"/>
    </xf>
    <xf numFmtId="166" fontId="25" fillId="2" borderId="12" xfId="4" applyNumberFormat="1" applyFont="1" applyFill="1" applyBorder="1" applyAlignment="1">
      <alignment horizontal="right" vertical="center"/>
    </xf>
    <xf numFmtId="1" fontId="33" fillId="0" borderId="12" xfId="2" applyNumberFormat="1" applyFont="1" applyFill="1" applyBorder="1" applyAlignment="1">
      <alignment horizontal="center" vertical="center" wrapText="1" shrinkToFit="1"/>
    </xf>
    <xf numFmtId="2" fontId="79" fillId="0" borderId="0" xfId="2" applyNumberFormat="1" applyFont="1" applyFill="1" applyBorder="1" applyAlignment="1">
      <alignment vertical="center"/>
    </xf>
    <xf numFmtId="1" fontId="74" fillId="0" borderId="12" xfId="2" applyNumberFormat="1" applyFont="1" applyFill="1" applyBorder="1" applyAlignment="1">
      <alignment horizontal="center" vertical="center" wrapText="1" shrinkToFit="1"/>
    </xf>
    <xf numFmtId="164" fontId="36" fillId="0" borderId="12" xfId="2" applyNumberFormat="1" applyFont="1" applyFill="1" applyBorder="1" applyAlignment="1">
      <alignment horizontal="right" vertical="center"/>
    </xf>
    <xf numFmtId="164" fontId="35" fillId="2" borderId="12" xfId="2" applyNumberFormat="1" applyFont="1" applyFill="1" applyBorder="1" applyAlignment="1">
      <alignment horizontal="right" vertical="center" wrapText="1"/>
    </xf>
    <xf numFmtId="164" fontId="35" fillId="0" borderId="12" xfId="2" applyNumberFormat="1" applyFont="1" applyFill="1" applyBorder="1" applyAlignment="1">
      <alignment horizontal="right" vertical="center" wrapText="1"/>
    </xf>
    <xf numFmtId="164" fontId="67" fillId="0" borderId="12" xfId="2" applyNumberFormat="1" applyFont="1" applyFill="1" applyBorder="1" applyAlignment="1">
      <alignment horizontal="right" vertical="center" wrapText="1"/>
    </xf>
    <xf numFmtId="164" fontId="67" fillId="2" borderId="12" xfId="2" applyNumberFormat="1" applyFont="1" applyFill="1" applyBorder="1" applyAlignment="1">
      <alignment horizontal="right" vertical="center" wrapText="1"/>
    </xf>
    <xf numFmtId="164" fontId="67" fillId="0" borderId="12" xfId="2" applyNumberFormat="1" applyFont="1" applyFill="1" applyBorder="1" applyAlignment="1">
      <alignment horizontal="right" vertical="center"/>
    </xf>
    <xf numFmtId="164" fontId="35" fillId="0" borderId="12" xfId="2" applyNumberFormat="1" applyFont="1" applyFill="1" applyBorder="1" applyAlignment="1">
      <alignment horizontal="right" vertical="center"/>
    </xf>
    <xf numFmtId="0" fontId="67" fillId="0" borderId="12" xfId="2" applyFont="1" applyFill="1" applyBorder="1" applyAlignment="1">
      <alignment horizontal="left" vertical="center" wrapText="1"/>
    </xf>
    <xf numFmtId="165" fontId="19" fillId="0" borderId="12" xfId="2" applyNumberFormat="1" applyFont="1" applyFill="1" applyBorder="1" applyAlignment="1">
      <alignment horizontal="right" vertical="center"/>
    </xf>
    <xf numFmtId="164" fontId="67" fillId="2" borderId="12" xfId="2" applyNumberFormat="1" applyFont="1" applyFill="1" applyBorder="1" applyAlignment="1">
      <alignment horizontal="right" vertical="center"/>
    </xf>
    <xf numFmtId="165" fontId="80" fillId="0" borderId="12" xfId="2" applyNumberFormat="1" applyFont="1" applyFill="1" applyBorder="1" applyAlignment="1">
      <alignment horizontal="right" vertical="center"/>
    </xf>
    <xf numFmtId="165" fontId="21" fillId="0" borderId="12" xfId="2" applyNumberFormat="1" applyFont="1" applyFill="1" applyBorder="1" applyAlignment="1">
      <alignment horizontal="right" vertical="center"/>
    </xf>
    <xf numFmtId="165" fontId="80" fillId="2" borderId="12" xfId="2" applyNumberFormat="1" applyFont="1" applyFill="1" applyBorder="1" applyAlignment="1">
      <alignment horizontal="right" vertical="center"/>
    </xf>
    <xf numFmtId="164" fontId="81" fillId="0" borderId="12" xfId="2" applyNumberFormat="1" applyFont="1" applyFill="1" applyBorder="1" applyAlignment="1">
      <alignment horizontal="right" vertical="center"/>
    </xf>
    <xf numFmtId="165" fontId="22" fillId="2" borderId="12" xfId="2" applyNumberFormat="1" applyFont="1" applyFill="1" applyBorder="1" applyAlignment="1">
      <alignment horizontal="right" vertical="center"/>
    </xf>
    <xf numFmtId="1" fontId="33" fillId="0" borderId="0" xfId="2" applyNumberFormat="1" applyFont="1" applyFill="1" applyBorder="1" applyAlignment="1">
      <alignment vertical="center"/>
    </xf>
    <xf numFmtId="166" fontId="33" fillId="2" borderId="12" xfId="4" applyNumberFormat="1" applyFont="1" applyFill="1" applyBorder="1" applyAlignment="1">
      <alignment horizontal="right" vertical="center"/>
    </xf>
    <xf numFmtId="166" fontId="22" fillId="2" borderId="12" xfId="4" applyNumberFormat="1" applyFont="1" applyFill="1" applyBorder="1" applyAlignment="1">
      <alignment horizontal="right" vertical="center"/>
    </xf>
    <xf numFmtId="166" fontId="36" fillId="0" borderId="12" xfId="2" applyNumberFormat="1" applyFont="1" applyFill="1" applyBorder="1" applyAlignment="1">
      <alignment horizontal="right" vertical="center"/>
    </xf>
    <xf numFmtId="166" fontId="35" fillId="0" borderId="12" xfId="2" applyNumberFormat="1" applyFont="1" applyFill="1" applyBorder="1" applyAlignment="1">
      <alignment horizontal="right" vertical="center"/>
    </xf>
    <xf numFmtId="166" fontId="67" fillId="0" borderId="12" xfId="2" applyNumberFormat="1" applyFont="1" applyFill="1" applyBorder="1" applyAlignment="1">
      <alignment horizontal="right" vertical="center"/>
    </xf>
    <xf numFmtId="166" fontId="67" fillId="2" borderId="12" xfId="2" applyNumberFormat="1" applyFont="1" applyFill="1" applyBorder="1" applyAlignment="1">
      <alignment horizontal="right" vertical="center"/>
    </xf>
    <xf numFmtId="0" fontId="25" fillId="0" borderId="0" xfId="2" applyFont="1" applyFill="1" applyAlignment="1">
      <alignment vertical="center"/>
    </xf>
    <xf numFmtId="2" fontId="25" fillId="0" borderId="0" xfId="2" applyNumberFormat="1" applyFont="1" applyFill="1" applyBorder="1" applyAlignment="1">
      <alignment vertical="center"/>
    </xf>
    <xf numFmtId="2" fontId="82" fillId="0" borderId="0" xfId="2" applyNumberFormat="1" applyFont="1" applyFill="1" applyBorder="1" applyAlignment="1">
      <alignment vertical="center"/>
    </xf>
    <xf numFmtId="2" fontId="25" fillId="0" borderId="12" xfId="2" applyNumberFormat="1" applyFont="1" applyFill="1" applyBorder="1" applyAlignment="1">
      <alignment horizontal="center" vertical="center" wrapText="1" shrinkToFit="1"/>
    </xf>
    <xf numFmtId="168" fontId="22" fillId="0" borderId="12" xfId="2" applyNumberFormat="1" applyFont="1" applyFill="1" applyBorder="1" applyAlignment="1">
      <alignment horizontal="center" vertical="center"/>
    </xf>
    <xf numFmtId="0" fontId="25" fillId="0" borderId="12" xfId="2" applyFont="1" applyFill="1" applyBorder="1" applyAlignment="1">
      <alignment horizontal="center" vertical="center"/>
    </xf>
    <xf numFmtId="0" fontId="25" fillId="0" borderId="12" xfId="2" applyFont="1" applyFill="1" applyBorder="1" applyAlignment="1">
      <alignment horizontal="left" vertical="center" wrapText="1"/>
    </xf>
    <xf numFmtId="2" fontId="22" fillId="0" borderId="12" xfId="2" applyNumberFormat="1" applyFont="1" applyFill="1" applyBorder="1" applyAlignment="1">
      <alignment horizontal="center" vertical="center" wrapText="1" shrinkToFit="1"/>
    </xf>
    <xf numFmtId="166" fontId="40" fillId="0" borderId="12" xfId="2" applyNumberFormat="1" applyFont="1" applyFill="1" applyBorder="1" applyAlignment="1">
      <alignment horizontal="right" vertical="center"/>
    </xf>
    <xf numFmtId="165" fontId="25" fillId="2" borderId="12" xfId="2" applyNumberFormat="1" applyFont="1" applyFill="1" applyBorder="1" applyAlignment="1">
      <alignment horizontal="right" vertical="center"/>
    </xf>
    <xf numFmtId="0" fontId="22" fillId="0" borderId="0" xfId="2" applyFont="1" applyFill="1" applyAlignment="1">
      <alignment vertical="center"/>
    </xf>
    <xf numFmtId="2" fontId="22" fillId="0" borderId="0" xfId="2" applyNumberFormat="1" applyFont="1" applyFill="1" applyBorder="1" applyAlignment="1">
      <alignment vertical="center"/>
    </xf>
    <xf numFmtId="2" fontId="83" fillId="0" borderId="0" xfId="2" applyNumberFormat="1" applyFont="1" applyFill="1" applyBorder="1" applyAlignment="1">
      <alignment vertical="center"/>
    </xf>
    <xf numFmtId="0" fontId="22" fillId="0" borderId="12" xfId="2" applyFont="1" applyFill="1" applyBorder="1" applyAlignment="1">
      <alignment horizontal="center" vertical="center"/>
    </xf>
    <xf numFmtId="0" fontId="22" fillId="0" borderId="12" xfId="2" applyFont="1" applyFill="1" applyBorder="1" applyAlignment="1">
      <alignment horizontal="left" vertical="center" wrapText="1"/>
    </xf>
    <xf numFmtId="4" fontId="22" fillId="0" borderId="12" xfId="2" applyNumberFormat="1" applyFont="1" applyFill="1" applyBorder="1" applyAlignment="1">
      <alignment horizontal="center" vertical="center"/>
    </xf>
    <xf numFmtId="0" fontId="18" fillId="0" borderId="0" xfId="2" applyFont="1" applyFill="1" applyAlignment="1">
      <alignment vertical="center"/>
    </xf>
    <xf numFmtId="166" fontId="18" fillId="2" borderId="12" xfId="2" applyNumberFormat="1" applyFont="1" applyFill="1" applyBorder="1" applyAlignment="1">
      <alignment horizontal="right" vertical="center"/>
    </xf>
    <xf numFmtId="0" fontId="18" fillId="0" borderId="12" xfId="2" applyFont="1" applyFill="1" applyBorder="1" applyAlignment="1">
      <alignment horizontal="center" vertical="center"/>
    </xf>
    <xf numFmtId="0" fontId="18" fillId="0" borderId="12" xfId="2" applyFont="1" applyFill="1" applyBorder="1" applyAlignment="1">
      <alignment vertical="center" wrapText="1"/>
    </xf>
    <xf numFmtId="0" fontId="35" fillId="0" borderId="0" xfId="2" applyFont="1" applyFill="1" applyAlignment="1">
      <alignment vertical="center"/>
    </xf>
    <xf numFmtId="164" fontId="35" fillId="0" borderId="12" xfId="2" applyNumberFormat="1" applyFont="1" applyFill="1" applyBorder="1" applyAlignment="1">
      <alignment vertical="center"/>
    </xf>
    <xf numFmtId="164" fontId="35" fillId="0" borderId="0" xfId="2" applyNumberFormat="1" applyFont="1" applyFill="1" applyBorder="1" applyAlignment="1">
      <alignment vertical="center"/>
    </xf>
    <xf numFmtId="0" fontId="35" fillId="0" borderId="12" xfId="2" applyFont="1" applyFill="1" applyBorder="1" applyAlignment="1">
      <alignment horizontal="center" vertical="center"/>
    </xf>
    <xf numFmtId="0" fontId="35" fillId="0" borderId="12" xfId="2" applyFont="1" applyFill="1" applyBorder="1" applyAlignment="1">
      <alignment vertical="center" wrapText="1"/>
    </xf>
    <xf numFmtId="167" fontId="25" fillId="0" borderId="12" xfId="2" applyNumberFormat="1" applyFont="1" applyFill="1" applyBorder="1" applyAlignment="1">
      <alignment horizontal="right" vertical="center"/>
    </xf>
    <xf numFmtId="164" fontId="40" fillId="2" borderId="12" xfId="2" applyNumberFormat="1" applyFont="1" applyFill="1" applyBorder="1" applyAlignment="1">
      <alignment horizontal="right" vertical="center"/>
    </xf>
    <xf numFmtId="2" fontId="84" fillId="0" borderId="12" xfId="2" applyNumberFormat="1" applyFont="1" applyFill="1" applyBorder="1" applyAlignment="1">
      <alignment horizontal="center" vertical="center" wrapText="1"/>
    </xf>
    <xf numFmtId="167" fontId="35" fillId="0" borderId="12" xfId="2" applyNumberFormat="1" applyFont="1" applyFill="1" applyBorder="1" applyAlignment="1">
      <alignment horizontal="right" vertical="center"/>
    </xf>
    <xf numFmtId="167" fontId="35" fillId="2" borderId="12" xfId="2" applyNumberFormat="1" applyFont="1" applyFill="1" applyBorder="1" applyAlignment="1">
      <alignment horizontal="right" vertical="center"/>
    </xf>
    <xf numFmtId="2" fontId="67" fillId="0" borderId="12" xfId="2" applyNumberFormat="1" applyFont="1" applyFill="1" applyBorder="1" applyAlignment="1">
      <alignment horizontal="center" vertical="center" wrapText="1" shrinkToFit="1"/>
    </xf>
    <xf numFmtId="3" fontId="35" fillId="0" borderId="12" xfId="2" applyNumberFormat="1" applyFont="1" applyFill="1" applyBorder="1" applyAlignment="1">
      <alignment horizontal="right" vertical="center"/>
    </xf>
    <xf numFmtId="164" fontId="36" fillId="2" borderId="12" xfId="2" applyNumberFormat="1" applyFont="1" applyFill="1" applyBorder="1" applyAlignment="1">
      <alignment horizontal="right" vertical="center"/>
    </xf>
    <xf numFmtId="166" fontId="36" fillId="2" borderId="12" xfId="2" applyNumberFormat="1" applyFont="1" applyFill="1" applyBorder="1" applyAlignment="1">
      <alignment horizontal="right" vertical="center"/>
    </xf>
    <xf numFmtId="164" fontId="14" fillId="2" borderId="12" xfId="2" applyNumberFormat="1" applyFont="1" applyFill="1" applyBorder="1" applyAlignment="1">
      <alignment horizontal="right" vertical="center"/>
    </xf>
    <xf numFmtId="2" fontId="18" fillId="0" borderId="0" xfId="2" applyNumberFormat="1" applyFont="1" applyFill="1" applyBorder="1" applyAlignment="1">
      <alignment vertical="center"/>
    </xf>
    <xf numFmtId="2" fontId="85" fillId="0" borderId="0" xfId="2" applyNumberFormat="1" applyFont="1" applyFill="1" applyBorder="1" applyAlignment="1">
      <alignment vertical="center"/>
    </xf>
    <xf numFmtId="2" fontId="18" fillId="0" borderId="12" xfId="2" applyNumberFormat="1" applyFont="1" applyFill="1" applyBorder="1" applyAlignment="1">
      <alignment horizontal="center" vertical="center" wrapText="1"/>
    </xf>
    <xf numFmtId="168" fontId="18" fillId="0" borderId="12" xfId="2" applyNumberFormat="1" applyFont="1" applyFill="1" applyBorder="1" applyAlignment="1">
      <alignment horizontal="center" vertical="center"/>
    </xf>
    <xf numFmtId="167" fontId="18" fillId="0" borderId="12" xfId="4" applyNumberFormat="1" applyFont="1" applyFill="1" applyBorder="1" applyAlignment="1">
      <alignment horizontal="right" vertical="center"/>
    </xf>
    <xf numFmtId="164" fontId="18" fillId="2" borderId="12" xfId="4" applyNumberFormat="1" applyFont="1" applyFill="1" applyBorder="1" applyAlignment="1">
      <alignment horizontal="right" vertical="center"/>
    </xf>
    <xf numFmtId="0" fontId="18" fillId="0" borderId="12" xfId="2" quotePrefix="1" applyFont="1" applyFill="1" applyBorder="1" applyAlignment="1">
      <alignment horizontal="left" vertical="center" wrapText="1"/>
    </xf>
    <xf numFmtId="166" fontId="25" fillId="0" borderId="12" xfId="2" applyNumberFormat="1" applyFont="1" applyFill="1" applyBorder="1" applyAlignment="1">
      <alignment horizontal="right" vertical="center"/>
    </xf>
    <xf numFmtId="3" fontId="85" fillId="0" borderId="0" xfId="2" applyNumberFormat="1" applyFont="1" applyFill="1" applyBorder="1" applyAlignment="1">
      <alignment vertical="center"/>
    </xf>
    <xf numFmtId="166" fontId="18" fillId="2" borderId="12" xfId="4" applyNumberFormat="1" applyFont="1" applyFill="1" applyBorder="1" applyAlignment="1">
      <alignment horizontal="right" vertical="center"/>
    </xf>
    <xf numFmtId="168" fontId="33" fillId="0" borderId="12" xfId="2" applyNumberFormat="1" applyFont="1" applyFill="1" applyBorder="1" applyAlignment="1">
      <alignment horizontal="center" vertical="center"/>
    </xf>
    <xf numFmtId="164" fontId="67" fillId="0" borderId="12" xfId="4" applyNumberFormat="1" applyFont="1" applyFill="1" applyBorder="1" applyAlignment="1">
      <alignment horizontal="right" vertical="center"/>
    </xf>
    <xf numFmtId="164" fontId="35" fillId="0" borderId="12" xfId="4" applyNumberFormat="1" applyFont="1" applyFill="1" applyBorder="1" applyAlignment="1">
      <alignment horizontal="right" vertical="center"/>
    </xf>
    <xf numFmtId="164" fontId="37" fillId="0" borderId="12" xfId="4" applyNumberFormat="1" applyFont="1" applyFill="1" applyBorder="1" applyAlignment="1">
      <alignment horizontal="right" vertical="center"/>
    </xf>
    <xf numFmtId="164" fontId="12" fillId="0" borderId="12" xfId="2" applyNumberFormat="1" applyFont="1" applyFill="1" applyBorder="1" applyAlignment="1">
      <alignment horizontal="right" vertical="center"/>
    </xf>
    <xf numFmtId="164" fontId="37" fillId="2" borderId="12" xfId="4" applyNumberFormat="1" applyFont="1" applyFill="1" applyBorder="1" applyAlignment="1">
      <alignment horizontal="right" vertical="center"/>
    </xf>
    <xf numFmtId="2" fontId="22" fillId="0" borderId="12" xfId="2" applyNumberFormat="1" applyFont="1" applyFill="1" applyBorder="1" applyAlignment="1">
      <alignment horizontal="center" vertical="center" wrapText="1"/>
    </xf>
    <xf numFmtId="165" fontId="22" fillId="2" borderId="12" xfId="4" applyNumberFormat="1" applyFont="1" applyFill="1" applyBorder="1" applyAlignment="1">
      <alignment horizontal="right" vertical="center"/>
    </xf>
    <xf numFmtId="0" fontId="22" fillId="0" borderId="12" xfId="2" quotePrefix="1" applyFont="1" applyFill="1" applyBorder="1" applyAlignment="1">
      <alignment horizontal="left" vertical="center" wrapText="1"/>
    </xf>
    <xf numFmtId="165" fontId="40" fillId="2" borderId="12" xfId="2" applyNumberFormat="1" applyFont="1" applyFill="1" applyBorder="1" applyAlignment="1">
      <alignment horizontal="right" vertical="center"/>
    </xf>
    <xf numFmtId="164" fontId="33" fillId="5" borderId="12" xfId="4" applyNumberFormat="1" applyFont="1" applyFill="1" applyBorder="1" applyAlignment="1">
      <alignment horizontal="right" vertical="center"/>
    </xf>
    <xf numFmtId="164" fontId="25" fillId="2" borderId="12" xfId="2" applyNumberFormat="1" applyFont="1" applyFill="1" applyBorder="1" applyAlignment="1">
      <alignment vertical="center"/>
    </xf>
    <xf numFmtId="164" fontId="35" fillId="2" borderId="12" xfId="2" applyNumberFormat="1" applyFont="1" applyFill="1" applyBorder="1" applyAlignment="1">
      <alignment horizontal="right" vertical="center"/>
    </xf>
    <xf numFmtId="164" fontId="40" fillId="0" borderId="12" xfId="2" applyNumberFormat="1" applyFont="1" applyFill="1" applyBorder="1" applyAlignment="1">
      <alignment vertical="center"/>
    </xf>
    <xf numFmtId="164" fontId="25" fillId="0" borderId="12" xfId="2" applyNumberFormat="1" applyFont="1" applyFill="1" applyBorder="1" applyAlignment="1">
      <alignment vertical="center"/>
    </xf>
    <xf numFmtId="164" fontId="48" fillId="0" borderId="12" xfId="2" applyNumberFormat="1" applyFont="1" applyFill="1" applyBorder="1" applyAlignment="1">
      <alignment vertical="center"/>
    </xf>
    <xf numFmtId="164" fontId="16" fillId="0" borderId="12" xfId="2" applyNumberFormat="1" applyFont="1" applyFill="1" applyBorder="1" applyAlignment="1">
      <alignment horizontal="right" vertical="center"/>
    </xf>
    <xf numFmtId="0" fontId="17" fillId="0" borderId="12" xfId="2" quotePrefix="1" applyFont="1" applyFill="1" applyBorder="1" applyAlignment="1">
      <alignment vertical="center" wrapText="1"/>
    </xf>
    <xf numFmtId="4" fontId="20" fillId="0" borderId="12" xfId="2" applyNumberFormat="1" applyFont="1" applyFill="1" applyBorder="1" applyAlignment="1">
      <alignment horizontal="center" vertical="center"/>
    </xf>
    <xf numFmtId="4" fontId="19" fillId="0" borderId="12" xfId="2" applyNumberFormat="1" applyFont="1" applyFill="1" applyBorder="1" applyAlignment="1">
      <alignment vertical="center"/>
    </xf>
    <xf numFmtId="167" fontId="22" fillId="0" borderId="12" xfId="2" applyNumberFormat="1" applyFont="1" applyFill="1" applyBorder="1" applyAlignment="1">
      <alignment vertical="center"/>
    </xf>
    <xf numFmtId="170" fontId="33" fillId="2" borderId="12" xfId="2" applyNumberFormat="1" applyFont="1" applyFill="1" applyBorder="1" applyAlignment="1">
      <alignment vertical="center"/>
    </xf>
    <xf numFmtId="167" fontId="21" fillId="2" borderId="12" xfId="2" applyNumberFormat="1" applyFont="1" applyFill="1" applyBorder="1" applyAlignment="1">
      <alignment vertical="center"/>
    </xf>
    <xf numFmtId="167" fontId="33" fillId="2" borderId="12" xfId="2" applyNumberFormat="1" applyFont="1" applyFill="1" applyBorder="1" applyAlignment="1">
      <alignment vertical="center"/>
    </xf>
    <xf numFmtId="4" fontId="33" fillId="2" borderId="12" xfId="2" applyNumberFormat="1" applyFont="1" applyFill="1" applyBorder="1" applyAlignment="1">
      <alignment vertical="center"/>
    </xf>
    <xf numFmtId="4" fontId="33" fillId="0" borderId="12" xfId="2" applyNumberFormat="1" applyFont="1" applyFill="1" applyBorder="1" applyAlignment="1">
      <alignment vertical="center"/>
    </xf>
    <xf numFmtId="3" fontId="19" fillId="0" borderId="12" xfId="2" applyNumberFormat="1" applyFont="1" applyFill="1" applyBorder="1" applyAlignment="1">
      <alignment vertical="center"/>
    </xf>
    <xf numFmtId="2" fontId="33" fillId="0" borderId="10" xfId="2" applyNumberFormat="1" applyFont="1" applyFill="1" applyBorder="1" applyAlignment="1">
      <alignment horizontal="center" vertical="center" wrapText="1" shrinkToFit="1"/>
    </xf>
    <xf numFmtId="3" fontId="20" fillId="0" borderId="10" xfId="2" applyNumberFormat="1" applyFont="1" applyFill="1" applyBorder="1" applyAlignment="1">
      <alignment horizontal="center" vertical="center"/>
    </xf>
    <xf numFmtId="3" fontId="19" fillId="0" borderId="10" xfId="2" applyNumberFormat="1" applyFont="1" applyFill="1" applyBorder="1" applyAlignment="1">
      <alignment vertical="center"/>
    </xf>
    <xf numFmtId="167" fontId="22" fillId="0" borderId="10" xfId="2" applyNumberFormat="1" applyFont="1" applyFill="1" applyBorder="1" applyAlignment="1">
      <alignment vertical="center"/>
    </xf>
    <xf numFmtId="3" fontId="33" fillId="0" borderId="10" xfId="2" applyNumberFormat="1" applyFont="1" applyFill="1" applyBorder="1" applyAlignment="1">
      <alignment vertical="center"/>
    </xf>
    <xf numFmtId="3" fontId="21" fillId="0" borderId="10" xfId="2" applyNumberFormat="1" applyFont="1" applyFill="1" applyBorder="1" applyAlignment="1">
      <alignment vertical="center"/>
    </xf>
    <xf numFmtId="3" fontId="33" fillId="2" borderId="10" xfId="2" applyNumberFormat="1" applyFont="1" applyFill="1" applyBorder="1" applyAlignment="1">
      <alignment vertical="center"/>
    </xf>
    <xf numFmtId="0" fontId="33" fillId="0" borderId="10" xfId="2" applyFont="1" applyFill="1" applyBorder="1" applyAlignment="1">
      <alignment horizontal="center" vertical="center"/>
    </xf>
    <xf numFmtId="0" fontId="17" fillId="0" borderId="10" xfId="2" applyFont="1" applyFill="1" applyBorder="1" applyAlignment="1">
      <alignment vertical="center" wrapText="1"/>
    </xf>
    <xf numFmtId="0" fontId="48" fillId="0" borderId="0" xfId="2" applyFont="1" applyFill="1" applyBorder="1" applyAlignment="1">
      <alignment horizontal="center" vertical="center"/>
    </xf>
    <xf numFmtId="0" fontId="72" fillId="0" borderId="0" xfId="2" applyFont="1" applyFill="1" applyBorder="1" applyAlignment="1">
      <alignment horizontal="center" vertical="center"/>
    </xf>
    <xf numFmtId="0" fontId="17" fillId="0" borderId="6" xfId="2" applyFont="1" applyFill="1" applyBorder="1" applyAlignment="1">
      <alignment horizontal="center" vertical="center" wrapText="1" shrinkToFit="1"/>
    </xf>
    <xf numFmtId="0" fontId="15" fillId="0" borderId="8" xfId="2" applyFont="1" applyFill="1" applyBorder="1" applyAlignment="1">
      <alignment horizontal="center" vertical="center" wrapText="1"/>
    </xf>
    <xf numFmtId="0" fontId="15" fillId="0" borderId="8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167" fontId="18" fillId="2" borderId="6" xfId="2" applyNumberFormat="1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8" xfId="2" applyFont="1" applyFill="1" applyBorder="1" applyAlignment="1">
      <alignment horizontal="center" vertical="center" wrapText="1"/>
    </xf>
    <xf numFmtId="0" fontId="17" fillId="0" borderId="6" xfId="2" applyFont="1" applyFill="1" applyBorder="1" applyAlignment="1">
      <alignment horizontal="center" vertical="center" wrapText="1"/>
    </xf>
    <xf numFmtId="0" fontId="86" fillId="0" borderId="0" xfId="2" applyFont="1" applyFill="1" applyBorder="1" applyAlignment="1">
      <alignment horizontal="center" vertical="center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6" xfId="2" applyFont="1" applyFill="1" applyBorder="1" applyAlignment="1">
      <alignment horizontal="center" vertical="center" wrapText="1"/>
    </xf>
    <xf numFmtId="0" fontId="14" fillId="0" borderId="16" xfId="2" applyFont="1" applyFill="1" applyBorder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71" fillId="0" borderId="0" xfId="2" applyFont="1" applyFill="1" applyAlignment="1">
      <alignment horizontal="center" vertical="center" wrapText="1"/>
    </xf>
    <xf numFmtId="0" fontId="48" fillId="0" borderId="0" xfId="2" applyFont="1" applyFill="1" applyAlignment="1">
      <alignment horizontal="center" vertical="center" wrapText="1"/>
    </xf>
    <xf numFmtId="0" fontId="26" fillId="0" borderId="0" xfId="2" applyFont="1" applyFill="1" applyAlignment="1">
      <alignment horizontal="center" vertical="center"/>
    </xf>
    <xf numFmtId="0" fontId="40" fillId="0" borderId="0" xfId="2" applyFont="1" applyFill="1" applyAlignment="1">
      <alignment vertical="center"/>
    </xf>
    <xf numFmtId="0" fontId="40" fillId="0" borderId="0" xfId="2" applyFont="1" applyFill="1" applyAlignment="1">
      <alignment horizontal="center" vertical="center"/>
    </xf>
    <xf numFmtId="167" fontId="25" fillId="0" borderId="0" xfId="2" applyNumberFormat="1" applyFont="1" applyFill="1" applyAlignment="1">
      <alignment horizontal="center" vertical="center"/>
    </xf>
    <xf numFmtId="0" fontId="48" fillId="0" borderId="0" xfId="2" applyFont="1" applyFill="1" applyAlignment="1">
      <alignment horizontal="center" vertical="center"/>
    </xf>
    <xf numFmtId="0" fontId="27" fillId="0" borderId="0" xfId="2" applyFont="1" applyFill="1" applyAlignment="1">
      <alignment horizontal="center" vertical="center"/>
    </xf>
    <xf numFmtId="0" fontId="48" fillId="2" borderId="0" xfId="2" applyFont="1" applyFill="1" applyAlignment="1">
      <alignment horizontal="center" vertical="center"/>
    </xf>
    <xf numFmtId="0" fontId="17" fillId="0" borderId="0" xfId="2" applyFont="1" applyFill="1" applyAlignment="1">
      <alignment horizontal="center" vertical="center"/>
    </xf>
    <xf numFmtId="0" fontId="48" fillId="0" borderId="0" xfId="2" applyFont="1" applyFill="1" applyAlignment="1">
      <alignment horizontal="center" vertical="center"/>
    </xf>
    <xf numFmtId="0" fontId="87" fillId="0" borderId="0" xfId="2" applyFont="1" applyFill="1" applyAlignment="1">
      <alignment horizontal="center" vertical="center" wrapText="1"/>
    </xf>
    <xf numFmtId="0" fontId="88" fillId="0" borderId="0" xfId="2" applyFont="1" applyFill="1" applyAlignment="1">
      <alignment horizontal="center" vertical="center" wrapText="1"/>
    </xf>
    <xf numFmtId="0" fontId="32" fillId="0" borderId="0" xfId="2" applyFont="1" applyFill="1" applyAlignment="1">
      <alignment horizontal="right" vertical="center" wrapText="1"/>
    </xf>
    <xf numFmtId="0" fontId="2" fillId="0" borderId="0" xfId="2" applyFont="1" applyFill="1" applyAlignment="1">
      <alignment horizontal="right" vertical="center" wrapText="1"/>
    </xf>
  </cellXfs>
  <cellStyles count="5">
    <cellStyle name="Normal" xfId="0" builtinId="0"/>
    <cellStyle name="Normal 10 2" xfId="4"/>
    <cellStyle name="Normal 11" xfId="2"/>
    <cellStyle name="Normal_So lieu BC KTXH 6 thang (18.6.2012 Chinh thucXD KH 2013)" xfId="1"/>
    <cellStyle name="Normal_So lieu BC KTXH 6 thang (18.6.2012 Chinh thucXD KH 2013)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247650</xdr:colOff>
      <xdr:row>3</xdr:row>
      <xdr:rowOff>19050</xdr:rowOff>
    </xdr:from>
    <xdr:to>
      <xdr:col>15</xdr:col>
      <xdr:colOff>457200</xdr:colOff>
      <xdr:row>3</xdr:row>
      <xdr:rowOff>20638</xdr:rowOff>
    </xdr:to>
    <xdr:cxnSp macro="">
      <xdr:nvCxnSpPr>
        <xdr:cNvPr id="3" name="Straight Connector 2"/>
        <xdr:cNvCxnSpPr/>
      </xdr:nvCxnSpPr>
      <xdr:spPr>
        <a:xfrm>
          <a:off x="4600575" y="628650"/>
          <a:ext cx="87630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390525</xdr:colOff>
      <xdr:row>3</xdr:row>
      <xdr:rowOff>28575</xdr:rowOff>
    </xdr:from>
    <xdr:to>
      <xdr:col>18</xdr:col>
      <xdr:colOff>152400</xdr:colOff>
      <xdr:row>3</xdr:row>
      <xdr:rowOff>30163</xdr:rowOff>
    </xdr:to>
    <xdr:cxnSp macro="">
      <xdr:nvCxnSpPr>
        <xdr:cNvPr id="2" name="Straight Connector 1"/>
        <xdr:cNvCxnSpPr/>
      </xdr:nvCxnSpPr>
      <xdr:spPr>
        <a:xfrm>
          <a:off x="10144125" y="600075"/>
          <a:ext cx="9810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%20BC%20hop%20H&#272;%206%20thang%202018%20(s&#432;a%20so%20lieu%20thu%20-%20chi%20NS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 &amp; Rung"/>
      <sheetName val="TN_2014_KH2015 (Dchinh)"/>
      <sheetName val="GTSX 6, 9, năm 2015"/>
      <sheetName val="Ho ngheo_TH 14_KH15"/>
      <sheetName val="Giảm nghèo 2016"/>
      <sheetName val="Dgia NQ PL I (chưa sửa)"/>
      <sheetName val="Dan so"/>
      <sheetName val="VHXH TH16_KH17"/>
      <sheetName val="6 thang 2018"/>
      <sheetName val="GTSX 6 thang 2018"/>
      <sheetName val="CF voi"/>
      <sheetName val="Dgia NQ PL I"/>
      <sheetName val="TH 2017_KH 2018 (So NQ)"/>
      <sheetName val="Ctiet UTH 17_KH 18"/>
      <sheetName val="Ctiet UTH 16_KH 17"/>
      <sheetName val="Dien tich rung"/>
      <sheetName val="GTSX 6, 9, năm 2016"/>
      <sheetName val="TH chi tieu"/>
      <sheetName val="b 007N BCCC"/>
      <sheetName val="b 007LN"/>
      <sheetName val=" B 04HN"/>
      <sheetName val="Gia dien"/>
      <sheetName val="Gia CĐ 2010"/>
      <sheetName val="TH14-KH15 (Chi tiet chung)"/>
      <sheetName val="HS huyen quan ly"/>
      <sheetName val="Thuyet minh"/>
      <sheetName val="phur lục 10"/>
      <sheetName val="Cao su (DN)"/>
      <sheetName val="CTMTQG_NTM"/>
      <sheetName val="TN 2014"/>
      <sheetName val="CT13-KH14 (Thao luan)"/>
      <sheetName val="CT13-KH14"/>
      <sheetName val="CSU DNghiep 2012 (Dchinh)"/>
      <sheetName val="CT12-KH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9">
          <cell r="D9">
            <v>21773</v>
          </cell>
        </row>
        <row r="10">
          <cell r="D10">
            <v>28115</v>
          </cell>
        </row>
        <row r="21">
          <cell r="D21">
            <v>28469</v>
          </cell>
        </row>
      </sheetData>
      <sheetData sheetId="7" refreshError="1"/>
      <sheetData sheetId="8" refreshError="1"/>
      <sheetData sheetId="9">
        <row r="7">
          <cell r="EG7">
            <v>373079.02347589139</v>
          </cell>
          <cell r="EX7">
            <v>804426.37630947493</v>
          </cell>
          <cell r="GV7">
            <v>193575.62180619052</v>
          </cell>
        </row>
        <row r="8">
          <cell r="DP8">
            <v>150033.57087999998</v>
          </cell>
          <cell r="EH8">
            <v>335559.88930491795</v>
          </cell>
          <cell r="EY8">
            <v>901279.4373400606</v>
          </cell>
          <cell r="GW8">
            <v>201526.10510666668</v>
          </cell>
        </row>
        <row r="32">
          <cell r="DP32">
            <v>7764.9000000000005</v>
          </cell>
        </row>
        <row r="34">
          <cell r="DP34">
            <v>16090</v>
          </cell>
          <cell r="EH34">
            <v>24267.244999999999</v>
          </cell>
          <cell r="EY34">
            <v>31387.5</v>
          </cell>
          <cell r="GW34">
            <v>16554</v>
          </cell>
        </row>
        <row r="37">
          <cell r="EH37">
            <v>10572.5</v>
          </cell>
          <cell r="EY37">
            <v>5958.7</v>
          </cell>
          <cell r="GW37">
            <v>4025</v>
          </cell>
        </row>
        <row r="43">
          <cell r="DO43">
            <v>469444.5170731828</v>
          </cell>
          <cell r="EG43">
            <v>658571.35280335392</v>
          </cell>
          <cell r="EX43">
            <v>980194.30147936614</v>
          </cell>
          <cell r="GV43">
            <v>426092.17791879352</v>
          </cell>
        </row>
        <row r="44">
          <cell r="DP44">
            <v>526488.61300000001</v>
          </cell>
          <cell r="EH44">
            <v>722081.66599999997</v>
          </cell>
          <cell r="EY44">
            <v>1082988.8541366665</v>
          </cell>
          <cell r="GW44">
            <v>552583.21057332167</v>
          </cell>
        </row>
        <row r="45">
          <cell r="DP45">
            <v>319264.755</v>
          </cell>
          <cell r="EC45">
            <v>59400</v>
          </cell>
          <cell r="EH45">
            <v>449955</v>
          </cell>
          <cell r="ET45">
            <v>79000</v>
          </cell>
          <cell r="EY45">
            <v>646516.25</v>
          </cell>
          <cell r="GW45">
            <v>446203.34062500001</v>
          </cell>
        </row>
        <row r="53">
          <cell r="EC53">
            <v>17250</v>
          </cell>
          <cell r="EU53">
            <v>19000</v>
          </cell>
        </row>
        <row r="54">
          <cell r="EC54">
            <v>15250</v>
          </cell>
          <cell r="ET54">
            <v>20333.333333333332</v>
          </cell>
        </row>
        <row r="55">
          <cell r="DK55">
            <v>3908</v>
          </cell>
          <cell r="DP55">
            <v>117353.32799999999</v>
          </cell>
          <cell r="EC55">
            <v>3276</v>
          </cell>
          <cell r="EH55">
            <v>119180.88</v>
          </cell>
          <cell r="ET55">
            <v>5210.53</v>
          </cell>
          <cell r="EY55">
            <v>196480.49883</v>
          </cell>
          <cell r="GR55">
            <v>1155.6640981818182</v>
          </cell>
          <cell r="GW55">
            <v>36753.020769988434</v>
          </cell>
        </row>
        <row r="59">
          <cell r="DK59">
            <v>1380</v>
          </cell>
          <cell r="DP59">
            <v>38800.080000000002</v>
          </cell>
          <cell r="EC59">
            <v>2746</v>
          </cell>
          <cell r="EH59">
            <v>77206.535999999993</v>
          </cell>
          <cell r="ET59">
            <v>2800</v>
          </cell>
          <cell r="EY59">
            <v>96742.8</v>
          </cell>
          <cell r="GR59">
            <v>1500</v>
          </cell>
          <cell r="GW59">
            <v>45750</v>
          </cell>
        </row>
        <row r="60">
          <cell r="DK60">
            <v>500</v>
          </cell>
          <cell r="DP60">
            <v>15126</v>
          </cell>
          <cell r="EC60">
            <v>819</v>
          </cell>
          <cell r="EH60">
            <v>28665</v>
          </cell>
          <cell r="ET60">
            <v>2900</v>
          </cell>
          <cell r="EY60">
            <v>100197.90000000001</v>
          </cell>
          <cell r="GW60">
            <v>0</v>
          </cell>
        </row>
        <row r="61">
          <cell r="DP61">
            <v>10927.025000000001</v>
          </cell>
          <cell r="EH61">
            <v>15923.375</v>
          </cell>
          <cell r="EY61">
            <v>23873.47</v>
          </cell>
          <cell r="GW61">
            <v>15313.048333333336</v>
          </cell>
        </row>
        <row r="62">
          <cell r="DK62">
            <v>10200</v>
          </cell>
          <cell r="DP62">
            <v>7650</v>
          </cell>
          <cell r="EC62">
            <v>15000</v>
          </cell>
          <cell r="EH62">
            <v>11250</v>
          </cell>
          <cell r="ET62">
            <v>20150</v>
          </cell>
          <cell r="EY62">
            <v>17127.5</v>
          </cell>
          <cell r="GW62">
            <v>8815.625</v>
          </cell>
        </row>
        <row r="63">
          <cell r="DK63">
            <v>416</v>
          </cell>
          <cell r="DP63">
            <v>561.6</v>
          </cell>
          <cell r="EC63">
            <v>600</v>
          </cell>
          <cell r="EH63">
            <v>810</v>
          </cell>
          <cell r="ET63">
            <v>812</v>
          </cell>
          <cell r="EY63">
            <v>1177.3999999999999</v>
          </cell>
          <cell r="GW63">
            <v>548.1</v>
          </cell>
        </row>
        <row r="64">
          <cell r="DK64">
            <v>3690</v>
          </cell>
          <cell r="EC64">
            <v>6150</v>
          </cell>
          <cell r="ET64">
            <v>8223</v>
          </cell>
        </row>
        <row r="65">
          <cell r="DK65">
            <v>1151.5</v>
          </cell>
          <cell r="EC65">
            <v>1837.5</v>
          </cell>
          <cell r="ET65">
            <v>2450</v>
          </cell>
        </row>
        <row r="71">
          <cell r="DP71">
            <v>69885</v>
          </cell>
          <cell r="EH71">
            <v>124852.93735415998</v>
          </cell>
          <cell r="EY71">
            <v>239398.67006821797</v>
          </cell>
          <cell r="GW71">
            <v>141589.17433333333</v>
          </cell>
        </row>
        <row r="72">
          <cell r="DP72">
            <v>44625</v>
          </cell>
          <cell r="EH72">
            <v>76252.937354159978</v>
          </cell>
          <cell r="EY72">
            <v>127723.67006821797</v>
          </cell>
          <cell r="GW72">
            <v>65000</v>
          </cell>
        </row>
        <row r="74">
          <cell r="DP74">
            <v>12160</v>
          </cell>
          <cell r="EH74">
            <v>22800</v>
          </cell>
          <cell r="GW74">
            <v>23333.333333333332</v>
          </cell>
        </row>
        <row r="80">
          <cell r="DO80">
            <v>273431.01427717949</v>
          </cell>
          <cell r="EG80">
            <v>408755.70764192304</v>
          </cell>
          <cell r="EX80">
            <v>566716.62949763029</v>
          </cell>
          <cell r="GV80">
            <v>316329.78158076922</v>
          </cell>
        </row>
        <row r="81">
          <cell r="DP81">
            <v>98034.611173000012</v>
          </cell>
          <cell r="EH81">
            <v>138594.1425595</v>
          </cell>
          <cell r="EY81">
            <v>202901.5042568646</v>
          </cell>
          <cell r="GW81">
            <v>118345.0505</v>
          </cell>
        </row>
        <row r="82">
          <cell r="DP82">
            <v>22126</v>
          </cell>
          <cell r="EH82">
            <v>31912.5</v>
          </cell>
          <cell r="EY82">
            <v>47719.9</v>
          </cell>
          <cell r="GW82">
            <v>23000</v>
          </cell>
        </row>
        <row r="83">
          <cell r="DP83">
            <v>75908.611173000012</v>
          </cell>
          <cell r="EH83">
            <v>106681.64255950002</v>
          </cell>
          <cell r="EY83">
            <v>155181.60425686461</v>
          </cell>
          <cell r="GW83">
            <v>95345.050499999998</v>
          </cell>
        </row>
        <row r="98">
          <cell r="DP98">
            <v>237623.72989599998</v>
          </cell>
          <cell r="EH98">
            <v>362573.79450000008</v>
          </cell>
          <cell r="EY98">
            <v>492766.25916005037</v>
          </cell>
          <cell r="GW98">
            <v>270354.15282000002</v>
          </cell>
        </row>
        <row r="103">
          <cell r="DP103">
            <v>104079.80799999999</v>
          </cell>
          <cell r="EH103">
            <v>166084.79999999999</v>
          </cell>
          <cell r="EY103">
            <v>221889.2928</v>
          </cell>
          <cell r="GW103">
            <v>121416.66666666667</v>
          </cell>
        </row>
        <row r="135">
          <cell r="EU135">
            <v>31.981278947700439</v>
          </cell>
        </row>
      </sheetData>
      <sheetData sheetId="10" refreshError="1"/>
      <sheetData sheetId="11" refreshError="1"/>
      <sheetData sheetId="12" refreshError="1"/>
      <sheetData sheetId="13">
        <row r="17">
          <cell r="J17">
            <v>55.100564935889295</v>
          </cell>
        </row>
        <row r="19">
          <cell r="J19">
            <v>781.16</v>
          </cell>
        </row>
        <row r="20">
          <cell r="J20">
            <v>49.98296891801936</v>
          </cell>
        </row>
        <row r="22">
          <cell r="J22">
            <v>825.4</v>
          </cell>
        </row>
        <row r="23">
          <cell r="J23">
            <v>12.501211533801794</v>
          </cell>
        </row>
        <row r="26">
          <cell r="J26">
            <v>18</v>
          </cell>
        </row>
        <row r="27">
          <cell r="J27">
            <v>36.388888888888886</v>
          </cell>
        </row>
        <row r="29">
          <cell r="J29">
            <v>220.88</v>
          </cell>
        </row>
        <row r="30">
          <cell r="J30">
            <v>44.292013763129304</v>
          </cell>
        </row>
        <row r="33">
          <cell r="J33">
            <v>3.5</v>
          </cell>
        </row>
        <row r="35">
          <cell r="J35">
            <v>99.66</v>
          </cell>
        </row>
        <row r="36">
          <cell r="J36">
            <v>313.02187437286773</v>
          </cell>
        </row>
        <row r="38">
          <cell r="J38">
            <v>7502.6</v>
          </cell>
        </row>
        <row r="42">
          <cell r="J42">
            <v>102</v>
          </cell>
        </row>
        <row r="43">
          <cell r="J43">
            <v>18.5</v>
          </cell>
        </row>
        <row r="45">
          <cell r="J45">
            <v>4.5</v>
          </cell>
        </row>
        <row r="47">
          <cell r="J47">
            <v>160</v>
          </cell>
        </row>
        <row r="48">
          <cell r="J48">
            <v>45</v>
          </cell>
        </row>
        <row r="61">
          <cell r="J61">
            <v>185.5</v>
          </cell>
        </row>
        <row r="66">
          <cell r="J66">
            <v>1428.6999999999998</v>
          </cell>
        </row>
        <row r="67">
          <cell r="J67">
            <v>285.5</v>
          </cell>
        </row>
        <row r="68">
          <cell r="J68">
            <v>772.3</v>
          </cell>
        </row>
        <row r="76">
          <cell r="J76">
            <v>6038.76</v>
          </cell>
        </row>
        <row r="77">
          <cell r="J77">
            <v>2.66</v>
          </cell>
        </row>
        <row r="78">
          <cell r="J78">
            <v>2759.46</v>
          </cell>
        </row>
        <row r="80">
          <cell r="J80">
            <v>18.077971777086823</v>
          </cell>
        </row>
        <row r="82">
          <cell r="J82">
            <v>5899.8</v>
          </cell>
        </row>
        <row r="83">
          <cell r="J83">
            <v>43.900000000000006</v>
          </cell>
        </row>
        <row r="84">
          <cell r="J84">
            <v>3691.5</v>
          </cell>
        </row>
        <row r="85">
          <cell r="J85">
            <v>15.003516185832316</v>
          </cell>
        </row>
        <row r="87">
          <cell r="J87">
            <v>2582</v>
          </cell>
        </row>
        <row r="88">
          <cell r="J88">
            <v>83</v>
          </cell>
        </row>
        <row r="90">
          <cell r="J90">
            <v>43.55</v>
          </cell>
        </row>
        <row r="91">
          <cell r="J91">
            <v>11.45</v>
          </cell>
        </row>
        <row r="92">
          <cell r="J92">
            <v>10.5</v>
          </cell>
        </row>
        <row r="93">
          <cell r="J93">
            <v>17.5</v>
          </cell>
        </row>
        <row r="95">
          <cell r="J95">
            <v>118.8</v>
          </cell>
        </row>
        <row r="97">
          <cell r="J97">
            <v>1</v>
          </cell>
        </row>
        <row r="100">
          <cell r="A100" t="str">
            <v>f) Cây Bạch đàn</v>
          </cell>
        </row>
        <row r="101">
          <cell r="A101" t="str">
            <v xml:space="preserve"> + DT trồng trên đất nông nghiệp (sắn bạc màu chuyển đổi)</v>
          </cell>
        </row>
        <row r="102">
          <cell r="A102" t="str">
            <v xml:space="preserve"> + DT trồng trên đất nông nghiệp (đất trống, đồi núi trọc)</v>
          </cell>
        </row>
        <row r="103">
          <cell r="J103">
            <v>325.8</v>
          </cell>
        </row>
        <row r="107">
          <cell r="J107">
            <v>550</v>
          </cell>
        </row>
        <row r="108">
          <cell r="J108">
            <v>8450</v>
          </cell>
        </row>
        <row r="109">
          <cell r="J109">
            <v>13935</v>
          </cell>
        </row>
        <row r="110">
          <cell r="J110">
            <v>110050</v>
          </cell>
        </row>
        <row r="111">
          <cell r="J111">
            <v>1500</v>
          </cell>
        </row>
        <row r="115">
          <cell r="J115">
            <v>39.995744680851068</v>
          </cell>
        </row>
        <row r="124">
          <cell r="J124">
            <v>307</v>
          </cell>
        </row>
        <row r="125">
          <cell r="J125">
            <v>319.5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B206"/>
  <sheetViews>
    <sheetView tabSelected="1" topLeftCell="J1" workbookViewId="0">
      <selection activeCell="W10" sqref="W10:Z30"/>
    </sheetView>
  </sheetViews>
  <sheetFormatPr defaultRowHeight="15.75"/>
  <cols>
    <col min="1" max="1" width="45.5703125" style="418" customWidth="1"/>
    <col min="2" max="2" width="9.5703125" style="419" bestFit="1" customWidth="1"/>
    <col min="3" max="4" width="9.5703125" style="75" hidden="1" customWidth="1"/>
    <col min="5" max="5" width="9.5703125" style="420" hidden="1" customWidth="1"/>
    <col min="6" max="6" width="11.5703125" style="420" hidden="1" customWidth="1"/>
    <col min="7" max="7" width="10" style="75" hidden="1" customWidth="1"/>
    <col min="8" max="8" width="9" style="75" hidden="1" customWidth="1"/>
    <col min="9" max="9" width="10.42578125" style="75" hidden="1" customWidth="1"/>
    <col min="10" max="10" width="10.140625" style="421" bestFit="1" customWidth="1"/>
    <col min="11" max="11" width="10.140625" style="422" hidden="1" customWidth="1"/>
    <col min="12" max="12" width="11.28515625" style="423" hidden="1" customWidth="1"/>
    <col min="13" max="13" width="10" style="75" bestFit="1" customWidth="1"/>
    <col min="14" max="15" width="9" style="75" hidden="1" customWidth="1"/>
    <col min="16" max="16" width="10" style="75" bestFit="1" customWidth="1"/>
    <col min="17" max="17" width="10" style="424" customWidth="1"/>
    <col min="18" max="18" width="11.7109375" style="424" customWidth="1"/>
    <col min="19" max="19" width="12" style="420" customWidth="1"/>
    <col min="20" max="20" width="11.85546875" style="90" customWidth="1"/>
    <col min="21" max="21" width="27.28515625" style="425" customWidth="1"/>
    <col min="22" max="22" width="30.85546875" style="2" customWidth="1"/>
    <col min="23" max="16384" width="9.140625" style="2"/>
  </cols>
  <sheetData>
    <row r="1" spans="1:19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194" ht="16.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194">
      <c r="A3" s="4" t="s">
        <v>245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194" s="15" customFormat="1" ht="12.75">
      <c r="A4" s="5"/>
      <c r="B4" s="6"/>
      <c r="C4" s="7"/>
      <c r="D4" s="7"/>
      <c r="E4" s="8"/>
      <c r="F4" s="8"/>
      <c r="G4" s="7"/>
      <c r="H4" s="7"/>
      <c r="I4" s="7"/>
      <c r="J4" s="9"/>
      <c r="K4" s="10"/>
      <c r="L4" s="11"/>
      <c r="M4" s="7"/>
      <c r="N4" s="7"/>
      <c r="O4" s="7"/>
      <c r="P4" s="7"/>
      <c r="Q4" s="12"/>
      <c r="R4" s="12"/>
      <c r="S4" s="8"/>
      <c r="T4" s="13"/>
      <c r="U4" s="14"/>
    </row>
    <row r="5" spans="1:194" s="26" customFormat="1">
      <c r="A5" s="16" t="s">
        <v>2</v>
      </c>
      <c r="B5" s="16" t="s">
        <v>3</v>
      </c>
      <c r="C5" s="17" t="s">
        <v>4</v>
      </c>
      <c r="D5" s="18"/>
      <c r="E5" s="18"/>
      <c r="F5" s="18"/>
      <c r="G5" s="19" t="s">
        <v>5</v>
      </c>
      <c r="H5" s="18" t="s">
        <v>6</v>
      </c>
      <c r="I5" s="18"/>
      <c r="J5" s="18"/>
      <c r="K5" s="18"/>
      <c r="L5" s="18"/>
      <c r="M5" s="20"/>
      <c r="N5" s="21"/>
      <c r="O5" s="22" t="s">
        <v>7</v>
      </c>
      <c r="P5" s="22"/>
      <c r="Q5" s="22"/>
      <c r="R5" s="22"/>
      <c r="S5" s="23" t="s">
        <v>8</v>
      </c>
      <c r="T5" s="24"/>
      <c r="U5" s="25" t="s">
        <v>9</v>
      </c>
    </row>
    <row r="6" spans="1:194" s="26" customFormat="1" ht="47.25">
      <c r="A6" s="27"/>
      <c r="B6" s="27"/>
      <c r="C6" s="28" t="s">
        <v>10</v>
      </c>
      <c r="D6" s="28" t="s">
        <v>11</v>
      </c>
      <c r="E6" s="29" t="s">
        <v>12</v>
      </c>
      <c r="F6" s="29" t="s">
        <v>13</v>
      </c>
      <c r="G6" s="30"/>
      <c r="H6" s="28" t="s">
        <v>14</v>
      </c>
      <c r="I6" s="28" t="s">
        <v>15</v>
      </c>
      <c r="J6" s="31" t="s">
        <v>16</v>
      </c>
      <c r="K6" s="32" t="s">
        <v>17</v>
      </c>
      <c r="L6" s="33" t="s">
        <v>18</v>
      </c>
      <c r="M6" s="34" t="s">
        <v>19</v>
      </c>
      <c r="N6" s="35"/>
      <c r="O6" s="34" t="s">
        <v>14</v>
      </c>
      <c r="P6" s="28" t="s">
        <v>15</v>
      </c>
      <c r="Q6" s="36" t="s">
        <v>20</v>
      </c>
      <c r="R6" s="36" t="s">
        <v>21</v>
      </c>
      <c r="S6" s="31" t="s">
        <v>22</v>
      </c>
      <c r="T6" s="31" t="s">
        <v>23</v>
      </c>
      <c r="U6" s="25"/>
    </row>
    <row r="7" spans="1:194" s="47" customFormat="1">
      <c r="A7" s="37" t="s">
        <v>24</v>
      </c>
      <c r="B7" s="38"/>
      <c r="C7" s="39"/>
      <c r="D7" s="39"/>
      <c r="E7" s="40"/>
      <c r="F7" s="40">
        <f>+F9+F12</f>
        <v>49205</v>
      </c>
      <c r="G7" s="41"/>
      <c r="H7" s="41"/>
      <c r="I7" s="41"/>
      <c r="J7" s="42"/>
      <c r="K7" s="43"/>
      <c r="L7" s="43"/>
      <c r="M7" s="41"/>
      <c r="N7" s="41"/>
      <c r="O7" s="41"/>
      <c r="P7" s="41"/>
      <c r="Q7" s="44"/>
      <c r="R7" s="44"/>
      <c r="S7" s="45"/>
      <c r="T7" s="45"/>
      <c r="U7" s="46"/>
      <c r="AH7" s="48"/>
      <c r="AK7" s="49"/>
      <c r="AL7" s="49"/>
      <c r="AM7" s="50"/>
      <c r="AN7" s="51"/>
      <c r="BD7" s="48"/>
      <c r="BG7" s="49"/>
      <c r="BH7" s="49"/>
      <c r="BI7" s="50"/>
      <c r="BJ7" s="51"/>
      <c r="BZ7" s="48"/>
      <c r="CC7" s="49"/>
      <c r="CD7" s="49"/>
      <c r="CE7" s="50"/>
      <c r="CF7" s="51"/>
      <c r="CV7" s="48"/>
      <c r="CY7" s="49"/>
      <c r="CZ7" s="49"/>
      <c r="DA7" s="50"/>
      <c r="DB7" s="51"/>
      <c r="DR7" s="48"/>
      <c r="DU7" s="49"/>
      <c r="DV7" s="49"/>
      <c r="DW7" s="50"/>
      <c r="DX7" s="51"/>
      <c r="EN7" s="48"/>
      <c r="EQ7" s="49"/>
      <c r="ER7" s="49"/>
      <c r="ES7" s="50"/>
      <c r="ET7" s="51"/>
      <c r="FJ7" s="48"/>
      <c r="FM7" s="49"/>
      <c r="FN7" s="49"/>
      <c r="FO7" s="50"/>
      <c r="FP7" s="51"/>
      <c r="GF7" s="48"/>
      <c r="GI7" s="49"/>
      <c r="GJ7" s="49"/>
      <c r="GK7" s="50"/>
      <c r="GL7" s="51"/>
    </row>
    <row r="8" spans="1:194">
      <c r="A8" s="52" t="s">
        <v>25</v>
      </c>
      <c r="B8" s="53" t="s">
        <v>26</v>
      </c>
      <c r="C8" s="54"/>
      <c r="D8" s="54"/>
      <c r="E8" s="55"/>
      <c r="F8" s="55"/>
      <c r="G8" s="54"/>
      <c r="H8" s="54"/>
      <c r="I8" s="54"/>
      <c r="J8" s="56"/>
      <c r="K8" s="57"/>
      <c r="L8" s="58"/>
      <c r="M8" s="54"/>
      <c r="N8" s="54"/>
      <c r="O8" s="54"/>
      <c r="P8" s="54"/>
      <c r="Q8" s="59"/>
      <c r="R8" s="59"/>
      <c r="S8" s="60"/>
      <c r="T8" s="60"/>
      <c r="U8" s="61"/>
    </row>
    <row r="9" spans="1:194">
      <c r="A9" s="52" t="s">
        <v>27</v>
      </c>
      <c r="B9" s="53" t="s">
        <v>28</v>
      </c>
      <c r="C9" s="62">
        <v>47609</v>
      </c>
      <c r="D9" s="59">
        <f>+F9</f>
        <v>48229</v>
      </c>
      <c r="E9" s="59">
        <v>47609</v>
      </c>
      <c r="F9" s="59">
        <v>48229</v>
      </c>
      <c r="G9" s="54">
        <v>48229</v>
      </c>
      <c r="H9" s="54"/>
      <c r="I9" s="54">
        <v>48605</v>
      </c>
      <c r="J9" s="56">
        <f>+M9</f>
        <v>49375</v>
      </c>
      <c r="K9" s="57">
        <f>+G15</f>
        <v>49205</v>
      </c>
      <c r="L9" s="58"/>
      <c r="M9" s="54">
        <v>49375</v>
      </c>
      <c r="N9" s="54">
        <f>+M9-K9</f>
        <v>170</v>
      </c>
      <c r="O9" s="54"/>
      <c r="P9" s="54">
        <v>50545</v>
      </c>
      <c r="Q9" s="59">
        <f>+M15</f>
        <v>50977</v>
      </c>
      <c r="R9" s="59">
        <f>Q9</f>
        <v>50977</v>
      </c>
      <c r="S9" s="63">
        <f>IF(ISERROR(R9/J9*100)," ",R9/J9*100)</f>
        <v>103.24455696202533</v>
      </c>
      <c r="T9" s="63">
        <f>IF(ISERROR(R9/P9*100)," ",R9/P9*100)</f>
        <v>100.85468394499951</v>
      </c>
      <c r="U9" s="61"/>
    </row>
    <row r="10" spans="1:194" s="73" customFormat="1" ht="20.25">
      <c r="A10" s="64" t="s">
        <v>29</v>
      </c>
      <c r="B10" s="65" t="s">
        <v>28</v>
      </c>
      <c r="C10" s="66">
        <v>20467</v>
      </c>
      <c r="D10" s="67">
        <v>23683.361217981688</v>
      </c>
      <c r="E10" s="67">
        <v>20467</v>
      </c>
      <c r="F10" s="67">
        <v>23683</v>
      </c>
      <c r="G10" s="67">
        <v>23683</v>
      </c>
      <c r="H10" s="68"/>
      <c r="I10" s="68">
        <v>23868</v>
      </c>
      <c r="J10" s="69">
        <f>+G16</f>
        <v>21773</v>
      </c>
      <c r="K10" s="70">
        <f>+G16</f>
        <v>21773</v>
      </c>
      <c r="L10" s="71"/>
      <c r="M10" s="68">
        <f>+G16</f>
        <v>21773</v>
      </c>
      <c r="N10" s="54">
        <f t="shared" ref="N10:N52" si="0">+M10-K10</f>
        <v>0</v>
      </c>
      <c r="O10" s="54"/>
      <c r="P10" s="68">
        <v>25331</v>
      </c>
      <c r="Q10" s="67">
        <f>+M16</f>
        <v>22333</v>
      </c>
      <c r="R10" s="67">
        <f>Q10</f>
        <v>22333</v>
      </c>
      <c r="S10" s="63">
        <f t="shared" ref="S10:S24" si="1">IF(ISERROR(R10/J10*100)," ",R10/J10*100)</f>
        <v>102.5719928351628</v>
      </c>
      <c r="T10" s="63">
        <f t="shared" ref="T10:T24" si="2">IF(ISERROR(R10/P10*100)," ",R10/P10*100)</f>
        <v>88.164699380206073</v>
      </c>
      <c r="U10" s="61"/>
      <c r="V10" s="72"/>
    </row>
    <row r="11" spans="1:194" s="73" customFormat="1" ht="20.25">
      <c r="A11" s="74" t="s">
        <v>30</v>
      </c>
      <c r="B11" s="65" t="s">
        <v>28</v>
      </c>
      <c r="C11" s="66">
        <f>47609-20747</f>
        <v>26862</v>
      </c>
      <c r="D11" s="67">
        <v>26931.041847546549</v>
      </c>
      <c r="E11" s="67">
        <f>47609-20747</f>
        <v>26862</v>
      </c>
      <c r="F11" s="67">
        <v>26931.041847546549</v>
      </c>
      <c r="G11" s="67">
        <v>26931.041847546549</v>
      </c>
      <c r="H11" s="68"/>
      <c r="I11" s="68">
        <v>27141</v>
      </c>
      <c r="J11" s="69">
        <f>+G17</f>
        <v>28115</v>
      </c>
      <c r="K11" s="70">
        <f>+G17</f>
        <v>28115</v>
      </c>
      <c r="L11" s="71"/>
      <c r="M11" s="68">
        <f>+G17</f>
        <v>28115</v>
      </c>
      <c r="N11" s="54">
        <f t="shared" si="0"/>
        <v>0</v>
      </c>
      <c r="O11" s="54"/>
      <c r="P11" s="68">
        <v>29012</v>
      </c>
      <c r="Q11" s="67">
        <f>+M17</f>
        <v>29335</v>
      </c>
      <c r="R11" s="67">
        <f>Q11</f>
        <v>29335</v>
      </c>
      <c r="S11" s="63">
        <f t="shared" si="1"/>
        <v>104.33932064734128</v>
      </c>
      <c r="T11" s="63">
        <f t="shared" si="2"/>
        <v>101.11333241417344</v>
      </c>
      <c r="U11" s="61"/>
      <c r="V11" s="72"/>
    </row>
    <row r="12" spans="1:194">
      <c r="A12" s="52" t="s">
        <v>31</v>
      </c>
      <c r="B12" s="53" t="s">
        <v>28</v>
      </c>
      <c r="C12" s="62">
        <v>737</v>
      </c>
      <c r="D12" s="59">
        <v>765</v>
      </c>
      <c r="E12" s="59">
        <v>996</v>
      </c>
      <c r="F12" s="59">
        <f>+F15-F9</f>
        <v>976</v>
      </c>
      <c r="G12" s="54">
        <v>976</v>
      </c>
      <c r="H12" s="54"/>
      <c r="I12" s="54">
        <v>800</v>
      </c>
      <c r="J12" s="56">
        <v>417</v>
      </c>
      <c r="K12" s="57">
        <f>+M12-125</f>
        <v>1477</v>
      </c>
      <c r="L12" s="58"/>
      <c r="M12" s="54">
        <f>+M13+M14</f>
        <v>1602</v>
      </c>
      <c r="N12" s="54">
        <f t="shared" si="0"/>
        <v>125</v>
      </c>
      <c r="O12" s="54"/>
      <c r="P12" s="54">
        <v>650</v>
      </c>
      <c r="Q12" s="59">
        <v>415</v>
      </c>
      <c r="R12" s="59">
        <v>422</v>
      </c>
      <c r="S12" s="63">
        <f t="shared" si="1"/>
        <v>101.19904076738608</v>
      </c>
      <c r="T12" s="63">
        <f t="shared" si="2"/>
        <v>64.923076923076934</v>
      </c>
      <c r="U12" s="61"/>
      <c r="W12" s="75"/>
    </row>
    <row r="13" spans="1:194" s="73" customFormat="1">
      <c r="A13" s="64" t="s">
        <v>32</v>
      </c>
      <c r="B13" s="65" t="s">
        <v>28</v>
      </c>
      <c r="C13" s="76">
        <v>410</v>
      </c>
      <c r="D13" s="67">
        <v>687</v>
      </c>
      <c r="E13" s="67">
        <v>802</v>
      </c>
      <c r="F13" s="67">
        <v>765</v>
      </c>
      <c r="G13" s="77">
        <v>765</v>
      </c>
      <c r="H13" s="77"/>
      <c r="I13" s="77">
        <v>790</v>
      </c>
      <c r="J13" s="69">
        <v>397</v>
      </c>
      <c r="K13" s="70">
        <f>+M13-125</f>
        <v>759</v>
      </c>
      <c r="L13" s="71"/>
      <c r="M13" s="77">
        <f>1085-201</f>
        <v>884</v>
      </c>
      <c r="N13" s="54">
        <f t="shared" si="0"/>
        <v>125</v>
      </c>
      <c r="O13" s="54"/>
      <c r="P13" s="77">
        <v>550</v>
      </c>
      <c r="Q13" s="67">
        <v>353</v>
      </c>
      <c r="R13" s="67">
        <v>359</v>
      </c>
      <c r="S13" s="63">
        <f t="shared" si="1"/>
        <v>90.428211586901767</v>
      </c>
      <c r="T13" s="63">
        <f t="shared" si="2"/>
        <v>65.272727272727266</v>
      </c>
      <c r="U13" s="78"/>
      <c r="W13" s="79"/>
      <c r="X13" s="79"/>
    </row>
    <row r="14" spans="1:194" s="73" customFormat="1">
      <c r="A14" s="80"/>
      <c r="B14" s="81"/>
      <c r="C14" s="76"/>
      <c r="D14" s="67"/>
      <c r="E14" s="67"/>
      <c r="F14" s="67"/>
      <c r="G14" s="77"/>
      <c r="H14" s="77"/>
      <c r="I14" s="77"/>
      <c r="J14" s="69"/>
      <c r="K14" s="70"/>
      <c r="L14" s="71"/>
      <c r="M14" s="77">
        <f>994-276</f>
        <v>718</v>
      </c>
      <c r="N14" s="54"/>
      <c r="O14" s="54"/>
      <c r="P14" s="77"/>
      <c r="Q14" s="67"/>
      <c r="R14" s="67"/>
      <c r="S14" s="63"/>
      <c r="T14" s="63"/>
      <c r="U14" s="78"/>
      <c r="W14" s="79"/>
      <c r="X14" s="79"/>
    </row>
    <row r="15" spans="1:194">
      <c r="A15" s="52" t="s">
        <v>33</v>
      </c>
      <c r="B15" s="53" t="s">
        <v>28</v>
      </c>
      <c r="C15" s="62">
        <f>+C9+C12</f>
        <v>48346</v>
      </c>
      <c r="D15" s="59">
        <f>+D9+D12</f>
        <v>48994</v>
      </c>
      <c r="E15" s="59">
        <f>+E9+E12</f>
        <v>48605</v>
      </c>
      <c r="F15" s="59">
        <v>49205</v>
      </c>
      <c r="G15" s="54">
        <v>49205</v>
      </c>
      <c r="H15" s="54">
        <v>49000</v>
      </c>
      <c r="I15" s="54">
        <v>49405</v>
      </c>
      <c r="J15" s="56">
        <f>+J12+J9</f>
        <v>49792</v>
      </c>
      <c r="K15" s="57">
        <f>+K9+K12</f>
        <v>50682</v>
      </c>
      <c r="L15" s="58"/>
      <c r="M15" s="54">
        <f>+M9+M12</f>
        <v>50977</v>
      </c>
      <c r="N15" s="54">
        <f t="shared" si="0"/>
        <v>295</v>
      </c>
      <c r="O15" s="54"/>
      <c r="P15" s="54">
        <v>51195</v>
      </c>
      <c r="Q15" s="59">
        <f>+Q9+Q12</f>
        <v>51392</v>
      </c>
      <c r="R15" s="59">
        <f>+R9+R12</f>
        <v>51399</v>
      </c>
      <c r="S15" s="63">
        <f t="shared" si="1"/>
        <v>103.22742609254499</v>
      </c>
      <c r="T15" s="63">
        <f t="shared" si="2"/>
        <v>100.39847641371227</v>
      </c>
      <c r="U15" s="82"/>
      <c r="V15" s="75">
        <f>+M15-50977</f>
        <v>0</v>
      </c>
    </row>
    <row r="16" spans="1:194" s="73" customFormat="1">
      <c r="A16" s="64" t="s">
        <v>29</v>
      </c>
      <c r="B16" s="65" t="s">
        <v>28</v>
      </c>
      <c r="C16" s="66">
        <f>+C10+C12/1.98</f>
        <v>20839.222222222223</v>
      </c>
      <c r="D16" s="67">
        <v>24059.022569694473</v>
      </c>
      <c r="E16" s="67">
        <v>23868</v>
      </c>
      <c r="F16" s="67">
        <f>+G16/G15*F15</f>
        <v>21773</v>
      </c>
      <c r="G16" s="77">
        <f>'[1]Dan so'!D9</f>
        <v>21773</v>
      </c>
      <c r="H16" s="77"/>
      <c r="I16" s="77">
        <v>24272.040404040403</v>
      </c>
      <c r="J16" s="69">
        <v>21955</v>
      </c>
      <c r="K16" s="70">
        <f>+M16-135</f>
        <v>22198</v>
      </c>
      <c r="L16" s="71"/>
      <c r="M16" s="77">
        <v>22333</v>
      </c>
      <c r="N16" s="54">
        <f t="shared" si="0"/>
        <v>135</v>
      </c>
      <c r="O16" s="54"/>
      <c r="P16" s="77">
        <v>25656</v>
      </c>
      <c r="Q16" s="67">
        <f>+Q10/Q9*Q15</f>
        <v>22514.811307060048</v>
      </c>
      <c r="R16" s="67">
        <f>+R10/R9*R15</f>
        <v>22517.878003805639</v>
      </c>
      <c r="S16" s="63">
        <f t="shared" si="1"/>
        <v>102.5637804773657</v>
      </c>
      <c r="T16" s="63">
        <f t="shared" si="2"/>
        <v>87.768467429862952</v>
      </c>
      <c r="U16" s="78"/>
    </row>
    <row r="17" spans="1:194" s="73" customFormat="1">
      <c r="A17" s="74" t="s">
        <v>30</v>
      </c>
      <c r="B17" s="65" t="s">
        <v>28</v>
      </c>
      <c r="C17" s="66" t="e">
        <f>#REF!/#REF!*C15</f>
        <v>#REF!</v>
      </c>
      <c r="D17" s="67">
        <v>27358.217343894659</v>
      </c>
      <c r="E17" s="67">
        <v>27141</v>
      </c>
      <c r="F17" s="67">
        <f>+G17/G15*F15</f>
        <v>28115.000000000004</v>
      </c>
      <c r="G17" s="77">
        <f>'[1]Dan so'!D10</f>
        <v>28115</v>
      </c>
      <c r="H17" s="77"/>
      <c r="I17" s="77">
        <v>27704.664139133358</v>
      </c>
      <c r="J17" s="69">
        <v>28350</v>
      </c>
      <c r="K17" s="70">
        <f>+M17-125</f>
        <v>29210</v>
      </c>
      <c r="L17" s="71"/>
      <c r="M17" s="70">
        <f>+M15-21642</f>
        <v>29335</v>
      </c>
      <c r="N17" s="54">
        <f t="shared" si="0"/>
        <v>125</v>
      </c>
      <c r="O17" s="54"/>
      <c r="P17" s="77">
        <v>28845</v>
      </c>
      <c r="Q17" s="67">
        <f>+Q11/Q9*Q15</f>
        <v>29573.814073013324</v>
      </c>
      <c r="R17" s="67">
        <f>+R11/R9*R15</f>
        <v>29577.842262196678</v>
      </c>
      <c r="S17" s="63">
        <f t="shared" si="1"/>
        <v>104.33101327053502</v>
      </c>
      <c r="T17" s="63">
        <f t="shared" si="2"/>
        <v>102.54062146714051</v>
      </c>
      <c r="U17" s="78"/>
    </row>
    <row r="18" spans="1:194">
      <c r="A18" s="52" t="s">
        <v>34</v>
      </c>
      <c r="B18" s="53" t="s">
        <v>28</v>
      </c>
      <c r="C18" s="62"/>
      <c r="D18" s="59"/>
      <c r="E18" s="59"/>
      <c r="F18" s="59">
        <v>48717</v>
      </c>
      <c r="G18" s="54">
        <f>+(G9+G15)/2</f>
        <v>48717</v>
      </c>
      <c r="H18" s="54"/>
      <c r="I18" s="54">
        <v>49005</v>
      </c>
      <c r="J18" s="54"/>
      <c r="K18" s="54"/>
      <c r="L18" s="83"/>
      <c r="M18" s="54">
        <f>+(M9+M15)/2</f>
        <v>50176</v>
      </c>
      <c r="N18" s="54">
        <f t="shared" si="0"/>
        <v>50176</v>
      </c>
      <c r="O18" s="54">
        <v>50500</v>
      </c>
      <c r="P18" s="54">
        <v>50870</v>
      </c>
      <c r="Q18" s="84">
        <f>+(Q9+Q15)/2</f>
        <v>51184.5</v>
      </c>
      <c r="R18" s="84">
        <f>+(R9+R15)/2</f>
        <v>51188</v>
      </c>
      <c r="S18" s="63" t="str">
        <f t="shared" si="1"/>
        <v xml:space="preserve"> </v>
      </c>
      <c r="T18" s="63">
        <f t="shared" si="2"/>
        <v>100.62512286219776</v>
      </c>
      <c r="U18" s="85"/>
      <c r="X18" s="86"/>
    </row>
    <row r="19" spans="1:194" s="90" customFormat="1">
      <c r="A19" s="87" t="s">
        <v>35</v>
      </c>
      <c r="B19" s="88"/>
      <c r="C19" s="55"/>
      <c r="D19" s="55"/>
      <c r="E19" s="55"/>
      <c r="F19" s="55"/>
      <c r="G19" s="55">
        <v>37406</v>
      </c>
      <c r="H19" s="55"/>
      <c r="I19" s="55">
        <f>+G19/G18*I18</f>
        <v>37627.132828376132</v>
      </c>
      <c r="J19" s="56"/>
      <c r="K19" s="57"/>
      <c r="L19" s="58"/>
      <c r="M19" s="55">
        <f>+I19/I18*M18</f>
        <v>38526.252765974918</v>
      </c>
      <c r="N19" s="54">
        <f t="shared" si="0"/>
        <v>38526.252765974918</v>
      </c>
      <c r="O19" s="54"/>
      <c r="P19" s="55">
        <v>39059.121456575733</v>
      </c>
      <c r="Q19" s="59"/>
      <c r="R19" s="59"/>
      <c r="S19" s="63" t="str">
        <f t="shared" si="1"/>
        <v xml:space="preserve"> </v>
      </c>
      <c r="T19" s="63">
        <f t="shared" si="2"/>
        <v>0</v>
      </c>
      <c r="U19" s="89"/>
    </row>
    <row r="20" spans="1:194" s="90" customFormat="1">
      <c r="A20" s="87" t="s">
        <v>36</v>
      </c>
      <c r="B20" s="88"/>
      <c r="C20" s="55"/>
      <c r="D20" s="55"/>
      <c r="E20" s="55"/>
      <c r="F20" s="55"/>
      <c r="G20" s="55">
        <v>28115</v>
      </c>
      <c r="H20" s="55"/>
      <c r="I20" s="55">
        <f>+G20/G18*I18</f>
        <v>28281.207278773323</v>
      </c>
      <c r="J20" s="56"/>
      <c r="K20" s="57"/>
      <c r="L20" s="58"/>
      <c r="M20" s="55">
        <f>+I20/I18*M18</f>
        <v>28957.0014573968</v>
      </c>
      <c r="N20" s="54">
        <f t="shared" si="0"/>
        <v>28957.0014573968</v>
      </c>
      <c r="O20" s="54"/>
      <c r="P20" s="55"/>
      <c r="Q20" s="59"/>
      <c r="R20" s="59"/>
      <c r="S20" s="63" t="str">
        <f t="shared" si="1"/>
        <v xml:space="preserve"> </v>
      </c>
      <c r="T20" s="63" t="str">
        <f t="shared" si="2"/>
        <v xml:space="preserve"> </v>
      </c>
      <c r="U20" s="89"/>
    </row>
    <row r="21" spans="1:194">
      <c r="A21" s="52" t="s">
        <v>37</v>
      </c>
      <c r="B21" s="53" t="s">
        <v>38</v>
      </c>
      <c r="C21" s="62"/>
      <c r="D21" s="59">
        <v>26699</v>
      </c>
      <c r="E21" s="59">
        <v>26699</v>
      </c>
      <c r="F21" s="59"/>
      <c r="G21" s="54">
        <v>28094</v>
      </c>
      <c r="H21" s="54"/>
      <c r="I21" s="54">
        <v>27138.444501594488</v>
      </c>
      <c r="J21" s="56">
        <f>+G21/G15*J15</f>
        <v>28429.152484503611</v>
      </c>
      <c r="K21" s="57">
        <f>+M21-120</f>
        <v>28349</v>
      </c>
      <c r="L21" s="58"/>
      <c r="M21" s="54">
        <f>+'[1]Dan so'!D21</f>
        <v>28469</v>
      </c>
      <c r="N21" s="54">
        <f t="shared" si="0"/>
        <v>120</v>
      </c>
      <c r="O21" s="54"/>
      <c r="P21" s="54">
        <v>28845</v>
      </c>
      <c r="Q21" s="59">
        <f>+M21/M15*Q15</f>
        <v>28700.764030837436</v>
      </c>
      <c r="R21" s="59">
        <f>+M21/M15*R15</f>
        <v>28704.673303646741</v>
      </c>
      <c r="S21" s="63">
        <f t="shared" si="1"/>
        <v>100.96914890197067</v>
      </c>
      <c r="T21" s="63">
        <f t="shared" si="2"/>
        <v>99.513514659895094</v>
      </c>
      <c r="U21" s="61"/>
    </row>
    <row r="22" spans="1:194" s="90" customFormat="1">
      <c r="A22" s="87"/>
      <c r="B22" s="88"/>
      <c r="C22" s="55"/>
      <c r="D22" s="55"/>
      <c r="E22" s="55"/>
      <c r="F22" s="55"/>
      <c r="G22" s="55">
        <f>G21-G21*10%</f>
        <v>25284.6</v>
      </c>
      <c r="H22" s="55"/>
      <c r="I22" s="55">
        <f>I21-I21*10%</f>
        <v>24424.600051435038</v>
      </c>
      <c r="J22" s="56"/>
      <c r="K22" s="57"/>
      <c r="L22" s="58"/>
      <c r="M22" s="55">
        <f>M21-M21*10%</f>
        <v>25622.1</v>
      </c>
      <c r="N22" s="54">
        <f t="shared" si="0"/>
        <v>25622.1</v>
      </c>
      <c r="O22" s="54"/>
      <c r="P22" s="55"/>
      <c r="Q22" s="59"/>
      <c r="R22" s="59"/>
      <c r="S22" s="63" t="str">
        <f t="shared" si="1"/>
        <v xml:space="preserve"> </v>
      </c>
      <c r="T22" s="63" t="str">
        <f t="shared" si="2"/>
        <v xml:space="preserve"> </v>
      </c>
      <c r="U22" s="91"/>
    </row>
    <row r="23" spans="1:194">
      <c r="A23" s="52" t="s">
        <v>39</v>
      </c>
      <c r="B23" s="53" t="s">
        <v>40</v>
      </c>
      <c r="C23" s="62"/>
      <c r="D23" s="92"/>
      <c r="E23" s="92">
        <v>1.667</v>
      </c>
      <c r="F23" s="59"/>
      <c r="G23" s="93">
        <f>+G13/G18*100</f>
        <v>1.5702937372990948</v>
      </c>
      <c r="H23" s="93"/>
      <c r="I23" s="93">
        <v>1.61</v>
      </c>
      <c r="J23" s="94"/>
      <c r="K23" s="95"/>
      <c r="L23" s="96"/>
      <c r="M23" s="93">
        <f>+M13/M18*100</f>
        <v>1.7617984693877553</v>
      </c>
      <c r="N23" s="97">
        <f t="shared" si="0"/>
        <v>1.7617984693877553</v>
      </c>
      <c r="O23" s="54"/>
      <c r="P23" s="93">
        <v>1.0811873402791428</v>
      </c>
      <c r="Q23" s="98"/>
      <c r="R23" s="98"/>
      <c r="S23" s="63" t="str">
        <f t="shared" si="1"/>
        <v xml:space="preserve"> </v>
      </c>
      <c r="T23" s="63">
        <f t="shared" si="2"/>
        <v>0</v>
      </c>
      <c r="U23" s="61"/>
      <c r="W23" s="75"/>
    </row>
    <row r="24" spans="1:194">
      <c r="A24" s="52" t="s">
        <v>41</v>
      </c>
      <c r="B24" s="53" t="s">
        <v>42</v>
      </c>
      <c r="C24" s="62"/>
      <c r="D24" s="94"/>
      <c r="E24" s="94">
        <v>0.73</v>
      </c>
      <c r="F24" s="94"/>
      <c r="G24" s="93">
        <v>0.73</v>
      </c>
      <c r="H24" s="93"/>
      <c r="I24" s="97">
        <v>1.5</v>
      </c>
      <c r="J24" s="99"/>
      <c r="K24" s="100"/>
      <c r="L24" s="96"/>
      <c r="M24" s="93">
        <v>1.1299999999999999</v>
      </c>
      <c r="N24" s="97">
        <f t="shared" si="0"/>
        <v>1.1299999999999999</v>
      </c>
      <c r="O24" s="54"/>
      <c r="P24" s="97">
        <v>1.1000000000000001</v>
      </c>
      <c r="Q24" s="98"/>
      <c r="R24" s="98"/>
      <c r="S24" s="63" t="str">
        <f t="shared" si="1"/>
        <v xml:space="preserve"> </v>
      </c>
      <c r="T24" s="63">
        <f t="shared" si="2"/>
        <v>0</v>
      </c>
      <c r="U24" s="61"/>
      <c r="W24" s="75"/>
    </row>
    <row r="25" spans="1:194" s="47" customFormat="1" ht="20.25">
      <c r="A25" s="101" t="s">
        <v>43</v>
      </c>
      <c r="B25" s="102"/>
      <c r="C25" s="103"/>
      <c r="D25" s="103"/>
      <c r="E25" s="104"/>
      <c r="F25" s="104"/>
      <c r="G25" s="105"/>
      <c r="H25" s="105"/>
      <c r="I25" s="105"/>
      <c r="J25" s="106"/>
      <c r="K25" s="107"/>
      <c r="L25" s="107"/>
      <c r="M25" s="105"/>
      <c r="N25" s="108">
        <v>0</v>
      </c>
      <c r="O25" s="108"/>
      <c r="P25" s="105"/>
      <c r="Q25" s="109"/>
      <c r="R25" s="109"/>
      <c r="S25" s="110" t="str">
        <f>IF(ISERROR(M25/G25*100)," ",M25/G25*100)</f>
        <v xml:space="preserve"> </v>
      </c>
      <c r="T25" s="110" t="str">
        <f t="shared" ref="T25:T88" si="3">IF(ISERROR(M25/I25*100)," ",M25/I25*100)</f>
        <v xml:space="preserve"> </v>
      </c>
      <c r="U25" s="111"/>
      <c r="V25" s="112"/>
      <c r="AH25" s="48"/>
      <c r="AK25" s="49"/>
      <c r="AL25" s="49"/>
      <c r="AM25" s="50"/>
      <c r="AN25" s="51"/>
      <c r="BD25" s="48"/>
      <c r="BG25" s="49"/>
      <c r="BH25" s="49"/>
      <c r="BI25" s="50"/>
      <c r="BJ25" s="51"/>
      <c r="BZ25" s="48"/>
      <c r="CC25" s="49"/>
      <c r="CD25" s="49"/>
      <c r="CE25" s="50"/>
      <c r="CF25" s="51"/>
      <c r="CV25" s="48"/>
      <c r="CY25" s="49"/>
      <c r="CZ25" s="49"/>
      <c r="DA25" s="50"/>
      <c r="DB25" s="51"/>
      <c r="DR25" s="48"/>
      <c r="DU25" s="49"/>
      <c r="DV25" s="49"/>
      <c r="DW25" s="50"/>
      <c r="DX25" s="51"/>
      <c r="EN25" s="48"/>
      <c r="EQ25" s="49"/>
      <c r="ER25" s="49"/>
      <c r="ES25" s="50"/>
      <c r="ET25" s="51"/>
      <c r="FJ25" s="48"/>
      <c r="FM25" s="49"/>
      <c r="FN25" s="49"/>
      <c r="FO25" s="50"/>
      <c r="FP25" s="51"/>
      <c r="GF25" s="48"/>
      <c r="GI25" s="49"/>
      <c r="GJ25" s="49"/>
      <c r="GK25" s="50"/>
      <c r="GL25" s="51"/>
    </row>
    <row r="26" spans="1:194" s="121" customFormat="1">
      <c r="A26" s="113" t="s">
        <v>44</v>
      </c>
      <c r="B26" s="114" t="s">
        <v>45</v>
      </c>
      <c r="C26" s="115" t="e">
        <f t="shared" ref="C26:D26" si="4">SUM(C27:C29)</f>
        <v>#REF!</v>
      </c>
      <c r="D26" s="115" t="e">
        <f t="shared" si="4"/>
        <v>#REF!</v>
      </c>
      <c r="E26" s="115" t="e">
        <f t="shared" ref="E26" si="5">SUM(E27:E29)</f>
        <v>#REF!</v>
      </c>
      <c r="F26" s="115"/>
      <c r="G26" s="116">
        <v>135</v>
      </c>
      <c r="H26" s="116"/>
      <c r="I26" s="116">
        <v>135</v>
      </c>
      <c r="J26" s="117">
        <v>125</v>
      </c>
      <c r="K26" s="117">
        <v>125</v>
      </c>
      <c r="L26" s="118">
        <v>125</v>
      </c>
      <c r="M26" s="116">
        <v>125</v>
      </c>
      <c r="N26" s="54">
        <v>0</v>
      </c>
      <c r="O26" s="119">
        <f>SUM(O27:O29)</f>
        <v>145</v>
      </c>
      <c r="P26" s="119">
        <f>SUM(P27:P29)</f>
        <v>145</v>
      </c>
      <c r="Q26" s="119">
        <f>SUM(Q27:Q29)</f>
        <v>135</v>
      </c>
      <c r="R26" s="119">
        <f>SUM(R27:R29)</f>
        <v>135</v>
      </c>
      <c r="S26" s="63">
        <f t="shared" ref="S26:S80" si="6">IF(ISERROR(R26/J26*100)," ",R26/J26*100)</f>
        <v>108</v>
      </c>
      <c r="T26" s="63">
        <f t="shared" ref="T26:T80" si="7">IF(ISERROR(R26/P26*100)," ",R26/P26*100)</f>
        <v>93.103448275862064</v>
      </c>
      <c r="U26" s="120"/>
    </row>
    <row r="27" spans="1:194">
      <c r="A27" s="122" t="s">
        <v>46</v>
      </c>
      <c r="B27" s="53" t="s">
        <v>45</v>
      </c>
      <c r="C27" s="123" t="e">
        <f>#REF!</f>
        <v>#REF!</v>
      </c>
      <c r="D27" s="123" t="e">
        <f>#REF!</f>
        <v>#REF!</v>
      </c>
      <c r="E27" s="123" t="e">
        <f>#REF!</f>
        <v>#REF!</v>
      </c>
      <c r="F27" s="123"/>
      <c r="G27" s="124">
        <v>60</v>
      </c>
      <c r="H27" s="124"/>
      <c r="I27" s="124">
        <v>60</v>
      </c>
      <c r="J27" s="125">
        <v>60</v>
      </c>
      <c r="K27" s="125">
        <v>60</v>
      </c>
      <c r="L27" s="126">
        <v>60</v>
      </c>
      <c r="M27" s="124">
        <v>60</v>
      </c>
      <c r="N27" s="54">
        <v>0</v>
      </c>
      <c r="O27" s="54">
        <v>70</v>
      </c>
      <c r="P27" s="124">
        <v>70</v>
      </c>
      <c r="Q27" s="124">
        <v>70</v>
      </c>
      <c r="R27" s="124">
        <v>70</v>
      </c>
      <c r="S27" s="63">
        <f t="shared" si="6"/>
        <v>116.66666666666667</v>
      </c>
      <c r="T27" s="63">
        <f t="shared" si="7"/>
        <v>100</v>
      </c>
      <c r="U27" s="61"/>
    </row>
    <row r="28" spans="1:194">
      <c r="A28" s="122" t="s">
        <v>47</v>
      </c>
      <c r="B28" s="53" t="s">
        <v>45</v>
      </c>
      <c r="C28" s="123" t="e">
        <f>#REF!</f>
        <v>#REF!</v>
      </c>
      <c r="D28" s="123" t="e">
        <f>#REF!</f>
        <v>#REF!</v>
      </c>
      <c r="E28" s="123" t="e">
        <f>#REF!</f>
        <v>#REF!</v>
      </c>
      <c r="F28" s="123"/>
      <c r="G28" s="124">
        <v>55</v>
      </c>
      <c r="H28" s="124"/>
      <c r="I28" s="124">
        <v>55</v>
      </c>
      <c r="J28" s="125">
        <v>45</v>
      </c>
      <c r="K28" s="125">
        <v>45</v>
      </c>
      <c r="L28" s="126">
        <v>45</v>
      </c>
      <c r="M28" s="124">
        <v>45</v>
      </c>
      <c r="N28" s="54">
        <v>0</v>
      </c>
      <c r="O28" s="54">
        <v>55</v>
      </c>
      <c r="P28" s="124">
        <v>55</v>
      </c>
      <c r="Q28" s="124">
        <v>55</v>
      </c>
      <c r="R28" s="124">
        <v>55</v>
      </c>
      <c r="S28" s="63">
        <f t="shared" si="6"/>
        <v>122.22222222222223</v>
      </c>
      <c r="T28" s="63">
        <f t="shared" si="7"/>
        <v>100</v>
      </c>
      <c r="U28" s="127"/>
    </row>
    <row r="29" spans="1:194">
      <c r="A29" s="122" t="s">
        <v>48</v>
      </c>
      <c r="B29" s="53" t="s">
        <v>45</v>
      </c>
      <c r="C29" s="123">
        <v>20</v>
      </c>
      <c r="D29" s="123">
        <v>20</v>
      </c>
      <c r="E29" s="123">
        <v>20</v>
      </c>
      <c r="F29" s="123"/>
      <c r="G29" s="124">
        <v>20</v>
      </c>
      <c r="H29" s="124"/>
      <c r="I29" s="124">
        <v>20</v>
      </c>
      <c r="J29" s="125">
        <v>20</v>
      </c>
      <c r="K29" s="125">
        <v>20</v>
      </c>
      <c r="L29" s="126">
        <v>20</v>
      </c>
      <c r="M29" s="124">
        <v>20</v>
      </c>
      <c r="N29" s="54">
        <v>0</v>
      </c>
      <c r="O29" s="54">
        <v>20</v>
      </c>
      <c r="P29" s="124">
        <v>20</v>
      </c>
      <c r="Q29" s="124">
        <v>10</v>
      </c>
      <c r="R29" s="124">
        <v>10</v>
      </c>
      <c r="S29" s="63">
        <f t="shared" si="6"/>
        <v>50</v>
      </c>
      <c r="T29" s="63">
        <f t="shared" si="7"/>
        <v>50</v>
      </c>
      <c r="U29" s="128" t="s">
        <v>49</v>
      </c>
    </row>
    <row r="30" spans="1:194">
      <c r="A30" s="122" t="s">
        <v>50</v>
      </c>
      <c r="B30" s="53" t="s">
        <v>45</v>
      </c>
      <c r="C30" s="129"/>
      <c r="D30" s="129"/>
      <c r="E30" s="130"/>
      <c r="F30" s="130"/>
      <c r="G30" s="131">
        <v>27.711065952336966</v>
      </c>
      <c r="H30" s="131"/>
      <c r="I30" s="124">
        <v>27.548209366391184</v>
      </c>
      <c r="J30" s="132">
        <v>25.190439724315826</v>
      </c>
      <c r="K30" s="133"/>
      <c r="L30" s="134">
        <v>28</v>
      </c>
      <c r="M30" s="135">
        <v>25.037556334501755</v>
      </c>
      <c r="N30" s="54">
        <v>25.037556334501755</v>
      </c>
      <c r="O30" s="54"/>
      <c r="P30" s="135">
        <v>24.666995559940801</v>
      </c>
      <c r="Q30" s="136">
        <f>Q26/(Q18/10000)</f>
        <v>26.375172171262783</v>
      </c>
      <c r="R30" s="136">
        <f>R26/(R18/10000)</f>
        <v>26.373368758302725</v>
      </c>
      <c r="S30" s="63">
        <f t="shared" si="6"/>
        <v>104.69594436195983</v>
      </c>
      <c r="T30" s="63">
        <f t="shared" si="7"/>
        <v>106.91763694615923</v>
      </c>
      <c r="U30" s="61"/>
    </row>
    <row r="31" spans="1:194" s="90" customFormat="1">
      <c r="A31" s="137"/>
      <c r="B31" s="88"/>
      <c r="C31" s="138" t="e">
        <f>C29+C27</f>
        <v>#REF!</v>
      </c>
      <c r="D31" s="138"/>
      <c r="E31" s="138" t="e">
        <f t="shared" ref="E31" si="8">E29+E27</f>
        <v>#REF!</v>
      </c>
      <c r="F31" s="138"/>
      <c r="G31" s="138">
        <v>80</v>
      </c>
      <c r="H31" s="138">
        <v>0</v>
      </c>
      <c r="I31" s="138">
        <v>80</v>
      </c>
      <c r="J31" s="125">
        <v>80</v>
      </c>
      <c r="K31" s="139"/>
      <c r="L31" s="140"/>
      <c r="M31" s="138">
        <v>80</v>
      </c>
      <c r="N31" s="54">
        <v>80</v>
      </c>
      <c r="O31" s="54"/>
      <c r="P31" s="135"/>
      <c r="Q31" s="141"/>
      <c r="R31" s="141"/>
      <c r="S31" s="63">
        <f t="shared" si="6"/>
        <v>0</v>
      </c>
      <c r="T31" s="63" t="str">
        <f t="shared" si="7"/>
        <v xml:space="preserve"> </v>
      </c>
      <c r="U31" s="91"/>
    </row>
    <row r="32" spans="1:194" s="90" customFormat="1">
      <c r="A32" s="137"/>
      <c r="B32" s="88"/>
      <c r="C32" s="138" t="e">
        <f>C31/C18/10000</f>
        <v>#REF!</v>
      </c>
      <c r="D32" s="138"/>
      <c r="E32" s="138" t="e">
        <f t="shared" ref="E32" si="9">E31/E18/10000</f>
        <v>#REF!</v>
      </c>
      <c r="F32" s="138"/>
      <c r="G32" s="135">
        <v>16.421372416199684</v>
      </c>
      <c r="H32" s="135" t="e">
        <v>#DIV/0!</v>
      </c>
      <c r="I32" s="135">
        <v>16.324864809713294</v>
      </c>
      <c r="J32" s="132">
        <v>16.189907616339664</v>
      </c>
      <c r="K32" s="133"/>
      <c r="L32" s="134"/>
      <c r="M32" s="135">
        <v>16.14042166851609</v>
      </c>
      <c r="N32" s="54">
        <v>16.14042166851609</v>
      </c>
      <c r="O32" s="54"/>
      <c r="P32" s="135">
        <v>0</v>
      </c>
      <c r="Q32" s="141"/>
      <c r="R32" s="141"/>
      <c r="S32" s="63">
        <f t="shared" si="6"/>
        <v>0</v>
      </c>
      <c r="T32" s="63" t="str">
        <f t="shared" si="7"/>
        <v xml:space="preserve"> </v>
      </c>
      <c r="U32" s="91"/>
    </row>
    <row r="33" spans="1:21" s="121" customFormat="1">
      <c r="A33" s="113" t="s">
        <v>51</v>
      </c>
      <c r="B33" s="114"/>
      <c r="C33" s="115"/>
      <c r="D33" s="115"/>
      <c r="E33" s="142"/>
      <c r="F33" s="142"/>
      <c r="G33" s="116"/>
      <c r="H33" s="116"/>
      <c r="I33" s="116"/>
      <c r="J33" s="117"/>
      <c r="K33" s="143"/>
      <c r="L33" s="144"/>
      <c r="M33" s="116"/>
      <c r="N33" s="54">
        <v>0</v>
      </c>
      <c r="O33" s="54"/>
      <c r="P33" s="116"/>
      <c r="Q33" s="115"/>
      <c r="R33" s="115"/>
      <c r="S33" s="63" t="str">
        <f t="shared" si="6"/>
        <v xml:space="preserve"> </v>
      </c>
      <c r="T33" s="63" t="str">
        <f t="shared" si="7"/>
        <v xml:space="preserve"> </v>
      </c>
      <c r="U33" s="120"/>
    </row>
    <row r="34" spans="1:21">
      <c r="A34" s="122" t="s">
        <v>52</v>
      </c>
      <c r="B34" s="53" t="s">
        <v>40</v>
      </c>
      <c r="C34" s="145">
        <v>94.5</v>
      </c>
      <c r="D34" s="145">
        <v>99.8</v>
      </c>
      <c r="E34" s="146">
        <v>103.3</v>
      </c>
      <c r="F34" s="146"/>
      <c r="G34" s="146">
        <v>112.7</v>
      </c>
      <c r="H34" s="146"/>
      <c r="I34" s="124">
        <v>95</v>
      </c>
      <c r="J34" s="147">
        <v>117.1</v>
      </c>
      <c r="K34" s="148">
        <v>124</v>
      </c>
      <c r="L34" s="149">
        <v>133.30000000000001</v>
      </c>
      <c r="M34" s="150">
        <v>130</v>
      </c>
      <c r="N34" s="54">
        <v>6</v>
      </c>
      <c r="O34" s="54"/>
      <c r="P34" s="150">
        <v>120</v>
      </c>
      <c r="Q34" s="146">
        <v>97.7</v>
      </c>
      <c r="R34" s="146">
        <v>98.5</v>
      </c>
      <c r="S34" s="63">
        <f t="shared" si="6"/>
        <v>84.116140051238261</v>
      </c>
      <c r="T34" s="63">
        <f t="shared" si="7"/>
        <v>82.083333333333329</v>
      </c>
      <c r="U34" s="61"/>
    </row>
    <row r="35" spans="1:21">
      <c r="A35" s="122" t="s">
        <v>53</v>
      </c>
      <c r="B35" s="53" t="s">
        <v>40</v>
      </c>
      <c r="C35" s="138">
        <v>0</v>
      </c>
      <c r="D35" s="138">
        <v>0</v>
      </c>
      <c r="E35" s="123">
        <v>0</v>
      </c>
      <c r="F35" s="123"/>
      <c r="G35" s="123">
        <v>0</v>
      </c>
      <c r="H35" s="123"/>
      <c r="I35" s="124">
        <v>0</v>
      </c>
      <c r="J35" s="147"/>
      <c r="K35" s="148">
        <v>0</v>
      </c>
      <c r="L35" s="149"/>
      <c r="M35" s="150">
        <v>0</v>
      </c>
      <c r="N35" s="54">
        <v>0</v>
      </c>
      <c r="O35" s="54"/>
      <c r="P35" s="150"/>
      <c r="Q35" s="146"/>
      <c r="R35" s="146"/>
      <c r="S35" s="63" t="str">
        <f t="shared" si="6"/>
        <v xml:space="preserve"> </v>
      </c>
      <c r="T35" s="63" t="str">
        <f t="shared" si="7"/>
        <v xml:space="preserve"> </v>
      </c>
      <c r="U35" s="151"/>
    </row>
    <row r="36" spans="1:21">
      <c r="A36" s="122" t="s">
        <v>54</v>
      </c>
      <c r="B36" s="53" t="s">
        <v>40</v>
      </c>
      <c r="C36" s="138">
        <v>40</v>
      </c>
      <c r="D36" s="138">
        <v>48</v>
      </c>
      <c r="E36" s="123">
        <v>48</v>
      </c>
      <c r="F36" s="123"/>
      <c r="G36" s="123">
        <v>50</v>
      </c>
      <c r="H36" s="123"/>
      <c r="I36" s="124">
        <v>50</v>
      </c>
      <c r="J36" s="147">
        <v>15.1</v>
      </c>
      <c r="K36" s="148">
        <v>12.8</v>
      </c>
      <c r="L36" s="149">
        <v>13</v>
      </c>
      <c r="M36" s="150">
        <v>13</v>
      </c>
      <c r="N36" s="54">
        <v>0.19999999999999929</v>
      </c>
      <c r="O36" s="54"/>
      <c r="P36" s="150">
        <v>20</v>
      </c>
      <c r="Q36" s="146">
        <v>0</v>
      </c>
      <c r="R36" s="146">
        <v>0</v>
      </c>
      <c r="S36" s="63">
        <f t="shared" si="6"/>
        <v>0</v>
      </c>
      <c r="T36" s="63">
        <f t="shared" si="7"/>
        <v>0</v>
      </c>
      <c r="U36" s="61"/>
    </row>
    <row r="37" spans="1:21" s="159" customFormat="1">
      <c r="A37" s="113" t="s">
        <v>55</v>
      </c>
      <c r="B37" s="114"/>
      <c r="C37" s="152"/>
      <c r="D37" s="152"/>
      <c r="E37" s="153"/>
      <c r="F37" s="153"/>
      <c r="G37" s="154"/>
      <c r="H37" s="154"/>
      <c r="I37" s="154"/>
      <c r="J37" s="155"/>
      <c r="K37" s="156"/>
      <c r="L37" s="157"/>
      <c r="M37" s="154"/>
      <c r="N37" s="54">
        <v>0</v>
      </c>
      <c r="O37" s="54"/>
      <c r="P37" s="154"/>
      <c r="Q37" s="152"/>
      <c r="R37" s="152"/>
      <c r="S37" s="63" t="str">
        <f t="shared" si="6"/>
        <v xml:space="preserve"> </v>
      </c>
      <c r="T37" s="63" t="str">
        <f t="shared" si="7"/>
        <v xml:space="preserve"> </v>
      </c>
      <c r="U37" s="158"/>
    </row>
    <row r="38" spans="1:21">
      <c r="A38" s="122" t="s">
        <v>56</v>
      </c>
      <c r="B38" s="53" t="s">
        <v>57</v>
      </c>
      <c r="C38" s="138">
        <v>7938</v>
      </c>
      <c r="D38" s="138">
        <f>+G38*0.75</f>
        <v>18600</v>
      </c>
      <c r="E38" s="123">
        <v>22733</v>
      </c>
      <c r="F38" s="123"/>
      <c r="G38" s="123">
        <v>24800</v>
      </c>
      <c r="H38" s="123"/>
      <c r="I38" s="124">
        <v>17000</v>
      </c>
      <c r="J38" s="125">
        <v>13076</v>
      </c>
      <c r="K38" s="139">
        <v>21583</v>
      </c>
      <c r="L38" s="140">
        <v>24680</v>
      </c>
      <c r="M38" s="124">
        <v>30090</v>
      </c>
      <c r="N38" s="54">
        <v>8507</v>
      </c>
      <c r="O38" s="54"/>
      <c r="P38" s="124">
        <v>30000</v>
      </c>
      <c r="Q38" s="123">
        <v>12030</v>
      </c>
      <c r="R38" s="123">
        <v>15000</v>
      </c>
      <c r="S38" s="63">
        <f t="shared" si="6"/>
        <v>114.71397981033955</v>
      </c>
      <c r="T38" s="63">
        <f t="shared" si="7"/>
        <v>50</v>
      </c>
      <c r="U38" s="61"/>
    </row>
    <row r="39" spans="1:21">
      <c r="A39" s="122" t="s">
        <v>53</v>
      </c>
      <c r="B39" s="53" t="s">
        <v>57</v>
      </c>
      <c r="C39" s="138">
        <v>14124</v>
      </c>
      <c r="D39" s="138">
        <f>+G39*0.75</f>
        <v>21750</v>
      </c>
      <c r="E39" s="123">
        <v>26583</v>
      </c>
      <c r="F39" s="123"/>
      <c r="G39" s="123">
        <v>29000</v>
      </c>
      <c r="H39" s="123"/>
      <c r="I39" s="124">
        <v>36000</v>
      </c>
      <c r="J39" s="125">
        <v>13181</v>
      </c>
      <c r="K39" s="139">
        <v>22148</v>
      </c>
      <c r="L39" s="140">
        <v>25175</v>
      </c>
      <c r="M39" s="124">
        <v>31115</v>
      </c>
      <c r="N39" s="54">
        <v>8967</v>
      </c>
      <c r="O39" s="54"/>
      <c r="P39" s="124">
        <v>31000</v>
      </c>
      <c r="Q39" s="123">
        <v>12677</v>
      </c>
      <c r="R39" s="123">
        <v>15500</v>
      </c>
      <c r="S39" s="63">
        <f t="shared" si="6"/>
        <v>117.59350580380851</v>
      </c>
      <c r="T39" s="63">
        <f t="shared" si="7"/>
        <v>50</v>
      </c>
      <c r="U39" s="61"/>
    </row>
    <row r="40" spans="1:21">
      <c r="A40" s="122" t="s">
        <v>54</v>
      </c>
      <c r="B40" s="53" t="s">
        <v>57</v>
      </c>
      <c r="C40" s="138">
        <v>3625</v>
      </c>
      <c r="D40" s="138">
        <f>+G40*0.75</f>
        <v>7257.75</v>
      </c>
      <c r="E40" s="123">
        <v>8870</v>
      </c>
      <c r="F40" s="123"/>
      <c r="G40" s="123">
        <v>9677</v>
      </c>
      <c r="H40" s="123"/>
      <c r="I40" s="124">
        <v>6000</v>
      </c>
      <c r="J40" s="125">
        <v>4145</v>
      </c>
      <c r="K40" s="139">
        <v>7017</v>
      </c>
      <c r="L40" s="140">
        <v>7849</v>
      </c>
      <c r="M40" s="124">
        <v>9889</v>
      </c>
      <c r="N40" s="54">
        <v>2872</v>
      </c>
      <c r="O40" s="54"/>
      <c r="P40" s="124">
        <v>9800</v>
      </c>
      <c r="Q40" s="123">
        <v>1491</v>
      </c>
      <c r="R40" s="123">
        <v>1800</v>
      </c>
      <c r="S40" s="63">
        <f t="shared" si="6"/>
        <v>43.425814234016883</v>
      </c>
      <c r="T40" s="63">
        <f t="shared" si="7"/>
        <v>18.367346938775512</v>
      </c>
      <c r="U40" s="128"/>
    </row>
    <row r="41" spans="1:21">
      <c r="A41" s="160" t="s">
        <v>58</v>
      </c>
      <c r="B41" s="53" t="s">
        <v>59</v>
      </c>
      <c r="C41" s="138">
        <v>11</v>
      </c>
      <c r="D41" s="138">
        <v>11</v>
      </c>
      <c r="E41" s="123">
        <v>11</v>
      </c>
      <c r="F41" s="123"/>
      <c r="G41" s="123">
        <v>11</v>
      </c>
      <c r="H41" s="123"/>
      <c r="I41" s="124">
        <v>11</v>
      </c>
      <c r="J41" s="125">
        <v>11</v>
      </c>
      <c r="K41" s="139">
        <v>11</v>
      </c>
      <c r="L41" s="140">
        <v>11</v>
      </c>
      <c r="M41" s="124">
        <v>11</v>
      </c>
      <c r="N41" s="54">
        <v>0</v>
      </c>
      <c r="O41" s="54"/>
      <c r="P41" s="124">
        <v>11</v>
      </c>
      <c r="Q41" s="123">
        <v>11</v>
      </c>
      <c r="R41" s="123">
        <v>11</v>
      </c>
      <c r="S41" s="63">
        <f t="shared" si="6"/>
        <v>100</v>
      </c>
      <c r="T41" s="63">
        <f t="shared" si="7"/>
        <v>100</v>
      </c>
      <c r="U41" s="61"/>
    </row>
    <row r="42" spans="1:21">
      <c r="A42" s="160" t="s">
        <v>60</v>
      </c>
      <c r="B42" s="53" t="s">
        <v>28</v>
      </c>
      <c r="C42" s="135">
        <v>7.07</v>
      </c>
      <c r="D42" s="135">
        <v>8.16</v>
      </c>
      <c r="E42" s="141">
        <f>40/(G18/10000)</f>
        <v>8.2106862080998422</v>
      </c>
      <c r="F42" s="141"/>
      <c r="G42" s="141">
        <v>8.2106862080998422</v>
      </c>
      <c r="H42" s="141"/>
      <c r="I42" s="124">
        <v>9</v>
      </c>
      <c r="J42" s="125">
        <v>6.5</v>
      </c>
      <c r="K42" s="139">
        <v>7</v>
      </c>
      <c r="L42" s="140">
        <v>7</v>
      </c>
      <c r="M42" s="124">
        <v>7</v>
      </c>
      <c r="N42" s="54">
        <v>0</v>
      </c>
      <c r="O42" s="54"/>
      <c r="P42" s="124">
        <v>7</v>
      </c>
      <c r="Q42" s="123">
        <v>7</v>
      </c>
      <c r="R42" s="123">
        <v>7</v>
      </c>
      <c r="S42" s="63">
        <f t="shared" si="6"/>
        <v>107.69230769230769</v>
      </c>
      <c r="T42" s="63">
        <f t="shared" si="7"/>
        <v>100</v>
      </c>
      <c r="U42" s="61"/>
    </row>
    <row r="43" spans="1:21">
      <c r="A43" s="160" t="s">
        <v>61</v>
      </c>
      <c r="B43" s="53" t="s">
        <v>28</v>
      </c>
      <c r="C43" s="145">
        <f>12/(C15/10000)</f>
        <v>2.4821081371778431</v>
      </c>
      <c r="D43" s="145">
        <v>2.5</v>
      </c>
      <c r="E43" s="146">
        <f>12/(G18/10000)</f>
        <v>2.4632058624299527</v>
      </c>
      <c r="F43" s="146"/>
      <c r="G43" s="146">
        <v>2.4632058624299527</v>
      </c>
      <c r="H43" s="146"/>
      <c r="I43" s="150">
        <v>2.5</v>
      </c>
      <c r="J43" s="147">
        <v>2.4</v>
      </c>
      <c r="K43" s="148">
        <v>2.4</v>
      </c>
      <c r="L43" s="149">
        <v>2.4</v>
      </c>
      <c r="M43" s="150">
        <v>2.4</v>
      </c>
      <c r="N43" s="54">
        <v>0</v>
      </c>
      <c r="O43" s="54"/>
      <c r="P43" s="150">
        <v>2.5</v>
      </c>
      <c r="Q43" s="146">
        <v>2.5</v>
      </c>
      <c r="R43" s="146">
        <v>2.5</v>
      </c>
      <c r="S43" s="63">
        <f t="shared" si="6"/>
        <v>104.16666666666667</v>
      </c>
      <c r="T43" s="63">
        <f t="shared" si="7"/>
        <v>100</v>
      </c>
      <c r="U43" s="61"/>
    </row>
    <row r="44" spans="1:21" s="159" customFormat="1">
      <c r="A44" s="161" t="s">
        <v>62</v>
      </c>
      <c r="B44" s="114"/>
      <c r="C44" s="152"/>
      <c r="D44" s="152"/>
      <c r="E44" s="153"/>
      <c r="F44" s="153"/>
      <c r="G44" s="124">
        <v>0</v>
      </c>
      <c r="H44" s="124"/>
      <c r="I44" s="124"/>
      <c r="J44" s="125"/>
      <c r="K44" s="139"/>
      <c r="L44" s="140"/>
      <c r="M44" s="124"/>
      <c r="N44" s="54">
        <v>0</v>
      </c>
      <c r="O44" s="54"/>
      <c r="P44" s="124"/>
      <c r="Q44" s="123"/>
      <c r="R44" s="123"/>
      <c r="S44" s="63" t="str">
        <f t="shared" si="6"/>
        <v xml:space="preserve"> </v>
      </c>
      <c r="T44" s="63" t="str">
        <f t="shared" si="7"/>
        <v xml:space="preserve"> </v>
      </c>
      <c r="U44" s="158"/>
    </row>
    <row r="45" spans="1:21">
      <c r="A45" s="160" t="s">
        <v>63</v>
      </c>
      <c r="B45" s="53" t="s">
        <v>64</v>
      </c>
      <c r="C45" s="162"/>
      <c r="D45" s="162">
        <v>8547</v>
      </c>
      <c r="E45" s="163">
        <v>8547</v>
      </c>
      <c r="F45" s="163"/>
      <c r="G45" s="124">
        <v>9280</v>
      </c>
      <c r="H45" s="124"/>
      <c r="I45" s="124">
        <v>9500</v>
      </c>
      <c r="J45" s="125"/>
      <c r="K45" s="139">
        <v>8174</v>
      </c>
      <c r="L45" s="140">
        <v>8174</v>
      </c>
      <c r="M45" s="124">
        <v>8174</v>
      </c>
      <c r="N45" s="54">
        <v>0</v>
      </c>
      <c r="O45" s="54"/>
      <c r="P45" s="124">
        <v>8500</v>
      </c>
      <c r="Q45" s="123"/>
      <c r="R45" s="123"/>
      <c r="S45" s="63" t="str">
        <f t="shared" si="6"/>
        <v xml:space="preserve"> </v>
      </c>
      <c r="T45" s="63">
        <f t="shared" si="7"/>
        <v>0</v>
      </c>
      <c r="U45" s="61"/>
    </row>
    <row r="46" spans="1:21">
      <c r="A46" s="160" t="s">
        <v>65</v>
      </c>
      <c r="B46" s="53" t="s">
        <v>66</v>
      </c>
      <c r="C46" s="162"/>
      <c r="D46" s="162">
        <v>4789</v>
      </c>
      <c r="E46" s="163">
        <v>6223</v>
      </c>
      <c r="F46" s="163"/>
      <c r="G46" s="124">
        <v>6789</v>
      </c>
      <c r="H46" s="124"/>
      <c r="I46" s="124">
        <v>6800</v>
      </c>
      <c r="J46" s="125"/>
      <c r="K46" s="139">
        <v>3550</v>
      </c>
      <c r="L46" s="140">
        <v>3550</v>
      </c>
      <c r="M46" s="124">
        <v>3550</v>
      </c>
      <c r="N46" s="54">
        <v>0</v>
      </c>
      <c r="O46" s="54"/>
      <c r="P46" s="124">
        <v>4000</v>
      </c>
      <c r="Q46" s="123"/>
      <c r="R46" s="123"/>
      <c r="S46" s="63" t="str">
        <f t="shared" si="6"/>
        <v xml:space="preserve"> </v>
      </c>
      <c r="T46" s="63">
        <f t="shared" si="7"/>
        <v>0</v>
      </c>
      <c r="U46" s="61"/>
    </row>
    <row r="47" spans="1:21">
      <c r="A47" s="160" t="s">
        <v>67</v>
      </c>
      <c r="B47" s="53" t="s">
        <v>40</v>
      </c>
      <c r="C47" s="164">
        <v>0.23</v>
      </c>
      <c r="D47" s="164">
        <v>0.03</v>
      </c>
      <c r="E47" s="165">
        <v>0.03</v>
      </c>
      <c r="F47" s="165"/>
      <c r="G47" s="54" t="s">
        <v>68</v>
      </c>
      <c r="H47" s="54"/>
      <c r="I47" s="166" t="s">
        <v>68</v>
      </c>
      <c r="J47" s="167" t="s">
        <v>68</v>
      </c>
      <c r="K47" s="166" t="s">
        <v>68</v>
      </c>
      <c r="L47" s="168" t="s">
        <v>68</v>
      </c>
      <c r="M47" s="166" t="s">
        <v>68</v>
      </c>
      <c r="N47" s="54"/>
      <c r="O47" s="54"/>
      <c r="P47" s="166" t="s">
        <v>68</v>
      </c>
      <c r="Q47" s="169" t="s">
        <v>68</v>
      </c>
      <c r="R47" s="169" t="s">
        <v>68</v>
      </c>
      <c r="S47" s="63" t="str">
        <f t="shared" si="6"/>
        <v xml:space="preserve"> </v>
      </c>
      <c r="T47" s="63" t="str">
        <f t="shared" si="7"/>
        <v xml:space="preserve"> </v>
      </c>
      <c r="U47" s="61"/>
    </row>
    <row r="48" spans="1:21" s="159" customFormat="1">
      <c r="A48" s="161" t="s">
        <v>69</v>
      </c>
      <c r="B48" s="114"/>
      <c r="C48" s="152"/>
      <c r="D48" s="152"/>
      <c r="E48" s="153"/>
      <c r="F48" s="153"/>
      <c r="G48" s="124">
        <v>0</v>
      </c>
      <c r="H48" s="124"/>
      <c r="I48" s="124"/>
      <c r="J48" s="125"/>
      <c r="K48" s="139"/>
      <c r="L48" s="140"/>
      <c r="M48" s="124"/>
      <c r="N48" s="54">
        <v>0</v>
      </c>
      <c r="O48" s="54"/>
      <c r="P48" s="124"/>
      <c r="Q48" s="123"/>
      <c r="R48" s="123"/>
      <c r="S48" s="63" t="str">
        <f t="shared" si="6"/>
        <v xml:space="preserve"> </v>
      </c>
      <c r="T48" s="63" t="str">
        <f t="shared" si="7"/>
        <v xml:space="preserve"> </v>
      </c>
      <c r="U48" s="158"/>
    </row>
    <row r="49" spans="1:21">
      <c r="A49" s="160" t="s">
        <v>70</v>
      </c>
      <c r="B49" s="53" t="s">
        <v>71</v>
      </c>
      <c r="C49" s="129">
        <v>331</v>
      </c>
      <c r="D49" s="129">
        <v>413</v>
      </c>
      <c r="E49" s="123">
        <v>413</v>
      </c>
      <c r="F49" s="123"/>
      <c r="G49" s="123">
        <v>480</v>
      </c>
      <c r="H49" s="123"/>
      <c r="I49" s="124">
        <v>450</v>
      </c>
      <c r="J49" s="125">
        <v>410</v>
      </c>
      <c r="K49" s="124">
        <v>443</v>
      </c>
      <c r="L49" s="170">
        <v>445</v>
      </c>
      <c r="M49" s="124">
        <v>450</v>
      </c>
      <c r="N49" s="54">
        <v>7</v>
      </c>
      <c r="O49" s="54"/>
      <c r="P49" s="124">
        <v>450</v>
      </c>
      <c r="Q49" s="123">
        <v>369</v>
      </c>
      <c r="R49" s="123">
        <v>369</v>
      </c>
      <c r="S49" s="63">
        <f t="shared" si="6"/>
        <v>90</v>
      </c>
      <c r="T49" s="63">
        <f t="shared" si="7"/>
        <v>82</v>
      </c>
      <c r="U49" s="61"/>
    </row>
    <row r="50" spans="1:21">
      <c r="A50" s="160" t="s">
        <v>72</v>
      </c>
      <c r="B50" s="53" t="s">
        <v>71</v>
      </c>
      <c r="C50" s="129">
        <v>266</v>
      </c>
      <c r="D50" s="129">
        <v>333</v>
      </c>
      <c r="E50" s="123">
        <v>335</v>
      </c>
      <c r="F50" s="123"/>
      <c r="G50" s="123">
        <v>389.34624697336557</v>
      </c>
      <c r="H50" s="123"/>
      <c r="I50" s="123">
        <v>369</v>
      </c>
      <c r="J50" s="125">
        <v>310</v>
      </c>
      <c r="K50" s="139">
        <v>330</v>
      </c>
      <c r="L50" s="140">
        <v>330</v>
      </c>
      <c r="M50" s="123">
        <v>369</v>
      </c>
      <c r="N50" s="54">
        <v>39</v>
      </c>
      <c r="O50" s="54"/>
      <c r="P50" s="123">
        <v>383</v>
      </c>
      <c r="Q50" s="123">
        <v>295</v>
      </c>
      <c r="R50" s="123">
        <v>295</v>
      </c>
      <c r="S50" s="63">
        <f t="shared" si="6"/>
        <v>95.161290322580655</v>
      </c>
      <c r="T50" s="63">
        <f t="shared" si="7"/>
        <v>77.023498694516974</v>
      </c>
      <c r="U50" s="61"/>
    </row>
    <row r="51" spans="1:21">
      <c r="A51" s="160" t="s">
        <v>73</v>
      </c>
      <c r="B51" s="53" t="s">
        <v>40</v>
      </c>
      <c r="C51" s="171">
        <v>80.400000000000006</v>
      </c>
      <c r="D51" s="171">
        <v>80.599999999999994</v>
      </c>
      <c r="E51" s="146">
        <v>81.1138014527845</v>
      </c>
      <c r="F51" s="146"/>
      <c r="G51" s="146">
        <v>81.1138014527845</v>
      </c>
      <c r="H51" s="146"/>
      <c r="I51" s="124">
        <v>82</v>
      </c>
      <c r="J51" s="147">
        <v>75.609756097560975</v>
      </c>
      <c r="K51" s="148">
        <v>74.492099322799106</v>
      </c>
      <c r="L51" s="149">
        <v>74.099999999999994</v>
      </c>
      <c r="M51" s="150">
        <v>82</v>
      </c>
      <c r="N51" s="54">
        <v>7.5079006772008938</v>
      </c>
      <c r="O51" s="54"/>
      <c r="P51" s="124">
        <v>85.111111111111114</v>
      </c>
      <c r="Q51" s="123">
        <v>79.945799457994582</v>
      </c>
      <c r="R51" s="123">
        <v>79.945799457994582</v>
      </c>
      <c r="S51" s="63">
        <f t="shared" si="6"/>
        <v>105.73476702508961</v>
      </c>
      <c r="T51" s="63">
        <f t="shared" si="7"/>
        <v>93.931095968923145</v>
      </c>
      <c r="U51" s="61"/>
    </row>
    <row r="52" spans="1:21" s="73" customFormat="1">
      <c r="A52" s="172" t="s">
        <v>74</v>
      </c>
      <c r="B52" s="65" t="s">
        <v>71</v>
      </c>
      <c r="C52" s="173"/>
      <c r="D52" s="173"/>
      <c r="E52" s="174"/>
      <c r="F52" s="174"/>
      <c r="G52" s="124" t="e">
        <f>+#REF!</f>
        <v>#REF!</v>
      </c>
      <c r="H52" s="124"/>
      <c r="I52" s="124"/>
      <c r="J52" s="125"/>
      <c r="K52" s="139"/>
      <c r="L52" s="140"/>
      <c r="M52" s="124"/>
      <c r="N52" s="54">
        <f t="shared" si="0"/>
        <v>0</v>
      </c>
      <c r="O52" s="54"/>
      <c r="P52" s="124"/>
      <c r="Q52" s="123"/>
      <c r="R52" s="123"/>
      <c r="S52" s="63" t="str">
        <f t="shared" si="6"/>
        <v xml:space="preserve"> </v>
      </c>
      <c r="T52" s="63" t="str">
        <f t="shared" si="7"/>
        <v xml:space="preserve"> </v>
      </c>
      <c r="U52" s="78"/>
    </row>
    <row r="53" spans="1:21" s="159" customFormat="1">
      <c r="A53" s="161" t="s">
        <v>75</v>
      </c>
      <c r="B53" s="114"/>
      <c r="C53" s="152"/>
      <c r="D53" s="152"/>
      <c r="E53" s="153"/>
      <c r="F53" s="153"/>
      <c r="G53" s="124">
        <v>0</v>
      </c>
      <c r="H53" s="124"/>
      <c r="I53" s="124"/>
      <c r="J53" s="125"/>
      <c r="K53" s="139"/>
      <c r="L53" s="140"/>
      <c r="M53" s="124"/>
      <c r="N53" s="54">
        <v>0</v>
      </c>
      <c r="O53" s="54"/>
      <c r="P53" s="124"/>
      <c r="Q53" s="123"/>
      <c r="R53" s="123"/>
      <c r="S53" s="63" t="str">
        <f t="shared" si="6"/>
        <v xml:space="preserve"> </v>
      </c>
      <c r="T53" s="63" t="str">
        <f t="shared" si="7"/>
        <v xml:space="preserve"> </v>
      </c>
      <c r="U53" s="158"/>
    </row>
    <row r="54" spans="1:21">
      <c r="A54" s="160" t="s">
        <v>76</v>
      </c>
      <c r="B54" s="53" t="s">
        <v>28</v>
      </c>
      <c r="C54" s="129">
        <v>8</v>
      </c>
      <c r="D54" s="129">
        <v>8</v>
      </c>
      <c r="E54" s="123">
        <v>1</v>
      </c>
      <c r="F54" s="123"/>
      <c r="G54" s="123">
        <v>1</v>
      </c>
      <c r="H54" s="123"/>
      <c r="I54" s="124">
        <v>1</v>
      </c>
      <c r="J54" s="125">
        <v>0</v>
      </c>
      <c r="K54" s="139">
        <v>0</v>
      </c>
      <c r="L54" s="140"/>
      <c r="M54" s="124">
        <v>0</v>
      </c>
      <c r="N54" s="54">
        <v>0</v>
      </c>
      <c r="O54" s="54"/>
      <c r="P54" s="124"/>
      <c r="Q54" s="123">
        <v>1</v>
      </c>
      <c r="R54" s="123">
        <v>1</v>
      </c>
      <c r="S54" s="63" t="str">
        <f t="shared" si="6"/>
        <v xml:space="preserve"> </v>
      </c>
      <c r="T54" s="63" t="str">
        <f t="shared" si="7"/>
        <v xml:space="preserve"> </v>
      </c>
      <c r="U54" s="61"/>
    </row>
    <row r="55" spans="1:21">
      <c r="A55" s="160" t="s">
        <v>77</v>
      </c>
      <c r="B55" s="53" t="s">
        <v>28</v>
      </c>
      <c r="C55" s="129"/>
      <c r="D55" s="129"/>
      <c r="E55" s="138"/>
      <c r="F55" s="138"/>
      <c r="G55" s="124"/>
      <c r="H55" s="124"/>
      <c r="I55" s="124">
        <v>0</v>
      </c>
      <c r="J55" s="125">
        <v>0</v>
      </c>
      <c r="K55" s="139">
        <v>0</v>
      </c>
      <c r="L55" s="140"/>
      <c r="M55" s="124">
        <v>0</v>
      </c>
      <c r="N55" s="54">
        <v>0</v>
      </c>
      <c r="O55" s="54"/>
      <c r="P55" s="124"/>
      <c r="Q55" s="123">
        <v>1</v>
      </c>
      <c r="R55" s="123">
        <v>1</v>
      </c>
      <c r="S55" s="63" t="str">
        <f t="shared" si="6"/>
        <v xml:space="preserve"> </v>
      </c>
      <c r="T55" s="63" t="str">
        <f t="shared" si="7"/>
        <v xml:space="preserve"> </v>
      </c>
      <c r="U55" s="61"/>
    </row>
    <row r="56" spans="1:21">
      <c r="A56" s="160" t="s">
        <v>78</v>
      </c>
      <c r="B56" s="53" t="s">
        <v>79</v>
      </c>
      <c r="C56" s="123"/>
      <c r="D56" s="123"/>
      <c r="E56" s="138"/>
      <c r="F56" s="138"/>
      <c r="G56" s="124"/>
      <c r="H56" s="124"/>
      <c r="I56" s="124"/>
      <c r="J56" s="125"/>
      <c r="K56" s="139"/>
      <c r="L56" s="140"/>
      <c r="M56" s="124"/>
      <c r="N56" s="54">
        <v>0</v>
      </c>
      <c r="O56" s="54"/>
      <c r="P56" s="124"/>
      <c r="Q56" s="123"/>
      <c r="R56" s="123"/>
      <c r="S56" s="63" t="str">
        <f t="shared" si="6"/>
        <v xml:space="preserve"> </v>
      </c>
      <c r="T56" s="63" t="str">
        <f t="shared" si="7"/>
        <v xml:space="preserve"> </v>
      </c>
      <c r="U56" s="61"/>
    </row>
    <row r="57" spans="1:21" s="159" customFormat="1">
      <c r="A57" s="161" t="s">
        <v>80</v>
      </c>
      <c r="B57" s="114"/>
      <c r="C57" s="152"/>
      <c r="D57" s="152"/>
      <c r="E57" s="153"/>
      <c r="F57" s="153"/>
      <c r="G57" s="154"/>
      <c r="H57" s="154"/>
      <c r="I57" s="154"/>
      <c r="J57" s="155"/>
      <c r="K57" s="156"/>
      <c r="L57" s="157"/>
      <c r="M57" s="154"/>
      <c r="N57" s="54">
        <v>0</v>
      </c>
      <c r="O57" s="54"/>
      <c r="P57" s="154"/>
      <c r="Q57" s="152"/>
      <c r="R57" s="152"/>
      <c r="S57" s="63" t="str">
        <f t="shared" si="6"/>
        <v xml:space="preserve"> </v>
      </c>
      <c r="T57" s="63" t="str">
        <f t="shared" si="7"/>
        <v xml:space="preserve"> </v>
      </c>
      <c r="U57" s="158"/>
    </row>
    <row r="58" spans="1:21">
      <c r="A58" s="160" t="s">
        <v>81</v>
      </c>
      <c r="B58" s="53" t="s">
        <v>28</v>
      </c>
      <c r="C58" s="124">
        <v>28</v>
      </c>
      <c r="D58" s="124">
        <v>22</v>
      </c>
      <c r="E58" s="123">
        <v>34</v>
      </c>
      <c r="F58" s="123"/>
      <c r="G58" s="123">
        <v>34</v>
      </c>
      <c r="H58" s="123"/>
      <c r="I58" s="124">
        <v>34</v>
      </c>
      <c r="J58" s="125">
        <v>13</v>
      </c>
      <c r="K58" s="139">
        <v>16</v>
      </c>
      <c r="L58" s="140"/>
      <c r="M58" s="124">
        <v>16</v>
      </c>
      <c r="N58" s="54">
        <v>0</v>
      </c>
      <c r="O58" s="54"/>
      <c r="P58" s="124">
        <v>16</v>
      </c>
      <c r="Q58" s="123">
        <v>7</v>
      </c>
      <c r="R58" s="123">
        <v>9</v>
      </c>
      <c r="S58" s="63">
        <f t="shared" si="6"/>
        <v>69.230769230769226</v>
      </c>
      <c r="T58" s="63">
        <f t="shared" si="7"/>
        <v>56.25</v>
      </c>
      <c r="U58" s="61"/>
    </row>
    <row r="59" spans="1:21">
      <c r="A59" s="160" t="s">
        <v>82</v>
      </c>
      <c r="B59" s="53" t="s">
        <v>28</v>
      </c>
      <c r="C59" s="124">
        <v>11</v>
      </c>
      <c r="D59" s="124">
        <v>17</v>
      </c>
      <c r="E59" s="123">
        <v>30</v>
      </c>
      <c r="F59" s="123"/>
      <c r="G59" s="123">
        <v>30</v>
      </c>
      <c r="H59" s="123"/>
      <c r="I59" s="124">
        <v>0</v>
      </c>
      <c r="J59" s="125">
        <v>5</v>
      </c>
      <c r="K59" s="139">
        <v>8</v>
      </c>
      <c r="L59" s="140"/>
      <c r="M59" s="124">
        <v>8</v>
      </c>
      <c r="N59" s="54">
        <v>0</v>
      </c>
      <c r="O59" s="54"/>
      <c r="P59" s="124">
        <v>8</v>
      </c>
      <c r="Q59" s="123">
        <v>4</v>
      </c>
      <c r="R59" s="123">
        <v>4</v>
      </c>
      <c r="S59" s="63">
        <f t="shared" si="6"/>
        <v>80</v>
      </c>
      <c r="T59" s="63">
        <f t="shared" si="7"/>
        <v>50</v>
      </c>
      <c r="U59" s="61"/>
    </row>
    <row r="60" spans="1:21" s="159" customFormat="1">
      <c r="A60" s="161" t="s">
        <v>83</v>
      </c>
      <c r="B60" s="114"/>
      <c r="C60" s="152"/>
      <c r="D60" s="152"/>
      <c r="E60" s="153"/>
      <c r="F60" s="153"/>
      <c r="G60" s="124"/>
      <c r="H60" s="124"/>
      <c r="I60" s="124"/>
      <c r="J60" s="125"/>
      <c r="K60" s="139"/>
      <c r="L60" s="140"/>
      <c r="M60" s="124"/>
      <c r="N60" s="54">
        <v>0</v>
      </c>
      <c r="O60" s="54"/>
      <c r="P60" s="124"/>
      <c r="Q60" s="123"/>
      <c r="R60" s="123"/>
      <c r="S60" s="63" t="str">
        <f t="shared" si="6"/>
        <v xml:space="preserve"> </v>
      </c>
      <c r="T60" s="63" t="str">
        <f t="shared" si="7"/>
        <v xml:space="preserve"> </v>
      </c>
      <c r="U60" s="158"/>
    </row>
    <row r="61" spans="1:21" s="121" customFormat="1" ht="31.5">
      <c r="A61" s="160" t="s">
        <v>84</v>
      </c>
      <c r="B61" s="53" t="s">
        <v>40</v>
      </c>
      <c r="C61" s="175">
        <v>0</v>
      </c>
      <c r="D61" s="175">
        <v>55</v>
      </c>
      <c r="E61" s="123">
        <v>55</v>
      </c>
      <c r="F61" s="123"/>
      <c r="G61" s="123">
        <v>55</v>
      </c>
      <c r="H61" s="123"/>
      <c r="I61" s="124">
        <v>55</v>
      </c>
      <c r="J61" s="125">
        <v>50</v>
      </c>
      <c r="K61" s="139">
        <v>50</v>
      </c>
      <c r="L61" s="140"/>
      <c r="M61" s="124">
        <v>50</v>
      </c>
      <c r="N61" s="54">
        <v>0</v>
      </c>
      <c r="O61" s="54"/>
      <c r="P61" s="124">
        <v>50</v>
      </c>
      <c r="Q61" s="123">
        <v>50</v>
      </c>
      <c r="R61" s="123">
        <v>50</v>
      </c>
      <c r="S61" s="63">
        <f t="shared" si="6"/>
        <v>100</v>
      </c>
      <c r="T61" s="63">
        <f t="shared" si="7"/>
        <v>100</v>
      </c>
      <c r="U61" s="61"/>
    </row>
    <row r="62" spans="1:21" s="121" customFormat="1" ht="47.25">
      <c r="A62" s="160" t="s">
        <v>85</v>
      </c>
      <c r="B62" s="53" t="s">
        <v>40</v>
      </c>
      <c r="C62" s="175">
        <v>0</v>
      </c>
      <c r="D62" s="175">
        <v>55</v>
      </c>
      <c r="E62" s="123">
        <v>55</v>
      </c>
      <c r="F62" s="123"/>
      <c r="G62" s="123">
        <v>55</v>
      </c>
      <c r="H62" s="123"/>
      <c r="I62" s="124">
        <v>55</v>
      </c>
      <c r="J62" s="125">
        <v>55</v>
      </c>
      <c r="K62" s="139">
        <v>55</v>
      </c>
      <c r="L62" s="140"/>
      <c r="M62" s="124">
        <v>55</v>
      </c>
      <c r="N62" s="54">
        <v>0</v>
      </c>
      <c r="O62" s="54"/>
      <c r="P62" s="124">
        <v>55</v>
      </c>
      <c r="Q62" s="123">
        <v>55</v>
      </c>
      <c r="R62" s="123">
        <v>55</v>
      </c>
      <c r="S62" s="63">
        <f t="shared" si="6"/>
        <v>100</v>
      </c>
      <c r="T62" s="63">
        <f t="shared" si="7"/>
        <v>100</v>
      </c>
      <c r="U62" s="61"/>
    </row>
    <row r="63" spans="1:21" s="121" customFormat="1" ht="31.5">
      <c r="A63" s="160" t="s">
        <v>86</v>
      </c>
      <c r="B63" s="53" t="s">
        <v>40</v>
      </c>
      <c r="C63" s="175">
        <v>0</v>
      </c>
      <c r="D63" s="175">
        <v>55</v>
      </c>
      <c r="E63" s="123">
        <v>55</v>
      </c>
      <c r="F63" s="123"/>
      <c r="G63" s="123">
        <v>55</v>
      </c>
      <c r="H63" s="123"/>
      <c r="I63" s="124">
        <v>55</v>
      </c>
      <c r="J63" s="125">
        <v>50</v>
      </c>
      <c r="K63" s="139">
        <v>50</v>
      </c>
      <c r="L63" s="140"/>
      <c r="M63" s="124">
        <v>50</v>
      </c>
      <c r="N63" s="54">
        <v>0</v>
      </c>
      <c r="O63" s="54"/>
      <c r="P63" s="124">
        <v>50</v>
      </c>
      <c r="Q63" s="123">
        <v>50</v>
      </c>
      <c r="R63" s="123">
        <v>50</v>
      </c>
      <c r="S63" s="63">
        <f t="shared" si="6"/>
        <v>100</v>
      </c>
      <c r="T63" s="63">
        <f t="shared" si="7"/>
        <v>100</v>
      </c>
      <c r="U63" s="120"/>
    </row>
    <row r="64" spans="1:21">
      <c r="A64" s="160" t="s">
        <v>87</v>
      </c>
      <c r="B64" s="53" t="s">
        <v>28</v>
      </c>
      <c r="C64" s="124">
        <v>8</v>
      </c>
      <c r="D64" s="124">
        <v>8</v>
      </c>
      <c r="E64" s="123">
        <v>8</v>
      </c>
      <c r="F64" s="123"/>
      <c r="G64" s="123">
        <v>8</v>
      </c>
      <c r="H64" s="123"/>
      <c r="I64" s="124">
        <v>8</v>
      </c>
      <c r="J64" s="125">
        <v>7</v>
      </c>
      <c r="K64" s="139">
        <v>9</v>
      </c>
      <c r="L64" s="140"/>
      <c r="M64" s="124">
        <v>9</v>
      </c>
      <c r="N64" s="54">
        <v>0</v>
      </c>
      <c r="O64" s="54"/>
      <c r="P64" s="124">
        <v>9</v>
      </c>
      <c r="Q64" s="123">
        <v>6</v>
      </c>
      <c r="R64" s="123">
        <v>6</v>
      </c>
      <c r="S64" s="63">
        <f t="shared" si="6"/>
        <v>85.714285714285708</v>
      </c>
      <c r="T64" s="63">
        <f t="shared" si="7"/>
        <v>66.666666666666657</v>
      </c>
      <c r="U64" s="61"/>
    </row>
    <row r="65" spans="1:21">
      <c r="A65" s="160" t="s">
        <v>88</v>
      </c>
      <c r="B65" s="53" t="s">
        <v>28</v>
      </c>
      <c r="C65" s="124"/>
      <c r="D65" s="124">
        <v>1</v>
      </c>
      <c r="E65" s="123">
        <v>1</v>
      </c>
      <c r="F65" s="123"/>
      <c r="G65" s="123">
        <v>1</v>
      </c>
      <c r="H65" s="123"/>
      <c r="I65" s="124"/>
      <c r="J65" s="125">
        <v>1</v>
      </c>
      <c r="K65" s="139">
        <v>3</v>
      </c>
      <c r="L65" s="140"/>
      <c r="M65" s="124">
        <v>3</v>
      </c>
      <c r="N65" s="54">
        <v>0</v>
      </c>
      <c r="O65" s="54"/>
      <c r="P65" s="124">
        <v>3</v>
      </c>
      <c r="Q65" s="123">
        <v>2</v>
      </c>
      <c r="R65" s="123">
        <v>2</v>
      </c>
      <c r="S65" s="63">
        <f t="shared" si="6"/>
        <v>200</v>
      </c>
      <c r="T65" s="63">
        <f t="shared" si="7"/>
        <v>66.666666666666657</v>
      </c>
      <c r="U65" s="61"/>
    </row>
    <row r="66" spans="1:21" s="159" customFormat="1">
      <c r="A66" s="161" t="s">
        <v>89</v>
      </c>
      <c r="B66" s="114"/>
      <c r="C66" s="152"/>
      <c r="D66" s="152"/>
      <c r="E66" s="153"/>
      <c r="F66" s="153"/>
      <c r="G66" s="154"/>
      <c r="H66" s="154"/>
      <c r="I66" s="154"/>
      <c r="J66" s="155"/>
      <c r="K66" s="156"/>
      <c r="L66" s="157"/>
      <c r="M66" s="154"/>
      <c r="N66" s="54">
        <v>0</v>
      </c>
      <c r="O66" s="54"/>
      <c r="P66" s="154"/>
      <c r="Q66" s="152"/>
      <c r="R66" s="152"/>
      <c r="S66" s="63" t="str">
        <f t="shared" si="6"/>
        <v xml:space="preserve"> </v>
      </c>
      <c r="T66" s="63" t="str">
        <f t="shared" si="7"/>
        <v xml:space="preserve"> </v>
      </c>
      <c r="U66" s="158"/>
    </row>
    <row r="67" spans="1:21">
      <c r="A67" s="160" t="s">
        <v>90</v>
      </c>
      <c r="B67" s="53" t="s">
        <v>28</v>
      </c>
      <c r="C67" s="124">
        <v>5303</v>
      </c>
      <c r="D67" s="124">
        <v>4981</v>
      </c>
      <c r="E67" s="123">
        <v>5303</v>
      </c>
      <c r="F67" s="123"/>
      <c r="G67" s="123">
        <v>4981</v>
      </c>
      <c r="H67" s="123"/>
      <c r="I67" s="124">
        <v>5500</v>
      </c>
      <c r="J67" s="125">
        <v>4688</v>
      </c>
      <c r="K67" s="139">
        <v>4739</v>
      </c>
      <c r="L67" s="140"/>
      <c r="M67" s="124">
        <v>4935</v>
      </c>
      <c r="N67" s="54">
        <v>196</v>
      </c>
      <c r="O67" s="54"/>
      <c r="P67" s="124">
        <v>5200</v>
      </c>
      <c r="Q67" s="123">
        <v>4790</v>
      </c>
      <c r="R67" s="123">
        <v>4800</v>
      </c>
      <c r="S67" s="63">
        <f t="shared" si="6"/>
        <v>102.3890784982935</v>
      </c>
      <c r="T67" s="63">
        <f t="shared" si="7"/>
        <v>92.307692307692307</v>
      </c>
      <c r="U67" s="61"/>
    </row>
    <row r="68" spans="1:21">
      <c r="A68" s="160" t="s">
        <v>91</v>
      </c>
      <c r="B68" s="53" t="s">
        <v>40</v>
      </c>
      <c r="C68" s="176"/>
      <c r="D68" s="176">
        <v>53.37</v>
      </c>
      <c r="E68" s="59">
        <v>83.37</v>
      </c>
      <c r="F68" s="59"/>
      <c r="G68" s="92">
        <v>53.37</v>
      </c>
      <c r="H68" s="59"/>
      <c r="I68" s="54">
        <v>80</v>
      </c>
      <c r="J68" s="94">
        <v>50.47</v>
      </c>
      <c r="K68" s="95">
        <v>60</v>
      </c>
      <c r="L68" s="96"/>
      <c r="M68" s="93">
        <v>68</v>
      </c>
      <c r="N68" s="54">
        <v>8</v>
      </c>
      <c r="O68" s="54"/>
      <c r="P68" s="93">
        <v>75</v>
      </c>
      <c r="Q68" s="92">
        <v>50.9</v>
      </c>
      <c r="R68" s="92">
        <v>51</v>
      </c>
      <c r="S68" s="63">
        <f t="shared" si="6"/>
        <v>101.05012878937983</v>
      </c>
      <c r="T68" s="63">
        <f t="shared" si="7"/>
        <v>68</v>
      </c>
      <c r="U68" s="61"/>
    </row>
    <row r="69" spans="1:21">
      <c r="A69" s="160" t="s">
        <v>92</v>
      </c>
      <c r="B69" s="53" t="s">
        <v>28</v>
      </c>
      <c r="C69" s="124">
        <v>85</v>
      </c>
      <c r="D69" s="124">
        <v>85</v>
      </c>
      <c r="E69" s="123">
        <v>85</v>
      </c>
      <c r="F69" s="123"/>
      <c r="G69" s="123">
        <v>90</v>
      </c>
      <c r="H69" s="123"/>
      <c r="I69" s="124">
        <v>80</v>
      </c>
      <c r="J69" s="125">
        <v>104</v>
      </c>
      <c r="K69" s="139">
        <v>104</v>
      </c>
      <c r="L69" s="140"/>
      <c r="M69" s="124">
        <v>104</v>
      </c>
      <c r="N69" s="54">
        <v>0</v>
      </c>
      <c r="O69" s="54"/>
      <c r="P69" s="124">
        <v>80</v>
      </c>
      <c r="Q69" s="123">
        <v>101</v>
      </c>
      <c r="R69" s="123">
        <v>125</v>
      </c>
      <c r="S69" s="63">
        <f t="shared" si="6"/>
        <v>120.19230769230769</v>
      </c>
      <c r="T69" s="63">
        <f t="shared" si="7"/>
        <v>156.25</v>
      </c>
      <c r="U69" s="61"/>
    </row>
    <row r="70" spans="1:21">
      <c r="A70" s="160" t="s">
        <v>93</v>
      </c>
      <c r="B70" s="53" t="s">
        <v>28</v>
      </c>
      <c r="C70" s="176"/>
      <c r="D70" s="176"/>
      <c r="E70" s="59">
        <v>0</v>
      </c>
      <c r="F70" s="59"/>
      <c r="G70" s="59">
        <v>0</v>
      </c>
      <c r="H70" s="59"/>
      <c r="I70" s="54">
        <v>0</v>
      </c>
      <c r="J70" s="56">
        <v>0</v>
      </c>
      <c r="K70" s="57">
        <v>0</v>
      </c>
      <c r="L70" s="58"/>
      <c r="M70" s="54">
        <v>0</v>
      </c>
      <c r="N70" s="54">
        <v>0</v>
      </c>
      <c r="O70" s="54"/>
      <c r="P70" s="54">
        <v>0</v>
      </c>
      <c r="Q70" s="59">
        <v>0</v>
      </c>
      <c r="R70" s="59">
        <v>0</v>
      </c>
      <c r="S70" s="63" t="str">
        <f t="shared" si="6"/>
        <v xml:space="preserve"> </v>
      </c>
      <c r="T70" s="63" t="str">
        <f t="shared" si="7"/>
        <v xml:space="preserve"> </v>
      </c>
      <c r="U70" s="61"/>
    </row>
    <row r="71" spans="1:21" ht="31.5">
      <c r="A71" s="160" t="s">
        <v>94</v>
      </c>
      <c r="B71" s="177" t="s">
        <v>42</v>
      </c>
      <c r="C71" s="176"/>
      <c r="D71" s="176">
        <v>13</v>
      </c>
      <c r="E71" s="59">
        <v>13</v>
      </c>
      <c r="F71" s="59"/>
      <c r="G71" s="59">
        <v>13</v>
      </c>
      <c r="H71" s="59"/>
      <c r="I71" s="54">
        <v>0</v>
      </c>
      <c r="J71" s="56">
        <v>12</v>
      </c>
      <c r="K71" s="100">
        <v>12</v>
      </c>
      <c r="L71" s="178"/>
      <c r="M71" s="97">
        <v>12</v>
      </c>
      <c r="N71" s="54">
        <v>0</v>
      </c>
      <c r="O71" s="54"/>
      <c r="P71" s="54">
        <v>0</v>
      </c>
      <c r="Q71" s="59">
        <v>0</v>
      </c>
      <c r="R71" s="59">
        <v>0</v>
      </c>
      <c r="S71" s="63">
        <f t="shared" si="6"/>
        <v>0</v>
      </c>
      <c r="T71" s="63" t="str">
        <f t="shared" si="7"/>
        <v xml:space="preserve"> </v>
      </c>
      <c r="U71" s="61"/>
    </row>
    <row r="72" spans="1:21" ht="31.5">
      <c r="A72" s="179" t="s">
        <v>95</v>
      </c>
      <c r="B72" s="180" t="s">
        <v>42</v>
      </c>
      <c r="C72" s="181"/>
      <c r="D72" s="181">
        <v>15</v>
      </c>
      <c r="E72" s="182">
        <v>15</v>
      </c>
      <c r="F72" s="182"/>
      <c r="G72" s="182">
        <v>15</v>
      </c>
      <c r="H72" s="182"/>
      <c r="I72" s="183">
        <v>0</v>
      </c>
      <c r="J72" s="184">
        <v>1.5</v>
      </c>
      <c r="K72" s="185">
        <v>15</v>
      </c>
      <c r="L72" s="186"/>
      <c r="M72" s="187">
        <v>15</v>
      </c>
      <c r="N72" s="183">
        <v>0</v>
      </c>
      <c r="O72" s="183"/>
      <c r="P72" s="187">
        <v>0</v>
      </c>
      <c r="Q72" s="59">
        <v>0</v>
      </c>
      <c r="R72" s="59">
        <v>0</v>
      </c>
      <c r="S72" s="63">
        <f t="shared" si="6"/>
        <v>0</v>
      </c>
      <c r="T72" s="63" t="str">
        <f t="shared" si="7"/>
        <v xml:space="preserve"> </v>
      </c>
      <c r="U72" s="61"/>
    </row>
    <row r="73" spans="1:21" s="195" customFormat="1">
      <c r="A73" s="161" t="s">
        <v>96</v>
      </c>
      <c r="B73" s="188"/>
      <c r="C73" s="189"/>
      <c r="D73" s="189"/>
      <c r="E73" s="190"/>
      <c r="F73" s="190"/>
      <c r="G73" s="191"/>
      <c r="H73" s="191"/>
      <c r="I73" s="191"/>
      <c r="J73" s="192"/>
      <c r="K73" s="193"/>
      <c r="L73" s="194"/>
      <c r="M73" s="191"/>
      <c r="N73" s="54">
        <v>0</v>
      </c>
      <c r="O73" s="54"/>
      <c r="P73" s="191"/>
      <c r="Q73" s="59"/>
      <c r="R73" s="59"/>
      <c r="S73" s="63" t="str">
        <f t="shared" si="6"/>
        <v xml:space="preserve"> </v>
      </c>
      <c r="T73" s="63" t="str">
        <f t="shared" si="7"/>
        <v xml:space="preserve"> </v>
      </c>
      <c r="U73" s="61"/>
    </row>
    <row r="74" spans="1:21" s="47" customFormat="1">
      <c r="A74" s="160" t="s">
        <v>97</v>
      </c>
      <c r="B74" s="53" t="s">
        <v>40</v>
      </c>
      <c r="C74" s="196">
        <v>63.64</v>
      </c>
      <c r="D74" s="196">
        <v>63.64</v>
      </c>
      <c r="E74" s="141">
        <v>63.64</v>
      </c>
      <c r="F74" s="141"/>
      <c r="G74" s="141">
        <v>63.64</v>
      </c>
      <c r="H74" s="141"/>
      <c r="I74" s="131">
        <v>72.727272727272734</v>
      </c>
      <c r="J74" s="132">
        <v>63.64</v>
      </c>
      <c r="K74" s="133">
        <v>63.636363636363633</v>
      </c>
      <c r="L74" s="134"/>
      <c r="M74" s="133">
        <v>63.636363636363633</v>
      </c>
      <c r="N74" s="54">
        <v>0</v>
      </c>
      <c r="O74" s="54"/>
      <c r="P74" s="131">
        <v>72.727272727272734</v>
      </c>
      <c r="Q74" s="59">
        <v>63.64</v>
      </c>
      <c r="R74" s="59">
        <v>63.64</v>
      </c>
      <c r="S74" s="63">
        <f t="shared" si="6"/>
        <v>100</v>
      </c>
      <c r="T74" s="63">
        <f t="shared" si="7"/>
        <v>87.504999999999995</v>
      </c>
      <c r="U74" s="61"/>
    </row>
    <row r="75" spans="1:21" s="195" customFormat="1" ht="31.5">
      <c r="A75" s="161" t="s">
        <v>98</v>
      </c>
      <c r="B75" s="188"/>
      <c r="C75" s="189"/>
      <c r="D75" s="189"/>
      <c r="E75" s="190"/>
      <c r="F75" s="190"/>
      <c r="G75" s="191"/>
      <c r="H75" s="191"/>
      <c r="I75" s="191"/>
      <c r="J75" s="192"/>
      <c r="K75" s="193"/>
      <c r="L75" s="194"/>
      <c r="M75" s="191"/>
      <c r="N75" s="54">
        <v>0</v>
      </c>
      <c r="O75" s="54"/>
      <c r="P75" s="191"/>
      <c r="Q75" s="59"/>
      <c r="R75" s="59"/>
      <c r="S75" s="63" t="str">
        <f t="shared" si="6"/>
        <v xml:space="preserve"> </v>
      </c>
      <c r="T75" s="63" t="str">
        <f t="shared" si="7"/>
        <v xml:space="preserve"> </v>
      </c>
      <c r="U75" s="61"/>
    </row>
    <row r="76" spans="1:21" ht="31.5">
      <c r="A76" s="197" t="s">
        <v>99</v>
      </c>
      <c r="B76" s="198" t="s">
        <v>40</v>
      </c>
      <c r="C76" s="199"/>
      <c r="D76" s="199"/>
      <c r="E76" s="200"/>
      <c r="F76" s="200"/>
      <c r="G76" s="201" t="s">
        <v>100</v>
      </c>
      <c r="H76" s="201"/>
      <c r="I76" s="201" t="s">
        <v>100</v>
      </c>
      <c r="J76" s="202" t="s">
        <v>100</v>
      </c>
      <c r="K76" s="201" t="s">
        <v>100</v>
      </c>
      <c r="L76" s="203"/>
      <c r="M76" s="201" t="s">
        <v>100</v>
      </c>
      <c r="N76" s="201"/>
      <c r="O76" s="201"/>
      <c r="P76" s="201" t="s">
        <v>100</v>
      </c>
      <c r="Q76" s="59"/>
      <c r="R76" s="59"/>
      <c r="S76" s="63" t="str">
        <f t="shared" si="6"/>
        <v xml:space="preserve"> </v>
      </c>
      <c r="T76" s="63" t="str">
        <f t="shared" si="7"/>
        <v xml:space="preserve"> </v>
      </c>
      <c r="U76" s="61"/>
    </row>
    <row r="77" spans="1:21" s="121" customFormat="1">
      <c r="A77" s="113" t="s">
        <v>101</v>
      </c>
      <c r="B77" s="114"/>
      <c r="C77" s="204"/>
      <c r="D77" s="204"/>
      <c r="E77" s="205"/>
      <c r="F77" s="205"/>
      <c r="G77" s="119"/>
      <c r="H77" s="119"/>
      <c r="I77" s="119"/>
      <c r="J77" s="206"/>
      <c r="K77" s="119"/>
      <c r="L77" s="207"/>
      <c r="M77" s="119"/>
      <c r="N77" s="119"/>
      <c r="O77" s="119"/>
      <c r="P77" s="119"/>
      <c r="Q77" s="208"/>
      <c r="R77" s="208"/>
      <c r="S77" s="63" t="str">
        <f t="shared" si="6"/>
        <v xml:space="preserve"> </v>
      </c>
      <c r="T77" s="63" t="str">
        <f t="shared" si="7"/>
        <v xml:space="preserve"> </v>
      </c>
      <c r="U77" s="120"/>
    </row>
    <row r="78" spans="1:21" s="121" customFormat="1">
      <c r="A78" s="209" t="s">
        <v>102</v>
      </c>
      <c r="B78" s="53" t="s">
        <v>103</v>
      </c>
      <c r="C78" s="210">
        <v>95.153683862160264</v>
      </c>
      <c r="D78" s="210">
        <v>95.153683862160264</v>
      </c>
      <c r="E78" s="98">
        <v>95.153683862160264</v>
      </c>
      <c r="F78" s="98"/>
      <c r="G78" s="97">
        <v>95.153683862160264</v>
      </c>
      <c r="H78" s="97"/>
      <c r="I78" s="93">
        <v>95.5</v>
      </c>
      <c r="J78" s="94">
        <v>95.153683862160264</v>
      </c>
      <c r="K78" s="95">
        <v>95.79</v>
      </c>
      <c r="L78" s="96"/>
      <c r="M78" s="211">
        <v>96.89</v>
      </c>
      <c r="N78" s="212">
        <f>+M78-K78</f>
        <v>1.0999999999999943</v>
      </c>
      <c r="O78" s="54">
        <v>98</v>
      </c>
      <c r="P78" s="211">
        <v>98.35</v>
      </c>
      <c r="Q78" s="92">
        <v>98.21</v>
      </c>
      <c r="R78" s="92">
        <v>98.3</v>
      </c>
      <c r="S78" s="63">
        <f t="shared" si="6"/>
        <v>103.3065626154816</v>
      </c>
      <c r="T78" s="63">
        <f t="shared" si="7"/>
        <v>99.94916115912558</v>
      </c>
      <c r="U78" s="213"/>
    </row>
    <row r="79" spans="1:21" s="121" customFormat="1">
      <c r="A79" s="209" t="s">
        <v>104</v>
      </c>
      <c r="B79" s="53" t="s">
        <v>103</v>
      </c>
      <c r="C79" s="210"/>
      <c r="D79" s="210"/>
      <c r="E79" s="98"/>
      <c r="F79" s="98"/>
      <c r="G79" s="97"/>
      <c r="H79" s="97"/>
      <c r="I79" s="93"/>
      <c r="J79" s="94"/>
      <c r="K79" s="95"/>
      <c r="L79" s="96"/>
      <c r="M79" s="211"/>
      <c r="N79" s="212"/>
      <c r="O79" s="54">
        <v>8</v>
      </c>
      <c r="P79" s="214">
        <v>8</v>
      </c>
      <c r="Q79" s="59">
        <v>8.18</v>
      </c>
      <c r="R79" s="59">
        <v>8.1999999999999993</v>
      </c>
      <c r="S79" s="63" t="str">
        <f t="shared" si="6"/>
        <v xml:space="preserve"> </v>
      </c>
      <c r="T79" s="63">
        <f t="shared" si="7"/>
        <v>102.49999999999999</v>
      </c>
      <c r="U79" s="213"/>
    </row>
    <row r="80" spans="1:21" s="121" customFormat="1">
      <c r="A80" s="209" t="s">
        <v>105</v>
      </c>
      <c r="B80" s="53" t="s">
        <v>103</v>
      </c>
      <c r="C80" s="210"/>
      <c r="D80" s="210"/>
      <c r="E80" s="98"/>
      <c r="F80" s="98"/>
      <c r="G80" s="97"/>
      <c r="H80" s="97"/>
      <c r="I80" s="93"/>
      <c r="J80" s="94"/>
      <c r="K80" s="95"/>
      <c r="L80" s="96"/>
      <c r="M80" s="211"/>
      <c r="N80" s="212"/>
      <c r="O80" s="54">
        <v>6</v>
      </c>
      <c r="P80" s="214">
        <v>6</v>
      </c>
      <c r="Q80" s="59">
        <v>6.03</v>
      </c>
      <c r="R80" s="59">
        <v>6.04</v>
      </c>
      <c r="S80" s="63" t="str">
        <f t="shared" si="6"/>
        <v xml:space="preserve"> </v>
      </c>
      <c r="T80" s="63">
        <f t="shared" si="7"/>
        <v>100.66666666666666</v>
      </c>
      <c r="U80" s="213"/>
    </row>
    <row r="81" spans="1:194" s="47" customFormat="1" ht="20.25">
      <c r="A81" s="101" t="s">
        <v>106</v>
      </c>
      <c r="B81" s="102"/>
      <c r="C81" s="103"/>
      <c r="D81" s="103"/>
      <c r="E81" s="104"/>
      <c r="F81" s="104"/>
      <c r="G81" s="105"/>
      <c r="H81" s="105"/>
      <c r="I81" s="105"/>
      <c r="J81" s="106"/>
      <c r="K81" s="107"/>
      <c r="L81" s="107"/>
      <c r="M81" s="105"/>
      <c r="N81" s="108">
        <f t="shared" ref="N81:N144" si="10">+M81-K81</f>
        <v>0</v>
      </c>
      <c r="O81" s="108"/>
      <c r="P81" s="105"/>
      <c r="Q81" s="109"/>
      <c r="R81" s="109"/>
      <c r="S81" s="110" t="str">
        <f>IF(ISERROR(M81/G81*100)," ",M81/G81*100)</f>
        <v xml:space="preserve"> </v>
      </c>
      <c r="T81" s="110" t="str">
        <f t="shared" si="3"/>
        <v xml:space="preserve"> </v>
      </c>
      <c r="U81" s="111"/>
      <c r="V81" s="112"/>
      <c r="AH81" s="48"/>
      <c r="AK81" s="49"/>
      <c r="AL81" s="49"/>
      <c r="AM81" s="50"/>
      <c r="AN81" s="51"/>
      <c r="BD81" s="48"/>
      <c r="BG81" s="49"/>
      <c r="BH81" s="49"/>
      <c r="BI81" s="50"/>
      <c r="BJ81" s="51"/>
      <c r="BZ81" s="48"/>
      <c r="CC81" s="49"/>
      <c r="CD81" s="49"/>
      <c r="CE81" s="50"/>
      <c r="CF81" s="51"/>
      <c r="CV81" s="48"/>
      <c r="CY81" s="49"/>
      <c r="CZ81" s="49"/>
      <c r="DA81" s="50"/>
      <c r="DB81" s="51"/>
      <c r="DR81" s="48"/>
      <c r="DU81" s="49"/>
      <c r="DV81" s="49"/>
      <c r="DW81" s="50"/>
      <c r="DX81" s="51"/>
      <c r="EN81" s="48"/>
      <c r="EQ81" s="49"/>
      <c r="ER81" s="49"/>
      <c r="ES81" s="50"/>
      <c r="ET81" s="51"/>
      <c r="FJ81" s="48"/>
      <c r="FM81" s="49"/>
      <c r="FN81" s="49"/>
      <c r="FO81" s="50"/>
      <c r="FP81" s="51"/>
      <c r="GF81" s="48"/>
      <c r="GI81" s="49"/>
      <c r="GJ81" s="49"/>
      <c r="GK81" s="50"/>
      <c r="GL81" s="51"/>
    </row>
    <row r="82" spans="1:194" s="90" customFormat="1">
      <c r="A82" s="215" t="s">
        <v>107</v>
      </c>
      <c r="B82" s="88" t="s">
        <v>108</v>
      </c>
      <c r="C82" s="124">
        <v>8321</v>
      </c>
      <c r="D82" s="124">
        <v>8321</v>
      </c>
      <c r="E82" s="123">
        <v>8321</v>
      </c>
      <c r="F82" s="123"/>
      <c r="G82" s="123">
        <v>8625</v>
      </c>
      <c r="H82" s="123"/>
      <c r="I82" s="138">
        <v>8600</v>
      </c>
      <c r="J82" s="125">
        <v>8897</v>
      </c>
      <c r="K82" s="139">
        <v>9242</v>
      </c>
      <c r="L82" s="139"/>
      <c r="M82" s="138">
        <v>7868</v>
      </c>
      <c r="N82" s="216">
        <f t="shared" si="10"/>
        <v>-1374</v>
      </c>
      <c r="O82" s="216"/>
      <c r="P82" s="217">
        <v>8000</v>
      </c>
      <c r="Q82" s="123">
        <v>8371</v>
      </c>
      <c r="R82" s="123">
        <f>+Q82</f>
        <v>8371</v>
      </c>
      <c r="S82" s="63">
        <f t="shared" ref="S82:S87" si="11">IF(ISERROR(R82/J82*100)," ",R82/J82*100)</f>
        <v>94.08789479599865</v>
      </c>
      <c r="T82" s="63">
        <f t="shared" ref="T82:T87" si="12">IF(ISERROR(R82/P82*100)," ",R82/P82*100)</f>
        <v>104.6375</v>
      </c>
      <c r="U82" s="91"/>
    </row>
    <row r="83" spans="1:194" s="225" customFormat="1" ht="24">
      <c r="A83" s="172" t="s">
        <v>109</v>
      </c>
      <c r="B83" s="65" t="s">
        <v>108</v>
      </c>
      <c r="C83" s="218">
        <v>727</v>
      </c>
      <c r="D83" s="218">
        <v>727</v>
      </c>
      <c r="E83" s="173">
        <v>727</v>
      </c>
      <c r="F83" s="173"/>
      <c r="G83" s="173">
        <v>950</v>
      </c>
      <c r="H83" s="173"/>
      <c r="I83" s="219">
        <v>790</v>
      </c>
      <c r="J83" s="220">
        <v>694</v>
      </c>
      <c r="K83" s="221">
        <v>1051</v>
      </c>
      <c r="L83" s="222"/>
      <c r="M83" s="218">
        <v>1382</v>
      </c>
      <c r="N83" s="223">
        <f t="shared" si="10"/>
        <v>331</v>
      </c>
      <c r="O83" s="223"/>
      <c r="P83" s="218">
        <v>1300</v>
      </c>
      <c r="Q83" s="173">
        <v>596</v>
      </c>
      <c r="R83" s="173">
        <v>596</v>
      </c>
      <c r="S83" s="224">
        <f t="shared" si="11"/>
        <v>85.878962536023053</v>
      </c>
      <c r="T83" s="224">
        <f t="shared" si="12"/>
        <v>45.846153846153847</v>
      </c>
      <c r="U83" s="226" t="s">
        <v>110</v>
      </c>
    </row>
    <row r="84" spans="1:194" ht="31.5">
      <c r="A84" s="227" t="s">
        <v>111</v>
      </c>
      <c r="B84" s="53" t="s">
        <v>40</v>
      </c>
      <c r="C84" s="228">
        <v>71.02</v>
      </c>
      <c r="D84" s="228">
        <v>17.02</v>
      </c>
      <c r="E84" s="141">
        <v>17.02</v>
      </c>
      <c r="F84" s="141"/>
      <c r="G84" s="141">
        <v>17.02</v>
      </c>
      <c r="H84" s="141"/>
      <c r="I84" s="124">
        <v>17</v>
      </c>
      <c r="J84" s="132"/>
      <c r="K84" s="148">
        <v>17.399999999999999</v>
      </c>
      <c r="L84" s="149"/>
      <c r="M84" s="150">
        <v>17.010000000000002</v>
      </c>
      <c r="N84" s="54">
        <v>-0.38999999999999702</v>
      </c>
      <c r="O84" s="54"/>
      <c r="P84" s="131">
        <v>16.8</v>
      </c>
      <c r="Q84" s="141">
        <v>17.04</v>
      </c>
      <c r="R84" s="141">
        <v>17.04</v>
      </c>
      <c r="S84" s="63" t="str">
        <f t="shared" si="11"/>
        <v xml:space="preserve"> </v>
      </c>
      <c r="T84" s="63">
        <f t="shared" si="12"/>
        <v>101.42857142857142</v>
      </c>
      <c r="U84" s="229"/>
    </row>
    <row r="85" spans="1:194">
      <c r="A85" s="160" t="s">
        <v>112</v>
      </c>
      <c r="B85" s="53" t="s">
        <v>40</v>
      </c>
      <c r="C85" s="228">
        <v>17.03</v>
      </c>
      <c r="D85" s="228">
        <v>17.03</v>
      </c>
      <c r="E85" s="141">
        <v>17.03</v>
      </c>
      <c r="F85" s="141"/>
      <c r="G85" s="141">
        <v>17.03</v>
      </c>
      <c r="H85" s="141"/>
      <c r="I85" s="138">
        <v>17</v>
      </c>
      <c r="J85" s="125"/>
      <c r="K85" s="148">
        <v>17.2</v>
      </c>
      <c r="L85" s="149"/>
      <c r="M85" s="150">
        <v>17.2</v>
      </c>
      <c r="N85" s="54">
        <v>0</v>
      </c>
      <c r="O85" s="54"/>
      <c r="P85" s="131">
        <v>17</v>
      </c>
      <c r="Q85" s="141">
        <v>17</v>
      </c>
      <c r="R85" s="141">
        <v>17</v>
      </c>
      <c r="S85" s="63" t="str">
        <f t="shared" si="11"/>
        <v xml:space="preserve"> </v>
      </c>
      <c r="T85" s="63">
        <f t="shared" si="12"/>
        <v>100</v>
      </c>
      <c r="U85" s="229"/>
    </row>
    <row r="86" spans="1:194" s="47" customFormat="1">
      <c r="A86" s="230" t="s">
        <v>113</v>
      </c>
      <c r="B86" s="53" t="s">
        <v>40</v>
      </c>
      <c r="C86" s="231"/>
      <c r="D86" s="231">
        <v>98</v>
      </c>
      <c r="E86" s="123">
        <v>98</v>
      </c>
      <c r="F86" s="123"/>
      <c r="G86" s="123">
        <v>98</v>
      </c>
      <c r="H86" s="123"/>
      <c r="I86" s="124">
        <v>98</v>
      </c>
      <c r="J86" s="147">
        <v>39.4</v>
      </c>
      <c r="K86" s="148">
        <v>68.2</v>
      </c>
      <c r="L86" s="149"/>
      <c r="M86" s="124">
        <v>98</v>
      </c>
      <c r="N86" s="54">
        <v>29.799999999999997</v>
      </c>
      <c r="O86" s="54"/>
      <c r="P86" s="150">
        <v>98</v>
      </c>
      <c r="Q86" s="146">
        <v>32.9</v>
      </c>
      <c r="R86" s="146">
        <v>48.5</v>
      </c>
      <c r="S86" s="63">
        <f t="shared" si="11"/>
        <v>123.09644670050761</v>
      </c>
      <c r="T86" s="63">
        <f t="shared" si="12"/>
        <v>49.489795918367349</v>
      </c>
      <c r="U86" s="61"/>
    </row>
    <row r="87" spans="1:194" s="47" customFormat="1" ht="31.5">
      <c r="A87" s="160" t="s">
        <v>114</v>
      </c>
      <c r="B87" s="53" t="s">
        <v>40</v>
      </c>
      <c r="C87" s="231" t="e">
        <f>#REF!</f>
        <v>#REF!</v>
      </c>
      <c r="D87" s="231">
        <v>11</v>
      </c>
      <c r="E87" s="123">
        <v>11</v>
      </c>
      <c r="F87" s="123"/>
      <c r="G87" s="123">
        <v>11</v>
      </c>
      <c r="H87" s="123"/>
      <c r="I87" s="124">
        <v>11</v>
      </c>
      <c r="J87" s="125">
        <v>11</v>
      </c>
      <c r="K87" s="139">
        <v>11</v>
      </c>
      <c r="L87" s="140"/>
      <c r="M87" s="124">
        <v>11</v>
      </c>
      <c r="N87" s="54">
        <v>0</v>
      </c>
      <c r="O87" s="54">
        <v>11</v>
      </c>
      <c r="P87" s="124">
        <v>11</v>
      </c>
      <c r="Q87" s="123">
        <v>11</v>
      </c>
      <c r="R87" s="123">
        <v>11</v>
      </c>
      <c r="S87" s="63">
        <f t="shared" si="11"/>
        <v>100</v>
      </c>
      <c r="T87" s="63">
        <f t="shared" si="12"/>
        <v>100</v>
      </c>
      <c r="U87" s="61"/>
      <c r="W87" s="232"/>
    </row>
    <row r="88" spans="1:194" s="47" customFormat="1" ht="20.25">
      <c r="A88" s="101" t="s">
        <v>115</v>
      </c>
      <c r="B88" s="102"/>
      <c r="C88" s="103"/>
      <c r="D88" s="103"/>
      <c r="E88" s="104"/>
      <c r="F88" s="104"/>
      <c r="G88" s="105"/>
      <c r="H88" s="105"/>
      <c r="I88" s="105"/>
      <c r="J88" s="106"/>
      <c r="K88" s="107"/>
      <c r="L88" s="140"/>
      <c r="M88" s="105"/>
      <c r="N88" s="108">
        <f t="shared" si="10"/>
        <v>0</v>
      </c>
      <c r="O88" s="108"/>
      <c r="P88" s="105"/>
      <c r="Q88" s="109"/>
      <c r="R88" s="109"/>
      <c r="S88" s="110" t="str">
        <f>IF(ISERROR(M88/G88*100)," ",M88/G88*100)</f>
        <v xml:space="preserve"> </v>
      </c>
      <c r="T88" s="110" t="str">
        <f t="shared" si="3"/>
        <v xml:space="preserve"> </v>
      </c>
      <c r="U88" s="111"/>
      <c r="V88" s="112"/>
      <c r="W88" s="232"/>
      <c r="AH88" s="48"/>
      <c r="AK88" s="49"/>
      <c r="AL88" s="49"/>
      <c r="AM88" s="50"/>
      <c r="AN88" s="51"/>
      <c r="BD88" s="48"/>
      <c r="BG88" s="49"/>
      <c r="BH88" s="49"/>
      <c r="BI88" s="50"/>
      <c r="BJ88" s="51"/>
      <c r="BZ88" s="48"/>
      <c r="CC88" s="49"/>
      <c r="CD88" s="49"/>
      <c r="CE88" s="50"/>
      <c r="CF88" s="51"/>
      <c r="CV88" s="48"/>
      <c r="CY88" s="49"/>
      <c r="CZ88" s="49"/>
      <c r="DA88" s="50"/>
      <c r="DB88" s="51"/>
      <c r="DR88" s="48"/>
      <c r="DU88" s="49"/>
      <c r="DV88" s="49"/>
      <c r="DW88" s="50"/>
      <c r="DX88" s="51"/>
      <c r="EN88" s="48"/>
      <c r="EQ88" s="49"/>
      <c r="ER88" s="49"/>
      <c r="ES88" s="50"/>
      <c r="ET88" s="51"/>
      <c r="FJ88" s="48"/>
      <c r="FM88" s="49"/>
      <c r="FN88" s="49"/>
      <c r="FO88" s="50"/>
      <c r="FP88" s="51"/>
      <c r="GF88" s="48"/>
      <c r="GI88" s="49"/>
      <c r="GJ88" s="49"/>
      <c r="GK88" s="50"/>
      <c r="GL88" s="51"/>
    </row>
    <row r="89" spans="1:194" s="50" customFormat="1">
      <c r="A89" s="113" t="s">
        <v>116</v>
      </c>
      <c r="B89" s="114" t="s">
        <v>117</v>
      </c>
      <c r="C89" s="233">
        <f t="shared" ref="C89:G89" si="13">C99+C115+C122+C130</f>
        <v>13550</v>
      </c>
      <c r="D89" s="115">
        <f t="shared" si="13"/>
        <v>13879</v>
      </c>
      <c r="E89" s="115">
        <f t="shared" si="13"/>
        <v>13879</v>
      </c>
      <c r="F89" s="115"/>
      <c r="G89" s="116">
        <f t="shared" si="13"/>
        <v>13879</v>
      </c>
      <c r="H89" s="116"/>
      <c r="I89" s="116">
        <f>I99+I115+I122+I130</f>
        <v>14653</v>
      </c>
      <c r="J89" s="117">
        <f>J99+J115+J122+J130</f>
        <v>13918</v>
      </c>
      <c r="K89" s="143">
        <f>K99+K115+K122+K130</f>
        <v>13918</v>
      </c>
      <c r="L89" s="144"/>
      <c r="M89" s="116">
        <f>M99+M115+M122+M130</f>
        <v>13918</v>
      </c>
      <c r="N89" s="54">
        <f t="shared" si="10"/>
        <v>0</v>
      </c>
      <c r="O89" s="116">
        <f>O99+O115+O122+O130+O133</f>
        <v>14790</v>
      </c>
      <c r="P89" s="116">
        <f>P99+P115+P122+P130+P133</f>
        <v>14790</v>
      </c>
      <c r="Q89" s="116">
        <f>Q99+Q115+Q122+Q130+Q133</f>
        <v>14424</v>
      </c>
      <c r="R89" s="116">
        <f>R99+R115+R122+R130+R133</f>
        <v>14424</v>
      </c>
      <c r="S89" s="63">
        <f t="shared" ref="S89:S135" si="14">IF(ISERROR(R89/J89*100)," ",R89/J89*100)</f>
        <v>103.63557982468745</v>
      </c>
      <c r="T89" s="63">
        <f t="shared" ref="T89:T135" si="15">IF(ISERROR(R89/P89*100)," ",R89/P89*100)</f>
        <v>97.525354969574039</v>
      </c>
      <c r="U89" s="120"/>
      <c r="W89" s="234"/>
    </row>
    <row r="90" spans="1:194" s="225" customFormat="1">
      <c r="A90" s="64" t="s">
        <v>118</v>
      </c>
      <c r="B90" s="65" t="s">
        <v>117</v>
      </c>
      <c r="C90" s="235">
        <f>C103+C106+C116+C123+C131</f>
        <v>8522</v>
      </c>
      <c r="D90" s="173">
        <f>D103+D106+D116+D123+D131</f>
        <v>8399</v>
      </c>
      <c r="E90" s="173">
        <f>E103+E106+E116+E123+E131</f>
        <v>8399</v>
      </c>
      <c r="F90" s="173"/>
      <c r="G90" s="219">
        <f>G103+G106+G116+G123+G131</f>
        <v>8399</v>
      </c>
      <c r="H90" s="219"/>
      <c r="I90" s="219">
        <f>I103+I106+I116+I123+I131</f>
        <v>8644.0312977099238</v>
      </c>
      <c r="J90" s="220">
        <f>J103+J106+J116+J123+J131</f>
        <v>8773</v>
      </c>
      <c r="K90" s="221">
        <f>K103+K106+K116+K123+K131</f>
        <v>8773</v>
      </c>
      <c r="L90" s="222"/>
      <c r="M90" s="219">
        <f>M103+M106+M116+M123+M131</f>
        <v>8773</v>
      </c>
      <c r="N90" s="54">
        <f t="shared" si="10"/>
        <v>0</v>
      </c>
      <c r="O90" s="54"/>
      <c r="P90" s="219">
        <f>P103+P106+P116+P123+P131</f>
        <v>9160.9499482915162</v>
      </c>
      <c r="Q90" s="219">
        <v>8339</v>
      </c>
      <c r="R90" s="219">
        <v>8339</v>
      </c>
      <c r="S90" s="63">
        <f t="shared" si="14"/>
        <v>95.053003533568898</v>
      </c>
      <c r="T90" s="63">
        <f t="shared" si="15"/>
        <v>91.027677774346898</v>
      </c>
      <c r="U90" s="78"/>
      <c r="W90" s="236"/>
    </row>
    <row r="91" spans="1:194" s="50" customFormat="1">
      <c r="A91" s="113" t="s">
        <v>119</v>
      </c>
      <c r="B91" s="114" t="s">
        <v>120</v>
      </c>
      <c r="C91" s="237"/>
      <c r="D91" s="115"/>
      <c r="E91" s="115"/>
      <c r="F91" s="115"/>
      <c r="G91" s="116"/>
      <c r="H91" s="116"/>
      <c r="I91" s="116"/>
      <c r="J91" s="117"/>
      <c r="K91" s="143"/>
      <c r="L91" s="144"/>
      <c r="M91" s="116"/>
      <c r="N91" s="54">
        <f t="shared" si="10"/>
        <v>0</v>
      </c>
      <c r="O91" s="54"/>
      <c r="P91" s="116"/>
      <c r="Q91" s="116"/>
      <c r="R91" s="116"/>
      <c r="S91" s="63" t="str">
        <f t="shared" si="14"/>
        <v xml:space="preserve"> </v>
      </c>
      <c r="T91" s="63" t="str">
        <f t="shared" si="15"/>
        <v xml:space="preserve"> </v>
      </c>
      <c r="U91" s="120"/>
    </row>
    <row r="92" spans="1:194" s="50" customFormat="1">
      <c r="A92" s="113" t="s">
        <v>121</v>
      </c>
      <c r="B92" s="114" t="s">
        <v>40</v>
      </c>
      <c r="C92" s="238"/>
      <c r="D92" s="115"/>
      <c r="E92" s="115"/>
      <c r="F92" s="115"/>
      <c r="G92" s="116"/>
      <c r="H92" s="116"/>
      <c r="I92" s="116"/>
      <c r="J92" s="117"/>
      <c r="K92" s="143"/>
      <c r="L92" s="144"/>
      <c r="M92" s="116"/>
      <c r="N92" s="54">
        <f t="shared" si="10"/>
        <v>0</v>
      </c>
      <c r="O92" s="54"/>
      <c r="P92" s="116"/>
      <c r="Q92" s="116"/>
      <c r="R92" s="116"/>
      <c r="S92" s="63" t="str">
        <f t="shared" si="14"/>
        <v xml:space="preserve"> </v>
      </c>
      <c r="T92" s="63" t="str">
        <f t="shared" si="15"/>
        <v xml:space="preserve"> </v>
      </c>
      <c r="U92" s="120"/>
    </row>
    <row r="93" spans="1:194" s="50" customFormat="1">
      <c r="A93" s="161" t="s">
        <v>122</v>
      </c>
      <c r="B93" s="114"/>
      <c r="C93" s="233"/>
      <c r="D93" s="115"/>
      <c r="E93" s="115"/>
      <c r="F93" s="115"/>
      <c r="G93" s="116"/>
      <c r="H93" s="116"/>
      <c r="I93" s="116"/>
      <c r="J93" s="117"/>
      <c r="K93" s="143"/>
      <c r="L93" s="144"/>
      <c r="M93" s="116"/>
      <c r="N93" s="54">
        <f t="shared" si="10"/>
        <v>0</v>
      </c>
      <c r="O93" s="54"/>
      <c r="P93" s="116"/>
      <c r="Q93" s="116"/>
      <c r="R93" s="116"/>
      <c r="S93" s="63" t="str">
        <f t="shared" si="14"/>
        <v xml:space="preserve"> </v>
      </c>
      <c r="T93" s="63" t="str">
        <f t="shared" si="15"/>
        <v xml:space="preserve"> </v>
      </c>
      <c r="U93" s="120"/>
    </row>
    <row r="94" spans="1:194" s="47" customFormat="1">
      <c r="A94" s="122" t="s">
        <v>123</v>
      </c>
      <c r="B94" s="53" t="s">
        <v>124</v>
      </c>
      <c r="C94" s="239"/>
      <c r="D94" s="123"/>
      <c r="E94" s="123"/>
      <c r="F94" s="123"/>
      <c r="G94" s="124"/>
      <c r="H94" s="124"/>
      <c r="I94" s="124"/>
      <c r="J94" s="125"/>
      <c r="K94" s="139"/>
      <c r="L94" s="140"/>
      <c r="M94" s="124"/>
      <c r="N94" s="54">
        <f t="shared" si="10"/>
        <v>0</v>
      </c>
      <c r="O94" s="54"/>
      <c r="P94" s="124"/>
      <c r="Q94" s="124"/>
      <c r="R94" s="124"/>
      <c r="S94" s="63" t="str">
        <f t="shared" si="14"/>
        <v xml:space="preserve"> </v>
      </c>
      <c r="T94" s="63" t="str">
        <f t="shared" si="15"/>
        <v xml:space="preserve"> </v>
      </c>
      <c r="U94" s="61"/>
    </row>
    <row r="95" spans="1:194" s="47" customFormat="1">
      <c r="A95" s="52" t="s">
        <v>125</v>
      </c>
      <c r="B95" s="53" t="s">
        <v>120</v>
      </c>
      <c r="C95" s="239"/>
      <c r="D95" s="123"/>
      <c r="E95" s="123"/>
      <c r="F95" s="123"/>
      <c r="G95" s="124"/>
      <c r="H95" s="124"/>
      <c r="I95" s="124"/>
      <c r="J95" s="125"/>
      <c r="K95" s="139"/>
      <c r="L95" s="140"/>
      <c r="M95" s="124"/>
      <c r="N95" s="54">
        <f t="shared" si="10"/>
        <v>0</v>
      </c>
      <c r="O95" s="54"/>
      <c r="P95" s="124"/>
      <c r="Q95" s="124"/>
      <c r="R95" s="124"/>
      <c r="S95" s="63" t="str">
        <f t="shared" si="14"/>
        <v xml:space="preserve"> </v>
      </c>
      <c r="T95" s="63" t="str">
        <f t="shared" si="15"/>
        <v xml:space="preserve"> </v>
      </c>
      <c r="U95" s="61"/>
    </row>
    <row r="96" spans="1:194" s="47" customFormat="1">
      <c r="A96" s="209" t="s">
        <v>126</v>
      </c>
      <c r="B96" s="53" t="s">
        <v>117</v>
      </c>
      <c r="C96" s="233"/>
      <c r="D96" s="115"/>
      <c r="E96" s="115"/>
      <c r="F96" s="115"/>
      <c r="G96" s="116"/>
      <c r="H96" s="116"/>
      <c r="I96" s="116"/>
      <c r="J96" s="117"/>
      <c r="K96" s="143"/>
      <c r="L96" s="144"/>
      <c r="M96" s="116"/>
      <c r="N96" s="54">
        <f t="shared" si="10"/>
        <v>0</v>
      </c>
      <c r="O96" s="54"/>
      <c r="P96" s="116"/>
      <c r="Q96" s="116"/>
      <c r="R96" s="116"/>
      <c r="S96" s="63" t="str">
        <f t="shared" si="14"/>
        <v xml:space="preserve"> </v>
      </c>
      <c r="T96" s="63" t="str">
        <f t="shared" si="15"/>
        <v xml:space="preserve"> </v>
      </c>
      <c r="U96" s="61"/>
    </row>
    <row r="97" spans="1:23" s="225" customFormat="1">
      <c r="A97" s="64" t="s">
        <v>127</v>
      </c>
      <c r="B97" s="65" t="s">
        <v>117</v>
      </c>
      <c r="C97" s="235"/>
      <c r="D97" s="173"/>
      <c r="E97" s="173"/>
      <c r="F97" s="173"/>
      <c r="G97" s="219"/>
      <c r="H97" s="219"/>
      <c r="I97" s="219"/>
      <c r="J97" s="220"/>
      <c r="K97" s="221"/>
      <c r="L97" s="222"/>
      <c r="M97" s="219"/>
      <c r="N97" s="54">
        <f t="shared" si="10"/>
        <v>0</v>
      </c>
      <c r="O97" s="54"/>
      <c r="P97" s="219"/>
      <c r="Q97" s="219"/>
      <c r="R97" s="219"/>
      <c r="S97" s="63" t="str">
        <f t="shared" si="14"/>
        <v xml:space="preserve"> </v>
      </c>
      <c r="T97" s="63" t="str">
        <f t="shared" si="15"/>
        <v xml:space="preserve"> </v>
      </c>
      <c r="U97" s="240"/>
    </row>
    <row r="98" spans="1:23" s="225" customFormat="1">
      <c r="A98" s="241" t="s">
        <v>128</v>
      </c>
      <c r="B98" s="65" t="s">
        <v>117</v>
      </c>
      <c r="C98" s="235">
        <f t="shared" ref="C98" si="16">C104+C111</f>
        <v>412</v>
      </c>
      <c r="D98" s="173">
        <v>412</v>
      </c>
      <c r="E98" s="173">
        <f t="shared" ref="E98:G98" si="17">E104+E111</f>
        <v>473</v>
      </c>
      <c r="F98" s="173"/>
      <c r="G98" s="219">
        <f t="shared" si="17"/>
        <v>412</v>
      </c>
      <c r="H98" s="219"/>
      <c r="I98" s="219">
        <f t="shared" ref="I98" si="18">I104+I111</f>
        <v>491</v>
      </c>
      <c r="J98" s="220">
        <f>J111+J114+J124+J131+J139</f>
        <v>762</v>
      </c>
      <c r="K98" s="221">
        <f>K111+K114+K124+K131+K139</f>
        <v>762</v>
      </c>
      <c r="L98" s="222"/>
      <c r="M98" s="219">
        <f>M111+M114+M124+M131+M139</f>
        <v>762</v>
      </c>
      <c r="N98" s="54">
        <f t="shared" si="10"/>
        <v>0</v>
      </c>
      <c r="O98" s="54"/>
      <c r="P98" s="219">
        <f>P111+P114+P124+P131+P139</f>
        <v>848</v>
      </c>
      <c r="Q98" s="219">
        <v>555</v>
      </c>
      <c r="R98" s="219">
        <v>555</v>
      </c>
      <c r="S98" s="63">
        <f t="shared" si="14"/>
        <v>72.834645669291348</v>
      </c>
      <c r="T98" s="63">
        <f t="shared" si="15"/>
        <v>65.448113207547166</v>
      </c>
      <c r="U98" s="78"/>
    </row>
    <row r="99" spans="1:23" s="245" customFormat="1">
      <c r="A99" s="242" t="s">
        <v>129</v>
      </c>
      <c r="B99" s="243" t="s">
        <v>130</v>
      </c>
      <c r="C99" s="244">
        <f t="shared" ref="C99:G99" si="19">+C102+C105</f>
        <v>3930</v>
      </c>
      <c r="D99" s="152">
        <f t="shared" si="19"/>
        <v>3930</v>
      </c>
      <c r="E99" s="152">
        <f t="shared" si="19"/>
        <v>3930</v>
      </c>
      <c r="F99" s="152"/>
      <c r="G99" s="154">
        <f t="shared" si="19"/>
        <v>3930</v>
      </c>
      <c r="H99" s="154"/>
      <c r="I99" s="154">
        <v>4083</v>
      </c>
      <c r="J99" s="155">
        <f>J102+J105</f>
        <v>4164</v>
      </c>
      <c r="K99" s="156">
        <f>K102+K105</f>
        <v>4164</v>
      </c>
      <c r="L99" s="157"/>
      <c r="M99" s="154">
        <f>M102+M105</f>
        <v>4164</v>
      </c>
      <c r="N99" s="54">
        <f t="shared" si="10"/>
        <v>0</v>
      </c>
      <c r="O99" s="154">
        <v>4350</v>
      </c>
      <c r="P99" s="154">
        <f>P102+P105</f>
        <v>4350</v>
      </c>
      <c r="Q99" s="154">
        <v>4276</v>
      </c>
      <c r="R99" s="154">
        <v>4276</v>
      </c>
      <c r="S99" s="63">
        <f t="shared" si="14"/>
        <v>102.68972142170989</v>
      </c>
      <c r="T99" s="63">
        <f t="shared" si="15"/>
        <v>98.298850574712645</v>
      </c>
      <c r="U99" s="158"/>
    </row>
    <row r="100" spans="1:23" ht="16.5">
      <c r="A100" s="160" t="s">
        <v>123</v>
      </c>
      <c r="B100" s="53" t="s">
        <v>131</v>
      </c>
      <c r="C100" s="246">
        <v>16</v>
      </c>
      <c r="D100" s="247">
        <v>17</v>
      </c>
      <c r="E100" s="247">
        <v>17</v>
      </c>
      <c r="F100" s="247"/>
      <c r="G100" s="248">
        <v>17</v>
      </c>
      <c r="H100" s="248"/>
      <c r="I100" s="248">
        <v>17</v>
      </c>
      <c r="J100" s="249">
        <v>17</v>
      </c>
      <c r="K100" s="250">
        <v>17</v>
      </c>
      <c r="L100" s="251"/>
      <c r="M100" s="248">
        <v>17</v>
      </c>
      <c r="N100" s="54">
        <f t="shared" si="10"/>
        <v>0</v>
      </c>
      <c r="O100" s="54"/>
      <c r="P100" s="248">
        <v>17</v>
      </c>
      <c r="Q100" s="248">
        <v>17</v>
      </c>
      <c r="R100" s="248">
        <v>17</v>
      </c>
      <c r="S100" s="63">
        <f t="shared" si="14"/>
        <v>100</v>
      </c>
      <c r="T100" s="63">
        <f t="shared" si="15"/>
        <v>100</v>
      </c>
      <c r="U100" s="128" t="s">
        <v>132</v>
      </c>
      <c r="W100" s="75"/>
    </row>
    <row r="101" spans="1:23" ht="16.5">
      <c r="A101" s="160" t="s">
        <v>133</v>
      </c>
      <c r="B101" s="53" t="s">
        <v>40</v>
      </c>
      <c r="C101" s="246">
        <f>3/15*100</f>
        <v>20</v>
      </c>
      <c r="D101" s="247">
        <f>3/15*100</f>
        <v>20</v>
      </c>
      <c r="E101" s="247">
        <f>3/15*100</f>
        <v>20</v>
      </c>
      <c r="F101" s="247"/>
      <c r="G101" s="248">
        <f>3/15*100</f>
        <v>20</v>
      </c>
      <c r="H101" s="248"/>
      <c r="I101" s="248">
        <v>20</v>
      </c>
      <c r="J101" s="249">
        <v>20</v>
      </c>
      <c r="K101" s="250">
        <v>20</v>
      </c>
      <c r="L101" s="251"/>
      <c r="M101" s="248">
        <v>20</v>
      </c>
      <c r="N101" s="54">
        <f t="shared" si="10"/>
        <v>0</v>
      </c>
      <c r="O101" s="54"/>
      <c r="P101" s="248">
        <v>20</v>
      </c>
      <c r="Q101" s="248">
        <v>20</v>
      </c>
      <c r="R101" s="248">
        <v>20</v>
      </c>
      <c r="S101" s="63">
        <f t="shared" si="14"/>
        <v>100</v>
      </c>
      <c r="T101" s="63">
        <f t="shared" si="15"/>
        <v>100</v>
      </c>
      <c r="U101" s="61"/>
    </row>
    <row r="102" spans="1:23" s="47" customFormat="1">
      <c r="A102" s="122" t="s">
        <v>134</v>
      </c>
      <c r="B102" s="53" t="s">
        <v>130</v>
      </c>
      <c r="C102" s="252">
        <v>452</v>
      </c>
      <c r="D102" s="163">
        <v>452</v>
      </c>
      <c r="E102" s="163">
        <v>452</v>
      </c>
      <c r="F102" s="163"/>
      <c r="G102" s="253">
        <v>452</v>
      </c>
      <c r="H102" s="253">
        <v>470</v>
      </c>
      <c r="I102" s="253">
        <f>+G102/G99*I99</f>
        <v>469.59694656488551</v>
      </c>
      <c r="J102" s="254">
        <v>482</v>
      </c>
      <c r="K102" s="255">
        <v>482</v>
      </c>
      <c r="L102" s="256"/>
      <c r="M102" s="253">
        <v>482</v>
      </c>
      <c r="N102" s="54">
        <f t="shared" si="10"/>
        <v>0</v>
      </c>
      <c r="O102" s="54">
        <v>550</v>
      </c>
      <c r="P102" s="253">
        <v>550</v>
      </c>
      <c r="Q102" s="253">
        <v>538</v>
      </c>
      <c r="R102" s="253">
        <v>538</v>
      </c>
      <c r="S102" s="63">
        <f t="shared" si="14"/>
        <v>111.61825726141079</v>
      </c>
      <c r="T102" s="63">
        <f t="shared" si="15"/>
        <v>97.818181818181813</v>
      </c>
      <c r="U102" s="61"/>
    </row>
    <row r="103" spans="1:23" s="225" customFormat="1">
      <c r="A103" s="64" t="s">
        <v>135</v>
      </c>
      <c r="B103" s="65" t="s">
        <v>130</v>
      </c>
      <c r="C103" s="257">
        <v>163</v>
      </c>
      <c r="D103" s="258">
        <v>163</v>
      </c>
      <c r="E103" s="258">
        <v>163</v>
      </c>
      <c r="F103" s="258"/>
      <c r="G103" s="259">
        <v>163</v>
      </c>
      <c r="H103" s="259"/>
      <c r="I103" s="259">
        <f>+G103/G102*I102</f>
        <v>169.34580152671757</v>
      </c>
      <c r="J103" s="260">
        <v>184</v>
      </c>
      <c r="K103" s="261">
        <v>184</v>
      </c>
      <c r="L103" s="262"/>
      <c r="M103" s="259">
        <v>184</v>
      </c>
      <c r="N103" s="54">
        <f t="shared" si="10"/>
        <v>0</v>
      </c>
      <c r="O103" s="54"/>
      <c r="P103" s="259">
        <v>178</v>
      </c>
      <c r="Q103" s="259">
        <v>208</v>
      </c>
      <c r="R103" s="259">
        <v>208</v>
      </c>
      <c r="S103" s="63">
        <f t="shared" si="14"/>
        <v>113.04347826086956</v>
      </c>
      <c r="T103" s="63">
        <f t="shared" si="15"/>
        <v>116.85393258426966</v>
      </c>
      <c r="U103" s="78"/>
    </row>
    <row r="104" spans="1:23" s="225" customFormat="1">
      <c r="A104" s="263" t="s">
        <v>136</v>
      </c>
      <c r="B104" s="65" t="s">
        <v>130</v>
      </c>
      <c r="C104" s="235">
        <v>217</v>
      </c>
      <c r="D104" s="173">
        <v>217</v>
      </c>
      <c r="E104" s="173">
        <v>235</v>
      </c>
      <c r="F104" s="173"/>
      <c r="G104" s="219">
        <v>217</v>
      </c>
      <c r="H104" s="219"/>
      <c r="I104" s="219">
        <v>244</v>
      </c>
      <c r="J104" s="220">
        <v>270</v>
      </c>
      <c r="K104" s="221">
        <v>270</v>
      </c>
      <c r="L104" s="222"/>
      <c r="M104" s="219">
        <v>270</v>
      </c>
      <c r="N104" s="54">
        <f t="shared" si="10"/>
        <v>0</v>
      </c>
      <c r="O104" s="54">
        <f>550-250</f>
        <v>300</v>
      </c>
      <c r="P104" s="219">
        <v>300</v>
      </c>
      <c r="Q104" s="219">
        <v>286</v>
      </c>
      <c r="R104" s="219">
        <v>286</v>
      </c>
      <c r="S104" s="63">
        <f t="shared" si="14"/>
        <v>105.92592592592594</v>
      </c>
      <c r="T104" s="63">
        <f t="shared" si="15"/>
        <v>95.333333333333343</v>
      </c>
      <c r="U104" s="78"/>
    </row>
    <row r="105" spans="1:23" s="47" customFormat="1">
      <c r="A105" s="122" t="s">
        <v>137</v>
      </c>
      <c r="B105" s="53" t="s">
        <v>130</v>
      </c>
      <c r="C105" s="264">
        <v>3478</v>
      </c>
      <c r="D105" s="265">
        <v>3478</v>
      </c>
      <c r="E105" s="265">
        <v>3478</v>
      </c>
      <c r="F105" s="265"/>
      <c r="G105" s="266">
        <v>3478</v>
      </c>
      <c r="H105" s="266">
        <v>3610</v>
      </c>
      <c r="I105" s="266">
        <f>+G105/G99*I99</f>
        <v>3613.4030534351145</v>
      </c>
      <c r="J105" s="267">
        <v>3682</v>
      </c>
      <c r="K105" s="268">
        <v>3682</v>
      </c>
      <c r="L105" s="269"/>
      <c r="M105" s="266">
        <v>3682</v>
      </c>
      <c r="N105" s="54">
        <f t="shared" si="10"/>
        <v>0</v>
      </c>
      <c r="O105" s="54">
        <v>3800</v>
      </c>
      <c r="P105" s="266">
        <v>3800</v>
      </c>
      <c r="Q105" s="266">
        <v>3738</v>
      </c>
      <c r="R105" s="266">
        <v>3738</v>
      </c>
      <c r="S105" s="63">
        <f t="shared" si="14"/>
        <v>101.52091254752851</v>
      </c>
      <c r="T105" s="63">
        <f t="shared" si="15"/>
        <v>98.368421052631589</v>
      </c>
      <c r="U105" s="61"/>
    </row>
    <row r="106" spans="1:23" s="225" customFormat="1">
      <c r="A106" s="64" t="s">
        <v>138</v>
      </c>
      <c r="B106" s="65" t="s">
        <v>130</v>
      </c>
      <c r="C106" s="270">
        <v>2278</v>
      </c>
      <c r="D106" s="271">
        <v>2278</v>
      </c>
      <c r="E106" s="271">
        <v>2278</v>
      </c>
      <c r="F106" s="271"/>
      <c r="G106" s="272">
        <v>2278</v>
      </c>
      <c r="H106" s="272"/>
      <c r="I106" s="272">
        <f>+G106/G105*I105</f>
        <v>2366.6854961832059</v>
      </c>
      <c r="J106" s="273">
        <v>2387</v>
      </c>
      <c r="K106" s="274">
        <v>2387</v>
      </c>
      <c r="L106" s="275"/>
      <c r="M106" s="272">
        <v>2387</v>
      </c>
      <c r="N106" s="54">
        <f t="shared" si="10"/>
        <v>0</v>
      </c>
      <c r="O106" s="54"/>
      <c r="P106" s="272">
        <f>+M106/M105*P105</f>
        <v>2463.4980988593156</v>
      </c>
      <c r="Q106" s="272">
        <v>2429</v>
      </c>
      <c r="R106" s="272">
        <v>2429</v>
      </c>
      <c r="S106" s="63">
        <f t="shared" si="14"/>
        <v>101.75953079178885</v>
      </c>
      <c r="T106" s="63">
        <f t="shared" si="15"/>
        <v>98.599629572464892</v>
      </c>
      <c r="U106" s="78"/>
    </row>
    <row r="107" spans="1:23" s="73" customFormat="1">
      <c r="A107" s="276" t="s">
        <v>139</v>
      </c>
      <c r="B107" s="65" t="s">
        <v>140</v>
      </c>
      <c r="C107" s="277"/>
      <c r="D107" s="278"/>
      <c r="E107" s="278"/>
      <c r="F107" s="278"/>
      <c r="G107" s="279"/>
      <c r="H107" s="279"/>
      <c r="I107" s="279"/>
      <c r="J107" s="280"/>
      <c r="K107" s="281"/>
      <c r="L107" s="282"/>
      <c r="M107" s="279"/>
      <c r="N107" s="54">
        <f t="shared" si="10"/>
        <v>0</v>
      </c>
      <c r="O107" s="54"/>
      <c r="P107" s="279"/>
      <c r="Q107" s="279"/>
      <c r="R107" s="279"/>
      <c r="S107" s="63" t="str">
        <f t="shared" si="14"/>
        <v xml:space="preserve"> </v>
      </c>
      <c r="T107" s="63" t="str">
        <f t="shared" si="15"/>
        <v xml:space="preserve"> </v>
      </c>
      <c r="U107" s="78"/>
    </row>
    <row r="108" spans="1:23" s="73" customFormat="1">
      <c r="A108" s="64" t="s">
        <v>141</v>
      </c>
      <c r="B108" s="65" t="s">
        <v>40</v>
      </c>
      <c r="C108" s="235"/>
      <c r="D108" s="173"/>
      <c r="E108" s="173"/>
      <c r="F108" s="173"/>
      <c r="G108" s="219"/>
      <c r="H108" s="219"/>
      <c r="I108" s="219"/>
      <c r="J108" s="220"/>
      <c r="K108" s="221"/>
      <c r="L108" s="222"/>
      <c r="M108" s="219"/>
      <c r="N108" s="54">
        <f t="shared" si="10"/>
        <v>0</v>
      </c>
      <c r="O108" s="54"/>
      <c r="P108" s="219"/>
      <c r="Q108" s="219"/>
      <c r="R108" s="219"/>
      <c r="S108" s="63" t="str">
        <f t="shared" si="14"/>
        <v xml:space="preserve"> </v>
      </c>
      <c r="T108" s="63" t="str">
        <f t="shared" si="15"/>
        <v xml:space="preserve"> </v>
      </c>
      <c r="U108" s="78"/>
    </row>
    <row r="109" spans="1:23" s="73" customFormat="1">
      <c r="A109" s="276" t="s">
        <v>142</v>
      </c>
      <c r="B109" s="65" t="s">
        <v>130</v>
      </c>
      <c r="C109" s="235"/>
      <c r="D109" s="173"/>
      <c r="E109" s="173"/>
      <c r="F109" s="173"/>
      <c r="G109" s="219"/>
      <c r="H109" s="219"/>
      <c r="I109" s="219"/>
      <c r="J109" s="220"/>
      <c r="K109" s="221"/>
      <c r="L109" s="222"/>
      <c r="M109" s="219"/>
      <c r="N109" s="54">
        <f t="shared" si="10"/>
        <v>0</v>
      </c>
      <c r="O109" s="54"/>
      <c r="P109" s="219"/>
      <c r="Q109" s="219"/>
      <c r="R109" s="219"/>
      <c r="S109" s="63" t="str">
        <f t="shared" si="14"/>
        <v xml:space="preserve"> </v>
      </c>
      <c r="T109" s="63" t="str">
        <f t="shared" si="15"/>
        <v xml:space="preserve"> </v>
      </c>
      <c r="U109" s="78"/>
    </row>
    <row r="110" spans="1:23" s="73" customFormat="1">
      <c r="A110" s="64" t="s">
        <v>143</v>
      </c>
      <c r="B110" s="65" t="s">
        <v>40</v>
      </c>
      <c r="C110" s="235"/>
      <c r="D110" s="173"/>
      <c r="E110" s="173"/>
      <c r="F110" s="173"/>
      <c r="G110" s="219"/>
      <c r="H110" s="219"/>
      <c r="I110" s="219"/>
      <c r="J110" s="220"/>
      <c r="K110" s="221"/>
      <c r="L110" s="222"/>
      <c r="M110" s="219"/>
      <c r="N110" s="54">
        <f t="shared" si="10"/>
        <v>0</v>
      </c>
      <c r="O110" s="54"/>
      <c r="P110" s="219"/>
      <c r="Q110" s="219"/>
      <c r="R110" s="219"/>
      <c r="S110" s="63" t="str">
        <f t="shared" si="14"/>
        <v xml:space="preserve"> </v>
      </c>
      <c r="T110" s="63" t="str">
        <f t="shared" si="15"/>
        <v xml:space="preserve"> </v>
      </c>
      <c r="U110" s="78"/>
    </row>
    <row r="111" spans="1:23" s="73" customFormat="1">
      <c r="A111" s="263" t="s">
        <v>144</v>
      </c>
      <c r="B111" s="65" t="s">
        <v>130</v>
      </c>
      <c r="C111" s="235">
        <v>195</v>
      </c>
      <c r="D111" s="173">
        <v>195</v>
      </c>
      <c r="E111" s="173">
        <v>238</v>
      </c>
      <c r="F111" s="173"/>
      <c r="G111" s="219">
        <v>195</v>
      </c>
      <c r="H111" s="219"/>
      <c r="I111" s="219">
        <v>247</v>
      </c>
      <c r="J111" s="220">
        <v>273</v>
      </c>
      <c r="K111" s="221">
        <v>273</v>
      </c>
      <c r="L111" s="222"/>
      <c r="M111" s="219">
        <v>273</v>
      </c>
      <c r="N111" s="54">
        <f t="shared" si="10"/>
        <v>0</v>
      </c>
      <c r="O111" s="54">
        <f>3800-3500</f>
        <v>300</v>
      </c>
      <c r="P111" s="219">
        <v>258</v>
      </c>
      <c r="Q111" s="219">
        <v>269</v>
      </c>
      <c r="R111" s="219">
        <v>269</v>
      </c>
      <c r="S111" s="63">
        <f t="shared" si="14"/>
        <v>98.53479853479854</v>
      </c>
      <c r="T111" s="63">
        <f t="shared" si="15"/>
        <v>104.26356589147288</v>
      </c>
      <c r="U111" s="78"/>
    </row>
    <row r="112" spans="1:23" ht="31.5">
      <c r="A112" s="160" t="s">
        <v>145</v>
      </c>
      <c r="B112" s="53" t="s">
        <v>40</v>
      </c>
      <c r="C112" s="283">
        <v>93.8</v>
      </c>
      <c r="D112" s="247">
        <v>93.8</v>
      </c>
      <c r="E112" s="247">
        <v>93.8</v>
      </c>
      <c r="F112" s="247"/>
      <c r="G112" s="248">
        <v>93.8</v>
      </c>
      <c r="H112" s="248"/>
      <c r="I112" s="248">
        <v>94.5</v>
      </c>
      <c r="J112" s="284">
        <f>3682/3934%</f>
        <v>93.594306049822052</v>
      </c>
      <c r="K112" s="285">
        <f>3682/3934%</f>
        <v>93.594306049822052</v>
      </c>
      <c r="L112" s="286"/>
      <c r="M112" s="287">
        <f>3682/3934%</f>
        <v>93.594306049822052</v>
      </c>
      <c r="N112" s="54">
        <f t="shared" si="10"/>
        <v>0</v>
      </c>
      <c r="O112" s="54"/>
      <c r="P112" s="288">
        <v>95</v>
      </c>
      <c r="Q112" s="287">
        <v>94.9</v>
      </c>
      <c r="R112" s="287">
        <v>94.9</v>
      </c>
      <c r="S112" s="63">
        <f t="shared" si="14"/>
        <v>101.39505703422056</v>
      </c>
      <c r="T112" s="63">
        <f t="shared" si="15"/>
        <v>99.894736842105274</v>
      </c>
      <c r="U112" s="61"/>
    </row>
    <row r="113" spans="1:22" ht="18.75">
      <c r="A113" s="122" t="s">
        <v>146</v>
      </c>
      <c r="B113" s="53" t="s">
        <v>40</v>
      </c>
      <c r="C113" s="289">
        <v>98</v>
      </c>
      <c r="D113" s="247">
        <v>98</v>
      </c>
      <c r="E113" s="247">
        <v>98</v>
      </c>
      <c r="F113" s="247"/>
      <c r="G113" s="248">
        <v>98</v>
      </c>
      <c r="H113" s="248"/>
      <c r="I113" s="248">
        <v>98</v>
      </c>
      <c r="J113" s="290">
        <v>99</v>
      </c>
      <c r="K113" s="291">
        <v>99</v>
      </c>
      <c r="L113" s="286"/>
      <c r="M113" s="288">
        <v>99</v>
      </c>
      <c r="N113" s="54">
        <f t="shared" si="10"/>
        <v>0</v>
      </c>
      <c r="O113" s="54"/>
      <c r="P113" s="288">
        <v>99</v>
      </c>
      <c r="Q113" s="288">
        <v>99</v>
      </c>
      <c r="R113" s="288">
        <v>99</v>
      </c>
      <c r="S113" s="63">
        <f t="shared" si="14"/>
        <v>100</v>
      </c>
      <c r="T113" s="63">
        <f t="shared" si="15"/>
        <v>100</v>
      </c>
      <c r="U113" s="61"/>
      <c r="V113" s="292"/>
    </row>
    <row r="114" spans="1:22" ht="18.75">
      <c r="A114" s="122" t="s">
        <v>147</v>
      </c>
      <c r="B114" s="53" t="s">
        <v>40</v>
      </c>
      <c r="C114" s="289">
        <v>95</v>
      </c>
      <c r="D114" s="247">
        <v>95</v>
      </c>
      <c r="E114" s="247">
        <v>95</v>
      </c>
      <c r="F114" s="247"/>
      <c r="G114" s="248">
        <v>95</v>
      </c>
      <c r="H114" s="248"/>
      <c r="I114" s="248">
        <v>95</v>
      </c>
      <c r="J114" s="290">
        <v>95</v>
      </c>
      <c r="K114" s="291">
        <v>95</v>
      </c>
      <c r="L114" s="286"/>
      <c r="M114" s="288">
        <v>95</v>
      </c>
      <c r="N114" s="54">
        <f t="shared" si="10"/>
        <v>0</v>
      </c>
      <c r="O114" s="54"/>
      <c r="P114" s="288">
        <v>95</v>
      </c>
      <c r="Q114" s="288">
        <v>95</v>
      </c>
      <c r="R114" s="288">
        <v>95</v>
      </c>
      <c r="S114" s="63">
        <f t="shared" si="14"/>
        <v>100</v>
      </c>
      <c r="T114" s="63">
        <f t="shared" si="15"/>
        <v>100</v>
      </c>
      <c r="U114" s="61"/>
      <c r="V114" s="292"/>
    </row>
    <row r="115" spans="1:22" s="159" customFormat="1">
      <c r="A115" s="242" t="s">
        <v>148</v>
      </c>
      <c r="B115" s="243" t="s">
        <v>117</v>
      </c>
      <c r="C115" s="293">
        <v>5652</v>
      </c>
      <c r="D115" s="294">
        <v>5592</v>
      </c>
      <c r="E115" s="294">
        <v>5592</v>
      </c>
      <c r="F115" s="294"/>
      <c r="G115" s="295">
        <v>5592</v>
      </c>
      <c r="H115" s="295">
        <v>5600</v>
      </c>
      <c r="I115" s="295">
        <v>5734</v>
      </c>
      <c r="J115" s="155">
        <v>5543</v>
      </c>
      <c r="K115" s="156">
        <v>5543</v>
      </c>
      <c r="L115" s="157"/>
      <c r="M115" s="154">
        <v>5543</v>
      </c>
      <c r="N115" s="54">
        <f t="shared" si="10"/>
        <v>0</v>
      </c>
      <c r="O115" s="154">
        <v>5660</v>
      </c>
      <c r="P115" s="154">
        <v>5660</v>
      </c>
      <c r="Q115" s="154">
        <v>5632</v>
      </c>
      <c r="R115" s="154">
        <v>5632</v>
      </c>
      <c r="S115" s="63">
        <f t="shared" si="14"/>
        <v>101.60562872090925</v>
      </c>
      <c r="T115" s="63">
        <f t="shared" si="15"/>
        <v>99.505300353356901</v>
      </c>
      <c r="U115" s="158"/>
    </row>
    <row r="116" spans="1:22" s="73" customFormat="1">
      <c r="A116" s="64" t="s">
        <v>149</v>
      </c>
      <c r="B116" s="65" t="s">
        <v>117</v>
      </c>
      <c r="C116" s="270">
        <v>3801</v>
      </c>
      <c r="D116" s="271">
        <v>3740</v>
      </c>
      <c r="E116" s="271">
        <v>3740</v>
      </c>
      <c r="F116" s="271"/>
      <c r="G116" s="272">
        <v>3740</v>
      </c>
      <c r="H116" s="272"/>
      <c r="I116" s="272">
        <v>3828</v>
      </c>
      <c r="J116" s="273">
        <v>3705</v>
      </c>
      <c r="K116" s="274">
        <v>3705</v>
      </c>
      <c r="L116" s="275"/>
      <c r="M116" s="272">
        <v>3705</v>
      </c>
      <c r="N116" s="54">
        <f t="shared" si="10"/>
        <v>0</v>
      </c>
      <c r="O116" s="54"/>
      <c r="P116" s="272">
        <f>+M116/M115*P115</f>
        <v>3783.2040411329604</v>
      </c>
      <c r="Q116" s="272">
        <v>3797</v>
      </c>
      <c r="R116" s="272">
        <v>3797</v>
      </c>
      <c r="S116" s="63">
        <f t="shared" si="14"/>
        <v>102.48313090418353</v>
      </c>
      <c r="T116" s="63">
        <f t="shared" si="15"/>
        <v>100.36466335722427</v>
      </c>
      <c r="U116" s="78"/>
    </row>
    <row r="117" spans="1:22">
      <c r="A117" s="52" t="s">
        <v>123</v>
      </c>
      <c r="B117" s="53" t="s">
        <v>131</v>
      </c>
      <c r="C117" s="296">
        <v>16</v>
      </c>
      <c r="D117" s="297">
        <v>16</v>
      </c>
      <c r="E117" s="297">
        <v>16</v>
      </c>
      <c r="F117" s="297"/>
      <c r="G117" s="298">
        <v>16</v>
      </c>
      <c r="H117" s="298"/>
      <c r="I117" s="298">
        <v>16</v>
      </c>
      <c r="J117" s="299">
        <v>15</v>
      </c>
      <c r="K117" s="300">
        <v>15</v>
      </c>
      <c r="L117" s="301"/>
      <c r="M117" s="298">
        <v>15</v>
      </c>
      <c r="N117" s="54">
        <f t="shared" si="10"/>
        <v>0</v>
      </c>
      <c r="O117" s="54"/>
      <c r="P117" s="298">
        <v>15</v>
      </c>
      <c r="Q117" s="302">
        <v>15</v>
      </c>
      <c r="R117" s="302">
        <v>15</v>
      </c>
      <c r="S117" s="63">
        <f t="shared" si="14"/>
        <v>100</v>
      </c>
      <c r="T117" s="63">
        <f t="shared" si="15"/>
        <v>100</v>
      </c>
      <c r="U117" s="128" t="s">
        <v>150</v>
      </c>
    </row>
    <row r="118" spans="1:22" s="73" customFormat="1" ht="20.25">
      <c r="A118" s="122" t="s">
        <v>133</v>
      </c>
      <c r="B118" s="53" t="s">
        <v>40</v>
      </c>
      <c r="C118" s="283">
        <f>6/16*100</f>
        <v>37.5</v>
      </c>
      <c r="D118" s="247">
        <f>6/16*100</f>
        <v>37.5</v>
      </c>
      <c r="E118" s="247">
        <f>6/16*100</f>
        <v>37.5</v>
      </c>
      <c r="F118" s="247"/>
      <c r="G118" s="248">
        <f>6/16*100</f>
        <v>37.5</v>
      </c>
      <c r="H118" s="248"/>
      <c r="I118" s="289">
        <v>38</v>
      </c>
      <c r="J118" s="290">
        <f>6/15%</f>
        <v>40</v>
      </c>
      <c r="K118" s="291">
        <f>6/15%</f>
        <v>40</v>
      </c>
      <c r="L118" s="286"/>
      <c r="M118" s="303">
        <f>6/15%</f>
        <v>40</v>
      </c>
      <c r="N118" s="54">
        <f t="shared" si="10"/>
        <v>0</v>
      </c>
      <c r="O118" s="54"/>
      <c r="P118" s="303">
        <f>6/15%</f>
        <v>40</v>
      </c>
      <c r="Q118" s="303">
        <v>40</v>
      </c>
      <c r="R118" s="303">
        <v>40</v>
      </c>
      <c r="S118" s="63">
        <f t="shared" si="14"/>
        <v>100</v>
      </c>
      <c r="T118" s="63">
        <f t="shared" si="15"/>
        <v>100</v>
      </c>
      <c r="U118" s="127"/>
      <c r="V118" s="72"/>
    </row>
    <row r="119" spans="1:22" s="73" customFormat="1" ht="20.25">
      <c r="A119" s="122" t="s">
        <v>151</v>
      </c>
      <c r="B119" s="53" t="s">
        <v>40</v>
      </c>
      <c r="C119" s="304">
        <v>99</v>
      </c>
      <c r="D119" s="247">
        <v>99</v>
      </c>
      <c r="E119" s="247">
        <v>99</v>
      </c>
      <c r="F119" s="247"/>
      <c r="G119" s="248">
        <v>99</v>
      </c>
      <c r="H119" s="248"/>
      <c r="I119" s="248">
        <v>99</v>
      </c>
      <c r="J119" s="284">
        <v>99.6</v>
      </c>
      <c r="K119" s="285">
        <v>99.6</v>
      </c>
      <c r="L119" s="286"/>
      <c r="M119" s="287">
        <v>99.6</v>
      </c>
      <c r="N119" s="54">
        <f t="shared" si="10"/>
        <v>0</v>
      </c>
      <c r="O119" s="54"/>
      <c r="P119" s="288">
        <v>99.6</v>
      </c>
      <c r="Q119" s="288">
        <v>99.6</v>
      </c>
      <c r="R119" s="288">
        <v>99.6</v>
      </c>
      <c r="S119" s="63">
        <f t="shared" si="14"/>
        <v>100</v>
      </c>
      <c r="T119" s="63">
        <f t="shared" si="15"/>
        <v>100</v>
      </c>
      <c r="U119" s="61"/>
      <c r="V119" s="72"/>
    </row>
    <row r="120" spans="1:22" s="73" customFormat="1" ht="20.25">
      <c r="A120" s="122" t="s">
        <v>146</v>
      </c>
      <c r="B120" s="53" t="s">
        <v>40</v>
      </c>
      <c r="C120" s="246">
        <v>99</v>
      </c>
      <c r="D120" s="247">
        <v>99</v>
      </c>
      <c r="E120" s="247">
        <v>99</v>
      </c>
      <c r="F120" s="247"/>
      <c r="G120" s="248">
        <v>99</v>
      </c>
      <c r="H120" s="248"/>
      <c r="I120" s="248">
        <v>99</v>
      </c>
      <c r="J120" s="290">
        <v>99</v>
      </c>
      <c r="K120" s="291">
        <v>99</v>
      </c>
      <c r="L120" s="286"/>
      <c r="M120" s="288">
        <v>99</v>
      </c>
      <c r="N120" s="54">
        <f t="shared" si="10"/>
        <v>0</v>
      </c>
      <c r="O120" s="54"/>
      <c r="P120" s="288">
        <v>99</v>
      </c>
      <c r="Q120" s="288">
        <v>99</v>
      </c>
      <c r="R120" s="288">
        <v>99</v>
      </c>
      <c r="S120" s="63">
        <f t="shared" si="14"/>
        <v>100</v>
      </c>
      <c r="T120" s="63">
        <f t="shared" si="15"/>
        <v>100</v>
      </c>
      <c r="U120" s="78"/>
      <c r="V120" s="72"/>
    </row>
    <row r="121" spans="1:22" s="73" customFormat="1" ht="20.25">
      <c r="A121" s="122" t="s">
        <v>147</v>
      </c>
      <c r="B121" s="53" t="s">
        <v>40</v>
      </c>
      <c r="C121" s="246">
        <v>95</v>
      </c>
      <c r="D121" s="247">
        <v>95</v>
      </c>
      <c r="E121" s="247">
        <v>95</v>
      </c>
      <c r="F121" s="247"/>
      <c r="G121" s="248">
        <v>95</v>
      </c>
      <c r="H121" s="248"/>
      <c r="I121" s="248">
        <v>95</v>
      </c>
      <c r="J121" s="290">
        <v>96</v>
      </c>
      <c r="K121" s="291">
        <v>96</v>
      </c>
      <c r="L121" s="286"/>
      <c r="M121" s="288">
        <v>96</v>
      </c>
      <c r="N121" s="54">
        <f t="shared" si="10"/>
        <v>0</v>
      </c>
      <c r="O121" s="54"/>
      <c r="P121" s="288">
        <v>96</v>
      </c>
      <c r="Q121" s="288">
        <v>96</v>
      </c>
      <c r="R121" s="288">
        <v>96</v>
      </c>
      <c r="S121" s="63">
        <f t="shared" si="14"/>
        <v>100</v>
      </c>
      <c r="T121" s="63">
        <f t="shared" si="15"/>
        <v>100</v>
      </c>
      <c r="U121" s="78"/>
      <c r="V121" s="72"/>
    </row>
    <row r="122" spans="1:22" s="159" customFormat="1" ht="20.25">
      <c r="A122" s="242" t="s">
        <v>152</v>
      </c>
      <c r="B122" s="243" t="s">
        <v>117</v>
      </c>
      <c r="C122" s="293">
        <f>3024+144</f>
        <v>3168</v>
      </c>
      <c r="D122" s="294">
        <f>3386+99</f>
        <v>3485</v>
      </c>
      <c r="E122" s="294">
        <f>3386+99</f>
        <v>3485</v>
      </c>
      <c r="F122" s="294"/>
      <c r="G122" s="295">
        <f>3386+99</f>
        <v>3485</v>
      </c>
      <c r="H122" s="295">
        <v>3430</v>
      </c>
      <c r="I122" s="295">
        <f>3607+189+100</f>
        <v>3896</v>
      </c>
      <c r="J122" s="155">
        <f>3330+92</f>
        <v>3422</v>
      </c>
      <c r="K122" s="156">
        <f>3330+92</f>
        <v>3422</v>
      </c>
      <c r="L122" s="157"/>
      <c r="M122" s="154">
        <f>3330+92</f>
        <v>3422</v>
      </c>
      <c r="N122" s="54">
        <f t="shared" si="10"/>
        <v>0</v>
      </c>
      <c r="O122" s="154">
        <v>3650</v>
      </c>
      <c r="P122" s="154">
        <v>3650</v>
      </c>
      <c r="Q122" s="154">
        <f>3458+85</f>
        <v>3543</v>
      </c>
      <c r="R122" s="154">
        <f>3458+85</f>
        <v>3543</v>
      </c>
      <c r="S122" s="63">
        <f t="shared" si="14"/>
        <v>103.53594389246055</v>
      </c>
      <c r="T122" s="63">
        <f t="shared" si="15"/>
        <v>97.06849315068493</v>
      </c>
      <c r="U122" s="305"/>
      <c r="V122" s="306"/>
    </row>
    <row r="123" spans="1:22" s="73" customFormat="1" ht="20.25">
      <c r="A123" s="64" t="s">
        <v>149</v>
      </c>
      <c r="B123" s="65" t="s">
        <v>117</v>
      </c>
      <c r="C123" s="270">
        <f>1793+143</f>
        <v>1936</v>
      </c>
      <c r="D123" s="271">
        <f>1780+99</f>
        <v>1879</v>
      </c>
      <c r="E123" s="271">
        <f>1780+99</f>
        <v>1879</v>
      </c>
      <c r="F123" s="271"/>
      <c r="G123" s="272">
        <f>1780+99</f>
        <v>1879</v>
      </c>
      <c r="H123" s="272"/>
      <c r="I123" s="272">
        <v>1930</v>
      </c>
      <c r="J123" s="273">
        <f>2103+92</f>
        <v>2195</v>
      </c>
      <c r="K123" s="274">
        <f>2103+92</f>
        <v>2195</v>
      </c>
      <c r="L123" s="275"/>
      <c r="M123" s="272">
        <f>2103+92</f>
        <v>2195</v>
      </c>
      <c r="N123" s="54">
        <f t="shared" si="10"/>
        <v>0</v>
      </c>
      <c r="O123" s="54"/>
      <c r="P123" s="272">
        <f>+M123/M122*P122</f>
        <v>2341.2478082992402</v>
      </c>
      <c r="Q123" s="272">
        <v>2178</v>
      </c>
      <c r="R123" s="272">
        <v>2178</v>
      </c>
      <c r="S123" s="63">
        <f t="shared" si="14"/>
        <v>99.2255125284738</v>
      </c>
      <c r="T123" s="63">
        <f t="shared" si="15"/>
        <v>93.027316129434894</v>
      </c>
      <c r="U123" s="305"/>
      <c r="V123" s="72"/>
    </row>
    <row r="124" spans="1:22" s="73" customFormat="1">
      <c r="A124" s="307" t="s">
        <v>153</v>
      </c>
      <c r="B124" s="65" t="s">
        <v>117</v>
      </c>
      <c r="C124" s="270">
        <v>144</v>
      </c>
      <c r="D124" s="271">
        <v>99</v>
      </c>
      <c r="E124" s="271">
        <v>99</v>
      </c>
      <c r="F124" s="271"/>
      <c r="G124" s="272">
        <v>99</v>
      </c>
      <c r="H124" s="272">
        <v>100</v>
      </c>
      <c r="I124" s="272">
        <v>100</v>
      </c>
      <c r="J124" s="273">
        <v>92</v>
      </c>
      <c r="K124" s="274">
        <v>92</v>
      </c>
      <c r="L124" s="275"/>
      <c r="M124" s="272">
        <v>92</v>
      </c>
      <c r="N124" s="54">
        <f t="shared" si="10"/>
        <v>0</v>
      </c>
      <c r="O124" s="54">
        <f>3650-3550</f>
        <v>100</v>
      </c>
      <c r="P124" s="272">
        <v>100</v>
      </c>
      <c r="Q124" s="308">
        <v>85</v>
      </c>
      <c r="R124" s="308">
        <v>85</v>
      </c>
      <c r="S124" s="63">
        <f t="shared" si="14"/>
        <v>92.391304347826093</v>
      </c>
      <c r="T124" s="63">
        <f t="shared" si="15"/>
        <v>85</v>
      </c>
      <c r="U124" s="61"/>
    </row>
    <row r="125" spans="1:22">
      <c r="A125" s="52" t="s">
        <v>123</v>
      </c>
      <c r="B125" s="53" t="s">
        <v>131</v>
      </c>
      <c r="C125" s="296">
        <v>13</v>
      </c>
      <c r="D125" s="297">
        <v>13</v>
      </c>
      <c r="E125" s="297">
        <v>13</v>
      </c>
      <c r="F125" s="297"/>
      <c r="G125" s="298">
        <v>13</v>
      </c>
      <c r="H125" s="298"/>
      <c r="I125" s="298">
        <v>13</v>
      </c>
      <c r="J125" s="299">
        <v>14</v>
      </c>
      <c r="K125" s="300">
        <v>14</v>
      </c>
      <c r="L125" s="301"/>
      <c r="M125" s="302">
        <v>14</v>
      </c>
      <c r="N125" s="54">
        <f t="shared" si="10"/>
        <v>0</v>
      </c>
      <c r="O125" s="54"/>
      <c r="P125" s="302">
        <v>14</v>
      </c>
      <c r="Q125" s="302">
        <v>14</v>
      </c>
      <c r="R125" s="302">
        <v>14</v>
      </c>
      <c r="S125" s="63">
        <f t="shared" si="14"/>
        <v>100</v>
      </c>
      <c r="T125" s="63">
        <f t="shared" si="15"/>
        <v>100</v>
      </c>
      <c r="U125" s="229"/>
    </row>
    <row r="126" spans="1:22" s="73" customFormat="1" ht="16.5">
      <c r="A126" s="122" t="s">
        <v>133</v>
      </c>
      <c r="B126" s="53" t="s">
        <v>40</v>
      </c>
      <c r="C126" s="283">
        <f>3/13*100</f>
        <v>23.076923076923077</v>
      </c>
      <c r="D126" s="247">
        <f>3/13*100</f>
        <v>23.076923076923077</v>
      </c>
      <c r="E126" s="247">
        <f>3/13*100</f>
        <v>23.076923076923077</v>
      </c>
      <c r="F126" s="247"/>
      <c r="G126" s="248">
        <f>3/13*100</f>
        <v>23.076923076923077</v>
      </c>
      <c r="H126" s="248"/>
      <c r="I126" s="248">
        <v>23</v>
      </c>
      <c r="J126" s="290">
        <f>3/14%</f>
        <v>21.428571428571427</v>
      </c>
      <c r="K126" s="291">
        <f>3/14%</f>
        <v>21.428571428571427</v>
      </c>
      <c r="L126" s="286"/>
      <c r="M126" s="288">
        <f>3/14%</f>
        <v>21.428571428571427</v>
      </c>
      <c r="N126" s="54">
        <f t="shared" si="10"/>
        <v>0</v>
      </c>
      <c r="O126" s="54"/>
      <c r="P126" s="288">
        <f>3/14%</f>
        <v>21.428571428571427</v>
      </c>
      <c r="Q126" s="288">
        <v>21.428571428571427</v>
      </c>
      <c r="R126" s="288">
        <v>21.428571428571427</v>
      </c>
      <c r="S126" s="63">
        <f t="shared" si="14"/>
        <v>100</v>
      </c>
      <c r="T126" s="63">
        <f t="shared" si="15"/>
        <v>100</v>
      </c>
      <c r="U126" s="61"/>
    </row>
    <row r="127" spans="1:22" ht="20.25">
      <c r="A127" s="309" t="s">
        <v>154</v>
      </c>
      <c r="B127" s="53" t="s">
        <v>130</v>
      </c>
      <c r="C127" s="283">
        <v>100</v>
      </c>
      <c r="D127" s="247">
        <v>100</v>
      </c>
      <c r="E127" s="247">
        <v>100</v>
      </c>
      <c r="F127" s="247"/>
      <c r="G127" s="248">
        <v>100</v>
      </c>
      <c r="H127" s="248"/>
      <c r="I127" s="248">
        <v>100</v>
      </c>
      <c r="J127" s="284">
        <v>98.9</v>
      </c>
      <c r="K127" s="285">
        <v>98.9</v>
      </c>
      <c r="L127" s="286"/>
      <c r="M127" s="287">
        <v>98.9</v>
      </c>
      <c r="N127" s="54">
        <f t="shared" si="10"/>
        <v>0</v>
      </c>
      <c r="O127" s="54"/>
      <c r="P127" s="288">
        <v>98.9</v>
      </c>
      <c r="Q127" s="288">
        <v>98.9</v>
      </c>
      <c r="R127" s="288">
        <v>98.9</v>
      </c>
      <c r="S127" s="63">
        <f t="shared" si="14"/>
        <v>100</v>
      </c>
      <c r="T127" s="63">
        <f t="shared" si="15"/>
        <v>100</v>
      </c>
      <c r="U127" s="61"/>
      <c r="V127" s="112"/>
    </row>
    <row r="128" spans="1:22" s="73" customFormat="1" ht="20.25">
      <c r="A128" s="122" t="s">
        <v>146</v>
      </c>
      <c r="B128" s="53" t="s">
        <v>40</v>
      </c>
      <c r="C128" s="246">
        <v>98</v>
      </c>
      <c r="D128" s="247">
        <v>98</v>
      </c>
      <c r="E128" s="247">
        <v>98</v>
      </c>
      <c r="F128" s="247"/>
      <c r="G128" s="248">
        <v>98</v>
      </c>
      <c r="H128" s="248"/>
      <c r="I128" s="248">
        <v>98</v>
      </c>
      <c r="J128" s="290">
        <v>98</v>
      </c>
      <c r="K128" s="291">
        <v>98</v>
      </c>
      <c r="L128" s="286"/>
      <c r="M128" s="288">
        <v>98</v>
      </c>
      <c r="N128" s="54">
        <f t="shared" si="10"/>
        <v>0</v>
      </c>
      <c r="O128" s="54"/>
      <c r="P128" s="288">
        <v>98</v>
      </c>
      <c r="Q128" s="288">
        <v>98</v>
      </c>
      <c r="R128" s="288">
        <v>98</v>
      </c>
      <c r="S128" s="63">
        <f t="shared" si="14"/>
        <v>100</v>
      </c>
      <c r="T128" s="63">
        <f t="shared" si="15"/>
        <v>100</v>
      </c>
      <c r="U128" s="78"/>
      <c r="V128" s="72"/>
    </row>
    <row r="129" spans="1:210" s="73" customFormat="1" ht="20.25">
      <c r="A129" s="122" t="s">
        <v>147</v>
      </c>
      <c r="B129" s="53" t="s">
        <v>40</v>
      </c>
      <c r="C129" s="246">
        <v>96</v>
      </c>
      <c r="D129" s="247">
        <v>96</v>
      </c>
      <c r="E129" s="247">
        <v>96</v>
      </c>
      <c r="F129" s="247"/>
      <c r="G129" s="248">
        <v>96</v>
      </c>
      <c r="H129" s="248"/>
      <c r="I129" s="248">
        <v>96</v>
      </c>
      <c r="J129" s="290">
        <v>96</v>
      </c>
      <c r="K129" s="291">
        <v>96</v>
      </c>
      <c r="L129" s="286"/>
      <c r="M129" s="288">
        <v>96</v>
      </c>
      <c r="N129" s="54">
        <f t="shared" si="10"/>
        <v>0</v>
      </c>
      <c r="O129" s="54"/>
      <c r="P129" s="288">
        <v>96</v>
      </c>
      <c r="Q129" s="288">
        <v>96</v>
      </c>
      <c r="R129" s="288">
        <v>96</v>
      </c>
      <c r="S129" s="63">
        <f t="shared" si="14"/>
        <v>100</v>
      </c>
      <c r="T129" s="63">
        <f t="shared" si="15"/>
        <v>100</v>
      </c>
      <c r="U129" s="78"/>
      <c r="V129" s="72"/>
    </row>
    <row r="130" spans="1:210" s="159" customFormat="1" ht="21.95" customHeight="1">
      <c r="A130" s="242" t="s">
        <v>155</v>
      </c>
      <c r="B130" s="243" t="s">
        <v>117</v>
      </c>
      <c r="C130" s="310">
        <f>306+494</f>
        <v>800</v>
      </c>
      <c r="D130" s="311">
        <f>319+553</f>
        <v>872</v>
      </c>
      <c r="E130" s="311">
        <f>319+553</f>
        <v>872</v>
      </c>
      <c r="F130" s="311"/>
      <c r="G130" s="312">
        <f>319+553</f>
        <v>872</v>
      </c>
      <c r="H130" s="312">
        <v>940</v>
      </c>
      <c r="I130" s="312">
        <v>940</v>
      </c>
      <c r="J130" s="313">
        <f>499+290</f>
        <v>789</v>
      </c>
      <c r="K130" s="314">
        <f>499+290</f>
        <v>789</v>
      </c>
      <c r="L130" s="315"/>
      <c r="M130" s="312">
        <f>499+290</f>
        <v>789</v>
      </c>
      <c r="N130" s="54">
        <f t="shared" si="10"/>
        <v>0</v>
      </c>
      <c r="O130" s="312">
        <v>1010</v>
      </c>
      <c r="P130" s="312">
        <v>1010</v>
      </c>
      <c r="Q130" s="316">
        <f>545+363</f>
        <v>908</v>
      </c>
      <c r="R130" s="316">
        <f>545+363</f>
        <v>908</v>
      </c>
      <c r="S130" s="63">
        <f t="shared" si="14"/>
        <v>115.08238276299112</v>
      </c>
      <c r="T130" s="63">
        <f t="shared" si="15"/>
        <v>89.900990099009903</v>
      </c>
      <c r="U130" s="61"/>
    </row>
    <row r="131" spans="1:210" s="73" customFormat="1" ht="21.95" customHeight="1">
      <c r="A131" s="64" t="s">
        <v>149</v>
      </c>
      <c r="B131" s="65" t="s">
        <v>117</v>
      </c>
      <c r="C131" s="317">
        <f>294+50</f>
        <v>344</v>
      </c>
      <c r="D131" s="318">
        <f>310+29</f>
        <v>339</v>
      </c>
      <c r="E131" s="318">
        <f>310+29</f>
        <v>339</v>
      </c>
      <c r="F131" s="318"/>
      <c r="G131" s="319">
        <f>310+29</f>
        <v>339</v>
      </c>
      <c r="H131" s="319"/>
      <c r="I131" s="319">
        <v>350</v>
      </c>
      <c r="J131" s="320">
        <f>21+281</f>
        <v>302</v>
      </c>
      <c r="K131" s="321">
        <f>21+281</f>
        <v>302</v>
      </c>
      <c r="L131" s="322"/>
      <c r="M131" s="319">
        <f>21+281</f>
        <v>302</v>
      </c>
      <c r="N131" s="68">
        <f t="shared" si="10"/>
        <v>0</v>
      </c>
      <c r="O131" s="68"/>
      <c r="P131" s="319">
        <v>395</v>
      </c>
      <c r="Q131" s="323">
        <f>27+346</f>
        <v>373</v>
      </c>
      <c r="R131" s="323">
        <f>27+346</f>
        <v>373</v>
      </c>
      <c r="S131" s="224">
        <f t="shared" si="14"/>
        <v>123.50993377483444</v>
      </c>
      <c r="T131" s="224">
        <f t="shared" si="15"/>
        <v>94.430379746835442</v>
      </c>
      <c r="U131" s="78"/>
    </row>
    <row r="132" spans="1:210" s="73" customFormat="1" ht="21.95" customHeight="1">
      <c r="A132" s="324" t="s">
        <v>156</v>
      </c>
      <c r="B132" s="65" t="s">
        <v>117</v>
      </c>
      <c r="C132" s="317">
        <v>306</v>
      </c>
      <c r="D132" s="318">
        <v>319</v>
      </c>
      <c r="E132" s="318">
        <v>319</v>
      </c>
      <c r="F132" s="318"/>
      <c r="G132" s="319">
        <v>319</v>
      </c>
      <c r="H132" s="319"/>
      <c r="I132" s="319">
        <v>310</v>
      </c>
      <c r="J132" s="320">
        <v>290</v>
      </c>
      <c r="K132" s="321">
        <v>290</v>
      </c>
      <c r="L132" s="322"/>
      <c r="M132" s="319">
        <v>290</v>
      </c>
      <c r="N132" s="68">
        <f t="shared" si="10"/>
        <v>0</v>
      </c>
      <c r="O132" s="68"/>
      <c r="P132" s="319">
        <f>179+52+130+78</f>
        <v>439</v>
      </c>
      <c r="Q132" s="323">
        <v>363</v>
      </c>
      <c r="R132" s="323">
        <v>363</v>
      </c>
      <c r="S132" s="224">
        <f t="shared" si="14"/>
        <v>125.17241379310344</v>
      </c>
      <c r="T132" s="224">
        <f t="shared" si="15"/>
        <v>82.687927107061498</v>
      </c>
      <c r="U132" s="78"/>
    </row>
    <row r="133" spans="1:210" s="331" customFormat="1" ht="21.95" customHeight="1">
      <c r="A133" s="325" t="s">
        <v>157</v>
      </c>
      <c r="B133" s="326"/>
      <c r="C133" s="327">
        <f t="shared" ref="C133:G133" si="20">SUM(C134:C135)</f>
        <v>256</v>
      </c>
      <c r="D133" s="328">
        <f t="shared" si="20"/>
        <v>256</v>
      </c>
      <c r="E133" s="328">
        <f t="shared" si="20"/>
        <v>256</v>
      </c>
      <c r="F133" s="328"/>
      <c r="G133" s="328">
        <f t="shared" si="20"/>
        <v>256</v>
      </c>
      <c r="H133" s="328">
        <v>120</v>
      </c>
      <c r="I133" s="328">
        <v>120</v>
      </c>
      <c r="J133" s="327">
        <f t="shared" ref="J133:M133" si="21">SUM(J134:J135)</f>
        <v>181</v>
      </c>
      <c r="K133" s="327">
        <f t="shared" si="21"/>
        <v>197</v>
      </c>
      <c r="L133" s="329"/>
      <c r="M133" s="327">
        <f t="shared" si="21"/>
        <v>197</v>
      </c>
      <c r="N133" s="59">
        <f t="shared" si="10"/>
        <v>0</v>
      </c>
      <c r="O133" s="328">
        <f>SUM(O134:O135)</f>
        <v>120</v>
      </c>
      <c r="P133" s="328">
        <f>SUM(P134:P135)</f>
        <v>120</v>
      </c>
      <c r="Q133" s="328">
        <f>SUM(Q134:Q135)</f>
        <v>65</v>
      </c>
      <c r="R133" s="328">
        <f>SUM(R134:R135)</f>
        <v>65</v>
      </c>
      <c r="S133" s="63">
        <f t="shared" si="14"/>
        <v>35.911602209944753</v>
      </c>
      <c r="T133" s="63">
        <f t="shared" si="15"/>
        <v>54.166666666666664</v>
      </c>
      <c r="U133" s="330"/>
    </row>
    <row r="134" spans="1:210" ht="20.25" customHeight="1">
      <c r="A134" s="160" t="s">
        <v>158</v>
      </c>
      <c r="B134" s="53" t="s">
        <v>28</v>
      </c>
      <c r="C134" s="332">
        <v>193</v>
      </c>
      <c r="D134" s="333">
        <v>193</v>
      </c>
      <c r="E134" s="333">
        <v>193</v>
      </c>
      <c r="F134" s="333"/>
      <c r="G134" s="334">
        <v>193</v>
      </c>
      <c r="H134" s="334">
        <v>60</v>
      </c>
      <c r="I134" s="334">
        <v>60</v>
      </c>
      <c r="J134" s="335">
        <v>133</v>
      </c>
      <c r="K134" s="336">
        <v>149</v>
      </c>
      <c r="L134" s="337">
        <v>149</v>
      </c>
      <c r="M134" s="334">
        <v>149</v>
      </c>
      <c r="N134" s="54">
        <f t="shared" si="10"/>
        <v>0</v>
      </c>
      <c r="O134" s="54">
        <v>60</v>
      </c>
      <c r="P134" s="334">
        <v>60</v>
      </c>
      <c r="Q134" s="334">
        <v>30</v>
      </c>
      <c r="R134" s="334">
        <v>30</v>
      </c>
      <c r="S134" s="63">
        <f t="shared" si="14"/>
        <v>22.556390977443609</v>
      </c>
      <c r="T134" s="63">
        <f t="shared" si="15"/>
        <v>50</v>
      </c>
      <c r="U134" s="128" t="s">
        <v>159</v>
      </c>
    </row>
    <row r="135" spans="1:210">
      <c r="A135" s="160" t="s">
        <v>160</v>
      </c>
      <c r="B135" s="53" t="s">
        <v>28</v>
      </c>
      <c r="C135" s="332">
        <v>63</v>
      </c>
      <c r="D135" s="333">
        <v>63</v>
      </c>
      <c r="E135" s="333">
        <v>63</v>
      </c>
      <c r="F135" s="333"/>
      <c r="G135" s="334">
        <v>63</v>
      </c>
      <c r="H135" s="334">
        <v>60</v>
      </c>
      <c r="I135" s="334">
        <v>60</v>
      </c>
      <c r="J135" s="335">
        <v>48</v>
      </c>
      <c r="K135" s="336">
        <v>48</v>
      </c>
      <c r="L135" s="337"/>
      <c r="M135" s="334">
        <v>48</v>
      </c>
      <c r="N135" s="54">
        <f t="shared" si="10"/>
        <v>0</v>
      </c>
      <c r="O135" s="54">
        <v>60</v>
      </c>
      <c r="P135" s="334">
        <v>60</v>
      </c>
      <c r="Q135" s="334">
        <v>35</v>
      </c>
      <c r="R135" s="334">
        <v>35</v>
      </c>
      <c r="S135" s="63">
        <f t="shared" si="14"/>
        <v>72.916666666666657</v>
      </c>
      <c r="T135" s="63">
        <f t="shared" si="15"/>
        <v>58.333333333333336</v>
      </c>
      <c r="U135" s="128" t="s">
        <v>161</v>
      </c>
    </row>
    <row r="136" spans="1:210" s="121" customFormat="1" ht="15.75" hidden="1" customHeight="1">
      <c r="A136" s="113" t="s">
        <v>162</v>
      </c>
      <c r="B136" s="114" t="s">
        <v>40</v>
      </c>
      <c r="C136" s="338"/>
      <c r="D136" s="338"/>
      <c r="E136" s="142"/>
      <c r="F136" s="142"/>
      <c r="G136" s="116"/>
      <c r="H136" s="116"/>
      <c r="I136" s="116"/>
      <c r="J136" s="117"/>
      <c r="K136" s="143"/>
      <c r="L136" s="144"/>
      <c r="M136" s="116"/>
      <c r="N136" s="54">
        <f t="shared" si="10"/>
        <v>0</v>
      </c>
      <c r="O136" s="54"/>
      <c r="P136" s="116"/>
      <c r="Q136" s="115"/>
      <c r="R136" s="115"/>
      <c r="S136" s="63" t="str">
        <f t="shared" ref="S136:S141" si="22">IF(ISERROR(M136/G136*100)," ",M136/G136*100)</f>
        <v xml:space="preserve"> </v>
      </c>
      <c r="T136" s="63" t="str">
        <f t="shared" ref="T136:T141" si="23">IF(ISERROR(M136/I136*100)," ",M136/I136*100)</f>
        <v xml:space="preserve"> </v>
      </c>
      <c r="U136" s="120"/>
    </row>
    <row r="137" spans="1:210" s="121" customFormat="1" ht="15.75" hidden="1" customHeight="1">
      <c r="A137" s="113" t="s">
        <v>163</v>
      </c>
      <c r="B137" s="114"/>
      <c r="C137" s="338"/>
      <c r="D137" s="338"/>
      <c r="E137" s="142"/>
      <c r="F137" s="142"/>
      <c r="G137" s="116"/>
      <c r="H137" s="116"/>
      <c r="I137" s="116"/>
      <c r="J137" s="117"/>
      <c r="K137" s="143"/>
      <c r="L137" s="144"/>
      <c r="M137" s="116"/>
      <c r="N137" s="54">
        <f t="shared" si="10"/>
        <v>0</v>
      </c>
      <c r="O137" s="54"/>
      <c r="P137" s="116"/>
      <c r="Q137" s="115"/>
      <c r="R137" s="115"/>
      <c r="S137" s="63" t="str">
        <f t="shared" si="22"/>
        <v xml:space="preserve"> </v>
      </c>
      <c r="T137" s="63" t="str">
        <f t="shared" si="23"/>
        <v xml:space="preserve"> </v>
      </c>
      <c r="U137" s="120"/>
    </row>
    <row r="138" spans="1:210" ht="15.75" hidden="1" customHeight="1">
      <c r="A138" s="160" t="s">
        <v>164</v>
      </c>
      <c r="B138" s="53" t="s">
        <v>40</v>
      </c>
      <c r="C138" s="339"/>
      <c r="D138" s="339"/>
      <c r="E138" s="138"/>
      <c r="F138" s="138"/>
      <c r="G138" s="124"/>
      <c r="H138" s="124"/>
      <c r="I138" s="124"/>
      <c r="J138" s="125"/>
      <c r="K138" s="139"/>
      <c r="L138" s="140"/>
      <c r="M138" s="124"/>
      <c r="N138" s="54">
        <f t="shared" si="10"/>
        <v>0</v>
      </c>
      <c r="O138" s="54"/>
      <c r="P138" s="124"/>
      <c r="Q138" s="123"/>
      <c r="R138" s="123"/>
      <c r="S138" s="63" t="str">
        <f t="shared" si="22"/>
        <v xml:space="preserve"> </v>
      </c>
      <c r="T138" s="63" t="str">
        <f t="shared" si="23"/>
        <v xml:space="preserve"> </v>
      </c>
      <c r="U138" s="61"/>
    </row>
    <row r="139" spans="1:210" ht="15.75" hidden="1" customHeight="1">
      <c r="A139" s="160" t="s">
        <v>165</v>
      </c>
      <c r="B139" s="53" t="s">
        <v>40</v>
      </c>
      <c r="C139" s="340"/>
      <c r="D139" s="340"/>
      <c r="E139" s="138"/>
      <c r="F139" s="138"/>
      <c r="G139" s="124"/>
      <c r="H139" s="124"/>
      <c r="I139" s="124"/>
      <c r="J139" s="125"/>
      <c r="K139" s="139"/>
      <c r="L139" s="140"/>
      <c r="M139" s="124"/>
      <c r="N139" s="54">
        <f t="shared" si="10"/>
        <v>0</v>
      </c>
      <c r="O139" s="54"/>
      <c r="P139" s="124"/>
      <c r="Q139" s="123"/>
      <c r="R139" s="123"/>
      <c r="S139" s="63" t="str">
        <f t="shared" si="22"/>
        <v xml:space="preserve"> </v>
      </c>
      <c r="T139" s="63" t="str">
        <f t="shared" si="23"/>
        <v xml:space="preserve"> </v>
      </c>
      <c r="U139" s="61"/>
    </row>
    <row r="140" spans="1:210" ht="15.75" hidden="1" customHeight="1">
      <c r="A140" s="160" t="s">
        <v>166</v>
      </c>
      <c r="B140" s="53" t="s">
        <v>40</v>
      </c>
      <c r="C140" s="340"/>
      <c r="D140" s="340"/>
      <c r="E140" s="138"/>
      <c r="F140" s="138"/>
      <c r="G140" s="124"/>
      <c r="H140" s="124"/>
      <c r="I140" s="124"/>
      <c r="J140" s="125"/>
      <c r="K140" s="139"/>
      <c r="L140" s="140"/>
      <c r="M140" s="124"/>
      <c r="N140" s="54">
        <f t="shared" si="10"/>
        <v>0</v>
      </c>
      <c r="O140" s="54"/>
      <c r="P140" s="124"/>
      <c r="Q140" s="123"/>
      <c r="R140" s="123"/>
      <c r="S140" s="63" t="str">
        <f t="shared" si="22"/>
        <v xml:space="preserve"> </v>
      </c>
      <c r="T140" s="63" t="str">
        <f t="shared" si="23"/>
        <v xml:space="preserve"> </v>
      </c>
      <c r="U140" s="61"/>
    </row>
    <row r="141" spans="1:210" s="47" customFormat="1" ht="21.95" customHeight="1">
      <c r="A141" s="101" t="s">
        <v>167</v>
      </c>
      <c r="B141" s="102"/>
      <c r="C141" s="103"/>
      <c r="D141" s="103"/>
      <c r="E141" s="104"/>
      <c r="F141" s="104"/>
      <c r="G141" s="105"/>
      <c r="H141" s="105"/>
      <c r="I141" s="105"/>
      <c r="J141" s="106">
        <f>+J132+J124</f>
        <v>382</v>
      </c>
      <c r="K141" s="107"/>
      <c r="L141" s="140"/>
      <c r="M141" s="105"/>
      <c r="N141" s="108">
        <f t="shared" si="10"/>
        <v>0</v>
      </c>
      <c r="O141" s="108"/>
      <c r="P141" s="105"/>
      <c r="Q141" s="109"/>
      <c r="R141" s="109"/>
      <c r="S141" s="110" t="str">
        <f t="shared" si="22"/>
        <v xml:space="preserve"> </v>
      </c>
      <c r="T141" s="110" t="str">
        <f t="shared" si="23"/>
        <v xml:space="preserve"> </v>
      </c>
      <c r="U141" s="111"/>
      <c r="V141" s="112"/>
      <c r="AC141" s="48"/>
      <c r="AD141" s="48"/>
      <c r="AO141" s="50"/>
      <c r="AP141" s="51"/>
      <c r="AX141" s="48"/>
      <c r="AY141" s="48"/>
      <c r="BJ141" s="50"/>
      <c r="BK141" s="51"/>
      <c r="BS141" s="48"/>
      <c r="BT141" s="48"/>
      <c r="CE141" s="50"/>
      <c r="CF141" s="51"/>
      <c r="CN141" s="48"/>
      <c r="CO141" s="48"/>
      <c r="CZ141" s="50"/>
      <c r="DA141" s="51"/>
      <c r="DI141" s="48"/>
      <c r="DJ141" s="48"/>
      <c r="DU141" s="50"/>
      <c r="DV141" s="51"/>
      <c r="ED141" s="48"/>
      <c r="EE141" s="48"/>
      <c r="EP141" s="50"/>
      <c r="EQ141" s="51"/>
      <c r="EY141" s="48"/>
      <c r="EZ141" s="48"/>
      <c r="FK141" s="50"/>
      <c r="FL141" s="51"/>
      <c r="FT141" s="48"/>
      <c r="FU141" s="48"/>
      <c r="GF141" s="50"/>
      <c r="GG141" s="51"/>
      <c r="GO141" s="48"/>
      <c r="GP141" s="48"/>
      <c r="HA141" s="50"/>
      <c r="HB141" s="51"/>
    </row>
    <row r="142" spans="1:210" ht="21.95" customHeight="1">
      <c r="A142" s="52" t="s">
        <v>168</v>
      </c>
      <c r="B142" s="53" t="s">
        <v>57</v>
      </c>
      <c r="C142" s="341">
        <v>4</v>
      </c>
      <c r="D142" s="341">
        <v>4</v>
      </c>
      <c r="E142" s="59">
        <v>7</v>
      </c>
      <c r="F142" s="59"/>
      <c r="G142" s="54">
        <v>7</v>
      </c>
      <c r="H142" s="54"/>
      <c r="I142" s="54">
        <v>7</v>
      </c>
      <c r="J142" s="56">
        <v>4</v>
      </c>
      <c r="K142" s="57">
        <v>5</v>
      </c>
      <c r="L142" s="58">
        <v>5</v>
      </c>
      <c r="M142" s="54">
        <v>7</v>
      </c>
      <c r="N142" s="54">
        <f t="shared" si="10"/>
        <v>2</v>
      </c>
      <c r="O142" s="54"/>
      <c r="P142" s="54">
        <v>7</v>
      </c>
      <c r="Q142" s="54">
        <v>2</v>
      </c>
      <c r="R142" s="54">
        <v>3</v>
      </c>
      <c r="S142" s="63">
        <f t="shared" ref="S142:S164" si="24">IF(ISERROR(R142/J142*100)," ",R142/J142*100)</f>
        <v>75</v>
      </c>
      <c r="T142" s="63">
        <f t="shared" ref="T142:T164" si="25">IF(ISERROR(R142/P142*100)," ",R142/P142*100)</f>
        <v>42.857142857142854</v>
      </c>
      <c r="U142" s="61"/>
    </row>
    <row r="143" spans="1:210" ht="21.95" customHeight="1">
      <c r="A143" s="52" t="s">
        <v>169</v>
      </c>
      <c r="B143" s="53" t="s">
        <v>57</v>
      </c>
      <c r="C143" s="341">
        <v>2</v>
      </c>
      <c r="D143" s="341">
        <v>4</v>
      </c>
      <c r="E143" s="59">
        <v>8</v>
      </c>
      <c r="F143" s="59"/>
      <c r="G143" s="54">
        <v>8</v>
      </c>
      <c r="H143" s="54"/>
      <c r="I143" s="54">
        <v>8</v>
      </c>
      <c r="J143" s="56">
        <v>4</v>
      </c>
      <c r="K143" s="57">
        <v>7</v>
      </c>
      <c r="L143" s="58"/>
      <c r="M143" s="54">
        <v>9</v>
      </c>
      <c r="N143" s="54">
        <f t="shared" si="10"/>
        <v>2</v>
      </c>
      <c r="O143" s="54"/>
      <c r="P143" s="54">
        <v>8</v>
      </c>
      <c r="Q143" s="54">
        <v>4</v>
      </c>
      <c r="R143" s="54">
        <v>4</v>
      </c>
      <c r="S143" s="63">
        <f t="shared" si="24"/>
        <v>100</v>
      </c>
      <c r="T143" s="63">
        <f t="shared" si="25"/>
        <v>50</v>
      </c>
      <c r="U143" s="61"/>
    </row>
    <row r="144" spans="1:210" ht="21.75" customHeight="1">
      <c r="A144" s="52" t="s">
        <v>170</v>
      </c>
      <c r="B144" s="53" t="s">
        <v>171</v>
      </c>
      <c r="C144" s="341">
        <v>7300</v>
      </c>
      <c r="D144" s="341">
        <v>7300</v>
      </c>
      <c r="E144" s="59">
        <v>7300</v>
      </c>
      <c r="F144" s="59"/>
      <c r="G144" s="54">
        <v>7300</v>
      </c>
      <c r="H144" s="54"/>
      <c r="I144" s="54">
        <v>7300</v>
      </c>
      <c r="J144" s="56">
        <v>7300</v>
      </c>
      <c r="K144" s="57">
        <v>7300</v>
      </c>
      <c r="L144" s="58"/>
      <c r="M144" s="54">
        <v>7300</v>
      </c>
      <c r="N144" s="54">
        <f t="shared" si="10"/>
        <v>0</v>
      </c>
      <c r="O144" s="54"/>
      <c r="P144" s="54">
        <v>7300</v>
      </c>
      <c r="Q144" s="54">
        <v>7300</v>
      </c>
      <c r="R144" s="54">
        <v>7300</v>
      </c>
      <c r="S144" s="63">
        <f t="shared" si="24"/>
        <v>100</v>
      </c>
      <c r="T144" s="63">
        <f t="shared" si="25"/>
        <v>100</v>
      </c>
      <c r="U144" s="61"/>
    </row>
    <row r="145" spans="1:210" ht="24" customHeight="1">
      <c r="A145" s="52" t="s">
        <v>172</v>
      </c>
      <c r="B145" s="53" t="s">
        <v>40</v>
      </c>
      <c r="C145" s="54">
        <v>85</v>
      </c>
      <c r="D145" s="54">
        <v>85</v>
      </c>
      <c r="E145" s="59">
        <v>90</v>
      </c>
      <c r="F145" s="59"/>
      <c r="G145" s="54">
        <v>90</v>
      </c>
      <c r="H145" s="54"/>
      <c r="I145" s="54">
        <v>95</v>
      </c>
      <c r="J145" s="56">
        <v>90</v>
      </c>
      <c r="K145" s="57">
        <v>100</v>
      </c>
      <c r="L145" s="58"/>
      <c r="M145" s="54">
        <f>+K145</f>
        <v>100</v>
      </c>
      <c r="N145" s="54">
        <f t="shared" ref="N145:N192" si="26">+M145-K145</f>
        <v>0</v>
      </c>
      <c r="O145" s="54"/>
      <c r="P145" s="54">
        <f>+M145</f>
        <v>100</v>
      </c>
      <c r="Q145" s="54">
        <v>100</v>
      </c>
      <c r="R145" s="54">
        <v>100</v>
      </c>
      <c r="S145" s="63">
        <f t="shared" si="24"/>
        <v>111.11111111111111</v>
      </c>
      <c r="T145" s="63">
        <f t="shared" si="25"/>
        <v>100</v>
      </c>
      <c r="U145" s="61"/>
    </row>
    <row r="146" spans="1:210" ht="24" customHeight="1">
      <c r="A146" s="52" t="s">
        <v>173</v>
      </c>
      <c r="B146" s="53" t="s">
        <v>40</v>
      </c>
      <c r="C146" s="54">
        <v>0</v>
      </c>
      <c r="D146" s="54"/>
      <c r="E146" s="59">
        <v>0</v>
      </c>
      <c r="F146" s="59"/>
      <c r="G146" s="54">
        <v>28</v>
      </c>
      <c r="H146" s="54"/>
      <c r="I146" s="54">
        <v>40</v>
      </c>
      <c r="J146" s="56" t="s">
        <v>174</v>
      </c>
      <c r="K146" s="57">
        <v>40</v>
      </c>
      <c r="L146" s="58"/>
      <c r="M146" s="54">
        <v>40</v>
      </c>
      <c r="N146" s="54">
        <f t="shared" si="26"/>
        <v>0</v>
      </c>
      <c r="O146" s="54"/>
      <c r="P146" s="54">
        <v>50</v>
      </c>
      <c r="Q146" s="54" t="s">
        <v>175</v>
      </c>
      <c r="R146" s="54" t="s">
        <v>175</v>
      </c>
      <c r="S146" s="63" t="str">
        <f t="shared" si="24"/>
        <v xml:space="preserve"> </v>
      </c>
      <c r="T146" s="63" t="str">
        <f t="shared" si="25"/>
        <v xml:space="preserve"> </v>
      </c>
      <c r="U146" s="61"/>
    </row>
    <row r="147" spans="1:210" ht="23.25" customHeight="1">
      <c r="A147" s="52" t="s">
        <v>176</v>
      </c>
      <c r="B147" s="53" t="s">
        <v>40</v>
      </c>
      <c r="C147" s="342">
        <v>0</v>
      </c>
      <c r="D147" s="342"/>
      <c r="E147" s="59">
        <v>0</v>
      </c>
      <c r="F147" s="59"/>
      <c r="G147" s="97">
        <v>46.8</v>
      </c>
      <c r="H147" s="97"/>
      <c r="I147" s="54">
        <v>54</v>
      </c>
      <c r="J147" s="94" t="s">
        <v>177</v>
      </c>
      <c r="K147" s="57">
        <v>54</v>
      </c>
      <c r="L147" s="58"/>
      <c r="M147" s="54">
        <v>54</v>
      </c>
      <c r="N147" s="54">
        <f t="shared" si="26"/>
        <v>0</v>
      </c>
      <c r="O147" s="54"/>
      <c r="P147" s="54">
        <v>58</v>
      </c>
      <c r="Q147" s="54" t="s">
        <v>175</v>
      </c>
      <c r="R147" s="54" t="s">
        <v>175</v>
      </c>
      <c r="S147" s="63" t="str">
        <f t="shared" si="24"/>
        <v xml:space="preserve"> </v>
      </c>
      <c r="T147" s="63" t="str">
        <f t="shared" si="25"/>
        <v xml:space="preserve"> </v>
      </c>
      <c r="U147" s="61"/>
    </row>
    <row r="148" spans="1:210" ht="36.950000000000003" customHeight="1">
      <c r="A148" s="309" t="s">
        <v>178</v>
      </c>
      <c r="B148" s="53" t="s">
        <v>40</v>
      </c>
      <c r="C148" s="342">
        <v>86</v>
      </c>
      <c r="D148" s="342">
        <v>85.5</v>
      </c>
      <c r="E148" s="59">
        <v>86</v>
      </c>
      <c r="F148" s="59"/>
      <c r="G148" s="54">
        <v>85.5</v>
      </c>
      <c r="H148" s="54"/>
      <c r="I148" s="54">
        <v>90</v>
      </c>
      <c r="J148" s="56">
        <v>87</v>
      </c>
      <c r="K148" s="57">
        <v>90</v>
      </c>
      <c r="L148" s="58"/>
      <c r="M148" s="54">
        <v>90</v>
      </c>
      <c r="N148" s="54">
        <f t="shared" si="26"/>
        <v>0</v>
      </c>
      <c r="O148" s="54"/>
      <c r="P148" s="54">
        <v>90</v>
      </c>
      <c r="Q148" s="54">
        <v>90</v>
      </c>
      <c r="R148" s="54">
        <v>90</v>
      </c>
      <c r="S148" s="63">
        <f t="shared" si="24"/>
        <v>103.44827586206897</v>
      </c>
      <c r="T148" s="63">
        <f t="shared" si="25"/>
        <v>100</v>
      </c>
      <c r="U148" s="61"/>
    </row>
    <row r="149" spans="1:210" ht="36.950000000000003" customHeight="1">
      <c r="A149" s="52" t="s">
        <v>179</v>
      </c>
      <c r="B149" s="53" t="s">
        <v>40</v>
      </c>
      <c r="C149" s="343">
        <v>45</v>
      </c>
      <c r="D149" s="343">
        <v>45</v>
      </c>
      <c r="E149" s="59">
        <v>45</v>
      </c>
      <c r="F149" s="59"/>
      <c r="G149" s="54">
        <v>54.54545454545454</v>
      </c>
      <c r="H149" s="54"/>
      <c r="I149" s="54">
        <f>0.636363636363636*100</f>
        <v>63.636363636363605</v>
      </c>
      <c r="J149" s="56">
        <v>54.5</v>
      </c>
      <c r="K149" s="57">
        <f>0.545454545454545*100</f>
        <v>54.545454545454497</v>
      </c>
      <c r="L149" s="58"/>
      <c r="M149" s="54">
        <v>55</v>
      </c>
      <c r="N149" s="54">
        <f t="shared" si="26"/>
        <v>0.45454545454550299</v>
      </c>
      <c r="O149" s="54"/>
      <c r="P149" s="54">
        <v>64</v>
      </c>
      <c r="Q149" s="54">
        <v>55</v>
      </c>
      <c r="R149" s="54">
        <v>55</v>
      </c>
      <c r="S149" s="63">
        <f t="shared" si="24"/>
        <v>100.91743119266054</v>
      </c>
      <c r="T149" s="63">
        <f t="shared" si="25"/>
        <v>85.9375</v>
      </c>
      <c r="U149" s="61"/>
      <c r="W149" s="86"/>
    </row>
    <row r="150" spans="1:210" ht="36.950000000000003" hidden="1" customHeight="1">
      <c r="A150" s="52"/>
      <c r="B150" s="53"/>
      <c r="C150" s="343">
        <f>C149%*11</f>
        <v>4.95</v>
      </c>
      <c r="D150" s="343"/>
      <c r="E150" s="343">
        <f t="shared" ref="E150:H150" si="27">45%*11</f>
        <v>4.95</v>
      </c>
      <c r="F150" s="343"/>
      <c r="G150" s="344">
        <v>6</v>
      </c>
      <c r="H150" s="344">
        <f t="shared" si="27"/>
        <v>4.95</v>
      </c>
      <c r="I150" s="344">
        <f>I149%*11</f>
        <v>6.9999999999999964</v>
      </c>
      <c r="J150" s="345">
        <f>J149%*11</f>
        <v>5.9950000000000001</v>
      </c>
      <c r="K150" s="346"/>
      <c r="L150" s="58"/>
      <c r="M150" s="344">
        <f>M149%*11</f>
        <v>6.0500000000000007</v>
      </c>
      <c r="N150" s="54">
        <f t="shared" si="26"/>
        <v>6.0500000000000007</v>
      </c>
      <c r="O150" s="54"/>
      <c r="P150" s="176">
        <f>P149%*11</f>
        <v>7.04</v>
      </c>
      <c r="Q150" s="176"/>
      <c r="R150" s="176"/>
      <c r="S150" s="63">
        <f t="shared" si="24"/>
        <v>0</v>
      </c>
      <c r="T150" s="63">
        <f t="shared" si="25"/>
        <v>0</v>
      </c>
      <c r="U150" s="61"/>
    </row>
    <row r="151" spans="1:210" ht="36.950000000000003" customHeight="1">
      <c r="A151" s="52" t="s">
        <v>180</v>
      </c>
      <c r="B151" s="53" t="s">
        <v>40</v>
      </c>
      <c r="C151" s="343">
        <v>0.15</v>
      </c>
      <c r="D151" s="343">
        <v>0</v>
      </c>
      <c r="E151" s="59">
        <v>0.15</v>
      </c>
      <c r="F151" s="59"/>
      <c r="G151" s="54" t="s">
        <v>100</v>
      </c>
      <c r="H151" s="54"/>
      <c r="I151" s="54" t="s">
        <v>100</v>
      </c>
      <c r="J151" s="56" t="s">
        <v>100</v>
      </c>
      <c r="K151" s="57" t="s">
        <v>100</v>
      </c>
      <c r="L151" s="58"/>
      <c r="M151" s="54" t="s">
        <v>100</v>
      </c>
      <c r="N151" s="54"/>
      <c r="O151" s="54"/>
      <c r="P151" s="54" t="s">
        <v>100</v>
      </c>
      <c r="Q151" s="54" t="s">
        <v>181</v>
      </c>
      <c r="R151" s="54" t="s">
        <v>182</v>
      </c>
      <c r="S151" s="63" t="str">
        <f t="shared" si="24"/>
        <v xml:space="preserve"> </v>
      </c>
      <c r="T151" s="63" t="str">
        <f t="shared" si="25"/>
        <v xml:space="preserve"> </v>
      </c>
      <c r="U151" s="61"/>
      <c r="X151" s="86"/>
    </row>
    <row r="152" spans="1:210" ht="63">
      <c r="A152" s="309" t="s">
        <v>183</v>
      </c>
      <c r="B152" s="53" t="s">
        <v>40</v>
      </c>
      <c r="C152" s="343">
        <v>0</v>
      </c>
      <c r="D152" s="343">
        <v>90</v>
      </c>
      <c r="E152" s="59">
        <v>90</v>
      </c>
      <c r="F152" s="59"/>
      <c r="G152" s="54">
        <v>90</v>
      </c>
      <c r="H152" s="54"/>
      <c r="I152" s="54">
        <v>95</v>
      </c>
      <c r="J152" s="56">
        <v>90</v>
      </c>
      <c r="K152" s="57">
        <v>95</v>
      </c>
      <c r="L152" s="58"/>
      <c r="M152" s="54">
        <v>95</v>
      </c>
      <c r="N152" s="54"/>
      <c r="O152" s="54"/>
      <c r="P152" s="54">
        <v>95</v>
      </c>
      <c r="Q152" s="54">
        <v>95</v>
      </c>
      <c r="R152" s="54">
        <v>95</v>
      </c>
      <c r="S152" s="63">
        <f t="shared" si="24"/>
        <v>105.55555555555556</v>
      </c>
      <c r="T152" s="63">
        <f t="shared" si="25"/>
        <v>100</v>
      </c>
      <c r="U152" s="61"/>
    </row>
    <row r="153" spans="1:210" ht="36.950000000000003" customHeight="1">
      <c r="A153" s="52" t="s">
        <v>184</v>
      </c>
      <c r="B153" s="53" t="s">
        <v>40</v>
      </c>
      <c r="C153" s="343">
        <v>30</v>
      </c>
      <c r="D153" s="343">
        <v>30</v>
      </c>
      <c r="E153" s="59">
        <v>30</v>
      </c>
      <c r="F153" s="59"/>
      <c r="G153" s="54">
        <v>30</v>
      </c>
      <c r="H153" s="54"/>
      <c r="I153" s="54" t="s">
        <v>185</v>
      </c>
      <c r="J153" s="56" t="s">
        <v>186</v>
      </c>
      <c r="K153" s="57" t="s">
        <v>185</v>
      </c>
      <c r="L153" s="178">
        <v>25.5</v>
      </c>
      <c r="M153" s="97">
        <v>25.5</v>
      </c>
      <c r="N153" s="54"/>
      <c r="O153" s="54"/>
      <c r="P153" s="54">
        <v>27</v>
      </c>
      <c r="Q153" s="54" t="s">
        <v>187</v>
      </c>
      <c r="R153" s="54" t="s">
        <v>187</v>
      </c>
      <c r="S153" s="63" t="str">
        <f t="shared" si="24"/>
        <v xml:space="preserve"> </v>
      </c>
      <c r="T153" s="63" t="str">
        <f t="shared" si="25"/>
        <v xml:space="preserve"> </v>
      </c>
      <c r="U153" s="61"/>
    </row>
    <row r="154" spans="1:210" ht="31.5">
      <c r="A154" s="52" t="s">
        <v>188</v>
      </c>
      <c r="B154" s="53" t="s">
        <v>40</v>
      </c>
      <c r="C154" s="343">
        <v>25</v>
      </c>
      <c r="D154" s="343">
        <v>25</v>
      </c>
      <c r="E154" s="59">
        <v>25</v>
      </c>
      <c r="F154" s="59"/>
      <c r="G154" s="54">
        <v>25</v>
      </c>
      <c r="H154" s="54"/>
      <c r="I154" s="54" t="s">
        <v>186</v>
      </c>
      <c r="J154" s="56">
        <v>15</v>
      </c>
      <c r="K154" s="100" t="s">
        <v>189</v>
      </c>
      <c r="L154" s="178">
        <v>22.4</v>
      </c>
      <c r="M154" s="97">
        <v>22.4</v>
      </c>
      <c r="N154" s="54"/>
      <c r="O154" s="54"/>
      <c r="P154" s="54" t="s">
        <v>186</v>
      </c>
      <c r="Q154" s="54" t="s">
        <v>190</v>
      </c>
      <c r="R154" s="54" t="s">
        <v>190</v>
      </c>
      <c r="S154" s="63" t="str">
        <f t="shared" si="24"/>
        <v xml:space="preserve"> </v>
      </c>
      <c r="T154" s="63" t="str">
        <f t="shared" si="25"/>
        <v xml:space="preserve"> </v>
      </c>
      <c r="U154" s="61"/>
    </row>
    <row r="155" spans="1:210" s="47" customFormat="1" ht="21.95" customHeight="1">
      <c r="A155" s="101" t="s">
        <v>191</v>
      </c>
      <c r="B155" s="102"/>
      <c r="C155" s="103"/>
      <c r="D155" s="103"/>
      <c r="E155" s="104"/>
      <c r="F155" s="104"/>
      <c r="G155" s="105"/>
      <c r="H155" s="105"/>
      <c r="I155" s="105"/>
      <c r="J155" s="106"/>
      <c r="K155" s="107"/>
      <c r="L155" s="107"/>
      <c r="M155" s="105"/>
      <c r="N155" s="108"/>
      <c r="O155" s="108"/>
      <c r="P155" s="105"/>
      <c r="Q155" s="109"/>
      <c r="R155" s="109"/>
      <c r="S155" s="110" t="str">
        <f t="shared" si="24"/>
        <v xml:space="preserve"> </v>
      </c>
      <c r="T155" s="110" t="str">
        <f t="shared" si="25"/>
        <v xml:space="preserve"> </v>
      </c>
      <c r="U155" s="111"/>
      <c r="V155" s="112"/>
      <c r="AC155" s="48"/>
      <c r="AD155" s="48"/>
      <c r="AO155" s="50"/>
      <c r="AP155" s="51"/>
      <c r="AX155" s="48"/>
      <c r="AY155" s="48"/>
      <c r="BJ155" s="50"/>
      <c r="BK155" s="51"/>
      <c r="BS155" s="48"/>
      <c r="BT155" s="48"/>
      <c r="CE155" s="50"/>
      <c r="CF155" s="51"/>
      <c r="CN155" s="48"/>
      <c r="CO155" s="48"/>
      <c r="CZ155" s="50"/>
      <c r="DA155" s="51"/>
      <c r="DI155" s="48"/>
      <c r="DJ155" s="48"/>
      <c r="DU155" s="50"/>
      <c r="DV155" s="51"/>
      <c r="ED155" s="48"/>
      <c r="EE155" s="48"/>
      <c r="EP155" s="50"/>
      <c r="EQ155" s="51"/>
      <c r="EY155" s="48"/>
      <c r="EZ155" s="48"/>
      <c r="FK155" s="50"/>
      <c r="FL155" s="51"/>
      <c r="FT155" s="48"/>
      <c r="FU155" s="48"/>
      <c r="GF155" s="50"/>
      <c r="GG155" s="51"/>
      <c r="GO155" s="48"/>
      <c r="GP155" s="48"/>
      <c r="HA155" s="50"/>
      <c r="HB155" s="51"/>
    </row>
    <row r="156" spans="1:210" ht="17.25" customHeight="1">
      <c r="A156" s="52" t="s">
        <v>192</v>
      </c>
      <c r="B156" s="53" t="s">
        <v>193</v>
      </c>
      <c r="C156" s="340">
        <v>3200</v>
      </c>
      <c r="D156" s="340">
        <v>4200</v>
      </c>
      <c r="E156" s="123">
        <f>+G156*0.916666666666667</f>
        <v>5500.0000000000018</v>
      </c>
      <c r="F156" s="123"/>
      <c r="G156" s="124">
        <v>6000</v>
      </c>
      <c r="H156" s="124"/>
      <c r="I156" s="124">
        <v>6000</v>
      </c>
      <c r="J156" s="125">
        <v>3200</v>
      </c>
      <c r="K156" s="139">
        <v>6700</v>
      </c>
      <c r="L156" s="140"/>
      <c r="M156" s="124">
        <v>6480</v>
      </c>
      <c r="N156" s="54">
        <f t="shared" si="26"/>
        <v>-220</v>
      </c>
      <c r="O156" s="54"/>
      <c r="P156" s="124">
        <f>+M156</f>
        <v>6480</v>
      </c>
      <c r="Q156" s="123">
        <v>2912</v>
      </c>
      <c r="R156" s="123">
        <v>3310</v>
      </c>
      <c r="S156" s="63">
        <f t="shared" si="24"/>
        <v>103.4375</v>
      </c>
      <c r="T156" s="63">
        <f t="shared" si="25"/>
        <v>51.080246913580254</v>
      </c>
      <c r="U156" s="61"/>
    </row>
    <row r="157" spans="1:210" s="73" customFormat="1" ht="18.75" customHeight="1">
      <c r="A157" s="64" t="s">
        <v>194</v>
      </c>
      <c r="B157" s="65" t="s">
        <v>193</v>
      </c>
      <c r="C157" s="347">
        <v>67</v>
      </c>
      <c r="D157" s="347">
        <v>92</v>
      </c>
      <c r="E157" s="173">
        <f>G157*11/12</f>
        <v>123.75</v>
      </c>
      <c r="F157" s="173"/>
      <c r="G157" s="219">
        <v>135</v>
      </c>
      <c r="H157" s="219"/>
      <c r="I157" s="219">
        <v>134</v>
      </c>
      <c r="J157" s="220">
        <v>67</v>
      </c>
      <c r="K157" s="221">
        <f>+M157*0.75</f>
        <v>117</v>
      </c>
      <c r="L157" s="222"/>
      <c r="M157" s="219">
        <f>6*30*52/60</f>
        <v>156</v>
      </c>
      <c r="N157" s="54">
        <f t="shared" si="26"/>
        <v>39</v>
      </c>
      <c r="O157" s="54"/>
      <c r="P157" s="219">
        <f>+M157</f>
        <v>156</v>
      </c>
      <c r="Q157" s="173">
        <v>80</v>
      </c>
      <c r="R157" s="173">
        <v>96</v>
      </c>
      <c r="S157" s="63">
        <f t="shared" si="24"/>
        <v>143.28358208955223</v>
      </c>
      <c r="T157" s="63">
        <f t="shared" si="25"/>
        <v>61.53846153846154</v>
      </c>
      <c r="U157" s="78"/>
    </row>
    <row r="158" spans="1:210" ht="17.25" customHeight="1">
      <c r="A158" s="52" t="s">
        <v>195</v>
      </c>
      <c r="B158" s="53" t="s">
        <v>193</v>
      </c>
      <c r="C158" s="348">
        <v>15320</v>
      </c>
      <c r="D158" s="348">
        <v>27480</v>
      </c>
      <c r="E158" s="123">
        <f>G158*11/12</f>
        <v>27500</v>
      </c>
      <c r="F158" s="123"/>
      <c r="G158" s="124">
        <v>30000</v>
      </c>
      <c r="H158" s="124"/>
      <c r="I158" s="124">
        <v>30000</v>
      </c>
      <c r="J158" s="125">
        <v>15320</v>
      </c>
      <c r="K158" s="139">
        <v>32000</v>
      </c>
      <c r="L158" s="140"/>
      <c r="M158" s="124">
        <v>31186</v>
      </c>
      <c r="N158" s="54">
        <f t="shared" si="26"/>
        <v>-814</v>
      </c>
      <c r="O158" s="54"/>
      <c r="P158" s="124">
        <f>+M158</f>
        <v>31186</v>
      </c>
      <c r="Q158" s="123">
        <v>15120</v>
      </c>
      <c r="R158" s="123">
        <v>16380</v>
      </c>
      <c r="S158" s="63">
        <f t="shared" si="24"/>
        <v>106.91906005221932</v>
      </c>
      <c r="T158" s="63">
        <f t="shared" si="25"/>
        <v>52.523568267812479</v>
      </c>
      <c r="U158" s="61"/>
    </row>
    <row r="159" spans="1:210" s="73" customFormat="1">
      <c r="A159" s="64" t="s">
        <v>194</v>
      </c>
      <c r="B159" s="65" t="s">
        <v>193</v>
      </c>
      <c r="C159" s="349">
        <v>20</v>
      </c>
      <c r="D159" s="349">
        <v>30</v>
      </c>
      <c r="E159" s="173">
        <f>+G159*0.916666666666667</f>
        <v>37.583333333333343</v>
      </c>
      <c r="F159" s="173"/>
      <c r="G159" s="219">
        <v>41</v>
      </c>
      <c r="H159" s="219"/>
      <c r="I159" s="219">
        <v>50</v>
      </c>
      <c r="J159" s="220">
        <v>20</v>
      </c>
      <c r="K159" s="221">
        <v>40</v>
      </c>
      <c r="L159" s="222"/>
      <c r="M159" s="219">
        <f>40*52/60+30*52/60</f>
        <v>60.666666666666664</v>
      </c>
      <c r="N159" s="54">
        <f t="shared" si="26"/>
        <v>20.666666666666664</v>
      </c>
      <c r="O159" s="54"/>
      <c r="P159" s="219">
        <f>+M159</f>
        <v>60.666666666666664</v>
      </c>
      <c r="Q159" s="173">
        <v>27</v>
      </c>
      <c r="R159" s="173">
        <v>32</v>
      </c>
      <c r="S159" s="63">
        <f t="shared" si="24"/>
        <v>160</v>
      </c>
      <c r="T159" s="63">
        <f t="shared" si="25"/>
        <v>52.747252747252752</v>
      </c>
      <c r="U159" s="305"/>
    </row>
    <row r="160" spans="1:210">
      <c r="A160" s="52" t="s">
        <v>196</v>
      </c>
      <c r="B160" s="53" t="s">
        <v>40</v>
      </c>
      <c r="C160" s="341" t="s">
        <v>197</v>
      </c>
      <c r="D160" s="341" t="s">
        <v>197</v>
      </c>
      <c r="E160" s="59" t="s">
        <v>197</v>
      </c>
      <c r="F160" s="59"/>
      <c r="G160" s="54" t="s">
        <v>197</v>
      </c>
      <c r="H160" s="54"/>
      <c r="I160" s="54" t="s">
        <v>197</v>
      </c>
      <c r="J160" s="56" t="s">
        <v>197</v>
      </c>
      <c r="K160" s="57" t="s">
        <v>197</v>
      </c>
      <c r="L160" s="58"/>
      <c r="M160" s="54" t="s">
        <v>197</v>
      </c>
      <c r="N160" s="54"/>
      <c r="O160" s="54"/>
      <c r="P160" s="54" t="s">
        <v>197</v>
      </c>
      <c r="Q160" s="59" t="s">
        <v>197</v>
      </c>
      <c r="R160" s="59" t="s">
        <v>197</v>
      </c>
      <c r="S160" s="63" t="str">
        <f t="shared" si="24"/>
        <v xml:space="preserve"> </v>
      </c>
      <c r="T160" s="63" t="str">
        <f t="shared" si="25"/>
        <v xml:space="preserve"> </v>
      </c>
      <c r="U160" s="350"/>
    </row>
    <row r="161" spans="1:23">
      <c r="A161" s="52" t="s">
        <v>198</v>
      </c>
      <c r="B161" s="53" t="s">
        <v>40</v>
      </c>
      <c r="C161" s="340">
        <v>98</v>
      </c>
      <c r="D161" s="340">
        <v>98</v>
      </c>
      <c r="E161" s="123">
        <v>98</v>
      </c>
      <c r="F161" s="123"/>
      <c r="G161" s="124">
        <v>98</v>
      </c>
      <c r="H161" s="124"/>
      <c r="I161" s="124">
        <v>98</v>
      </c>
      <c r="J161" s="125">
        <v>98</v>
      </c>
      <c r="K161" s="139">
        <v>98</v>
      </c>
      <c r="L161" s="140"/>
      <c r="M161" s="124">
        <v>98</v>
      </c>
      <c r="N161" s="54"/>
      <c r="O161" s="54"/>
      <c r="P161" s="124">
        <v>98</v>
      </c>
      <c r="Q161" s="123">
        <v>98</v>
      </c>
      <c r="R161" s="123">
        <v>98</v>
      </c>
      <c r="S161" s="63">
        <f t="shared" si="24"/>
        <v>100</v>
      </c>
      <c r="T161" s="63">
        <f t="shared" si="25"/>
        <v>100</v>
      </c>
      <c r="U161" s="350"/>
    </row>
    <row r="162" spans="1:23">
      <c r="A162" s="52" t="s">
        <v>199</v>
      </c>
      <c r="B162" s="53" t="s">
        <v>40</v>
      </c>
      <c r="C162" s="343" t="s">
        <v>200</v>
      </c>
      <c r="D162" s="343" t="s">
        <v>200</v>
      </c>
      <c r="E162" s="59" t="s">
        <v>200</v>
      </c>
      <c r="F162" s="59"/>
      <c r="G162" s="54" t="s">
        <v>200</v>
      </c>
      <c r="H162" s="54"/>
      <c r="I162" s="54" t="s">
        <v>200</v>
      </c>
      <c r="J162" s="56" t="s">
        <v>200</v>
      </c>
      <c r="K162" s="57" t="s">
        <v>200</v>
      </c>
      <c r="L162" s="58"/>
      <c r="M162" s="54" t="s">
        <v>200</v>
      </c>
      <c r="N162" s="54"/>
      <c r="O162" s="54"/>
      <c r="P162" s="54" t="s">
        <v>200</v>
      </c>
      <c r="Q162" s="59" t="s">
        <v>200</v>
      </c>
      <c r="R162" s="59" t="s">
        <v>200</v>
      </c>
      <c r="S162" s="63" t="str">
        <f t="shared" si="24"/>
        <v xml:space="preserve"> </v>
      </c>
      <c r="T162" s="63" t="str">
        <f t="shared" si="25"/>
        <v xml:space="preserve"> </v>
      </c>
      <c r="U162" s="61"/>
    </row>
    <row r="163" spans="1:23">
      <c r="A163" s="52" t="s">
        <v>201</v>
      </c>
      <c r="B163" s="53" t="s">
        <v>40</v>
      </c>
      <c r="C163" s="343" t="s">
        <v>202</v>
      </c>
      <c r="D163" s="343" t="s">
        <v>202</v>
      </c>
      <c r="E163" s="59" t="s">
        <v>202</v>
      </c>
      <c r="F163" s="59"/>
      <c r="G163" s="54" t="s">
        <v>202</v>
      </c>
      <c r="H163" s="54"/>
      <c r="I163" s="54" t="s">
        <v>202</v>
      </c>
      <c r="J163" s="56" t="s">
        <v>202</v>
      </c>
      <c r="K163" s="57" t="s">
        <v>202</v>
      </c>
      <c r="L163" s="58"/>
      <c r="M163" s="54" t="s">
        <v>202</v>
      </c>
      <c r="N163" s="54"/>
      <c r="O163" s="54"/>
      <c r="P163" s="54" t="s">
        <v>202</v>
      </c>
      <c r="Q163" s="59" t="s">
        <v>202</v>
      </c>
      <c r="R163" s="59" t="s">
        <v>202</v>
      </c>
      <c r="S163" s="63" t="str">
        <f t="shared" si="24"/>
        <v xml:space="preserve"> </v>
      </c>
      <c r="T163" s="63" t="str">
        <f t="shared" si="25"/>
        <v xml:space="preserve"> </v>
      </c>
      <c r="U163" s="61"/>
    </row>
    <row r="164" spans="1:23" ht="47.25">
      <c r="A164" s="52" t="s">
        <v>203</v>
      </c>
      <c r="B164" s="53" t="s">
        <v>40</v>
      </c>
      <c r="C164" s="343">
        <v>100</v>
      </c>
      <c r="D164" s="343">
        <v>100</v>
      </c>
      <c r="E164" s="59">
        <v>100</v>
      </c>
      <c r="F164" s="59"/>
      <c r="G164" s="124">
        <v>100</v>
      </c>
      <c r="H164" s="124"/>
      <c r="I164" s="124">
        <v>100</v>
      </c>
      <c r="J164" s="125">
        <v>100</v>
      </c>
      <c r="K164" s="139">
        <v>100</v>
      </c>
      <c r="L164" s="140"/>
      <c r="M164" s="124">
        <v>100</v>
      </c>
      <c r="N164" s="54">
        <f t="shared" si="26"/>
        <v>0</v>
      </c>
      <c r="O164" s="54"/>
      <c r="P164" s="124">
        <v>100</v>
      </c>
      <c r="Q164" s="123">
        <v>100</v>
      </c>
      <c r="R164" s="123">
        <v>100</v>
      </c>
      <c r="S164" s="63">
        <f t="shared" si="24"/>
        <v>100</v>
      </c>
      <c r="T164" s="63">
        <f t="shared" si="25"/>
        <v>100</v>
      </c>
      <c r="U164" s="61"/>
    </row>
    <row r="165" spans="1:23" ht="20.25">
      <c r="A165" s="101" t="s">
        <v>204</v>
      </c>
      <c r="B165" s="102"/>
      <c r="C165" s="103"/>
      <c r="D165" s="103"/>
      <c r="E165" s="104"/>
      <c r="F165" s="104"/>
      <c r="G165" s="105"/>
      <c r="H165" s="105"/>
      <c r="I165" s="105"/>
      <c r="J165" s="106"/>
      <c r="K165" s="107"/>
      <c r="L165" s="107"/>
      <c r="M165" s="105"/>
      <c r="N165" s="108">
        <f t="shared" si="26"/>
        <v>0</v>
      </c>
      <c r="O165" s="108"/>
      <c r="P165" s="105"/>
      <c r="Q165" s="109"/>
      <c r="R165" s="109"/>
      <c r="S165" s="110" t="str">
        <f>IF(ISERROR(M165/G165*100)," ",M165/G165*100)</f>
        <v xml:space="preserve"> </v>
      </c>
      <c r="T165" s="110" t="str">
        <f t="shared" ref="T165" si="28">IF(ISERROR(M165/I165*100)," ",M165/I165*100)</f>
        <v xml:space="preserve"> </v>
      </c>
      <c r="U165" s="111"/>
      <c r="V165" s="112"/>
    </row>
    <row r="166" spans="1:23" s="121" customFormat="1">
      <c r="A166" s="52" t="s">
        <v>205</v>
      </c>
      <c r="B166" s="53" t="s">
        <v>26</v>
      </c>
      <c r="C166" s="214">
        <v>4658</v>
      </c>
      <c r="D166" s="214">
        <v>4658</v>
      </c>
      <c r="E166" s="59">
        <v>4658</v>
      </c>
      <c r="F166" s="59"/>
      <c r="G166" s="54">
        <v>4658</v>
      </c>
      <c r="H166" s="54"/>
      <c r="I166" s="54">
        <v>3985</v>
      </c>
      <c r="J166" s="56">
        <v>3986</v>
      </c>
      <c r="K166" s="57">
        <v>3986</v>
      </c>
      <c r="L166" s="58"/>
      <c r="M166" s="54">
        <v>3986</v>
      </c>
      <c r="N166" s="54">
        <f t="shared" si="26"/>
        <v>0</v>
      </c>
      <c r="O166" s="54"/>
      <c r="P166" s="54">
        <f>+M170</f>
        <v>3382</v>
      </c>
      <c r="Q166" s="59">
        <f>+P166</f>
        <v>3382</v>
      </c>
      <c r="R166" s="59">
        <f>+P166</f>
        <v>3382</v>
      </c>
      <c r="S166" s="63">
        <f t="shared" ref="S166:S190" si="29">IF(ISERROR(R166/J166*100)," ",R166/J166*100)</f>
        <v>84.84696437531359</v>
      </c>
      <c r="T166" s="63">
        <f t="shared" ref="T166:T190" si="30">IF(ISERROR(R166/P166*100)," ",R166/P166*100)</f>
        <v>100</v>
      </c>
      <c r="U166" s="61"/>
      <c r="V166" s="351"/>
    </row>
    <row r="167" spans="1:23" s="121" customFormat="1">
      <c r="A167" s="52" t="s">
        <v>206</v>
      </c>
      <c r="B167" s="53" t="s">
        <v>26</v>
      </c>
      <c r="C167" s="214">
        <f>512*30%</f>
        <v>153.6</v>
      </c>
      <c r="D167" s="214">
        <f>512*30%</f>
        <v>153.6</v>
      </c>
      <c r="E167" s="59">
        <v>673</v>
      </c>
      <c r="F167" s="59"/>
      <c r="G167" s="59">
        <f>+G166-G170</f>
        <v>672</v>
      </c>
      <c r="H167" s="59"/>
      <c r="I167" s="59">
        <v>698</v>
      </c>
      <c r="J167" s="56">
        <v>324</v>
      </c>
      <c r="K167" s="57">
        <v>315</v>
      </c>
      <c r="L167" s="58"/>
      <c r="M167" s="59">
        <v>824</v>
      </c>
      <c r="N167" s="54">
        <f t="shared" si="26"/>
        <v>509</v>
      </c>
      <c r="O167" s="54"/>
      <c r="P167" s="59">
        <v>712</v>
      </c>
      <c r="Q167" s="59"/>
      <c r="R167" s="59">
        <v>306</v>
      </c>
      <c r="S167" s="63">
        <f t="shared" si="29"/>
        <v>94.444444444444443</v>
      </c>
      <c r="T167" s="63">
        <f t="shared" si="30"/>
        <v>42.977528089887642</v>
      </c>
      <c r="U167" s="61"/>
    </row>
    <row r="168" spans="1:23" s="121" customFormat="1">
      <c r="A168" s="52" t="s">
        <v>207</v>
      </c>
      <c r="B168" s="53" t="s">
        <v>26</v>
      </c>
      <c r="C168" s="352"/>
      <c r="D168" s="352"/>
      <c r="E168" s="55"/>
      <c r="F168" s="55"/>
      <c r="G168" s="54">
        <v>184</v>
      </c>
      <c r="H168" s="54"/>
      <c r="I168" s="54"/>
      <c r="J168" s="56">
        <v>0</v>
      </c>
      <c r="K168" s="57">
        <v>0</v>
      </c>
      <c r="L168" s="58"/>
      <c r="M168" s="54">
        <v>217</v>
      </c>
      <c r="N168" s="54">
        <f t="shared" si="26"/>
        <v>217</v>
      </c>
      <c r="O168" s="54"/>
      <c r="P168" s="54"/>
      <c r="Q168" s="59"/>
      <c r="R168" s="59">
        <v>4</v>
      </c>
      <c r="S168" s="63" t="str">
        <f t="shared" si="29"/>
        <v xml:space="preserve"> </v>
      </c>
      <c r="T168" s="63" t="str">
        <f t="shared" si="30"/>
        <v xml:space="preserve"> </v>
      </c>
      <c r="U168" s="61"/>
    </row>
    <row r="169" spans="1:23" s="121" customFormat="1">
      <c r="A169" s="52" t="s">
        <v>208</v>
      </c>
      <c r="B169" s="53" t="s">
        <v>26</v>
      </c>
      <c r="C169" s="352"/>
      <c r="D169" s="352"/>
      <c r="E169" s="55"/>
      <c r="F169" s="55"/>
      <c r="G169" s="54"/>
      <c r="H169" s="54"/>
      <c r="I169" s="54"/>
      <c r="J169" s="56">
        <v>0</v>
      </c>
      <c r="K169" s="57"/>
      <c r="L169" s="58"/>
      <c r="M169" s="54">
        <v>3</v>
      </c>
      <c r="N169" s="54">
        <f t="shared" si="26"/>
        <v>3</v>
      </c>
      <c r="O169" s="54"/>
      <c r="P169" s="54"/>
      <c r="Q169" s="59"/>
      <c r="R169" s="59">
        <v>0</v>
      </c>
      <c r="S169" s="63" t="str">
        <f t="shared" si="29"/>
        <v xml:space="preserve"> </v>
      </c>
      <c r="T169" s="63" t="str">
        <f t="shared" si="30"/>
        <v xml:space="preserve"> </v>
      </c>
      <c r="U169" s="61"/>
    </row>
    <row r="170" spans="1:23" s="121" customFormat="1">
      <c r="A170" s="52" t="s">
        <v>209</v>
      </c>
      <c r="B170" s="53" t="s">
        <v>26</v>
      </c>
      <c r="C170" s="123">
        <f>C166-C167</f>
        <v>4504.3999999999996</v>
      </c>
      <c r="D170" s="123">
        <v>3986</v>
      </c>
      <c r="E170" s="123">
        <f>E166-E167</f>
        <v>3985</v>
      </c>
      <c r="F170" s="123"/>
      <c r="G170" s="124">
        <v>3986</v>
      </c>
      <c r="H170" s="124"/>
      <c r="I170" s="124">
        <f>I166-I167</f>
        <v>3287</v>
      </c>
      <c r="J170" s="125">
        <v>3662</v>
      </c>
      <c r="K170" s="139">
        <v>3671</v>
      </c>
      <c r="L170" s="139"/>
      <c r="M170" s="124">
        <v>3382</v>
      </c>
      <c r="N170" s="54">
        <f t="shared" si="26"/>
        <v>-289</v>
      </c>
      <c r="O170" s="54"/>
      <c r="P170" s="124">
        <f>+P166-P167</f>
        <v>2670</v>
      </c>
      <c r="Q170" s="123"/>
      <c r="R170" s="123">
        <f>+R166-R167+R168</f>
        <v>3080</v>
      </c>
      <c r="S170" s="63">
        <f t="shared" si="29"/>
        <v>84.107045330420533</v>
      </c>
      <c r="T170" s="63">
        <f t="shared" si="30"/>
        <v>115.35580524344569</v>
      </c>
      <c r="U170" s="61"/>
    </row>
    <row r="171" spans="1:23" s="73" customFormat="1">
      <c r="A171" s="172" t="s">
        <v>210</v>
      </c>
      <c r="B171" s="65" t="s">
        <v>40</v>
      </c>
      <c r="C171" s="353"/>
      <c r="D171" s="353"/>
      <c r="E171" s="67"/>
      <c r="F171" s="67"/>
      <c r="G171" s="354">
        <v>32.82</v>
      </c>
      <c r="H171" s="77"/>
      <c r="I171" s="354">
        <v>32.880000000000003</v>
      </c>
      <c r="J171" s="355">
        <v>31.68</v>
      </c>
      <c r="K171" s="356">
        <v>30.28</v>
      </c>
      <c r="L171" s="357">
        <f>+M171-I171</f>
        <v>-6.0500000000000043</v>
      </c>
      <c r="M171" s="354">
        <v>26.83</v>
      </c>
      <c r="N171" s="54">
        <f t="shared" si="26"/>
        <v>-3.4500000000000028</v>
      </c>
      <c r="O171" s="54"/>
      <c r="P171" s="354">
        <v>20.91</v>
      </c>
      <c r="Q171" s="358"/>
      <c r="R171" s="358">
        <v>24.39</v>
      </c>
      <c r="S171" s="63">
        <f t="shared" si="29"/>
        <v>76.98863636363636</v>
      </c>
      <c r="T171" s="63">
        <f t="shared" si="30"/>
        <v>116.64275466284076</v>
      </c>
      <c r="U171" s="61"/>
    </row>
    <row r="172" spans="1:23" s="121" customFormat="1">
      <c r="A172" s="52" t="s">
        <v>211</v>
      </c>
      <c r="B172" s="65" t="s">
        <v>40</v>
      </c>
      <c r="C172" s="352"/>
      <c r="D172" s="352"/>
      <c r="E172" s="59"/>
      <c r="F172" s="59"/>
      <c r="G172" s="359">
        <f>40.3-32.88</f>
        <v>7.4199999999999946</v>
      </c>
      <c r="H172" s="360"/>
      <c r="I172" s="359">
        <v>6</v>
      </c>
      <c r="J172" s="361">
        <v>3</v>
      </c>
      <c r="K172" s="362">
        <v>3</v>
      </c>
      <c r="L172" s="363"/>
      <c r="M172" s="359">
        <v>6.05</v>
      </c>
      <c r="N172" s="54">
        <f t="shared" si="26"/>
        <v>3.05</v>
      </c>
      <c r="O172" s="54"/>
      <c r="P172" s="359">
        <f>+M171-P171</f>
        <v>5.9199999999999982</v>
      </c>
      <c r="Q172" s="359"/>
      <c r="R172" s="359">
        <v>3</v>
      </c>
      <c r="S172" s="63">
        <f t="shared" si="29"/>
        <v>100</v>
      </c>
      <c r="T172" s="63">
        <f t="shared" si="30"/>
        <v>50.675675675675691</v>
      </c>
      <c r="U172" s="61"/>
      <c r="W172" s="364"/>
    </row>
    <row r="173" spans="1:23" s="121" customFormat="1">
      <c r="A173" s="52" t="s">
        <v>212</v>
      </c>
      <c r="B173" s="53" t="s">
        <v>28</v>
      </c>
      <c r="C173" s="352"/>
      <c r="D173" s="352"/>
      <c r="E173" s="59"/>
      <c r="F173" s="59"/>
      <c r="G173" s="54"/>
      <c r="H173" s="54"/>
      <c r="I173" s="54"/>
      <c r="J173" s="56"/>
      <c r="K173" s="57"/>
      <c r="L173" s="58"/>
      <c r="M173" s="54"/>
      <c r="N173" s="54">
        <f t="shared" si="26"/>
        <v>0</v>
      </c>
      <c r="O173" s="54"/>
      <c r="P173" s="54"/>
      <c r="Q173" s="59"/>
      <c r="R173" s="59"/>
      <c r="S173" s="63" t="str">
        <f t="shared" si="29"/>
        <v xml:space="preserve"> </v>
      </c>
      <c r="T173" s="63" t="str">
        <f t="shared" si="30"/>
        <v xml:space="preserve"> </v>
      </c>
      <c r="U173" s="120"/>
    </row>
    <row r="174" spans="1:23">
      <c r="A174" s="122" t="s">
        <v>213</v>
      </c>
      <c r="B174" s="53" t="s">
        <v>38</v>
      </c>
      <c r="C174" s="214">
        <v>40</v>
      </c>
      <c r="D174" s="214">
        <v>65</v>
      </c>
      <c r="E174" s="59">
        <v>65</v>
      </c>
      <c r="F174" s="59"/>
      <c r="G174" s="54">
        <v>108</v>
      </c>
      <c r="H174" s="54"/>
      <c r="I174" s="54">
        <v>100</v>
      </c>
      <c r="J174" s="56">
        <v>108</v>
      </c>
      <c r="K174" s="57">
        <v>69</v>
      </c>
      <c r="L174" s="58"/>
      <c r="M174" s="54">
        <v>118</v>
      </c>
      <c r="N174" s="54">
        <f t="shared" si="26"/>
        <v>49</v>
      </c>
      <c r="O174" s="54"/>
      <c r="P174" s="54">
        <v>100</v>
      </c>
      <c r="Q174" s="59"/>
      <c r="R174" s="59"/>
      <c r="S174" s="63">
        <f t="shared" si="29"/>
        <v>0</v>
      </c>
      <c r="T174" s="63">
        <f t="shared" si="30"/>
        <v>0</v>
      </c>
      <c r="U174" s="61"/>
    </row>
    <row r="175" spans="1:23" s="368" customFormat="1">
      <c r="A175" s="365" t="s">
        <v>214</v>
      </c>
      <c r="B175" s="366" t="s">
        <v>108</v>
      </c>
      <c r="C175" s="352">
        <f>C176+C177</f>
        <v>24132</v>
      </c>
      <c r="D175" s="352">
        <f>D176+D177</f>
        <v>24132</v>
      </c>
      <c r="E175" s="59">
        <f>E176+E177</f>
        <v>24132</v>
      </c>
      <c r="F175" s="59"/>
      <c r="G175" s="54">
        <f>G176+G177</f>
        <v>24132</v>
      </c>
      <c r="H175" s="54"/>
      <c r="I175" s="54">
        <v>23900</v>
      </c>
      <c r="J175" s="56">
        <f>+J176+J177</f>
        <v>23992</v>
      </c>
      <c r="K175" s="57">
        <v>23778</v>
      </c>
      <c r="L175" s="58"/>
      <c r="M175" s="54">
        <f>+M176+M177</f>
        <v>29017</v>
      </c>
      <c r="N175" s="54">
        <f>+M175-K175</f>
        <v>5239</v>
      </c>
      <c r="O175" s="54"/>
      <c r="P175" s="54">
        <f>+P176+P177</f>
        <v>23800</v>
      </c>
      <c r="Q175" s="54">
        <f>+Q176+Q177</f>
        <v>12747.537</v>
      </c>
      <c r="R175" s="54">
        <f>+R176+R177</f>
        <v>12747.537</v>
      </c>
      <c r="S175" s="63">
        <f t="shared" si="29"/>
        <v>53.132448316105375</v>
      </c>
      <c r="T175" s="63">
        <f t="shared" si="30"/>
        <v>53.56107983193278</v>
      </c>
      <c r="U175" s="367"/>
      <c r="W175" s="369"/>
    </row>
    <row r="176" spans="1:23" s="374" customFormat="1" ht="31.5">
      <c r="A176" s="370" t="s">
        <v>215</v>
      </c>
      <c r="B176" s="371" t="s">
        <v>108</v>
      </c>
      <c r="C176" s="353">
        <f>13413+4176</f>
        <v>17589</v>
      </c>
      <c r="D176" s="353">
        <f>13413+4176</f>
        <v>17589</v>
      </c>
      <c r="E176" s="67">
        <f>13413+4176</f>
        <v>17589</v>
      </c>
      <c r="F176" s="67"/>
      <c r="G176" s="77">
        <f>13413+4176</f>
        <v>17589</v>
      </c>
      <c r="H176" s="77"/>
      <c r="I176" s="77">
        <v>17200</v>
      </c>
      <c r="J176" s="69">
        <v>13978</v>
      </c>
      <c r="K176" s="70">
        <v>13679</v>
      </c>
      <c r="L176" s="71"/>
      <c r="M176" s="77">
        <v>18582</v>
      </c>
      <c r="N176" s="54">
        <f t="shared" si="26"/>
        <v>4903</v>
      </c>
      <c r="O176" s="54"/>
      <c r="P176" s="77">
        <v>13500</v>
      </c>
      <c r="Q176" s="67">
        <v>12736</v>
      </c>
      <c r="R176" s="67">
        <v>12736</v>
      </c>
      <c r="S176" s="63">
        <f t="shared" si="29"/>
        <v>91.114608670768348</v>
      </c>
      <c r="T176" s="63">
        <f t="shared" si="30"/>
        <v>94.340740740740742</v>
      </c>
      <c r="U176" s="372"/>
      <c r="V176" s="373"/>
    </row>
    <row r="177" spans="1:23" s="374" customFormat="1">
      <c r="A177" s="375" t="s">
        <v>216</v>
      </c>
      <c r="B177" s="371" t="s">
        <v>108</v>
      </c>
      <c r="C177" s="376">
        <v>6543</v>
      </c>
      <c r="D177" s="376">
        <v>6543</v>
      </c>
      <c r="E177" s="377">
        <v>6543</v>
      </c>
      <c r="F177" s="377"/>
      <c r="G177" s="378">
        <v>6543</v>
      </c>
      <c r="H177" s="378"/>
      <c r="I177" s="378">
        <v>6700</v>
      </c>
      <c r="J177" s="379">
        <v>10014</v>
      </c>
      <c r="K177" s="380">
        <v>10099</v>
      </c>
      <c r="L177" s="381"/>
      <c r="M177" s="378">
        <v>10435</v>
      </c>
      <c r="N177" s="54">
        <f t="shared" si="26"/>
        <v>336</v>
      </c>
      <c r="O177" s="183"/>
      <c r="P177" s="378">
        <v>10300</v>
      </c>
      <c r="Q177" s="377" t="s">
        <v>217</v>
      </c>
      <c r="R177" s="377" t="s">
        <v>217</v>
      </c>
      <c r="S177" s="63">
        <f t="shared" si="29"/>
        <v>0.11520870780906732</v>
      </c>
      <c r="T177" s="63">
        <f t="shared" si="30"/>
        <v>0.11200970873786407</v>
      </c>
      <c r="U177" s="382"/>
      <c r="V177" s="373"/>
    </row>
    <row r="178" spans="1:23" s="121" customFormat="1">
      <c r="A178" s="209" t="s">
        <v>218</v>
      </c>
      <c r="B178" s="53" t="s">
        <v>40</v>
      </c>
      <c r="C178" s="383">
        <v>22</v>
      </c>
      <c r="D178" s="383">
        <v>22</v>
      </c>
      <c r="E178" s="92">
        <v>22</v>
      </c>
      <c r="F178" s="92"/>
      <c r="G178" s="93">
        <v>24.78</v>
      </c>
      <c r="H178" s="93"/>
      <c r="I178" s="93">
        <v>25.5</v>
      </c>
      <c r="J178" s="94">
        <v>25</v>
      </c>
      <c r="K178" s="95">
        <v>25</v>
      </c>
      <c r="L178" s="96"/>
      <c r="M178" s="93">
        <v>25.5</v>
      </c>
      <c r="N178" s="54">
        <f t="shared" si="26"/>
        <v>0.5</v>
      </c>
      <c r="O178" s="54"/>
      <c r="P178" s="93">
        <v>26</v>
      </c>
      <c r="Q178" s="92"/>
      <c r="R178" s="92"/>
      <c r="S178" s="63">
        <f t="shared" si="29"/>
        <v>0</v>
      </c>
      <c r="T178" s="63">
        <f t="shared" si="30"/>
        <v>0</v>
      </c>
      <c r="U178" s="61"/>
      <c r="V178" s="351"/>
      <c r="W178" s="364"/>
    </row>
    <row r="179" spans="1:23" s="121" customFormat="1">
      <c r="A179" s="209" t="s">
        <v>219</v>
      </c>
      <c r="B179" s="53" t="s">
        <v>28</v>
      </c>
      <c r="C179" s="343"/>
      <c r="D179" s="343"/>
      <c r="E179" s="59">
        <v>255</v>
      </c>
      <c r="F179" s="59"/>
      <c r="G179" s="59">
        <v>264</v>
      </c>
      <c r="H179" s="59"/>
      <c r="I179" s="59">
        <v>220</v>
      </c>
      <c r="J179" s="56">
        <v>160</v>
      </c>
      <c r="K179" s="57">
        <v>166</v>
      </c>
      <c r="L179" s="58"/>
      <c r="M179" s="59">
        <v>220</v>
      </c>
      <c r="N179" s="54">
        <f t="shared" si="26"/>
        <v>54</v>
      </c>
      <c r="O179" s="54"/>
      <c r="P179" s="59">
        <v>302</v>
      </c>
      <c r="Q179" s="59">
        <v>169</v>
      </c>
      <c r="R179" s="59">
        <f>+Q179</f>
        <v>169</v>
      </c>
      <c r="S179" s="63">
        <f t="shared" si="29"/>
        <v>105.62499999999999</v>
      </c>
      <c r="T179" s="63">
        <f t="shared" si="30"/>
        <v>55.960264900662246</v>
      </c>
      <c r="U179" s="305"/>
    </row>
    <row r="180" spans="1:23" s="121" customFormat="1" ht="31.5">
      <c r="A180" s="209" t="s">
        <v>220</v>
      </c>
      <c r="B180" s="53" t="s">
        <v>40</v>
      </c>
      <c r="C180" s="384">
        <v>17.420000000000002</v>
      </c>
      <c r="D180" s="384">
        <v>17.420000000000002</v>
      </c>
      <c r="E180" s="92">
        <v>17.420000000000002</v>
      </c>
      <c r="F180" s="92"/>
      <c r="G180" s="93">
        <v>20.98</v>
      </c>
      <c r="H180" s="93"/>
      <c r="I180" s="93">
        <v>22.5</v>
      </c>
      <c r="J180" s="383">
        <v>17.47</v>
      </c>
      <c r="K180" s="95">
        <v>20.21</v>
      </c>
      <c r="L180" s="96"/>
      <c r="M180" s="384">
        <v>20.23</v>
      </c>
      <c r="N180" s="54">
        <f t="shared" si="26"/>
        <v>1.9999999999999574E-2</v>
      </c>
      <c r="O180" s="54"/>
      <c r="P180" s="385">
        <v>23.5</v>
      </c>
      <c r="Q180" s="92"/>
      <c r="R180" s="92"/>
      <c r="S180" s="63">
        <f t="shared" si="29"/>
        <v>0</v>
      </c>
      <c r="T180" s="63">
        <f t="shared" si="30"/>
        <v>0</v>
      </c>
      <c r="U180" s="61"/>
    </row>
    <row r="181" spans="1:23">
      <c r="A181" s="101" t="s">
        <v>221</v>
      </c>
      <c r="B181" s="102"/>
      <c r="C181" s="103"/>
      <c r="D181" s="103"/>
      <c r="E181" s="104"/>
      <c r="F181" s="104"/>
      <c r="G181" s="105"/>
      <c r="H181" s="105"/>
      <c r="I181" s="105"/>
      <c r="J181" s="106"/>
      <c r="K181" s="107"/>
      <c r="L181" s="107"/>
      <c r="M181" s="105"/>
      <c r="N181" s="108">
        <f t="shared" si="26"/>
        <v>0</v>
      </c>
      <c r="O181" s="108"/>
      <c r="P181" s="105"/>
      <c r="Q181" s="109"/>
      <c r="R181" s="109"/>
      <c r="S181" s="110" t="str">
        <f t="shared" si="29"/>
        <v xml:space="preserve"> </v>
      </c>
      <c r="T181" s="110" t="str">
        <f t="shared" si="30"/>
        <v xml:space="preserve"> </v>
      </c>
      <c r="U181" s="386"/>
    </row>
    <row r="182" spans="1:23" ht="25.5">
      <c r="A182" s="209" t="s">
        <v>222</v>
      </c>
      <c r="B182" s="53" t="s">
        <v>40</v>
      </c>
      <c r="C182" s="387">
        <v>71.67678394975681</v>
      </c>
      <c r="D182" s="388">
        <v>61.94</v>
      </c>
      <c r="E182" s="389">
        <v>61.944306777113603</v>
      </c>
      <c r="F182" s="389"/>
      <c r="G182" s="390">
        <v>61.944306777113603</v>
      </c>
      <c r="H182" s="390"/>
      <c r="I182" s="390">
        <v>61.944306777113603</v>
      </c>
      <c r="J182" s="391">
        <v>61.944306777113603</v>
      </c>
      <c r="K182" s="392">
        <v>61.944306777113603</v>
      </c>
      <c r="L182" s="393"/>
      <c r="M182" s="390">
        <v>61.944306777113603</v>
      </c>
      <c r="N182" s="54">
        <f t="shared" si="26"/>
        <v>0</v>
      </c>
      <c r="O182" s="54"/>
      <c r="P182" s="390">
        <v>61.944306777113603</v>
      </c>
      <c r="Q182" s="390">
        <v>61.944306777113603</v>
      </c>
      <c r="R182" s="390">
        <v>61.944306777113603</v>
      </c>
      <c r="S182" s="63">
        <f t="shared" si="29"/>
        <v>100</v>
      </c>
      <c r="T182" s="63">
        <f t="shared" si="30"/>
        <v>100</v>
      </c>
      <c r="U182" s="394" t="s">
        <v>223</v>
      </c>
    </row>
    <row r="183" spans="1:23" ht="31.5">
      <c r="A183" s="209" t="s">
        <v>224</v>
      </c>
      <c r="B183" s="53" t="s">
        <v>40</v>
      </c>
      <c r="C183" s="395">
        <v>91.1</v>
      </c>
      <c r="D183" s="395">
        <v>93</v>
      </c>
      <c r="E183" s="297">
        <v>93</v>
      </c>
      <c r="F183" s="297"/>
      <c r="G183" s="298">
        <v>93</v>
      </c>
      <c r="H183" s="298"/>
      <c r="I183" s="298">
        <v>95</v>
      </c>
      <c r="J183" s="299">
        <v>93</v>
      </c>
      <c r="K183" s="300">
        <v>93</v>
      </c>
      <c r="L183" s="300"/>
      <c r="M183" s="298">
        <v>93</v>
      </c>
      <c r="N183" s="54">
        <f t="shared" si="26"/>
        <v>0</v>
      </c>
      <c r="O183" s="54"/>
      <c r="P183" s="298">
        <v>94</v>
      </c>
      <c r="Q183" s="297">
        <v>93</v>
      </c>
      <c r="R183" s="297">
        <v>93</v>
      </c>
      <c r="S183" s="63">
        <f t="shared" si="29"/>
        <v>100</v>
      </c>
      <c r="T183" s="63">
        <f>IF(ISERROR(R183/P183*100)," ",R183/P183*100)</f>
        <v>98.936170212765958</v>
      </c>
      <c r="U183" s="396"/>
    </row>
    <row r="184" spans="1:23">
      <c r="A184" s="209" t="s">
        <v>225</v>
      </c>
      <c r="B184" s="53" t="s">
        <v>40</v>
      </c>
      <c r="C184" s="387">
        <v>39</v>
      </c>
      <c r="D184" s="387">
        <v>39</v>
      </c>
      <c r="E184" s="297">
        <v>39</v>
      </c>
      <c r="F184" s="297"/>
      <c r="G184" s="298">
        <v>39</v>
      </c>
      <c r="H184" s="298"/>
      <c r="I184" s="298">
        <v>42</v>
      </c>
      <c r="J184" s="299">
        <v>39</v>
      </c>
      <c r="K184" s="300">
        <v>39</v>
      </c>
      <c r="L184" s="300"/>
      <c r="M184" s="298">
        <v>42</v>
      </c>
      <c r="N184" s="54">
        <f t="shared" si="26"/>
        <v>3</v>
      </c>
      <c r="O184" s="54"/>
      <c r="P184" s="298">
        <v>45</v>
      </c>
      <c r="Q184" s="297">
        <v>42</v>
      </c>
      <c r="R184" s="297">
        <v>42</v>
      </c>
      <c r="S184" s="63">
        <f t="shared" si="29"/>
        <v>107.69230769230769</v>
      </c>
      <c r="T184" s="63">
        <f t="shared" si="30"/>
        <v>93.333333333333329</v>
      </c>
      <c r="U184" s="396"/>
    </row>
    <row r="185" spans="1:23" ht="75">
      <c r="A185" s="209" t="s">
        <v>226</v>
      </c>
      <c r="B185" s="53" t="s">
        <v>40</v>
      </c>
      <c r="C185" s="395">
        <v>92.5</v>
      </c>
      <c r="D185" s="395">
        <v>92.5</v>
      </c>
      <c r="E185" s="397">
        <v>92.5</v>
      </c>
      <c r="F185" s="397"/>
      <c r="G185" s="398">
        <v>92.5</v>
      </c>
      <c r="H185" s="398"/>
      <c r="I185" s="298">
        <v>93</v>
      </c>
      <c r="J185" s="399">
        <v>92.5</v>
      </c>
      <c r="K185" s="400">
        <v>92.5</v>
      </c>
      <c r="L185" s="401"/>
      <c r="M185" s="298">
        <v>50</v>
      </c>
      <c r="N185" s="54">
        <f t="shared" si="26"/>
        <v>-42.5</v>
      </c>
      <c r="O185" s="54"/>
      <c r="P185" s="298">
        <v>93</v>
      </c>
      <c r="Q185" s="297">
        <v>50</v>
      </c>
      <c r="R185" s="297">
        <v>50</v>
      </c>
      <c r="S185" s="63">
        <f t="shared" si="29"/>
        <v>54.054054054054056</v>
      </c>
      <c r="T185" s="63">
        <f t="shared" si="30"/>
        <v>53.763440860215049</v>
      </c>
      <c r="U185" s="402" t="s">
        <v>227</v>
      </c>
    </row>
    <row r="186" spans="1:23" s="121" customFormat="1" ht="47.25">
      <c r="A186" s="227" t="s">
        <v>228</v>
      </c>
      <c r="B186" s="53" t="s">
        <v>40</v>
      </c>
      <c r="C186" s="342">
        <v>100</v>
      </c>
      <c r="D186" s="342">
        <v>100</v>
      </c>
      <c r="E186" s="59">
        <v>100</v>
      </c>
      <c r="F186" s="59"/>
      <c r="G186" s="54">
        <v>100</v>
      </c>
      <c r="H186" s="54"/>
      <c r="I186" s="54">
        <v>100</v>
      </c>
      <c r="J186" s="56">
        <v>100</v>
      </c>
      <c r="K186" s="57">
        <v>100</v>
      </c>
      <c r="L186" s="58"/>
      <c r="M186" s="54">
        <v>100</v>
      </c>
      <c r="N186" s="54">
        <f t="shared" si="26"/>
        <v>0</v>
      </c>
      <c r="O186" s="54"/>
      <c r="P186" s="54">
        <v>100</v>
      </c>
      <c r="Q186" s="59">
        <f>0.8*100</f>
        <v>80</v>
      </c>
      <c r="R186" s="59">
        <f>+Q186</f>
        <v>80</v>
      </c>
      <c r="S186" s="63">
        <f t="shared" si="29"/>
        <v>80</v>
      </c>
      <c r="T186" s="63">
        <f t="shared" si="30"/>
        <v>80</v>
      </c>
      <c r="U186" s="120"/>
    </row>
    <row r="187" spans="1:23">
      <c r="A187" s="101" t="s">
        <v>229</v>
      </c>
      <c r="B187" s="102"/>
      <c r="C187" s="103"/>
      <c r="D187" s="103"/>
      <c r="E187" s="109"/>
      <c r="F187" s="109"/>
      <c r="G187" s="105"/>
      <c r="H187" s="105"/>
      <c r="I187" s="105"/>
      <c r="J187" s="106"/>
      <c r="K187" s="107"/>
      <c r="L187" s="107"/>
      <c r="M187" s="105"/>
      <c r="N187" s="108">
        <f t="shared" si="26"/>
        <v>0</v>
      </c>
      <c r="O187" s="108"/>
      <c r="P187" s="105"/>
      <c r="Q187" s="109"/>
      <c r="R187" s="109"/>
      <c r="S187" s="110" t="str">
        <f t="shared" si="29"/>
        <v xml:space="preserve"> </v>
      </c>
      <c r="T187" s="110" t="str">
        <f t="shared" si="30"/>
        <v xml:space="preserve"> </v>
      </c>
      <c r="U187" s="386"/>
    </row>
    <row r="188" spans="1:23" s="121" customFormat="1">
      <c r="A188" s="403" t="s">
        <v>230</v>
      </c>
      <c r="B188" s="53" t="s">
        <v>103</v>
      </c>
      <c r="C188" s="404">
        <v>100</v>
      </c>
      <c r="D188" s="404">
        <v>100</v>
      </c>
      <c r="E188" s="182">
        <v>100</v>
      </c>
      <c r="F188" s="182"/>
      <c r="G188" s="183">
        <v>100</v>
      </c>
      <c r="H188" s="183"/>
      <c r="I188" s="183">
        <v>100</v>
      </c>
      <c r="J188" s="405">
        <v>100</v>
      </c>
      <c r="K188" s="406">
        <v>100</v>
      </c>
      <c r="L188" s="407"/>
      <c r="M188" s="183">
        <v>100</v>
      </c>
      <c r="N188" s="54">
        <f t="shared" si="26"/>
        <v>0</v>
      </c>
      <c r="O188" s="183"/>
      <c r="P188" s="183">
        <v>100</v>
      </c>
      <c r="Q188" s="182">
        <v>100</v>
      </c>
      <c r="R188" s="182">
        <v>100</v>
      </c>
      <c r="S188" s="63">
        <f t="shared" si="29"/>
        <v>100</v>
      </c>
      <c r="T188" s="63">
        <f t="shared" si="30"/>
        <v>100</v>
      </c>
      <c r="U188" s="408"/>
    </row>
    <row r="189" spans="1:23" s="121" customFormat="1">
      <c r="A189" s="403" t="s">
        <v>231</v>
      </c>
      <c r="B189" s="53" t="s">
        <v>103</v>
      </c>
      <c r="C189" s="404">
        <v>70</v>
      </c>
      <c r="D189" s="404">
        <v>70</v>
      </c>
      <c r="E189" s="404">
        <v>70</v>
      </c>
      <c r="F189" s="404"/>
      <c r="G189" s="183">
        <v>70</v>
      </c>
      <c r="H189" s="183"/>
      <c r="I189" s="183">
        <v>70</v>
      </c>
      <c r="J189" s="405">
        <v>70</v>
      </c>
      <c r="K189" s="406">
        <v>70</v>
      </c>
      <c r="L189" s="407"/>
      <c r="M189" s="183">
        <v>70</v>
      </c>
      <c r="N189" s="54">
        <f t="shared" si="26"/>
        <v>0</v>
      </c>
      <c r="O189" s="183"/>
      <c r="P189" s="183">
        <v>70</v>
      </c>
      <c r="Q189" s="182">
        <v>70</v>
      </c>
      <c r="R189" s="182">
        <v>70</v>
      </c>
      <c r="S189" s="63">
        <f t="shared" si="29"/>
        <v>100</v>
      </c>
      <c r="T189" s="63">
        <f t="shared" si="30"/>
        <v>100</v>
      </c>
      <c r="U189" s="408"/>
    </row>
    <row r="190" spans="1:23" s="121" customFormat="1">
      <c r="A190" s="409" t="s">
        <v>232</v>
      </c>
      <c r="B190" s="410" t="s">
        <v>40</v>
      </c>
      <c r="C190" s="411">
        <v>100</v>
      </c>
      <c r="D190" s="411">
        <v>100</v>
      </c>
      <c r="E190" s="412">
        <v>100</v>
      </c>
      <c r="F190" s="412"/>
      <c r="G190" s="411">
        <v>100</v>
      </c>
      <c r="H190" s="411"/>
      <c r="I190" s="411">
        <v>100</v>
      </c>
      <c r="J190" s="413">
        <v>100</v>
      </c>
      <c r="K190" s="414">
        <v>100</v>
      </c>
      <c r="L190" s="415"/>
      <c r="M190" s="411">
        <v>100</v>
      </c>
      <c r="N190" s="411">
        <f t="shared" si="26"/>
        <v>0</v>
      </c>
      <c r="O190" s="411"/>
      <c r="P190" s="411">
        <v>100</v>
      </c>
      <c r="Q190" s="412">
        <v>100</v>
      </c>
      <c r="R190" s="412">
        <v>100</v>
      </c>
      <c r="S190" s="416">
        <f t="shared" si="29"/>
        <v>100</v>
      </c>
      <c r="T190" s="416">
        <f t="shared" si="30"/>
        <v>100</v>
      </c>
      <c r="U190" s="417"/>
    </row>
    <row r="192" spans="1:23" ht="16.5">
      <c r="B192" s="2"/>
      <c r="C192" s="426"/>
      <c r="D192" s="426"/>
      <c r="E192" s="427"/>
      <c r="F192" s="427"/>
      <c r="G192" s="426"/>
      <c r="H192" s="426"/>
      <c r="I192" s="426"/>
      <c r="J192" s="428"/>
      <c r="K192" s="429"/>
      <c r="L192" s="430"/>
      <c r="M192" s="426"/>
      <c r="N192" s="426"/>
      <c r="O192" s="426"/>
      <c r="P192" s="426"/>
      <c r="Q192" s="431"/>
      <c r="R192" s="431"/>
      <c r="S192" s="427"/>
      <c r="T192" s="432"/>
      <c r="U192" s="2"/>
    </row>
    <row r="193" spans="1:21">
      <c r="U193" s="2"/>
    </row>
    <row r="194" spans="1:21">
      <c r="A194" s="418" t="s">
        <v>233</v>
      </c>
      <c r="U194" s="2"/>
    </row>
    <row r="195" spans="1:21">
      <c r="A195" s="418" t="s">
        <v>234</v>
      </c>
      <c r="B195" s="419">
        <v>92</v>
      </c>
      <c r="U195" s="2"/>
    </row>
    <row r="196" spans="1:21">
      <c r="A196" s="418" t="s">
        <v>235</v>
      </c>
      <c r="B196" s="419">
        <v>90.5</v>
      </c>
      <c r="U196" s="2"/>
    </row>
    <row r="197" spans="1:21">
      <c r="A197" s="418" t="s">
        <v>236</v>
      </c>
      <c r="B197" s="419">
        <v>100</v>
      </c>
      <c r="U197" s="2"/>
    </row>
    <row r="198" spans="1:21">
      <c r="A198" s="418" t="s">
        <v>237</v>
      </c>
      <c r="B198" s="419">
        <v>91.5</v>
      </c>
      <c r="U198" s="2"/>
    </row>
    <row r="199" spans="1:21">
      <c r="A199" s="418" t="s">
        <v>238</v>
      </c>
      <c r="B199" s="419">
        <v>91.5</v>
      </c>
      <c r="U199" s="2"/>
    </row>
    <row r="200" spans="1:21">
      <c r="A200" s="418" t="s">
        <v>239</v>
      </c>
      <c r="B200" s="419">
        <v>100</v>
      </c>
      <c r="U200" s="2"/>
    </row>
    <row r="201" spans="1:21">
      <c r="A201" s="418" t="s">
        <v>240</v>
      </c>
      <c r="B201" s="419">
        <v>100</v>
      </c>
      <c r="U201" s="2"/>
    </row>
    <row r="202" spans="1:21">
      <c r="A202" s="418" t="s">
        <v>241</v>
      </c>
      <c r="B202" s="419">
        <v>100</v>
      </c>
      <c r="U202" s="2"/>
    </row>
    <row r="203" spans="1:21">
      <c r="A203" s="418" t="s">
        <v>242</v>
      </c>
      <c r="B203" s="419">
        <v>100</v>
      </c>
      <c r="U203" s="2"/>
    </row>
    <row r="204" spans="1:21">
      <c r="A204" s="418" t="s">
        <v>243</v>
      </c>
      <c r="B204" s="419">
        <v>100</v>
      </c>
      <c r="U204" s="2"/>
    </row>
    <row r="205" spans="1:21">
      <c r="A205" s="433" t="s">
        <v>244</v>
      </c>
      <c r="B205" s="419">
        <v>100</v>
      </c>
      <c r="U205" s="2"/>
    </row>
    <row r="206" spans="1:21">
      <c r="B206" s="434">
        <f>SUM(B195:B205)/11</f>
        <v>96.86363636363636</v>
      </c>
      <c r="U206" s="2"/>
    </row>
  </sheetData>
  <mergeCells count="10">
    <mergeCell ref="O5:R5"/>
    <mergeCell ref="S5:T5"/>
    <mergeCell ref="A1:U1"/>
    <mergeCell ref="A2:U2"/>
    <mergeCell ref="A3:U3"/>
    <mergeCell ref="A5:A6"/>
    <mergeCell ref="B5:B6"/>
    <mergeCell ref="C5:F5"/>
    <mergeCell ref="G5:G6"/>
    <mergeCell ref="H5:M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588"/>
  <sheetViews>
    <sheetView topLeftCell="B201" workbookViewId="0">
      <selection activeCell="B210" sqref="B210"/>
    </sheetView>
  </sheetViews>
  <sheetFormatPr defaultRowHeight="20.25"/>
  <cols>
    <col min="1" max="1" width="45.28515625" style="445" customWidth="1"/>
    <col min="2" max="2" width="10.42578125" style="444" bestFit="1" customWidth="1"/>
    <col min="3" max="6" width="11.5703125" style="439" hidden="1" customWidth="1"/>
    <col min="7" max="7" width="13" style="439" hidden="1" customWidth="1"/>
    <col min="8" max="8" width="10.140625" style="439" hidden="1" customWidth="1"/>
    <col min="9" max="9" width="10.7109375" style="439" hidden="1" customWidth="1"/>
    <col min="10" max="11" width="11.85546875" style="441" hidden="1" customWidth="1"/>
    <col min="12" max="13" width="10.42578125" style="439" hidden="1" customWidth="1"/>
    <col min="14" max="14" width="11.28515625" style="441" bestFit="1" customWidth="1"/>
    <col min="15" max="15" width="10.140625" style="441" hidden="1" customWidth="1"/>
    <col min="16" max="16" width="11.5703125" style="443" hidden="1" customWidth="1"/>
    <col min="17" max="17" width="11.85546875" style="441" bestFit="1" customWidth="1"/>
    <col min="18" max="18" width="9.85546875" style="442" hidden="1" customWidth="1"/>
    <col min="19" max="19" width="11.85546875" style="441" customWidth="1"/>
    <col min="20" max="20" width="13" style="440" bestFit="1" customWidth="1"/>
    <col min="21" max="21" width="11.28515625" style="440" customWidth="1"/>
    <col min="22" max="22" width="12.42578125" style="439" hidden="1" customWidth="1"/>
    <col min="23" max="23" width="10.85546875" style="439" customWidth="1"/>
    <col min="24" max="24" width="11.28515625" style="439" customWidth="1"/>
    <col min="25" max="27" width="12.42578125" style="438" hidden="1" customWidth="1"/>
    <col min="28" max="28" width="6.140625" style="437" customWidth="1"/>
    <col min="29" max="29" width="21.85546875" style="436" customWidth="1"/>
    <col min="30" max="30" width="14" style="435" bestFit="1" customWidth="1"/>
    <col min="31" max="31" width="9.5703125" style="435" customWidth="1"/>
    <col min="32" max="32" width="10.28515625" style="435" customWidth="1"/>
    <col min="33" max="33" width="11.42578125" style="435" customWidth="1"/>
    <col min="34" max="16384" width="9.140625" style="435"/>
  </cols>
  <sheetData>
    <row r="1" spans="1:32">
      <c r="A1" s="835" t="s">
        <v>412</v>
      </c>
      <c r="B1" s="834"/>
      <c r="C1" s="834"/>
      <c r="D1" s="834"/>
      <c r="E1" s="834"/>
      <c r="F1" s="834"/>
      <c r="G1" s="834"/>
      <c r="H1" s="834"/>
      <c r="I1" s="834"/>
      <c r="J1" s="834"/>
      <c r="K1" s="834"/>
      <c r="L1" s="834"/>
      <c r="M1" s="834"/>
      <c r="N1" s="834"/>
      <c r="O1" s="834"/>
      <c r="P1" s="834"/>
      <c r="Q1" s="834"/>
      <c r="R1" s="834"/>
      <c r="S1" s="834"/>
      <c r="T1" s="834"/>
      <c r="U1" s="834"/>
      <c r="V1" s="834"/>
      <c r="W1" s="834"/>
      <c r="X1" s="834"/>
      <c r="Y1" s="834"/>
      <c r="Z1" s="834"/>
      <c r="AA1" s="834"/>
      <c r="AB1" s="834"/>
    </row>
    <row r="2" spans="1:32" ht="25.5">
      <c r="A2" s="833" t="s">
        <v>411</v>
      </c>
      <c r="B2" s="833"/>
      <c r="C2" s="833"/>
      <c r="D2" s="833"/>
      <c r="E2" s="833"/>
      <c r="F2" s="833"/>
      <c r="G2" s="833"/>
      <c r="H2" s="833"/>
      <c r="I2" s="833"/>
      <c r="J2" s="833"/>
      <c r="K2" s="833"/>
      <c r="L2" s="833"/>
      <c r="M2" s="833"/>
      <c r="N2" s="833"/>
      <c r="O2" s="833"/>
      <c r="P2" s="833"/>
      <c r="Q2" s="833"/>
      <c r="R2" s="833"/>
      <c r="S2" s="833"/>
      <c r="T2" s="833"/>
      <c r="U2" s="833"/>
      <c r="V2" s="833"/>
      <c r="W2" s="833"/>
      <c r="X2" s="833"/>
      <c r="Y2" s="833"/>
      <c r="Z2" s="833"/>
      <c r="AA2" s="833"/>
      <c r="AB2" s="833"/>
      <c r="AC2" s="832"/>
      <c r="AD2" s="820"/>
      <c r="AE2" s="820"/>
    </row>
    <row r="3" spans="1:32">
      <c r="A3" s="831" t="s">
        <v>410</v>
      </c>
      <c r="B3" s="831"/>
      <c r="C3" s="831"/>
      <c r="D3" s="831"/>
      <c r="E3" s="831"/>
      <c r="F3" s="831"/>
      <c r="G3" s="831"/>
      <c r="H3" s="831"/>
      <c r="I3" s="831"/>
      <c r="J3" s="831"/>
      <c r="K3" s="831"/>
      <c r="L3" s="831"/>
      <c r="M3" s="831"/>
      <c r="N3" s="831"/>
      <c r="O3" s="831"/>
      <c r="P3" s="831"/>
      <c r="Q3" s="831"/>
      <c r="R3" s="831"/>
      <c r="S3" s="831"/>
      <c r="T3" s="831"/>
      <c r="U3" s="831"/>
      <c r="V3" s="831"/>
      <c r="W3" s="831"/>
      <c r="X3" s="831"/>
      <c r="Y3" s="831"/>
      <c r="Z3" s="831"/>
      <c r="AA3" s="831"/>
      <c r="AB3" s="831"/>
      <c r="AC3" s="821"/>
      <c r="AD3" s="820"/>
      <c r="AE3" s="820"/>
    </row>
    <row r="4" spans="1:32">
      <c r="A4" s="830"/>
      <c r="B4" s="827"/>
      <c r="C4" s="825"/>
      <c r="D4" s="825"/>
      <c r="E4" s="825"/>
      <c r="F4" s="825"/>
      <c r="G4" s="825"/>
      <c r="H4" s="825"/>
      <c r="I4" s="825"/>
      <c r="J4" s="827"/>
      <c r="K4" s="827"/>
      <c r="L4" s="825"/>
      <c r="M4" s="825"/>
      <c r="N4" s="827"/>
      <c r="O4" s="827"/>
      <c r="P4" s="829"/>
      <c r="Q4" s="827"/>
      <c r="R4" s="828"/>
      <c r="S4" s="827"/>
      <c r="T4" s="826"/>
      <c r="U4" s="826"/>
      <c r="V4" s="825"/>
      <c r="W4" s="824"/>
      <c r="X4" s="824"/>
      <c r="Y4" s="823"/>
      <c r="Z4" s="823"/>
      <c r="AA4" s="823"/>
      <c r="AB4" s="822"/>
      <c r="AC4" s="821"/>
      <c r="AD4" s="820"/>
      <c r="AE4" s="820"/>
    </row>
    <row r="5" spans="1:32" ht="23.25">
      <c r="A5" s="810" t="s">
        <v>2</v>
      </c>
      <c r="B5" s="810" t="s">
        <v>3</v>
      </c>
      <c r="C5" s="819" t="s">
        <v>5</v>
      </c>
      <c r="D5" s="819"/>
      <c r="E5" s="815" t="s">
        <v>409</v>
      </c>
      <c r="F5" s="818" t="s">
        <v>4</v>
      </c>
      <c r="G5" s="818"/>
      <c r="H5" s="817"/>
      <c r="I5" s="816" t="s">
        <v>6</v>
      </c>
      <c r="J5" s="816"/>
      <c r="K5" s="816"/>
      <c r="L5" s="816"/>
      <c r="M5" s="816"/>
      <c r="N5" s="816"/>
      <c r="O5" s="816"/>
      <c r="P5" s="816"/>
      <c r="Q5" s="816"/>
      <c r="R5" s="816" t="s">
        <v>7</v>
      </c>
      <c r="S5" s="816"/>
      <c r="T5" s="816"/>
      <c r="U5" s="816"/>
      <c r="V5" s="815" t="s">
        <v>408</v>
      </c>
      <c r="W5" s="814" t="s">
        <v>8</v>
      </c>
      <c r="X5" s="814"/>
      <c r="Y5" s="813" t="s">
        <v>407</v>
      </c>
      <c r="Z5" s="813" t="s">
        <v>406</v>
      </c>
      <c r="AA5" s="812"/>
      <c r="AB5" s="799" t="s">
        <v>9</v>
      </c>
      <c r="AC5" s="811"/>
      <c r="AD5" s="797"/>
      <c r="AE5" s="797"/>
    </row>
    <row r="6" spans="1:32" ht="47.25">
      <c r="A6" s="810"/>
      <c r="B6" s="810"/>
      <c r="C6" s="808" t="s">
        <v>405</v>
      </c>
      <c r="D6" s="809"/>
      <c r="E6" s="802"/>
      <c r="F6" s="808" t="s">
        <v>404</v>
      </c>
      <c r="G6" s="808" t="s">
        <v>403</v>
      </c>
      <c r="H6" s="807"/>
      <c r="I6" s="806" t="s">
        <v>14</v>
      </c>
      <c r="J6" s="804" t="s">
        <v>402</v>
      </c>
      <c r="K6" s="804" t="s">
        <v>401</v>
      </c>
      <c r="L6" s="806" t="s">
        <v>400</v>
      </c>
      <c r="M6" s="806" t="s">
        <v>399</v>
      </c>
      <c r="N6" s="804" t="s">
        <v>16</v>
      </c>
      <c r="O6" s="804" t="s">
        <v>398</v>
      </c>
      <c r="P6" s="804" t="s">
        <v>17</v>
      </c>
      <c r="Q6" s="804" t="s">
        <v>19</v>
      </c>
      <c r="R6" s="805" t="s">
        <v>397</v>
      </c>
      <c r="S6" s="804" t="s">
        <v>396</v>
      </c>
      <c r="T6" s="803" t="s">
        <v>20</v>
      </c>
      <c r="U6" s="803" t="s">
        <v>21</v>
      </c>
      <c r="V6" s="802"/>
      <c r="W6" s="31" t="s">
        <v>22</v>
      </c>
      <c r="X6" s="31" t="s">
        <v>23</v>
      </c>
      <c r="Y6" s="801"/>
      <c r="Z6" s="801"/>
      <c r="AA6" s="800"/>
      <c r="AB6" s="799"/>
      <c r="AC6" s="798"/>
      <c r="AD6" s="797"/>
      <c r="AE6" s="797"/>
    </row>
    <row r="7" spans="1:32">
      <c r="A7" s="796" t="s">
        <v>395</v>
      </c>
      <c r="B7" s="795"/>
      <c r="C7" s="790"/>
      <c r="D7" s="790"/>
      <c r="E7" s="790"/>
      <c r="F7" s="790"/>
      <c r="G7" s="790"/>
      <c r="H7" s="790"/>
      <c r="I7" s="790"/>
      <c r="J7" s="792"/>
      <c r="K7" s="792"/>
      <c r="L7" s="790"/>
      <c r="M7" s="790"/>
      <c r="N7" s="792"/>
      <c r="O7" s="792"/>
      <c r="P7" s="794"/>
      <c r="Q7" s="792"/>
      <c r="R7" s="793"/>
      <c r="S7" s="792"/>
      <c r="T7" s="791"/>
      <c r="U7" s="791"/>
      <c r="V7" s="790"/>
      <c r="W7" s="790"/>
      <c r="X7" s="790"/>
      <c r="Y7" s="789"/>
      <c r="Z7" s="789"/>
      <c r="AA7" s="789"/>
      <c r="AB7" s="788"/>
      <c r="AC7" s="553"/>
      <c r="AD7" s="552"/>
      <c r="AE7" s="552"/>
      <c r="AF7" s="552"/>
    </row>
    <row r="8" spans="1:32">
      <c r="A8" s="541" t="s">
        <v>394</v>
      </c>
      <c r="B8" s="529"/>
      <c r="C8" s="787"/>
      <c r="D8" s="787"/>
      <c r="E8" s="787"/>
      <c r="F8" s="787"/>
      <c r="G8" s="787"/>
      <c r="H8" s="787"/>
      <c r="I8" s="787"/>
      <c r="J8" s="786"/>
      <c r="K8" s="786"/>
      <c r="L8" s="780"/>
      <c r="M8" s="780"/>
      <c r="N8" s="786"/>
      <c r="O8" s="786"/>
      <c r="P8" s="785"/>
      <c r="Q8" s="784"/>
      <c r="R8" s="783"/>
      <c r="S8" s="782"/>
      <c r="T8" s="781"/>
      <c r="U8" s="781"/>
      <c r="V8" s="780"/>
      <c r="W8" s="780"/>
      <c r="X8" s="780"/>
      <c r="Y8" s="779"/>
      <c r="Z8" s="779"/>
      <c r="AA8" s="779"/>
      <c r="AB8" s="542"/>
      <c r="AC8" s="553"/>
      <c r="AD8" s="552"/>
      <c r="AE8" s="552"/>
      <c r="AF8" s="552"/>
    </row>
    <row r="9" spans="1:32" s="522" customFormat="1">
      <c r="A9" s="541" t="s">
        <v>393</v>
      </c>
      <c r="B9" s="562" t="s">
        <v>326</v>
      </c>
      <c r="C9" s="573">
        <f>C13+C54</f>
        <v>26329.559999999998</v>
      </c>
      <c r="D9" s="573"/>
      <c r="E9" s="573"/>
      <c r="F9" s="573">
        <v>17297.310000000001</v>
      </c>
      <c r="G9" s="572">
        <f>G13+G54</f>
        <v>26518.66</v>
      </c>
      <c r="H9" s="572">
        <f>+G9-C9</f>
        <v>189.10000000000218</v>
      </c>
      <c r="I9" s="572">
        <v>24068</v>
      </c>
      <c r="J9" s="569">
        <v>26777.25</v>
      </c>
      <c r="K9" s="569"/>
      <c r="L9" s="572">
        <f>L13+L54</f>
        <v>17351.21</v>
      </c>
      <c r="M9" s="572">
        <f>M13+M54</f>
        <v>17351.21</v>
      </c>
      <c r="N9" s="573">
        <f>N13+N54</f>
        <v>26108.86</v>
      </c>
      <c r="O9" s="573">
        <f>O13+O54</f>
        <v>26965.809999999998</v>
      </c>
      <c r="P9" s="568">
        <f>P13+P54</f>
        <v>26744.46</v>
      </c>
      <c r="Q9" s="573">
        <f>Q13+Q54</f>
        <v>26989.11</v>
      </c>
      <c r="R9" s="538"/>
      <c r="S9" s="568">
        <v>27400.07</v>
      </c>
      <c r="T9" s="568">
        <f>T13+T54</f>
        <v>24596.47</v>
      </c>
      <c r="U9" s="568">
        <f>U13+U54</f>
        <v>25211.550000000003</v>
      </c>
      <c r="V9" s="572"/>
      <c r="W9" s="513">
        <f>IF(ISERROR(U9/N9*100),"",U9/N9*100)</f>
        <v>96.56319732075626</v>
      </c>
      <c r="X9" s="513">
        <f>IF(ISERROR(U9/S9*100),"",U9/S9*100)</f>
        <v>92.01272113538397</v>
      </c>
      <c r="Y9" s="512" t="s">
        <v>246</v>
      </c>
      <c r="Z9" s="512" t="e">
        <f>IF(#REF!&gt;100,"Vượt",IF(#REF!&lt;99.5,"Không đạt","Đạt"))</f>
        <v>#REF!</v>
      </c>
      <c r="AA9" s="512"/>
      <c r="AB9" s="542"/>
      <c r="AC9" s="553"/>
      <c r="AD9" s="552"/>
      <c r="AE9" s="552"/>
      <c r="AF9" s="552"/>
    </row>
    <row r="10" spans="1:32" s="522" customFormat="1">
      <c r="A10" s="778" t="s">
        <v>392</v>
      </c>
      <c r="B10" s="562" t="s">
        <v>299</v>
      </c>
      <c r="C10" s="573">
        <f>C18+C21+C24+C33</f>
        <v>3468.4747363895017</v>
      </c>
      <c r="D10" s="573"/>
      <c r="E10" s="573"/>
      <c r="F10" s="573"/>
      <c r="G10" s="569">
        <f>G18+G21+G24+G33</f>
        <v>9338.1926563895013</v>
      </c>
      <c r="H10" s="572">
        <f>+G10-C10</f>
        <v>5869.7179199999991</v>
      </c>
      <c r="I10" s="572">
        <v>9569</v>
      </c>
      <c r="J10" s="569">
        <v>9832</v>
      </c>
      <c r="K10" s="569"/>
      <c r="L10" s="572">
        <f>L18+L21+L24+L33</f>
        <v>3720</v>
      </c>
      <c r="M10" s="572">
        <f>M18+M21+M24+M33</f>
        <v>3720</v>
      </c>
      <c r="N10" s="573">
        <f>N18+N21+N24+N33</f>
        <v>3858.6619999999998</v>
      </c>
      <c r="O10" s="573">
        <f>O18+O21+O24+O33</f>
        <v>0</v>
      </c>
      <c r="P10" s="573">
        <f>P18+P21+P24+P33</f>
        <v>4353.7555909610255</v>
      </c>
      <c r="Q10" s="573">
        <f>Q18+Q21+Q24+Q27</f>
        <v>9451.4771909610263</v>
      </c>
      <c r="R10" s="573">
        <v>9755</v>
      </c>
      <c r="S10" s="573">
        <v>9755.0281999999988</v>
      </c>
      <c r="T10" s="573">
        <f>T18+T21+T24+T27</f>
        <v>3736.96</v>
      </c>
      <c r="U10" s="573">
        <f>U18+U21+U24+U27</f>
        <v>4200.21</v>
      </c>
      <c r="V10" s="572"/>
      <c r="W10" s="513">
        <f>IF(ISERROR(U10/N10*100),"",U10/N10*100)</f>
        <v>108.85146198345437</v>
      </c>
      <c r="X10" s="513">
        <f>IF(ISERROR(U10/S10*100),"",U10/S10*100)</f>
        <v>43.056871942205156</v>
      </c>
      <c r="Y10" s="512" t="s">
        <v>269</v>
      </c>
      <c r="Z10" s="512" t="e">
        <f>IF(#REF!&gt;100,"Vượt",IF(#REF!&lt;99.5,"Không đạt","Đạt"))</f>
        <v>#REF!</v>
      </c>
      <c r="AA10" s="512"/>
      <c r="AB10" s="542"/>
      <c r="AC10" s="553"/>
      <c r="AD10" s="552"/>
      <c r="AE10" s="552"/>
      <c r="AF10" s="552"/>
    </row>
    <row r="11" spans="1:32" s="522" customFormat="1">
      <c r="A11" s="778" t="s">
        <v>391</v>
      </c>
      <c r="B11" s="562" t="s">
        <v>390</v>
      </c>
      <c r="C11" s="572"/>
      <c r="D11" s="572"/>
      <c r="E11" s="572"/>
      <c r="F11" s="572"/>
      <c r="G11" s="572"/>
      <c r="H11" s="572">
        <f>+G11-C11</f>
        <v>0</v>
      </c>
      <c r="I11" s="572"/>
      <c r="J11" s="569"/>
      <c r="K11" s="569"/>
      <c r="L11" s="572"/>
      <c r="M11" s="572"/>
      <c r="N11" s="573"/>
      <c r="O11" s="573"/>
      <c r="P11" s="568"/>
      <c r="Q11" s="573"/>
      <c r="R11" s="777">
        <v>193</v>
      </c>
      <c r="S11" s="573">
        <v>193</v>
      </c>
      <c r="T11" s="573"/>
      <c r="U11" s="573"/>
      <c r="V11" s="572"/>
      <c r="W11" s="513" t="str">
        <f>IF(ISERROR(U11/N11*100),"",U11/N11*100)</f>
        <v/>
      </c>
      <c r="X11" s="513">
        <f>IF(ISERROR(U11/S11*100),"",U11/S11*100)</f>
        <v>0</v>
      </c>
      <c r="Y11" s="512"/>
      <c r="Z11" s="512" t="e">
        <f>IF(#REF!&gt;100,"Vượt",IF(#REF!&lt;99.5,"Không đạt","Đạt"))</f>
        <v>#REF!</v>
      </c>
      <c r="AA11" s="512"/>
      <c r="AB11" s="542"/>
      <c r="AC11" s="553"/>
      <c r="AD11" s="552"/>
      <c r="AE11" s="552"/>
      <c r="AF11" s="552"/>
    </row>
    <row r="12" spans="1:32" s="522" customFormat="1">
      <c r="A12" s="688" t="s">
        <v>389</v>
      </c>
      <c r="B12" s="520" t="s">
        <v>299</v>
      </c>
      <c r="C12" s="775">
        <f>C18+C21+C27</f>
        <v>3584.1397363895016</v>
      </c>
      <c r="D12" s="775"/>
      <c r="E12" s="775"/>
      <c r="F12" s="775"/>
      <c r="G12" s="774">
        <v>8337.8226563895005</v>
      </c>
      <c r="H12" s="572">
        <f>+G12-C12</f>
        <v>4753.6829199999993</v>
      </c>
      <c r="I12" s="774">
        <f>I18+I21+I24</f>
        <v>8420</v>
      </c>
      <c r="J12" s="776">
        <v>8782</v>
      </c>
      <c r="K12" s="776"/>
      <c r="L12" s="774">
        <f>L18+L21+L24</f>
        <v>3720</v>
      </c>
      <c r="M12" s="774">
        <f>M18+M21+M24</f>
        <v>3720</v>
      </c>
      <c r="N12" s="775">
        <f>N18+N21+N24</f>
        <v>3410</v>
      </c>
      <c r="O12" s="775">
        <f>O18+O21+O24</f>
        <v>0</v>
      </c>
      <c r="P12" s="775">
        <f>P18+P21+P27</f>
        <v>3471.3355909610259</v>
      </c>
      <c r="Q12" s="775">
        <f>Q18+Q21+Q27</f>
        <v>8419.6271909610259</v>
      </c>
      <c r="R12" s="538"/>
      <c r="S12" s="772">
        <v>8614.4781999999996</v>
      </c>
      <c r="T12" s="772"/>
      <c r="U12" s="772"/>
      <c r="V12" s="774"/>
      <c r="W12" s="513">
        <f>IF(ISERROR(U12/N12*100),"",U12/N12*100)</f>
        <v>0</v>
      </c>
      <c r="X12" s="513">
        <f>IF(ISERROR(U12/S12*100),"",U12/S12*100)</f>
        <v>0</v>
      </c>
      <c r="Y12" s="512" t="s">
        <v>269</v>
      </c>
      <c r="Z12" s="512" t="e">
        <f>IF(#REF!&gt;100,"Vượt",IF(#REF!&lt;99.5,"Không đạt","Đạt"))</f>
        <v>#REF!</v>
      </c>
      <c r="AA12" s="512"/>
      <c r="AB12" s="542"/>
      <c r="AC12" s="553"/>
      <c r="AD12" s="552"/>
      <c r="AE12" s="552"/>
      <c r="AF12" s="552"/>
    </row>
    <row r="13" spans="1:32" s="522" customFormat="1">
      <c r="A13" s="541" t="s">
        <v>388</v>
      </c>
      <c r="B13" s="562" t="s">
        <v>326</v>
      </c>
      <c r="C13" s="573">
        <f>C14+C34+C43+C46</f>
        <v>10357.06</v>
      </c>
      <c r="D13" s="573"/>
      <c r="E13" s="573"/>
      <c r="F13" s="573">
        <v>1174.31</v>
      </c>
      <c r="G13" s="572">
        <f>G14+G34+G43+G46</f>
        <v>10396.06</v>
      </c>
      <c r="H13" s="572">
        <f>+G13-C13</f>
        <v>39</v>
      </c>
      <c r="I13" s="572">
        <f>I14+I34+I43+I46</f>
        <v>10513</v>
      </c>
      <c r="J13" s="569">
        <v>10412.85</v>
      </c>
      <c r="K13" s="569"/>
      <c r="L13" s="572">
        <f>L14+L34+L43+L46</f>
        <v>1228.81</v>
      </c>
      <c r="M13" s="572">
        <f>M14+M34+M43+M46</f>
        <v>1228.81</v>
      </c>
      <c r="N13" s="573">
        <f>N14+N34+N43+N46</f>
        <v>9880.26</v>
      </c>
      <c r="O13" s="573">
        <f>O14+O34+O43+O46</f>
        <v>10426.91</v>
      </c>
      <c r="P13" s="568">
        <f>P14+P34+P43+P46</f>
        <v>10199.86</v>
      </c>
      <c r="Q13" s="573">
        <f>Q14+Q34+Q43+Q46</f>
        <v>10366.200000000001</v>
      </c>
      <c r="R13" s="538"/>
      <c r="S13" s="568">
        <v>10121.5</v>
      </c>
      <c r="T13" s="568">
        <f>T14+T34+T43+T46</f>
        <v>7973.2</v>
      </c>
      <c r="U13" s="568">
        <f>U14+U34+U43+U46</f>
        <v>8088.2</v>
      </c>
      <c r="V13" s="572"/>
      <c r="W13" s="513">
        <f>IF(ISERROR(U13/N13*100),"",U13/N13*100)</f>
        <v>81.862218200735597</v>
      </c>
      <c r="X13" s="513">
        <f>IF(ISERROR(U13/S13*100),"",U13/S13*100)</f>
        <v>79.911080373462426</v>
      </c>
      <c r="Y13" s="512" t="s">
        <v>246</v>
      </c>
      <c r="Z13" s="512" t="e">
        <f>IF(#REF!&gt;100,"Vượt",IF(#REF!&lt;99.5,"Không đạt","Đạt"))</f>
        <v>#REF!</v>
      </c>
      <c r="AA13" s="512"/>
      <c r="AB13" s="542"/>
      <c r="AC13" s="553"/>
      <c r="AD13" s="552"/>
      <c r="AE13" s="552"/>
      <c r="AF13" s="552"/>
    </row>
    <row r="14" spans="1:32" s="522" customFormat="1">
      <c r="A14" s="541" t="s">
        <v>387</v>
      </c>
      <c r="B14" s="562" t="s">
        <v>326</v>
      </c>
      <c r="C14" s="572">
        <v>2517.66</v>
      </c>
      <c r="D14" s="572"/>
      <c r="E14" s="572"/>
      <c r="F14" s="572"/>
      <c r="G14" s="572">
        <f>G15+G25</f>
        <v>2517.66</v>
      </c>
      <c r="H14" s="572">
        <f>+G14-C14</f>
        <v>0</v>
      </c>
      <c r="I14" s="572">
        <f>I15+I25</f>
        <v>2505</v>
      </c>
      <c r="J14" s="569">
        <v>2470</v>
      </c>
      <c r="K14" s="569"/>
      <c r="L14" s="572">
        <f>L15+L25</f>
        <v>674</v>
      </c>
      <c r="M14" s="572">
        <f>M15+M25</f>
        <v>674</v>
      </c>
      <c r="N14" s="573">
        <f>N15+N25</f>
        <v>2092</v>
      </c>
      <c r="O14" s="573">
        <f>O15+O25</f>
        <v>2191.6</v>
      </c>
      <c r="P14" s="568">
        <f>P15+P25</f>
        <v>2403.7600000000002</v>
      </c>
      <c r="Q14" s="573">
        <f>Q15+Q25</f>
        <v>2475.44</v>
      </c>
      <c r="R14" s="538"/>
      <c r="S14" s="568">
        <v>2418.3199999999997</v>
      </c>
      <c r="T14" s="568">
        <f>T15+T25</f>
        <v>675</v>
      </c>
      <c r="U14" s="568">
        <f>U15+U25</f>
        <v>778</v>
      </c>
      <c r="V14" s="572"/>
      <c r="W14" s="513">
        <f>IF(ISERROR(U14/N14*100),"",U14/N14*100)</f>
        <v>37.189292543021033</v>
      </c>
      <c r="X14" s="513">
        <f>IF(ISERROR(U14/S14*100),"",U14/S14*100)</f>
        <v>32.171093982599494</v>
      </c>
      <c r="Y14" s="512" t="s">
        <v>269</v>
      </c>
      <c r="Z14" s="512" t="e">
        <f>IF(#REF!&gt;100,"Vượt",IF(#REF!&lt;99.5,"Không đạt","Đạt"))</f>
        <v>#REF!</v>
      </c>
      <c r="AA14" s="512"/>
      <c r="AB14" s="542"/>
      <c r="AC14" s="553"/>
      <c r="AD14" s="552"/>
      <c r="AE14" s="552"/>
      <c r="AF14" s="552"/>
    </row>
    <row r="15" spans="1:32" s="575" customFormat="1">
      <c r="A15" s="657" t="s">
        <v>386</v>
      </c>
      <c r="B15" s="656" t="s">
        <v>326</v>
      </c>
      <c r="C15" s="694">
        <v>2300.66</v>
      </c>
      <c r="D15" s="694"/>
      <c r="E15" s="694"/>
      <c r="F15" s="694"/>
      <c r="G15" s="694">
        <f>G16+G19+G22</f>
        <v>2300.66</v>
      </c>
      <c r="H15" s="572">
        <f>+G15-C15</f>
        <v>0</v>
      </c>
      <c r="I15" s="694">
        <f>I16+I19+I22</f>
        <v>2255</v>
      </c>
      <c r="J15" s="699">
        <v>2220</v>
      </c>
      <c r="K15" s="699"/>
      <c r="L15" s="694">
        <f>L16+L19+L22</f>
        <v>620</v>
      </c>
      <c r="M15" s="694">
        <f>M16+M19+M22</f>
        <v>620</v>
      </c>
      <c r="N15" s="700">
        <f>N16+N19+N22</f>
        <v>1980</v>
      </c>
      <c r="O15" s="700">
        <f>O16+O19+O22</f>
        <v>2018</v>
      </c>
      <c r="P15" s="773">
        <f>P16+P19+P22</f>
        <v>2200.96</v>
      </c>
      <c r="Q15" s="700">
        <f>Q16+Q19+Q22</f>
        <v>2236.56</v>
      </c>
      <c r="R15" s="538"/>
      <c r="S15" s="700">
        <v>2167.3199999999997</v>
      </c>
      <c r="T15" s="700">
        <f>T16</f>
        <v>666</v>
      </c>
      <c r="U15" s="700">
        <f>U16</f>
        <v>666</v>
      </c>
      <c r="V15" s="694"/>
      <c r="W15" s="513">
        <f>IF(ISERROR(U15/N15*100),"",U15/N15*100)</f>
        <v>33.636363636363633</v>
      </c>
      <c r="X15" s="513">
        <f>IF(ISERROR(U15/S15*100),"",U15/S15*100)</f>
        <v>30.729195504124913</v>
      </c>
      <c r="Y15" s="512" t="s">
        <v>269</v>
      </c>
      <c r="Z15" s="512" t="e">
        <f>IF(#REF!&gt;100,"Vượt",IF(#REF!&lt;99.5,"Không đạt","Đạt"))</f>
        <v>#REF!</v>
      </c>
      <c r="AA15" s="512"/>
      <c r="AB15" s="542"/>
      <c r="AC15" s="553"/>
      <c r="AD15" s="552"/>
      <c r="AE15" s="552"/>
      <c r="AF15" s="552"/>
    </row>
    <row r="16" spans="1:32">
      <c r="A16" s="769" t="s">
        <v>385</v>
      </c>
      <c r="B16" s="529" t="s">
        <v>326</v>
      </c>
      <c r="C16" s="564">
        <v>691</v>
      </c>
      <c r="D16" s="564"/>
      <c r="E16" s="564"/>
      <c r="F16" s="564"/>
      <c r="G16" s="564">
        <v>691</v>
      </c>
      <c r="H16" s="540">
        <f>+G16-C16</f>
        <v>0</v>
      </c>
      <c r="I16" s="564">
        <v>535</v>
      </c>
      <c r="J16" s="539">
        <v>620</v>
      </c>
      <c r="K16" s="539"/>
      <c r="L16" s="524">
        <v>620</v>
      </c>
      <c r="M16" s="524">
        <v>620</v>
      </c>
      <c r="N16" s="539">
        <v>620</v>
      </c>
      <c r="O16" s="539">
        <v>630</v>
      </c>
      <c r="P16" s="527">
        <v>630</v>
      </c>
      <c r="Q16" s="527">
        <v>630</v>
      </c>
      <c r="R16" s="538"/>
      <c r="S16" s="539">
        <v>651.96</v>
      </c>
      <c r="T16" s="564">
        <v>666</v>
      </c>
      <c r="U16" s="525">
        <v>666</v>
      </c>
      <c r="V16" s="524">
        <v>830</v>
      </c>
      <c r="W16" s="513">
        <f>IF(ISERROR(U16/N16*100),"",U16/N16*100)</f>
        <v>107.41935483870968</v>
      </c>
      <c r="X16" s="513">
        <f>IF(ISERROR(U16/S16*100),"",U16/S16*100)</f>
        <v>102.15350635008282</v>
      </c>
      <c r="Y16" s="512" t="s">
        <v>269</v>
      </c>
      <c r="Z16" s="512" t="e">
        <f>IF(#REF!&gt;100,"Vượt",IF(#REF!&lt;99.5,"Không đạt","Đạt"))</f>
        <v>#REF!</v>
      </c>
      <c r="AA16" s="512"/>
      <c r="AB16" s="542"/>
      <c r="AC16" s="553"/>
      <c r="AD16" s="552"/>
      <c r="AE16" s="552"/>
      <c r="AF16" s="552"/>
    </row>
    <row r="17" spans="1:32" s="575" customFormat="1">
      <c r="A17" s="534" t="s">
        <v>322</v>
      </c>
      <c r="B17" s="520" t="s">
        <v>321</v>
      </c>
      <c r="C17" s="612">
        <v>50.195003420976867</v>
      </c>
      <c r="D17" s="612"/>
      <c r="E17" s="612"/>
      <c r="F17" s="612"/>
      <c r="G17" s="612">
        <v>50.195003420976867</v>
      </c>
      <c r="H17" s="540">
        <f>+G17-C17</f>
        <v>0</v>
      </c>
      <c r="I17" s="612">
        <v>61.1</v>
      </c>
      <c r="J17" s="611">
        <v>61</v>
      </c>
      <c r="K17" s="611"/>
      <c r="L17" s="680">
        <v>60</v>
      </c>
      <c r="M17" s="680">
        <v>60</v>
      </c>
      <c r="N17" s="611">
        <v>55</v>
      </c>
      <c r="O17" s="611"/>
      <c r="P17" s="610">
        <f>+Q17</f>
        <v>55.100564935889295</v>
      </c>
      <c r="Q17" s="611">
        <f>'[1]Ctiet UTH 17_KH 18'!J17</f>
        <v>55.100564935889295</v>
      </c>
      <c r="R17" s="538"/>
      <c r="S17" s="611">
        <v>56.95</v>
      </c>
      <c r="T17" s="612">
        <v>55.6</v>
      </c>
      <c r="U17" s="612">
        <v>55.6</v>
      </c>
      <c r="V17" s="680"/>
      <c r="W17" s="513">
        <f>IF(ISERROR(U17/N17*100),"",U17/N17*100)</f>
        <v>101.09090909090909</v>
      </c>
      <c r="X17" s="513">
        <f>IF(ISERROR(U17/S17*100),"",U17/S17*100)</f>
        <v>97.629499561018434</v>
      </c>
      <c r="Y17" s="512"/>
      <c r="Z17" s="512"/>
      <c r="AA17" s="512"/>
      <c r="AB17" s="542"/>
      <c r="AC17" s="577"/>
      <c r="AD17" s="576"/>
      <c r="AE17" s="576"/>
      <c r="AF17" s="576"/>
    </row>
    <row r="18" spans="1:32" s="575" customFormat="1">
      <c r="A18" s="534" t="s">
        <v>319</v>
      </c>
      <c r="B18" s="520" t="s">
        <v>299</v>
      </c>
      <c r="C18" s="603">
        <v>3468.4747363895017</v>
      </c>
      <c r="D18" s="603"/>
      <c r="E18" s="603"/>
      <c r="F18" s="603"/>
      <c r="G18" s="603">
        <v>3468.4747363895017</v>
      </c>
      <c r="H18" s="540">
        <f>+G18-C18</f>
        <v>0</v>
      </c>
      <c r="I18" s="603">
        <v>3270</v>
      </c>
      <c r="J18" s="604">
        <v>3782.0000000000005</v>
      </c>
      <c r="K18" s="604"/>
      <c r="L18" s="602">
        <f>0.1*L17*L16</f>
        <v>3720</v>
      </c>
      <c r="M18" s="602">
        <f>0.1*M17*M16</f>
        <v>3720</v>
      </c>
      <c r="N18" s="604">
        <f>0.1*N17*N16</f>
        <v>3410</v>
      </c>
      <c r="O18" s="604"/>
      <c r="P18" s="605">
        <f>+Q18</f>
        <v>3471.3355909610259</v>
      </c>
      <c r="Q18" s="604">
        <f>0.1*Q17*Q16</f>
        <v>3471.3355909610259</v>
      </c>
      <c r="R18" s="538"/>
      <c r="S18" s="604">
        <v>3712.9122000000002</v>
      </c>
      <c r="T18" s="603">
        <f>T17*T16/10</f>
        <v>3702.96</v>
      </c>
      <c r="U18" s="603">
        <f>U17*U16/10</f>
        <v>3702.96</v>
      </c>
      <c r="V18" s="602"/>
      <c r="W18" s="513">
        <f>IF(ISERROR(U18/N18*100),"",U18/N18*100)</f>
        <v>108.59120234604104</v>
      </c>
      <c r="X18" s="513">
        <f>IF(ISERROR(U18/S18*100),"",U18/S18*100)</f>
        <v>99.73195703361904</v>
      </c>
      <c r="Y18" s="512"/>
      <c r="Z18" s="512"/>
      <c r="AA18" s="512"/>
      <c r="AB18" s="582"/>
      <c r="AC18" s="577"/>
      <c r="AD18" s="576"/>
      <c r="AE18" s="576"/>
      <c r="AF18" s="576"/>
    </row>
    <row r="19" spans="1:32">
      <c r="A19" s="769" t="s">
        <v>384</v>
      </c>
      <c r="B19" s="529" t="s">
        <v>326</v>
      </c>
      <c r="C19" s="564">
        <v>770.66</v>
      </c>
      <c r="D19" s="564"/>
      <c r="E19" s="564"/>
      <c r="F19" s="564"/>
      <c r="G19" s="564">
        <v>770.66</v>
      </c>
      <c r="H19" s="540">
        <f>+G19-C19</f>
        <v>0</v>
      </c>
      <c r="I19" s="564">
        <v>800</v>
      </c>
      <c r="J19" s="539">
        <v>800</v>
      </c>
      <c r="K19" s="539"/>
      <c r="L19" s="524"/>
      <c r="M19" s="524"/>
      <c r="N19" s="539">
        <v>640</v>
      </c>
      <c r="O19" s="539">
        <v>640</v>
      </c>
      <c r="P19" s="710">
        <v>760.86</v>
      </c>
      <c r="Q19" s="563">
        <f>'[1]Ctiet UTH 17_KH 18'!J19</f>
        <v>781.16</v>
      </c>
      <c r="R19" s="538"/>
      <c r="S19" s="563">
        <v>781.16</v>
      </c>
      <c r="T19" s="526"/>
      <c r="U19" s="525"/>
      <c r="V19" s="524"/>
      <c r="W19" s="513">
        <f>IF(ISERROR(U19/N19*100),"",U19/N19*100)</f>
        <v>0</v>
      </c>
      <c r="X19" s="513">
        <f>IF(ISERROR(U19/S19*100),"",U19/S19*100)</f>
        <v>0</v>
      </c>
      <c r="Y19" s="512" t="s">
        <v>269</v>
      </c>
      <c r="Z19" s="512" t="e">
        <f>IF(#REF!&gt;100,"Vượt",IF(#REF!&lt;99.5,"Không đạt","Đạt"))</f>
        <v>#REF!</v>
      </c>
      <c r="AA19" s="512"/>
      <c r="AB19" s="651"/>
      <c r="AC19" s="553"/>
      <c r="AD19" s="552"/>
      <c r="AE19" s="552"/>
      <c r="AF19" s="552"/>
    </row>
    <row r="20" spans="1:32" s="575" customFormat="1">
      <c r="A20" s="534" t="s">
        <v>322</v>
      </c>
      <c r="B20" s="520" t="s">
        <v>321</v>
      </c>
      <c r="C20" s="612"/>
      <c r="D20" s="612"/>
      <c r="E20" s="612"/>
      <c r="F20" s="612"/>
      <c r="G20" s="612">
        <v>50.12</v>
      </c>
      <c r="H20" s="540">
        <f>+G20-C20</f>
        <v>50.12</v>
      </c>
      <c r="I20" s="612">
        <v>50</v>
      </c>
      <c r="J20" s="611">
        <v>50</v>
      </c>
      <c r="K20" s="611"/>
      <c r="L20" s="680"/>
      <c r="M20" s="680"/>
      <c r="N20" s="611"/>
      <c r="O20" s="611"/>
      <c r="P20" s="610"/>
      <c r="Q20" s="610">
        <f>'[1]Ctiet UTH 17_KH 18'!J20</f>
        <v>49.98296891801936</v>
      </c>
      <c r="R20" s="538"/>
      <c r="S20" s="610">
        <v>51</v>
      </c>
      <c r="T20" s="725"/>
      <c r="U20" s="772"/>
      <c r="V20" s="680"/>
      <c r="W20" s="513" t="str">
        <f>IF(ISERROR(U20/N20*100),"",U20/N20*100)</f>
        <v/>
      </c>
      <c r="X20" s="513">
        <f>IF(ISERROR(U20/S20*100),"",U20/S20*100)</f>
        <v>0</v>
      </c>
      <c r="Y20" s="512"/>
      <c r="Z20" s="512"/>
      <c r="AA20" s="512"/>
      <c r="AB20" s="542"/>
      <c r="AC20" s="577"/>
      <c r="AD20" s="576"/>
      <c r="AE20" s="576"/>
      <c r="AF20" s="576"/>
    </row>
    <row r="21" spans="1:32" s="575" customFormat="1">
      <c r="A21" s="534" t="s">
        <v>319</v>
      </c>
      <c r="B21" s="520" t="s">
        <v>299</v>
      </c>
      <c r="C21" s="603"/>
      <c r="D21" s="603"/>
      <c r="E21" s="603"/>
      <c r="F21" s="603"/>
      <c r="G21" s="603">
        <v>3862.54792</v>
      </c>
      <c r="H21" s="540">
        <f>+G21-C21</f>
        <v>3862.54792</v>
      </c>
      <c r="I21" s="603">
        <v>4000</v>
      </c>
      <c r="J21" s="603">
        <v>4000</v>
      </c>
      <c r="K21" s="603"/>
      <c r="L21" s="602"/>
      <c r="M21" s="602"/>
      <c r="N21" s="603"/>
      <c r="O21" s="603"/>
      <c r="P21" s="606"/>
      <c r="Q21" s="605">
        <f>0.1*Q20*Q19</f>
        <v>3904.4696000000004</v>
      </c>
      <c r="R21" s="538"/>
      <c r="S21" s="605">
        <v>3983.9160000000002</v>
      </c>
      <c r="T21" s="606"/>
      <c r="U21" s="772"/>
      <c r="V21" s="602"/>
      <c r="W21" s="513" t="str">
        <f>IF(ISERROR(U21/N21*100),"",U21/N21*100)</f>
        <v/>
      </c>
      <c r="X21" s="513">
        <f>IF(ISERROR(U21/S21*100),"",U21/S21*100)</f>
        <v>0</v>
      </c>
      <c r="Y21" s="512"/>
      <c r="Z21" s="512"/>
      <c r="AA21" s="512"/>
      <c r="AB21" s="582"/>
      <c r="AC21" s="577"/>
      <c r="AD21" s="576"/>
      <c r="AE21" s="576"/>
      <c r="AF21" s="576"/>
    </row>
    <row r="22" spans="1:32">
      <c r="A22" s="769" t="s">
        <v>383</v>
      </c>
      <c r="B22" s="529" t="s">
        <v>326</v>
      </c>
      <c r="C22" s="524">
        <v>780</v>
      </c>
      <c r="D22" s="524"/>
      <c r="E22" s="524"/>
      <c r="F22" s="524"/>
      <c r="G22" s="524">
        <v>839</v>
      </c>
      <c r="H22" s="540">
        <f>+G22-C22</f>
        <v>59</v>
      </c>
      <c r="I22" s="524">
        <v>920</v>
      </c>
      <c r="J22" s="539">
        <v>800</v>
      </c>
      <c r="K22" s="539"/>
      <c r="L22" s="524"/>
      <c r="M22" s="524"/>
      <c r="N22" s="539">
        <v>720</v>
      </c>
      <c r="O22" s="771">
        <v>748</v>
      </c>
      <c r="P22" s="710">
        <v>810.1</v>
      </c>
      <c r="Q22" s="563">
        <f>'[1]Ctiet UTH 17_KH 18'!J22</f>
        <v>825.4</v>
      </c>
      <c r="R22" s="538"/>
      <c r="S22" s="539">
        <v>734.2</v>
      </c>
      <c r="T22" s="564"/>
      <c r="U22" s="525"/>
      <c r="V22" s="524">
        <v>200</v>
      </c>
      <c r="W22" s="513">
        <f>IF(ISERROR(U22/N22*100),"",U22/N22*100)</f>
        <v>0</v>
      </c>
      <c r="X22" s="513">
        <f>IF(ISERROR(U22/S22*100),"",U22/S22*100)</f>
        <v>0</v>
      </c>
      <c r="Y22" s="512" t="s">
        <v>261</v>
      </c>
      <c r="Z22" s="512" t="e">
        <f>IF(#REF!&gt;100,"Vượt",IF(#REF!&lt;99.5,"Không đạt","Đạt"))</f>
        <v>#REF!</v>
      </c>
      <c r="AA22" s="512"/>
      <c r="AB22" s="651"/>
      <c r="AC22" s="553"/>
      <c r="AD22" s="552"/>
      <c r="AE22" s="552"/>
      <c r="AF22" s="552"/>
    </row>
    <row r="23" spans="1:32" s="575" customFormat="1">
      <c r="A23" s="534" t="s">
        <v>322</v>
      </c>
      <c r="B23" s="520" t="s">
        <v>321</v>
      </c>
      <c r="C23" s="680"/>
      <c r="D23" s="680"/>
      <c r="E23" s="680"/>
      <c r="F23" s="680"/>
      <c r="G23" s="680">
        <v>12</v>
      </c>
      <c r="H23" s="540">
        <f>+G23-C23</f>
        <v>12</v>
      </c>
      <c r="I23" s="680">
        <v>12.5</v>
      </c>
      <c r="J23" s="680">
        <v>12.5</v>
      </c>
      <c r="K23" s="680"/>
      <c r="L23" s="680"/>
      <c r="M23" s="680"/>
      <c r="N23" s="680"/>
      <c r="O23" s="680"/>
      <c r="P23" s="770"/>
      <c r="Q23" s="680">
        <f>'[1]Ctiet UTH 17_KH 18'!J23</f>
        <v>12.501211533801794</v>
      </c>
      <c r="R23" s="538"/>
      <c r="S23" s="680">
        <v>12.498637973304277</v>
      </c>
      <c r="T23" s="612"/>
      <c r="U23" s="537"/>
      <c r="V23" s="680"/>
      <c r="W23" s="513" t="str">
        <f>IF(ISERROR(U23/N23*100),"",U23/N23*100)</f>
        <v/>
      </c>
      <c r="X23" s="513">
        <f>IF(ISERROR(U23/S23*100),"",U23/S23*100)</f>
        <v>0</v>
      </c>
      <c r="Y23" s="512"/>
      <c r="Z23" s="512"/>
      <c r="AA23" s="512"/>
      <c r="AB23" s="542"/>
      <c r="AC23" s="577"/>
      <c r="AD23" s="576"/>
      <c r="AE23" s="576"/>
      <c r="AF23" s="576"/>
    </row>
    <row r="24" spans="1:32" s="575" customFormat="1">
      <c r="A24" s="534" t="s">
        <v>319</v>
      </c>
      <c r="B24" s="520" t="s">
        <v>299</v>
      </c>
      <c r="C24" s="602"/>
      <c r="D24" s="602"/>
      <c r="E24" s="602"/>
      <c r="F24" s="602"/>
      <c r="G24" s="602">
        <v>1006.8000000000002</v>
      </c>
      <c r="H24" s="540">
        <f>+G24-C24</f>
        <v>1006.8000000000002</v>
      </c>
      <c r="I24" s="602">
        <v>1150</v>
      </c>
      <c r="J24" s="602">
        <v>1000</v>
      </c>
      <c r="K24" s="602"/>
      <c r="L24" s="602"/>
      <c r="M24" s="602"/>
      <c r="N24" s="602"/>
      <c r="O24" s="602"/>
      <c r="P24" s="742"/>
      <c r="Q24" s="604">
        <f>0.1*Q23*Q22</f>
        <v>1031.8500000000001</v>
      </c>
      <c r="R24" s="538"/>
      <c r="S24" s="604">
        <v>917.6500000000002</v>
      </c>
      <c r="T24" s="603"/>
      <c r="U24" s="537"/>
      <c r="V24" s="602"/>
      <c r="W24" s="513" t="str">
        <f>IF(ISERROR(U24/N24*100),"",U24/N24*100)</f>
        <v/>
      </c>
      <c r="X24" s="513">
        <f>IF(ISERROR(U24/S24*100),"",U24/S24*100)</f>
        <v>0</v>
      </c>
      <c r="Y24" s="512"/>
      <c r="Z24" s="512"/>
      <c r="AA24" s="512"/>
      <c r="AB24" s="582"/>
      <c r="AC24" s="577"/>
      <c r="AD24" s="576"/>
      <c r="AE24" s="576"/>
      <c r="AF24" s="576"/>
    </row>
    <row r="25" spans="1:32" s="575" customFormat="1">
      <c r="A25" s="657" t="s">
        <v>382</v>
      </c>
      <c r="B25" s="656" t="s">
        <v>326</v>
      </c>
      <c r="C25" s="700">
        <v>173</v>
      </c>
      <c r="D25" s="700"/>
      <c r="E25" s="700"/>
      <c r="F25" s="700"/>
      <c r="G25" s="700">
        <v>217</v>
      </c>
      <c r="H25" s="540">
        <f>+G25-C25</f>
        <v>44</v>
      </c>
      <c r="I25" s="700">
        <v>250</v>
      </c>
      <c r="J25" s="699">
        <v>250</v>
      </c>
      <c r="K25" s="699"/>
      <c r="L25" s="694">
        <f>+L28</f>
        <v>54</v>
      </c>
      <c r="M25" s="694">
        <f>+M28</f>
        <v>54</v>
      </c>
      <c r="N25" s="699">
        <f>+N28+N31</f>
        <v>112</v>
      </c>
      <c r="O25" s="699">
        <v>173.6</v>
      </c>
      <c r="P25" s="703">
        <f>+P28+P31</f>
        <v>202.8</v>
      </c>
      <c r="Q25" s="699">
        <f>+Q28+Q31</f>
        <v>238.88</v>
      </c>
      <c r="R25" s="538"/>
      <c r="S25" s="699">
        <v>251</v>
      </c>
      <c r="T25" s="700">
        <f>T28</f>
        <v>9</v>
      </c>
      <c r="U25" s="700">
        <f>U28+U31</f>
        <v>112</v>
      </c>
      <c r="V25" s="694">
        <v>300</v>
      </c>
      <c r="W25" s="513">
        <f>IF(ISERROR(U25/N25*100),"",U25/N25*100)</f>
        <v>100</v>
      </c>
      <c r="X25" s="513">
        <f>IF(ISERROR(U25/S25*100),"",U25/S25*100)</f>
        <v>44.621513944223103</v>
      </c>
      <c r="Y25" s="512" t="s">
        <v>269</v>
      </c>
      <c r="Z25" s="512" t="e">
        <f>IF(#REF!&gt;100,"Vượt",IF(#REF!&lt;99.5,"Không đạt","Đạt"))</f>
        <v>#REF!</v>
      </c>
      <c r="AA25" s="512"/>
      <c r="AB25" s="651"/>
      <c r="AC25" s="553"/>
      <c r="AD25" s="552"/>
      <c r="AE25" s="552"/>
      <c r="AF25" s="552"/>
    </row>
    <row r="26" spans="1:32" s="575" customFormat="1">
      <c r="A26" s="534" t="s">
        <v>322</v>
      </c>
      <c r="B26" s="520" t="s">
        <v>321</v>
      </c>
      <c r="C26" s="612">
        <f>+C27*10/C25</f>
        <v>6.6858381502890163</v>
      </c>
      <c r="D26" s="612"/>
      <c r="E26" s="612"/>
      <c r="F26" s="612"/>
      <c r="G26" s="612">
        <f>+G27*10/G25</f>
        <v>51.430184331797236</v>
      </c>
      <c r="H26" s="540">
        <f>+G26-C26</f>
        <v>44.74434618150822</v>
      </c>
      <c r="I26" s="603"/>
      <c r="J26" s="612">
        <f>+J27*10/J25</f>
        <v>45.96</v>
      </c>
      <c r="K26" s="604"/>
      <c r="L26" s="602"/>
      <c r="M26" s="602"/>
      <c r="N26" s="612">
        <f>+N27*10/N25</f>
        <v>45.362678571428567</v>
      </c>
      <c r="O26" s="612"/>
      <c r="P26" s="725"/>
      <c r="Q26" s="612">
        <f>+Q27*10/Q25</f>
        <v>43.696500334896186</v>
      </c>
      <c r="R26" s="538"/>
      <c r="S26" s="612">
        <v>45.440239043824704</v>
      </c>
      <c r="T26" s="612">
        <v>37.5</v>
      </c>
      <c r="U26" s="537">
        <f>U27/U25*10</f>
        <v>44.397321428571431</v>
      </c>
      <c r="V26" s="602"/>
      <c r="W26" s="513">
        <f>IF(ISERROR(U26/N26*100),"",U26/N26*100)</f>
        <v>97.87191327042764</v>
      </c>
      <c r="X26" s="513">
        <f>IF(ISERROR(U26/S26*100),"",U26/S26*100)</f>
        <v>97.704858871346531</v>
      </c>
      <c r="Y26" s="512"/>
      <c r="Z26" s="512"/>
      <c r="AA26" s="512"/>
      <c r="AB26" s="651"/>
      <c r="AC26" s="553"/>
      <c r="AD26" s="552"/>
      <c r="AE26" s="552"/>
      <c r="AF26" s="552"/>
    </row>
    <row r="27" spans="1:32" s="575" customFormat="1">
      <c r="A27" s="534" t="s">
        <v>319</v>
      </c>
      <c r="B27" s="520" t="s">
        <v>299</v>
      </c>
      <c r="C27" s="603">
        <f>C30+C33</f>
        <v>115.66499999999999</v>
      </c>
      <c r="D27" s="603"/>
      <c r="E27" s="603"/>
      <c r="F27" s="603"/>
      <c r="G27" s="603">
        <f>G30+G33</f>
        <v>1116.0350000000001</v>
      </c>
      <c r="H27" s="540">
        <f>+G27-C27</f>
        <v>1000.3700000000001</v>
      </c>
      <c r="I27" s="603">
        <f>I30+I33</f>
        <v>1149</v>
      </c>
      <c r="J27" s="603">
        <f>J30+J33</f>
        <v>1149</v>
      </c>
      <c r="K27" s="603">
        <f>K30+K33</f>
        <v>0</v>
      </c>
      <c r="L27" s="603">
        <f>L30+L33</f>
        <v>0</v>
      </c>
      <c r="M27" s="603">
        <f>M30+M33</f>
        <v>0</v>
      </c>
      <c r="N27" s="603">
        <f>N30+N33</f>
        <v>508.06200000000001</v>
      </c>
      <c r="O27" s="603"/>
      <c r="P27" s="606"/>
      <c r="Q27" s="603">
        <f>Q30+Q33</f>
        <v>1043.8220000000001</v>
      </c>
      <c r="R27" s="538"/>
      <c r="S27" s="603">
        <v>1140.55</v>
      </c>
      <c r="T27" s="603">
        <v>34</v>
      </c>
      <c r="U27" s="537">
        <f>U30+U33</f>
        <v>497.25</v>
      </c>
      <c r="V27" s="602"/>
      <c r="W27" s="513">
        <f>IF(ISERROR(U27/N27*100),"",U27/N27*100)</f>
        <v>97.871913270427626</v>
      </c>
      <c r="X27" s="513">
        <f>IF(ISERROR(U27/S27*100),"",U27/S27*100)</f>
        <v>43.597387225461404</v>
      </c>
      <c r="Y27" s="512"/>
      <c r="Z27" s="512"/>
      <c r="AA27" s="512"/>
      <c r="AB27" s="651"/>
      <c r="AC27" s="553"/>
      <c r="AD27" s="552"/>
      <c r="AE27" s="552"/>
      <c r="AF27" s="552"/>
    </row>
    <row r="28" spans="1:32" s="726" customFormat="1">
      <c r="A28" s="769" t="s">
        <v>381</v>
      </c>
      <c r="B28" s="729" t="s">
        <v>326</v>
      </c>
      <c r="C28" s="564">
        <v>33</v>
      </c>
      <c r="D28" s="564"/>
      <c r="E28" s="564"/>
      <c r="F28" s="564"/>
      <c r="G28" s="564">
        <v>33</v>
      </c>
      <c r="H28" s="540">
        <f>+G28-C28</f>
        <v>0</v>
      </c>
      <c r="I28" s="564">
        <v>30</v>
      </c>
      <c r="J28" s="564">
        <v>30</v>
      </c>
      <c r="K28" s="564"/>
      <c r="L28" s="524">
        <v>54</v>
      </c>
      <c r="M28" s="524">
        <v>54</v>
      </c>
      <c r="N28" s="564">
        <v>18</v>
      </c>
      <c r="O28" s="564">
        <v>18</v>
      </c>
      <c r="P28" s="526">
        <v>18</v>
      </c>
      <c r="Q28" s="564">
        <f>'[1]Ctiet UTH 17_KH 18'!J26</f>
        <v>18</v>
      </c>
      <c r="R28" s="538"/>
      <c r="S28" s="564">
        <v>30</v>
      </c>
      <c r="T28" s="564">
        <v>9</v>
      </c>
      <c r="U28" s="538">
        <v>9</v>
      </c>
      <c r="V28" s="564"/>
      <c r="W28" s="513">
        <f>IF(ISERROR(U28/N28*100),"",U28/N28*100)</f>
        <v>50</v>
      </c>
      <c r="X28" s="513">
        <f>IF(ISERROR(U28/S28*100),"",U28/S28*100)</f>
        <v>30</v>
      </c>
      <c r="Y28" s="720"/>
      <c r="Z28" s="720"/>
      <c r="AA28" s="720"/>
      <c r="AB28" s="767"/>
      <c r="AC28" s="728"/>
      <c r="AD28" s="727"/>
      <c r="AE28" s="727"/>
      <c r="AF28" s="727"/>
    </row>
    <row r="29" spans="1:32" s="575" customFormat="1">
      <c r="A29" s="534" t="s">
        <v>322</v>
      </c>
      <c r="B29" s="520" t="s">
        <v>321</v>
      </c>
      <c r="C29" s="612">
        <v>35.049999999999997</v>
      </c>
      <c r="D29" s="612"/>
      <c r="E29" s="612"/>
      <c r="F29" s="612"/>
      <c r="G29" s="612">
        <v>35.049999999999997</v>
      </c>
      <c r="H29" s="540">
        <f>+G29-C29</f>
        <v>0</v>
      </c>
      <c r="I29" s="612">
        <f>10*I30/I28</f>
        <v>33</v>
      </c>
      <c r="J29" s="612">
        <v>33</v>
      </c>
      <c r="K29" s="612"/>
      <c r="L29" s="680"/>
      <c r="M29" s="680"/>
      <c r="N29" s="612">
        <v>33</v>
      </c>
      <c r="O29" s="612"/>
      <c r="P29" s="725">
        <v>35.700000000000003</v>
      </c>
      <c r="Q29" s="612">
        <f>+'[1]Ctiet UTH 17_KH 18'!J27</f>
        <v>36.388888888888886</v>
      </c>
      <c r="R29" s="538"/>
      <c r="S29" s="612">
        <v>45</v>
      </c>
      <c r="T29" s="612">
        <v>37.5</v>
      </c>
      <c r="U29" s="538">
        <v>37.5</v>
      </c>
      <c r="V29" s="612"/>
      <c r="W29" s="513">
        <f>IF(ISERROR(U29/N29*100),"",U29/N29*100)</f>
        <v>113.63636363636364</v>
      </c>
      <c r="X29" s="513">
        <f>IF(ISERROR(U29/S29*100),"",U29/S29*100)</f>
        <v>83.333333333333343</v>
      </c>
      <c r="Y29" s="512"/>
      <c r="Z29" s="512"/>
      <c r="AA29" s="512"/>
      <c r="AB29" s="651"/>
      <c r="AC29" s="553"/>
      <c r="AD29" s="552"/>
      <c r="AE29" s="552"/>
      <c r="AF29" s="552"/>
    </row>
    <row r="30" spans="1:32" s="575" customFormat="1">
      <c r="A30" s="534" t="s">
        <v>319</v>
      </c>
      <c r="B30" s="520" t="s">
        <v>299</v>
      </c>
      <c r="C30" s="603">
        <f>0.1*C29*C28</f>
        <v>115.66499999999999</v>
      </c>
      <c r="D30" s="603"/>
      <c r="E30" s="603"/>
      <c r="F30" s="603"/>
      <c r="G30" s="603">
        <v>115.66499999999999</v>
      </c>
      <c r="H30" s="540">
        <f>+G30-C30</f>
        <v>0</v>
      </c>
      <c r="I30" s="602">
        <v>99</v>
      </c>
      <c r="J30" s="602">
        <v>99</v>
      </c>
      <c r="K30" s="602"/>
      <c r="L30" s="602"/>
      <c r="M30" s="602"/>
      <c r="N30" s="602">
        <f>0.1*N29*N28</f>
        <v>59.400000000000006</v>
      </c>
      <c r="O30" s="602"/>
      <c r="P30" s="742">
        <f>0.1*P29*P28</f>
        <v>64.260000000000005</v>
      </c>
      <c r="Q30" s="602">
        <f>0.1*Q29*Q28</f>
        <v>65.5</v>
      </c>
      <c r="R30" s="538"/>
      <c r="S30" s="602">
        <v>135</v>
      </c>
      <c r="T30" s="603">
        <f>T29*T28/10</f>
        <v>33.75</v>
      </c>
      <c r="U30" s="603">
        <f>U29*U28/10</f>
        <v>33.75</v>
      </c>
      <c r="V30" s="694"/>
      <c r="W30" s="513">
        <f>IF(ISERROR(U30/N30*100),"",U30/N30*100)</f>
        <v>56.818181818181813</v>
      </c>
      <c r="X30" s="513">
        <f>IF(ISERROR(U30/S30*100),"",U30/S30*100)</f>
        <v>25</v>
      </c>
      <c r="Y30" s="512"/>
      <c r="Z30" s="512"/>
      <c r="AA30" s="512"/>
      <c r="AB30" s="651"/>
      <c r="AC30" s="553"/>
      <c r="AD30" s="552"/>
      <c r="AE30" s="552"/>
      <c r="AF30" s="552"/>
    </row>
    <row r="31" spans="1:32" s="726" customFormat="1">
      <c r="A31" s="769" t="s">
        <v>380</v>
      </c>
      <c r="B31" s="729" t="s">
        <v>326</v>
      </c>
      <c r="C31" s="564">
        <f>+C25-C28</f>
        <v>140</v>
      </c>
      <c r="D31" s="564"/>
      <c r="E31" s="564"/>
      <c r="F31" s="564"/>
      <c r="G31" s="564">
        <v>184</v>
      </c>
      <c r="H31" s="540">
        <f>+G31-C31</f>
        <v>44</v>
      </c>
      <c r="I31" s="564">
        <v>220</v>
      </c>
      <c r="J31" s="564">
        <v>220</v>
      </c>
      <c r="K31" s="564"/>
      <c r="L31" s="524"/>
      <c r="M31" s="524"/>
      <c r="N31" s="564">
        <v>94</v>
      </c>
      <c r="O31" s="564"/>
      <c r="P31" s="768">
        <v>184.8</v>
      </c>
      <c r="Q31" s="768">
        <f>'[1]Ctiet UTH 17_KH 18'!J29</f>
        <v>220.88</v>
      </c>
      <c r="R31" s="538"/>
      <c r="S31" s="564">
        <v>221</v>
      </c>
      <c r="T31" s="564"/>
      <c r="U31" s="537">
        <v>103</v>
      </c>
      <c r="V31" s="524"/>
      <c r="W31" s="513">
        <f>IF(ISERROR(U31/N31*100),"",U31/N31*100)</f>
        <v>109.57446808510637</v>
      </c>
      <c r="X31" s="513">
        <f>IF(ISERROR(U31/S31*100),"",U31/S31*100)</f>
        <v>46.606334841628957</v>
      </c>
      <c r="Y31" s="720"/>
      <c r="Z31" s="720"/>
      <c r="AA31" s="720"/>
      <c r="AB31" s="767"/>
      <c r="AC31" s="728"/>
      <c r="AD31" s="727"/>
      <c r="AE31" s="727"/>
      <c r="AF31" s="727"/>
    </row>
    <row r="32" spans="1:32" s="575" customFormat="1">
      <c r="A32" s="534" t="s">
        <v>322</v>
      </c>
      <c r="B32" s="520" t="s">
        <v>321</v>
      </c>
      <c r="C32" s="612"/>
      <c r="D32" s="612"/>
      <c r="E32" s="612"/>
      <c r="F32" s="612"/>
      <c r="G32" s="612">
        <v>46.1</v>
      </c>
      <c r="H32" s="540">
        <f>+G32-C32</f>
        <v>46.1</v>
      </c>
      <c r="I32" s="612">
        <f>+I33*10/I31</f>
        <v>47.727272727272727</v>
      </c>
      <c r="J32" s="612">
        <v>47.727272727272727</v>
      </c>
      <c r="K32" s="612"/>
      <c r="L32" s="680"/>
      <c r="M32" s="680"/>
      <c r="N32" s="612">
        <v>47.73</v>
      </c>
      <c r="O32" s="612"/>
      <c r="P32" s="725">
        <v>47.75</v>
      </c>
      <c r="Q32" s="612">
        <f>+'[1]Ctiet UTH 17_KH 18'!J30</f>
        <v>44.292013763129304</v>
      </c>
      <c r="R32" s="538"/>
      <c r="S32" s="612">
        <v>45.5</v>
      </c>
      <c r="T32" s="612"/>
      <c r="U32" s="741">
        <v>45</v>
      </c>
      <c r="V32" s="602"/>
      <c r="W32" s="513">
        <f>IF(ISERROR(U32/N32*100),"",U32/N32*100)</f>
        <v>94.28032683846638</v>
      </c>
      <c r="X32" s="513">
        <f>IF(ISERROR(U32/S32*100),"",U32/S32*100)</f>
        <v>98.901098901098905</v>
      </c>
      <c r="Y32" s="512"/>
      <c r="Z32" s="512"/>
      <c r="AA32" s="512"/>
      <c r="AB32" s="542"/>
      <c r="AC32" s="577"/>
      <c r="AD32" s="576"/>
      <c r="AE32" s="576"/>
      <c r="AF32" s="576"/>
    </row>
    <row r="33" spans="1:32" s="575" customFormat="1">
      <c r="A33" s="534" t="s">
        <v>319</v>
      </c>
      <c r="B33" s="520" t="s">
        <v>299</v>
      </c>
      <c r="C33" s="603"/>
      <c r="D33" s="603"/>
      <c r="E33" s="603"/>
      <c r="F33" s="603"/>
      <c r="G33" s="603">
        <v>1000.3700000000001</v>
      </c>
      <c r="H33" s="540">
        <f>+G33-C33</f>
        <v>1000.3700000000001</v>
      </c>
      <c r="I33" s="603">
        <v>1050</v>
      </c>
      <c r="J33" s="603">
        <v>1050</v>
      </c>
      <c r="K33" s="603"/>
      <c r="L33" s="602"/>
      <c r="M33" s="602"/>
      <c r="N33" s="603">
        <f>0.1*N32*N31</f>
        <v>448.66199999999998</v>
      </c>
      <c r="O33" s="603"/>
      <c r="P33" s="606">
        <f>0.1*P32*P31</f>
        <v>882.42000000000007</v>
      </c>
      <c r="Q33" s="603">
        <f>0.1*Q32*Q31</f>
        <v>978.32200000000023</v>
      </c>
      <c r="R33" s="538"/>
      <c r="S33" s="603">
        <v>1005.55</v>
      </c>
      <c r="T33" s="603"/>
      <c r="U33" s="741">
        <f>U32*U31/10</f>
        <v>463.5</v>
      </c>
      <c r="V33" s="602"/>
      <c r="W33" s="513">
        <f>IF(ISERROR(U33/N33*100),"",U33/N33*100)</f>
        <v>103.30716664214934</v>
      </c>
      <c r="X33" s="513">
        <f>IF(ISERROR(U33/S33*100),"",U33/S33*100)</f>
        <v>46.094177315896772</v>
      </c>
      <c r="Y33" s="512"/>
      <c r="Z33" s="512"/>
      <c r="AA33" s="512"/>
      <c r="AB33" s="582"/>
      <c r="AC33" s="577"/>
      <c r="AD33" s="576"/>
      <c r="AE33" s="576"/>
      <c r="AF33" s="576"/>
    </row>
    <row r="34" spans="1:32" s="522" customFormat="1">
      <c r="A34" s="541" t="s">
        <v>379</v>
      </c>
      <c r="B34" s="562" t="s">
        <v>326</v>
      </c>
      <c r="C34" s="569">
        <v>7575.4</v>
      </c>
      <c r="D34" s="569"/>
      <c r="E34" s="569"/>
      <c r="F34" s="569"/>
      <c r="G34" s="569">
        <v>7575.4</v>
      </c>
      <c r="H34" s="614">
        <f>+G34-C34</f>
        <v>0</v>
      </c>
      <c r="I34" s="569">
        <f>+I35+I36</f>
        <v>7700</v>
      </c>
      <c r="J34" s="569">
        <v>7699.85</v>
      </c>
      <c r="K34" s="569"/>
      <c r="L34" s="569">
        <f>+L35+L36</f>
        <v>394.31</v>
      </c>
      <c r="M34" s="569">
        <f>+M35+M36</f>
        <v>394.31</v>
      </c>
      <c r="N34" s="569">
        <f>+N35+N36</f>
        <v>7602.26</v>
      </c>
      <c r="O34" s="569">
        <v>8011.31</v>
      </c>
      <c r="P34" s="570">
        <f>+P37+P40</f>
        <v>7602.1</v>
      </c>
      <c r="Q34" s="569">
        <f>+Q35+Q36</f>
        <v>7605.76</v>
      </c>
      <c r="R34" s="614"/>
      <c r="S34" s="569">
        <v>7401.98</v>
      </c>
      <c r="T34" s="573">
        <f>T35+T36</f>
        <v>7123</v>
      </c>
      <c r="U34" s="573">
        <f>U35+U36</f>
        <v>7123</v>
      </c>
      <c r="V34" s="569">
        <v>6000</v>
      </c>
      <c r="W34" s="513">
        <f>IF(ISERROR(U34/N34*100),"",U34/N34*100)</f>
        <v>93.695822031869469</v>
      </c>
      <c r="X34" s="513">
        <f>IF(ISERROR(U34/S34*100),"",U34/S34*100)</f>
        <v>96.231008459898575</v>
      </c>
      <c r="Y34" s="761" t="s">
        <v>246</v>
      </c>
      <c r="Z34" s="761" t="e">
        <f>IF(#REF!&gt;100,"Vượt",IF(#REF!&lt;99.5,"Không đạt","Đạt"))</f>
        <v>#REF!</v>
      </c>
      <c r="AA34" s="761"/>
      <c r="AB34" s="542"/>
      <c r="AC34" s="553"/>
      <c r="AD34" s="552"/>
      <c r="AE34" s="552"/>
      <c r="AF34" s="552"/>
    </row>
    <row r="35" spans="1:32" s="522" customFormat="1">
      <c r="A35" s="657" t="s">
        <v>378</v>
      </c>
      <c r="B35" s="656" t="s">
        <v>326</v>
      </c>
      <c r="C35" s="579"/>
      <c r="D35" s="579"/>
      <c r="E35" s="579"/>
      <c r="F35" s="579"/>
      <c r="G35" s="764"/>
      <c r="H35" s="765">
        <f>+G35-C35</f>
        <v>0</v>
      </c>
      <c r="I35" s="764"/>
      <c r="J35" s="764"/>
      <c r="K35" s="764"/>
      <c r="L35" s="764"/>
      <c r="M35" s="764"/>
      <c r="N35" s="764"/>
      <c r="O35" s="764"/>
      <c r="P35" s="766"/>
      <c r="Q35" s="764">
        <f>'[1]Ctiet UTH 17_KH 18'!J33</f>
        <v>3.5</v>
      </c>
      <c r="R35" s="765"/>
      <c r="S35" s="764"/>
      <c r="T35" s="763"/>
      <c r="U35" s="584"/>
      <c r="V35" s="579"/>
      <c r="W35" s="513" t="str">
        <f>IF(ISERROR(U35/N35*100),"",U35/N35*100)</f>
        <v/>
      </c>
      <c r="X35" s="513" t="str">
        <f>IF(ISERROR(U35/S35*100),"",U35/S35*100)</f>
        <v/>
      </c>
      <c r="Y35" s="761"/>
      <c r="Z35" s="761"/>
      <c r="AA35" s="761"/>
      <c r="AB35" s="542"/>
      <c r="AC35" s="553"/>
      <c r="AD35" s="552"/>
      <c r="AE35" s="552"/>
      <c r="AF35" s="552"/>
    </row>
    <row r="36" spans="1:32" s="522" customFormat="1">
      <c r="A36" s="657" t="s">
        <v>377</v>
      </c>
      <c r="B36" s="656" t="s">
        <v>326</v>
      </c>
      <c r="C36" s="569">
        <v>7575.4</v>
      </c>
      <c r="D36" s="569"/>
      <c r="E36" s="569"/>
      <c r="F36" s="569"/>
      <c r="G36" s="569">
        <v>7575.4</v>
      </c>
      <c r="H36" s="614">
        <f>+G36-C36</f>
        <v>0</v>
      </c>
      <c r="I36" s="569">
        <v>7700</v>
      </c>
      <c r="J36" s="569">
        <v>7699.85</v>
      </c>
      <c r="K36" s="569"/>
      <c r="L36" s="569">
        <f>L37+L40</f>
        <v>394.31</v>
      </c>
      <c r="M36" s="569">
        <f>M37+M40</f>
        <v>394.31</v>
      </c>
      <c r="N36" s="569">
        <f>N37+N40</f>
        <v>7602.26</v>
      </c>
      <c r="O36" s="569"/>
      <c r="P36" s="570">
        <v>7602.1</v>
      </c>
      <c r="Q36" s="569">
        <f>Q37+Q40</f>
        <v>7602.26</v>
      </c>
      <c r="R36" s="614"/>
      <c r="S36" s="569">
        <v>7401.98</v>
      </c>
      <c r="T36" s="573">
        <v>7123</v>
      </c>
      <c r="U36" s="573">
        <v>7123</v>
      </c>
      <c r="V36" s="762">
        <v>6000</v>
      </c>
      <c r="W36" s="513">
        <f>IF(ISERROR(U36/N36*100),"",U36/N36*100)</f>
        <v>93.695822031869469</v>
      </c>
      <c r="X36" s="513">
        <f>IF(ISERROR(U36/S36*100),"",U36/S36*100)</f>
        <v>96.231008459898575</v>
      </c>
      <c r="Y36" s="761" t="s">
        <v>246</v>
      </c>
      <c r="Z36" s="761" t="e">
        <f>IF(#REF!&gt;100,"Vượt",IF(#REF!&lt;99.5,"Không đạt","Đạt"))</f>
        <v>#REF!</v>
      </c>
      <c r="AA36" s="761"/>
      <c r="AB36" s="542"/>
      <c r="AC36" s="553"/>
      <c r="AD36" s="552"/>
      <c r="AE36" s="552"/>
      <c r="AF36" s="552"/>
    </row>
    <row r="37" spans="1:32" s="732" customFormat="1">
      <c r="A37" s="757" t="s">
        <v>376</v>
      </c>
      <c r="B37" s="734" t="s">
        <v>326</v>
      </c>
      <c r="C37" s="561"/>
      <c r="D37" s="561"/>
      <c r="E37" s="561"/>
      <c r="F37" s="561"/>
      <c r="G37" s="561"/>
      <c r="H37" s="540">
        <f>+G37-C37</f>
        <v>0</v>
      </c>
      <c r="I37" s="561">
        <v>100</v>
      </c>
      <c r="J37" s="561">
        <v>99.85</v>
      </c>
      <c r="K37" s="561"/>
      <c r="L37" s="559">
        <v>394.31</v>
      </c>
      <c r="M37" s="559">
        <v>394.31</v>
      </c>
      <c r="N37" s="561">
        <v>99.66</v>
      </c>
      <c r="O37" s="561"/>
      <c r="P37" s="756">
        <f>+Q37</f>
        <v>99.66</v>
      </c>
      <c r="Q37" s="561">
        <f>'[1]Ctiet UTH 17_KH 18'!J35</f>
        <v>99.66</v>
      </c>
      <c r="R37" s="538"/>
      <c r="S37" s="760">
        <v>35.5</v>
      </c>
      <c r="T37" s="760">
        <v>35.5</v>
      </c>
      <c r="U37" s="686">
        <f>T37</f>
        <v>35.5</v>
      </c>
      <c r="V37" s="559"/>
      <c r="W37" s="513">
        <f>IF(ISERROR(U37/N37*100),"",U37/N37*100)</f>
        <v>35.621111780052175</v>
      </c>
      <c r="X37" s="513">
        <f>IF(ISERROR(U37/S37*100),"",U37/S37*100)</f>
        <v>100</v>
      </c>
      <c r="Y37" s="754"/>
      <c r="Z37" s="754"/>
      <c r="AA37" s="754"/>
      <c r="AB37" s="753"/>
      <c r="AC37" s="759"/>
      <c r="AD37" s="751"/>
      <c r="AE37" s="751"/>
      <c r="AF37" s="751"/>
    </row>
    <row r="38" spans="1:32" s="575" customFormat="1">
      <c r="A38" s="534" t="s">
        <v>322</v>
      </c>
      <c r="B38" s="520" t="s">
        <v>321</v>
      </c>
      <c r="C38" s="758"/>
      <c r="D38" s="758"/>
      <c r="E38" s="758"/>
      <c r="F38" s="758"/>
      <c r="G38" s="758"/>
      <c r="H38" s="540">
        <f>+G38-C38</f>
        <v>0</v>
      </c>
      <c r="I38" s="758">
        <v>145</v>
      </c>
      <c r="J38" s="758">
        <v>145</v>
      </c>
      <c r="K38" s="758"/>
      <c r="L38" s="724">
        <v>145</v>
      </c>
      <c r="M38" s="724">
        <v>145</v>
      </c>
      <c r="N38" s="758"/>
      <c r="O38" s="758"/>
      <c r="P38" s="670">
        <v>145</v>
      </c>
      <c r="Q38" s="612">
        <f>'[1]Ctiet UTH 17_KH 18'!J36</f>
        <v>313.02187437286773</v>
      </c>
      <c r="R38" s="538"/>
      <c r="S38" s="758">
        <v>313.16901408450701</v>
      </c>
      <c r="T38" s="758"/>
      <c r="U38" s="758"/>
      <c r="V38" s="602"/>
      <c r="W38" s="513" t="str">
        <f>IF(ISERROR(U38/N38*100),"",U38/N38*100)</f>
        <v/>
      </c>
      <c r="X38" s="513">
        <f>IF(ISERROR(U38/S38*100),"",U38/S38*100)</f>
        <v>0</v>
      </c>
      <c r="Y38" s="512"/>
      <c r="Z38" s="512"/>
      <c r="AA38" s="512"/>
      <c r="AB38" s="542"/>
      <c r="AC38" s="577"/>
      <c r="AD38" s="576"/>
      <c r="AE38" s="576"/>
      <c r="AF38" s="576"/>
    </row>
    <row r="39" spans="1:32" s="575" customFormat="1">
      <c r="A39" s="534" t="s">
        <v>319</v>
      </c>
      <c r="B39" s="520" t="s">
        <v>299</v>
      </c>
      <c r="C39" s="603"/>
      <c r="D39" s="603"/>
      <c r="E39" s="603"/>
      <c r="F39" s="603"/>
      <c r="G39" s="603"/>
      <c r="H39" s="540">
        <f>+G39-C39</f>
        <v>0</v>
      </c>
      <c r="I39" s="603">
        <f>0.1*I38*I37</f>
        <v>1450</v>
      </c>
      <c r="J39" s="603">
        <v>1447.8249999999998</v>
      </c>
      <c r="K39" s="603"/>
      <c r="L39" s="602">
        <f>0.1*L38*L37</f>
        <v>5717.4949999999999</v>
      </c>
      <c r="M39" s="602">
        <f>0.1*M38*M37</f>
        <v>5717.4949999999999</v>
      </c>
      <c r="N39" s="603">
        <f>0.1*N38*N37</f>
        <v>0</v>
      </c>
      <c r="O39" s="603"/>
      <c r="P39" s="606">
        <f>0.1*P38*P37</f>
        <v>1445.07</v>
      </c>
      <c r="Q39" s="603">
        <f>0.1*Q38*Q37</f>
        <v>3119.576</v>
      </c>
      <c r="R39" s="538"/>
      <c r="S39" s="603">
        <v>1111.75</v>
      </c>
      <c r="T39" s="603">
        <f>T38*T37/10</f>
        <v>0</v>
      </c>
      <c r="U39" s="603">
        <f>U38*U37/10</f>
        <v>0</v>
      </c>
      <c r="V39" s="602"/>
      <c r="W39" s="513" t="str">
        <f>IF(ISERROR(U39/N39*100),"",U39/N39*100)</f>
        <v/>
      </c>
      <c r="X39" s="513">
        <f>IF(ISERROR(U39/S39*100),"",U39/S39*100)</f>
        <v>0</v>
      </c>
      <c r="Y39" s="512"/>
      <c r="Z39" s="512"/>
      <c r="AA39" s="512"/>
      <c r="AB39" s="582"/>
      <c r="AC39" s="577"/>
      <c r="AD39" s="576"/>
      <c r="AE39" s="576"/>
      <c r="AF39" s="576"/>
    </row>
    <row r="40" spans="1:32" s="732" customFormat="1">
      <c r="A40" s="757" t="s">
        <v>375</v>
      </c>
      <c r="B40" s="734" t="s">
        <v>326</v>
      </c>
      <c r="C40" s="561">
        <f>+C36</f>
        <v>7575.4</v>
      </c>
      <c r="D40" s="561"/>
      <c r="E40" s="561"/>
      <c r="F40" s="561"/>
      <c r="G40" s="561">
        <f>+G36</f>
        <v>7575.4</v>
      </c>
      <c r="H40" s="540">
        <f>+G40-C40</f>
        <v>0</v>
      </c>
      <c r="I40" s="561">
        <v>7600</v>
      </c>
      <c r="J40" s="561">
        <v>7600</v>
      </c>
      <c r="K40" s="561"/>
      <c r="L40" s="559"/>
      <c r="M40" s="559"/>
      <c r="N40" s="561">
        <v>7502.6</v>
      </c>
      <c r="O40" s="561"/>
      <c r="P40" s="756">
        <f>+P36-P37</f>
        <v>7502.4400000000005</v>
      </c>
      <c r="Q40" s="756">
        <f>'[1]Ctiet UTH 17_KH 18'!J38</f>
        <v>7502.6</v>
      </c>
      <c r="R40" s="538"/>
      <c r="S40" s="561">
        <v>7366.48</v>
      </c>
      <c r="T40" s="755">
        <v>7087.5</v>
      </c>
      <c r="U40" s="686">
        <v>7087.5</v>
      </c>
      <c r="V40" s="559"/>
      <c r="W40" s="513">
        <f>IF(ISERROR(U40/N40*100),"",U40/N40*100)</f>
        <v>94.467251352864338</v>
      </c>
      <c r="X40" s="513">
        <f>IF(ISERROR(U40/S40*100),"",U40/S40*100)</f>
        <v>96.212845212367384</v>
      </c>
      <c r="Y40" s="754"/>
      <c r="Z40" s="754"/>
      <c r="AA40" s="754"/>
      <c r="AB40" s="753"/>
      <c r="AC40" s="752"/>
      <c r="AD40" s="751"/>
      <c r="AE40" s="751"/>
      <c r="AF40" s="751"/>
    </row>
    <row r="41" spans="1:32" s="575" customFormat="1">
      <c r="A41" s="534" t="s">
        <v>322</v>
      </c>
      <c r="B41" s="520" t="s">
        <v>321</v>
      </c>
      <c r="C41" s="612"/>
      <c r="D41" s="612"/>
      <c r="E41" s="612"/>
      <c r="F41" s="612"/>
      <c r="G41" s="612">
        <v>152</v>
      </c>
      <c r="H41" s="540">
        <f>+G41-C41</f>
        <v>152</v>
      </c>
      <c r="I41" s="612">
        <v>142.1</v>
      </c>
      <c r="J41" s="611">
        <v>152</v>
      </c>
      <c r="K41" s="611"/>
      <c r="L41" s="680"/>
      <c r="M41" s="680"/>
      <c r="N41" s="611"/>
      <c r="O41" s="611"/>
      <c r="P41" s="610"/>
      <c r="Q41" s="611">
        <v>152</v>
      </c>
      <c r="R41" s="538"/>
      <c r="S41" s="611">
        <v>152.21354839760647</v>
      </c>
      <c r="T41" s="612"/>
      <c r="U41" s="612"/>
      <c r="V41" s="680"/>
      <c r="W41" s="513" t="str">
        <f>IF(ISERROR(U41/N41*100),"",U41/N41*100)</f>
        <v/>
      </c>
      <c r="X41" s="513">
        <f>IF(ISERROR(U41/S41*100),"",U41/S41*100)</f>
        <v>0</v>
      </c>
      <c r="Y41" s="512"/>
      <c r="Z41" s="512"/>
      <c r="AA41" s="512"/>
      <c r="AB41" s="542"/>
      <c r="AC41" s="577"/>
      <c r="AD41" s="576"/>
      <c r="AE41" s="576"/>
      <c r="AF41" s="576"/>
    </row>
    <row r="42" spans="1:32" s="522" customFormat="1">
      <c r="A42" s="534" t="s">
        <v>319</v>
      </c>
      <c r="B42" s="520" t="s">
        <v>299</v>
      </c>
      <c r="C42" s="578"/>
      <c r="D42" s="578"/>
      <c r="E42" s="578"/>
      <c r="F42" s="578"/>
      <c r="G42" s="578">
        <v>115146.08</v>
      </c>
      <c r="H42" s="540">
        <f>+G42-C42</f>
        <v>115146.08</v>
      </c>
      <c r="I42" s="578">
        <v>109450</v>
      </c>
      <c r="J42" s="578">
        <v>115520.00000000001</v>
      </c>
      <c r="K42" s="578"/>
      <c r="L42" s="514"/>
      <c r="M42" s="514"/>
      <c r="N42" s="578">
        <f>0.1*N41*N40</f>
        <v>0</v>
      </c>
      <c r="O42" s="578"/>
      <c r="P42" s="516"/>
      <c r="Q42" s="578">
        <f>0.1*Q41*Q40</f>
        <v>114039.52000000002</v>
      </c>
      <c r="R42" s="538"/>
      <c r="S42" s="578">
        <v>112127.80600000001</v>
      </c>
      <c r="T42" s="578">
        <f>T41*T40/10</f>
        <v>0</v>
      </c>
      <c r="U42" s="578">
        <f>U41*U40/10</f>
        <v>0</v>
      </c>
      <c r="V42" s="514"/>
      <c r="W42" s="513" t="str">
        <f>IF(ISERROR(U42/N42*100),"",U42/N42*100)</f>
        <v/>
      </c>
      <c r="X42" s="513">
        <f>IF(ISERROR(U42/S42*100),"",U42/S42*100)</f>
        <v>0</v>
      </c>
      <c r="Y42" s="512"/>
      <c r="Z42" s="512"/>
      <c r="AA42" s="512"/>
      <c r="AB42" s="582"/>
      <c r="AC42" s="553"/>
      <c r="AD42" s="552"/>
      <c r="AE42" s="552"/>
      <c r="AF42" s="552"/>
    </row>
    <row r="43" spans="1:32" s="522" customFormat="1">
      <c r="A43" s="541" t="s">
        <v>374</v>
      </c>
      <c r="B43" s="562" t="s">
        <v>326</v>
      </c>
      <c r="C43" s="572">
        <f>C44+C45</f>
        <v>79</v>
      </c>
      <c r="D43" s="572"/>
      <c r="E43" s="572"/>
      <c r="F43" s="572"/>
      <c r="G43" s="572">
        <v>118</v>
      </c>
      <c r="H43" s="540">
        <f>+G43-C43</f>
        <v>39</v>
      </c>
      <c r="I43" s="572">
        <v>127</v>
      </c>
      <c r="J43" s="569">
        <v>127</v>
      </c>
      <c r="K43" s="569"/>
      <c r="L43" s="572">
        <f>L44+L45</f>
        <v>48.5</v>
      </c>
      <c r="M43" s="572">
        <f>M44+M45</f>
        <v>48.5</v>
      </c>
      <c r="N43" s="572">
        <f>N44+N45</f>
        <v>70</v>
      </c>
      <c r="O43" s="572">
        <v>112</v>
      </c>
      <c r="P43" s="750">
        <f>P44+P45</f>
        <v>78</v>
      </c>
      <c r="Q43" s="572">
        <f>Q44+Q45</f>
        <v>120.5</v>
      </c>
      <c r="R43" s="538"/>
      <c r="S43" s="572">
        <v>121</v>
      </c>
      <c r="T43" s="573">
        <f>T44+T45</f>
        <v>69</v>
      </c>
      <c r="U43" s="573">
        <f>U44+U45</f>
        <v>77</v>
      </c>
      <c r="V43" s="572">
        <f>V44+V45</f>
        <v>0</v>
      </c>
      <c r="W43" s="513">
        <f>IF(ISERROR(U43/N43*100),"",U43/N43*100)</f>
        <v>110.00000000000001</v>
      </c>
      <c r="X43" s="513">
        <f>IF(ISERROR(U43/S43*100),"",U43/S43*100)</f>
        <v>63.636363636363633</v>
      </c>
      <c r="Y43" s="512" t="s">
        <v>261</v>
      </c>
      <c r="Z43" s="512" t="e">
        <f>IF(#REF!&gt;100,"Vượt",IF(#REF!&lt;99.5,"Không đạt","Đạt"))</f>
        <v>#REF!</v>
      </c>
      <c r="AA43" s="512"/>
      <c r="AB43" s="542"/>
      <c r="AC43" s="553"/>
      <c r="AD43" s="552"/>
      <c r="AE43" s="552"/>
      <c r="AF43" s="552"/>
    </row>
    <row r="44" spans="1:32" s="494" customFormat="1">
      <c r="A44" s="657" t="s">
        <v>373</v>
      </c>
      <c r="B44" s="656" t="s">
        <v>326</v>
      </c>
      <c r="C44" s="694">
        <v>62</v>
      </c>
      <c r="D44" s="694"/>
      <c r="E44" s="694"/>
      <c r="F44" s="694"/>
      <c r="G44" s="694">
        <v>98</v>
      </c>
      <c r="H44" s="540">
        <f>+G44-C44</f>
        <v>36</v>
      </c>
      <c r="I44" s="694">
        <v>102</v>
      </c>
      <c r="J44" s="694">
        <v>102</v>
      </c>
      <c r="K44" s="694"/>
      <c r="L44" s="694">
        <v>48</v>
      </c>
      <c r="M44" s="694">
        <v>48</v>
      </c>
      <c r="N44" s="694">
        <v>58</v>
      </c>
      <c r="O44" s="694"/>
      <c r="P44" s="749">
        <v>60.5</v>
      </c>
      <c r="Q44" s="694">
        <f>'[1]Ctiet UTH 17_KH 18'!J42</f>
        <v>102</v>
      </c>
      <c r="R44" s="538"/>
      <c r="S44" s="694">
        <v>102</v>
      </c>
      <c r="T44" s="700">
        <f>48+4</f>
        <v>52</v>
      </c>
      <c r="U44" s="700">
        <v>58</v>
      </c>
      <c r="V44" s="694"/>
      <c r="W44" s="513">
        <f>IF(ISERROR(U44/N44*100),"",U44/N44*100)</f>
        <v>100</v>
      </c>
      <c r="X44" s="513">
        <f>IF(ISERROR(U44/S44*100),"",U44/S44*100)</f>
        <v>56.862745098039213</v>
      </c>
      <c r="Y44" s="512" t="s">
        <v>261</v>
      </c>
      <c r="Z44" s="512" t="e">
        <f>IF(#REF!&gt;100,"Vượt",IF(#REF!&lt;99.5,"Không đạt","Đạt"))</f>
        <v>#REF!</v>
      </c>
      <c r="AA44" s="512"/>
      <c r="AB44" s="746"/>
      <c r="AC44" s="692"/>
      <c r="AD44" s="495"/>
      <c r="AE44" s="495"/>
      <c r="AF44" s="495"/>
    </row>
    <row r="45" spans="1:32" s="494" customFormat="1">
      <c r="A45" s="657" t="s">
        <v>372</v>
      </c>
      <c r="B45" s="656" t="s">
        <v>326</v>
      </c>
      <c r="C45" s="694">
        <v>17</v>
      </c>
      <c r="D45" s="694"/>
      <c r="E45" s="694"/>
      <c r="F45" s="694"/>
      <c r="G45" s="694">
        <v>20</v>
      </c>
      <c r="H45" s="540">
        <f>+G45-C45</f>
        <v>3</v>
      </c>
      <c r="I45" s="694">
        <v>25</v>
      </c>
      <c r="J45" s="694">
        <v>25</v>
      </c>
      <c r="K45" s="694"/>
      <c r="L45" s="694">
        <v>0.5</v>
      </c>
      <c r="M45" s="694">
        <v>0.5</v>
      </c>
      <c r="N45" s="694">
        <v>12</v>
      </c>
      <c r="O45" s="694"/>
      <c r="P45" s="748">
        <f>78-60.5</f>
        <v>17.5</v>
      </c>
      <c r="Q45" s="694">
        <f>'[1]Ctiet UTH 17_KH 18'!J43</f>
        <v>18.5</v>
      </c>
      <c r="R45" s="538"/>
      <c r="S45" s="694">
        <v>19</v>
      </c>
      <c r="T45" s="700">
        <v>17</v>
      </c>
      <c r="U45" s="700">
        <v>19</v>
      </c>
      <c r="V45" s="694"/>
      <c r="W45" s="513">
        <f>IF(ISERROR(U45/N45*100),"",U45/N45*100)</f>
        <v>158.33333333333331</v>
      </c>
      <c r="X45" s="513">
        <f>IF(ISERROR(U45/S45*100),"",U45/S45*100)</f>
        <v>100</v>
      </c>
      <c r="Y45" s="512" t="s">
        <v>261</v>
      </c>
      <c r="Z45" s="512" t="e">
        <f>IF(#REF!&gt;100,"Vượt",IF(#REF!&lt;99.5,"Không đạt","Đạt"))</f>
        <v>#REF!</v>
      </c>
      <c r="AA45" s="512"/>
      <c r="AB45" s="746"/>
      <c r="AC45" s="692"/>
      <c r="AD45" s="495"/>
      <c r="AE45" s="495"/>
      <c r="AF45" s="495"/>
    </row>
    <row r="46" spans="1:32" s="522" customFormat="1">
      <c r="A46" s="541" t="s">
        <v>371</v>
      </c>
      <c r="B46" s="562" t="s">
        <v>326</v>
      </c>
      <c r="C46" s="572">
        <f>+C47+C50</f>
        <v>185</v>
      </c>
      <c r="D46" s="572"/>
      <c r="E46" s="572"/>
      <c r="F46" s="572"/>
      <c r="G46" s="572">
        <f>+G47+G50</f>
        <v>185</v>
      </c>
      <c r="H46" s="540">
        <f>+G46-C46</f>
        <v>0</v>
      </c>
      <c r="I46" s="569">
        <f>I47+I50</f>
        <v>181</v>
      </c>
      <c r="J46" s="569">
        <v>116</v>
      </c>
      <c r="K46" s="569"/>
      <c r="L46" s="572">
        <f>L47+L50</f>
        <v>112</v>
      </c>
      <c r="M46" s="572">
        <f>M47+M50</f>
        <v>112</v>
      </c>
      <c r="N46" s="569">
        <f>+N47+N50</f>
        <v>116</v>
      </c>
      <c r="O46" s="569">
        <v>112</v>
      </c>
      <c r="P46" s="570">
        <f>+P47+P50</f>
        <v>116</v>
      </c>
      <c r="Q46" s="570">
        <f>+Q47+Q50</f>
        <v>164.5</v>
      </c>
      <c r="R46" s="538"/>
      <c r="S46" s="569">
        <v>180.2</v>
      </c>
      <c r="T46" s="573">
        <f>T50</f>
        <v>106.2</v>
      </c>
      <c r="U46" s="686">
        <f>U47+U50</f>
        <v>110.2</v>
      </c>
      <c r="V46" s="572"/>
      <c r="W46" s="513">
        <f>IF(ISERROR(U46/N46*100),"",U46/N46*100)</f>
        <v>95</v>
      </c>
      <c r="X46" s="513">
        <f>IF(ISERROR(U46/S46*100),"",U46/S46*100)</f>
        <v>61.15427302996671</v>
      </c>
      <c r="Y46" s="512" t="s">
        <v>269</v>
      </c>
      <c r="Z46" s="512" t="e">
        <f>IF(#REF!&gt;100,"Vượt",IF(#REF!&lt;99.5,"Không đạt","Đạt"))</f>
        <v>#REF!</v>
      </c>
      <c r="AA46" s="512"/>
      <c r="AB46" s="542"/>
      <c r="AC46" s="553"/>
      <c r="AD46" s="552"/>
      <c r="AE46" s="552"/>
      <c r="AF46" s="552"/>
    </row>
    <row r="47" spans="1:32" s="494" customFormat="1">
      <c r="A47" s="657" t="s">
        <v>370</v>
      </c>
      <c r="B47" s="656" t="s">
        <v>326</v>
      </c>
      <c r="C47" s="694">
        <v>4</v>
      </c>
      <c r="D47" s="694"/>
      <c r="E47" s="694"/>
      <c r="F47" s="694"/>
      <c r="G47" s="694">
        <v>4</v>
      </c>
      <c r="H47" s="540">
        <f>+G47-C47</f>
        <v>0</v>
      </c>
      <c r="I47" s="694"/>
      <c r="J47" s="694"/>
      <c r="K47" s="694"/>
      <c r="L47" s="694"/>
      <c r="M47" s="694"/>
      <c r="N47" s="694"/>
      <c r="O47" s="694"/>
      <c r="P47" s="748"/>
      <c r="Q47" s="694">
        <f>'[1]Ctiet UTH 17_KH 18'!J45</f>
        <v>4.5</v>
      </c>
      <c r="R47" s="538"/>
      <c r="S47" s="694"/>
      <c r="T47" s="700"/>
      <c r="U47" s="747">
        <v>4</v>
      </c>
      <c r="V47" s="694"/>
      <c r="W47" s="513" t="str">
        <f>IF(ISERROR(U47/N47*100),"",U47/N47*100)</f>
        <v/>
      </c>
      <c r="X47" s="513" t="str">
        <f>IF(ISERROR(U47/S47*100),"",U47/S47*100)</f>
        <v/>
      </c>
      <c r="Y47" s="512"/>
      <c r="Z47" s="512"/>
      <c r="AA47" s="512"/>
      <c r="AB47" s="746"/>
      <c r="AC47" s="692"/>
      <c r="AD47" s="495"/>
      <c r="AE47" s="495"/>
      <c r="AF47" s="495"/>
    </row>
    <row r="48" spans="1:32" s="575" customFormat="1">
      <c r="A48" s="534" t="s">
        <v>322</v>
      </c>
      <c r="B48" s="520" t="s">
        <v>321</v>
      </c>
      <c r="C48" s="680">
        <v>25.5</v>
      </c>
      <c r="D48" s="680"/>
      <c r="E48" s="680"/>
      <c r="F48" s="680"/>
      <c r="G48" s="680">
        <v>25.5</v>
      </c>
      <c r="H48" s="540">
        <f>+G48-C48</f>
        <v>0</v>
      </c>
      <c r="I48" s="680"/>
      <c r="J48" s="611"/>
      <c r="K48" s="611"/>
      <c r="L48" s="680"/>
      <c r="M48" s="680"/>
      <c r="N48" s="611"/>
      <c r="O48" s="611"/>
      <c r="P48" s="610"/>
      <c r="Q48" s="611"/>
      <c r="R48" s="538"/>
      <c r="S48" s="611"/>
      <c r="T48" s="612"/>
      <c r="U48" s="537"/>
      <c r="V48" s="680"/>
      <c r="W48" s="513" t="str">
        <f>IF(ISERROR(U48/N48*100),"",U48/N48*100)</f>
        <v/>
      </c>
      <c r="X48" s="513" t="str">
        <f>IF(ISERROR(U48/S48*100),"",U48/S48*100)</f>
        <v/>
      </c>
      <c r="Y48" s="512"/>
      <c r="Z48" s="512"/>
      <c r="AA48" s="512"/>
      <c r="AB48" s="542"/>
      <c r="AC48" s="577"/>
      <c r="AD48" s="576"/>
      <c r="AE48" s="576"/>
      <c r="AF48" s="576"/>
    </row>
    <row r="49" spans="1:32" s="522" customFormat="1">
      <c r="A49" s="534" t="s">
        <v>319</v>
      </c>
      <c r="B49" s="520" t="s">
        <v>299</v>
      </c>
      <c r="C49" s="602">
        <v>10.200000000000001</v>
      </c>
      <c r="D49" s="602"/>
      <c r="E49" s="602"/>
      <c r="F49" s="602"/>
      <c r="G49" s="602">
        <v>10.200000000000001</v>
      </c>
      <c r="H49" s="540">
        <f>+G49-C49</f>
        <v>0</v>
      </c>
      <c r="I49" s="602"/>
      <c r="J49" s="604"/>
      <c r="K49" s="604"/>
      <c r="L49" s="602"/>
      <c r="M49" s="602"/>
      <c r="N49" s="604"/>
      <c r="O49" s="604"/>
      <c r="P49" s="605"/>
      <c r="Q49" s="604"/>
      <c r="R49" s="538"/>
      <c r="S49" s="604"/>
      <c r="T49" s="603"/>
      <c r="U49" s="537"/>
      <c r="V49" s="602"/>
      <c r="W49" s="513" t="str">
        <f>IF(ISERROR(U49/N49*100),"",U49/N49*100)</f>
        <v/>
      </c>
      <c r="X49" s="513" t="str">
        <f>IF(ISERROR(U49/S49*100),"",U49/S49*100)</f>
        <v/>
      </c>
      <c r="Y49" s="512"/>
      <c r="Z49" s="512"/>
      <c r="AA49" s="512"/>
      <c r="AB49" s="542"/>
      <c r="AC49" s="553"/>
      <c r="AD49" s="552"/>
      <c r="AE49" s="552"/>
      <c r="AF49" s="552"/>
    </row>
    <row r="50" spans="1:32" s="494" customFormat="1">
      <c r="A50" s="657" t="s">
        <v>369</v>
      </c>
      <c r="B50" s="656" t="s">
        <v>326</v>
      </c>
      <c r="C50" s="694">
        <f>+G50</f>
        <v>181</v>
      </c>
      <c r="D50" s="694"/>
      <c r="E50" s="694"/>
      <c r="F50" s="694"/>
      <c r="G50" s="694">
        <v>181</v>
      </c>
      <c r="H50" s="540">
        <f>+G50-C50</f>
        <v>0</v>
      </c>
      <c r="I50" s="694">
        <v>181</v>
      </c>
      <c r="J50" s="699">
        <v>116</v>
      </c>
      <c r="K50" s="699"/>
      <c r="L50" s="694">
        <v>112</v>
      </c>
      <c r="M50" s="694">
        <v>112</v>
      </c>
      <c r="N50" s="699">
        <v>116</v>
      </c>
      <c r="O50" s="699">
        <v>112</v>
      </c>
      <c r="P50" s="703">
        <v>116</v>
      </c>
      <c r="Q50" s="699">
        <f>'[1]Ctiet UTH 17_KH 18'!J47</f>
        <v>160</v>
      </c>
      <c r="R50" s="538"/>
      <c r="S50" s="703">
        <v>180.2</v>
      </c>
      <c r="T50" s="745">
        <v>106.2</v>
      </c>
      <c r="U50" s="744">
        <v>106.2</v>
      </c>
      <c r="V50" s="694">
        <v>300</v>
      </c>
      <c r="W50" s="513">
        <f>IF(ISERROR(U50/N50*100),"",U50/N50*100)</f>
        <v>91.551724137931032</v>
      </c>
      <c r="X50" s="513">
        <f>IF(ISERROR(U50/S50*100),"",U50/S50*100)</f>
        <v>58.93451720310766</v>
      </c>
      <c r="Y50" s="512" t="s">
        <v>269</v>
      </c>
      <c r="Z50" s="512" t="e">
        <f>IF(#REF!&gt;100,"Vượt",IF(#REF!&lt;99.5,"Không đạt","Đạt"))</f>
        <v>#REF!</v>
      </c>
      <c r="AA50" s="512"/>
      <c r="AB50" s="743"/>
      <c r="AC50" s="692"/>
      <c r="AD50" s="495"/>
      <c r="AE50" s="495"/>
      <c r="AF50" s="495"/>
    </row>
    <row r="51" spans="1:32" s="575" customFormat="1">
      <c r="A51" s="534" t="s">
        <v>368</v>
      </c>
      <c r="B51" s="520" t="s">
        <v>326</v>
      </c>
      <c r="C51" s="602">
        <v>19</v>
      </c>
      <c r="D51" s="602"/>
      <c r="E51" s="602"/>
      <c r="F51" s="602"/>
      <c r="G51" s="602">
        <v>19</v>
      </c>
      <c r="H51" s="540">
        <f>+G51-C51</f>
        <v>0</v>
      </c>
      <c r="I51" s="694"/>
      <c r="J51" s="604">
        <v>0</v>
      </c>
      <c r="K51" s="604"/>
      <c r="L51" s="602"/>
      <c r="M51" s="602"/>
      <c r="N51" s="604"/>
      <c r="O51" s="604"/>
      <c r="P51" s="605"/>
      <c r="Q51" s="604">
        <f>'[1]Ctiet UTH 17_KH 18'!J48</f>
        <v>45</v>
      </c>
      <c r="R51" s="538"/>
      <c r="S51" s="605">
        <v>20.2</v>
      </c>
      <c r="T51" s="606"/>
      <c r="U51" s="578">
        <v>0</v>
      </c>
      <c r="V51" s="602"/>
      <c r="W51" s="513" t="str">
        <f>IF(ISERROR(U51/N51*100),"",U51/N51*100)</f>
        <v/>
      </c>
      <c r="X51" s="513">
        <f>IF(ISERROR(U51/S51*100),"",U51/S51*100)</f>
        <v>0</v>
      </c>
      <c r="Y51" s="512"/>
      <c r="Z51" s="512"/>
      <c r="AA51" s="512"/>
      <c r="AB51" s="542"/>
      <c r="AC51" s="577"/>
      <c r="AD51" s="576"/>
      <c r="AE51" s="576"/>
      <c r="AF51" s="576"/>
    </row>
    <row r="52" spans="1:32" s="575" customFormat="1">
      <c r="A52" s="534" t="s">
        <v>322</v>
      </c>
      <c r="B52" s="520" t="s">
        <v>321</v>
      </c>
      <c r="C52" s="680"/>
      <c r="D52" s="680"/>
      <c r="E52" s="680"/>
      <c r="F52" s="680"/>
      <c r="G52" s="680">
        <v>625.52</v>
      </c>
      <c r="H52" s="540">
        <f>+G52-C52</f>
        <v>625.52</v>
      </c>
      <c r="I52" s="602" t="s">
        <v>367</v>
      </c>
      <c r="J52" s="611">
        <v>600</v>
      </c>
      <c r="K52" s="611"/>
      <c r="L52" s="680"/>
      <c r="M52" s="680"/>
      <c r="N52" s="611"/>
      <c r="O52" s="611"/>
      <c r="P52" s="610"/>
      <c r="Q52" s="611">
        <v>600</v>
      </c>
      <c r="R52" s="538"/>
      <c r="S52" s="611">
        <v>600</v>
      </c>
      <c r="T52" s="612"/>
      <c r="U52" s="609">
        <v>590</v>
      </c>
      <c r="V52" s="680"/>
      <c r="W52" s="513" t="str">
        <f>IF(ISERROR(U52/N52*100),"",U52/N52*100)</f>
        <v/>
      </c>
      <c r="X52" s="513">
        <f>IF(ISERROR(U52/S52*100),"",U52/S52*100)</f>
        <v>98.333333333333329</v>
      </c>
      <c r="Y52" s="512"/>
      <c r="Z52" s="512"/>
      <c r="AA52" s="512"/>
      <c r="AB52" s="542"/>
      <c r="AC52" s="577"/>
      <c r="AD52" s="576"/>
      <c r="AE52" s="576"/>
      <c r="AF52" s="576"/>
    </row>
    <row r="53" spans="1:32" s="575" customFormat="1">
      <c r="A53" s="534" t="s">
        <v>319</v>
      </c>
      <c r="B53" s="520" t="s">
        <v>299</v>
      </c>
      <c r="C53" s="602"/>
      <c r="D53" s="602"/>
      <c r="E53" s="602"/>
      <c r="F53" s="602"/>
      <c r="G53" s="602">
        <v>11321.912</v>
      </c>
      <c r="H53" s="540">
        <f>+G53-C53</f>
        <v>11321.912</v>
      </c>
      <c r="I53" s="602">
        <v>10760</v>
      </c>
      <c r="J53" s="602">
        <v>6960</v>
      </c>
      <c r="K53" s="602"/>
      <c r="L53" s="602"/>
      <c r="M53" s="602"/>
      <c r="N53" s="602"/>
      <c r="O53" s="602"/>
      <c r="P53" s="742"/>
      <c r="Q53" s="602">
        <f>0.1*Q52*Q50</f>
        <v>9600</v>
      </c>
      <c r="R53" s="538"/>
      <c r="S53" s="602">
        <v>10812</v>
      </c>
      <c r="T53" s="603"/>
      <c r="U53" s="741">
        <f>U52*U50/10</f>
        <v>6265.8</v>
      </c>
      <c r="V53" s="602"/>
      <c r="W53" s="513" t="str">
        <f>IF(ISERROR(U53/N53*100),"",U53/N53*100)</f>
        <v/>
      </c>
      <c r="X53" s="513">
        <f>IF(ISERROR(U53/S53*100),"",U53/S53*100)</f>
        <v>57.952275249722533</v>
      </c>
      <c r="Y53" s="512"/>
      <c r="Z53" s="512"/>
      <c r="AA53" s="512"/>
      <c r="AB53" s="582"/>
      <c r="AC53" s="577"/>
      <c r="AD53" s="576"/>
      <c r="AE53" s="576"/>
      <c r="AF53" s="576"/>
    </row>
    <row r="54" spans="1:32" s="732" customFormat="1">
      <c r="A54" s="735" t="s">
        <v>366</v>
      </c>
      <c r="B54" s="734" t="s">
        <v>326</v>
      </c>
      <c r="C54" s="573">
        <f>C55+C103</f>
        <v>15972.5</v>
      </c>
      <c r="D54" s="573"/>
      <c r="E54" s="573"/>
      <c r="F54" s="573">
        <v>16123</v>
      </c>
      <c r="G54" s="573">
        <f>+G55+G103</f>
        <v>16122.6</v>
      </c>
      <c r="H54" s="613">
        <f>+G54-C54</f>
        <v>150.10000000000036</v>
      </c>
      <c r="I54" s="573">
        <f>I55+I103</f>
        <v>13555</v>
      </c>
      <c r="J54" s="573">
        <v>16364.4</v>
      </c>
      <c r="K54" s="573"/>
      <c r="L54" s="573">
        <f>L55+L103</f>
        <v>16122.4</v>
      </c>
      <c r="M54" s="573">
        <f>M55+M103</f>
        <v>16122.4</v>
      </c>
      <c r="N54" s="573">
        <f>N55+N103</f>
        <v>16228.599999999999</v>
      </c>
      <c r="O54" s="573">
        <f>O55+O103</f>
        <v>16538.899999999998</v>
      </c>
      <c r="P54" s="568">
        <f>P55+P103</f>
        <v>16544.599999999999</v>
      </c>
      <c r="Q54" s="573">
        <f>Q55+Q103</f>
        <v>16622.91</v>
      </c>
      <c r="R54" s="538"/>
      <c r="S54" s="573">
        <v>17278.57</v>
      </c>
      <c r="T54" s="573">
        <f>T55+T103</f>
        <v>16623.27</v>
      </c>
      <c r="U54" s="573">
        <f>U55+U103</f>
        <v>17123.350000000002</v>
      </c>
      <c r="V54" s="572"/>
      <c r="W54" s="513">
        <f>IF(ISERROR(U54/N54*100),"",U54/N54*100)</f>
        <v>105.51341458905885</v>
      </c>
      <c r="X54" s="513">
        <f>IF(ISERROR(U54/S54*100),"",U54/S54*100)</f>
        <v>99.101661769463576</v>
      </c>
      <c r="Y54" s="720" t="s">
        <v>261</v>
      </c>
      <c r="Z54" s="720" t="e">
        <f>IF(#REF!&gt;100,"Vượt",IF(#REF!&lt;99.5,"Không đạt","Đạt"))</f>
        <v>#REF!</v>
      </c>
      <c r="AA54" s="720"/>
      <c r="AB54" s="723"/>
      <c r="AC54" s="728"/>
      <c r="AD54" s="727"/>
      <c r="AE54" s="727"/>
      <c r="AF54" s="727"/>
    </row>
    <row r="55" spans="1:32" s="736" customFormat="1">
      <c r="A55" s="740" t="s">
        <v>365</v>
      </c>
      <c r="B55" s="739" t="s">
        <v>326</v>
      </c>
      <c r="C55" s="737">
        <f>C57+C72+C90+C87+C95</f>
        <v>15698.5</v>
      </c>
      <c r="D55" s="737"/>
      <c r="E55" s="737"/>
      <c r="F55" s="737"/>
      <c r="G55" s="737">
        <f>G57+G72+G90+G87+G95+G100</f>
        <v>15848.6</v>
      </c>
      <c r="H55" s="737">
        <f>H57+H72+H90+H87+H95+H100</f>
        <v>150.10000000000036</v>
      </c>
      <c r="I55" s="737">
        <f>I57+I72+I90+I87+I95+I100</f>
        <v>13280</v>
      </c>
      <c r="J55" s="737">
        <f>J57+J72+J90+J87+J95+J100</f>
        <v>16056.6</v>
      </c>
      <c r="K55" s="737">
        <f>K57+K72+K90+K87+K95+K100</f>
        <v>0</v>
      </c>
      <c r="L55" s="737">
        <f>L57+L72+L90+L87+L95+L100</f>
        <v>15848.4</v>
      </c>
      <c r="M55" s="737">
        <f>M57+M72+M90+M87+M95+M100</f>
        <v>15848.4</v>
      </c>
      <c r="N55" s="737">
        <f>N57+N72+N90+N87+N95+N100</f>
        <v>15951.599999999999</v>
      </c>
      <c r="O55" s="737">
        <f>O57+O72+O90+O87+O95+O100</f>
        <v>16213.099999999999</v>
      </c>
      <c r="P55" s="737">
        <f>P57+P72+P90+P87+P95+P100</f>
        <v>16219.6</v>
      </c>
      <c r="Q55" s="737">
        <f>Q57+Q72+Q90+Q87+Q95+Q100</f>
        <v>16297.11</v>
      </c>
      <c r="R55" s="737"/>
      <c r="S55" s="737">
        <v>16932.77</v>
      </c>
      <c r="T55" s="737">
        <f>T57+T72+T87+T90+T95+T100</f>
        <v>16297.27</v>
      </c>
      <c r="U55" s="737">
        <f>U57+U72+U87+U90+U95+U100</f>
        <v>16777.350000000002</v>
      </c>
      <c r="V55" s="652"/>
      <c r="W55" s="513">
        <f>IF(ISERROR(U55/N55*100),"",U55/N55*100)</f>
        <v>105.17659670503275</v>
      </c>
      <c r="X55" s="513">
        <f>IF(ISERROR(U55/S55*100),"",U55/S55*100)</f>
        <v>99.082134819052058</v>
      </c>
      <c r="Y55" s="720" t="s">
        <v>261</v>
      </c>
      <c r="Z55" s="720" t="s">
        <v>261</v>
      </c>
      <c r="AA55" s="720"/>
      <c r="AB55" s="723"/>
      <c r="AC55" s="728"/>
      <c r="AD55" s="727"/>
      <c r="AE55" s="727"/>
      <c r="AF55" s="727"/>
    </row>
    <row r="56" spans="1:32" s="736" customFormat="1">
      <c r="A56" s="740" t="s">
        <v>364</v>
      </c>
      <c r="B56" s="739"/>
      <c r="C56" s="737"/>
      <c r="D56" s="738"/>
      <c r="E56" s="738"/>
      <c r="F56" s="737"/>
      <c r="G56" s="737"/>
      <c r="H56" s="613">
        <f>+G56-C56</f>
        <v>0</v>
      </c>
      <c r="I56" s="613"/>
      <c r="J56" s="613"/>
      <c r="K56" s="613"/>
      <c r="L56" s="663"/>
      <c r="M56" s="613"/>
      <c r="N56" s="613"/>
      <c r="O56" s="613"/>
      <c r="P56" s="663"/>
      <c r="Q56" s="613"/>
      <c r="R56" s="538"/>
      <c r="S56" s="613"/>
      <c r="T56" s="613"/>
      <c r="U56" s="613"/>
      <c r="V56" s="652"/>
      <c r="W56" s="513" t="str">
        <f>IF(ISERROR(U56/N56*100),"",U56/N56*100)</f>
        <v/>
      </c>
      <c r="X56" s="513" t="str">
        <f>IF(ISERROR(U56/S56*100),"",U56/S56*100)</f>
        <v/>
      </c>
      <c r="Y56" s="720"/>
      <c r="Z56" s="720"/>
      <c r="AA56" s="720"/>
      <c r="AB56" s="723"/>
      <c r="AC56" s="728"/>
      <c r="AD56" s="727"/>
      <c r="AE56" s="727"/>
      <c r="AF56" s="727"/>
    </row>
    <row r="57" spans="1:32" s="732" customFormat="1">
      <c r="A57" s="735" t="s">
        <v>363</v>
      </c>
      <c r="B57" s="734" t="s">
        <v>326</v>
      </c>
      <c r="C57" s="573">
        <f>C62+C67</f>
        <v>1328.5</v>
      </c>
      <c r="D57" s="573"/>
      <c r="E57" s="573"/>
      <c r="F57" s="573"/>
      <c r="G57" s="573">
        <v>1328.5</v>
      </c>
      <c r="H57" s="613">
        <f>+G57-C57</f>
        <v>0</v>
      </c>
      <c r="I57" s="573">
        <v>1330</v>
      </c>
      <c r="J57" s="573">
        <v>1398.5</v>
      </c>
      <c r="K57" s="573"/>
      <c r="L57" s="573">
        <f>L62+L67</f>
        <v>1328.3</v>
      </c>
      <c r="M57" s="573">
        <f>+L57</f>
        <v>1328.3</v>
      </c>
      <c r="N57" s="573">
        <f>N62+N67</f>
        <v>1380.3</v>
      </c>
      <c r="O57" s="573">
        <f>O62+O67</f>
        <v>1564</v>
      </c>
      <c r="P57" s="733">
        <f>P62+P67</f>
        <v>1564.5</v>
      </c>
      <c r="Q57" s="687">
        <f>Q62+Q67</f>
        <v>1614.1999999999998</v>
      </c>
      <c r="R57" s="538"/>
      <c r="S57" s="573">
        <v>1814.7</v>
      </c>
      <c r="T57" s="573">
        <f>T62+T67</f>
        <v>1614.1999999999998</v>
      </c>
      <c r="U57" s="686">
        <f>U62+U67</f>
        <v>2020.1</v>
      </c>
      <c r="V57" s="572">
        <v>1340</v>
      </c>
      <c r="W57" s="513">
        <f>IF(ISERROR(U57/N57*100),"",U57/N57*100)</f>
        <v>146.35224226617402</v>
      </c>
      <c r="X57" s="513">
        <f>IF(ISERROR(U57/S57*100),"",U57/S57*100)</f>
        <v>111.31867526312888</v>
      </c>
      <c r="Y57" s="720" t="s">
        <v>246</v>
      </c>
      <c r="Z57" s="720" t="e">
        <f>IF(#REF!&gt;100,"Vượt",IF(#REF!&lt;99.5,"Không đạt","Đạt"))</f>
        <v>#REF!</v>
      </c>
      <c r="AA57" s="720"/>
      <c r="AB57" s="723"/>
      <c r="AC57" s="728"/>
      <c r="AD57" s="727"/>
      <c r="AE57" s="727"/>
      <c r="AF57" s="727"/>
    </row>
    <row r="58" spans="1:32" s="726" customFormat="1">
      <c r="A58" s="730" t="s">
        <v>348</v>
      </c>
      <c r="B58" s="731" t="s">
        <v>326</v>
      </c>
      <c r="C58" s="613">
        <v>130</v>
      </c>
      <c r="D58" s="613"/>
      <c r="E58" s="613"/>
      <c r="F58" s="613"/>
      <c r="G58" s="613">
        <v>130</v>
      </c>
      <c r="H58" s="613">
        <f>+G58-C58</f>
        <v>0</v>
      </c>
      <c r="I58" s="613">
        <v>5</v>
      </c>
      <c r="J58" s="613">
        <v>70</v>
      </c>
      <c r="K58" s="613"/>
      <c r="L58" s="613">
        <f>L63+L68</f>
        <v>0</v>
      </c>
      <c r="M58" s="613"/>
      <c r="N58" s="613">
        <f>N63+N68</f>
        <v>52</v>
      </c>
      <c r="O58" s="613"/>
      <c r="P58" s="619">
        <f>+P63+P68</f>
        <v>235.5</v>
      </c>
      <c r="Q58" s="615">
        <f>Q63+Q68</f>
        <v>285.5</v>
      </c>
      <c r="R58" s="538"/>
      <c r="S58" s="613">
        <v>200</v>
      </c>
      <c r="T58" s="613"/>
      <c r="U58" s="615"/>
      <c r="V58" s="540"/>
      <c r="W58" s="513">
        <f>IF(ISERROR(U58/N58*100),"",U58/N58*100)</f>
        <v>0</v>
      </c>
      <c r="X58" s="513">
        <f>IF(ISERROR(U58/S58*100),"",U58/S58*100)</f>
        <v>0</v>
      </c>
      <c r="Y58" s="720" t="s">
        <v>246</v>
      </c>
      <c r="Z58" s="720" t="e">
        <f>IF(#REF!&gt;100,"Vượt",IF(#REF!&lt;99.5,"Không đạt","Đạt"))</f>
        <v>#REF!</v>
      </c>
      <c r="AA58" s="720"/>
      <c r="AB58" s="723"/>
      <c r="AC58" s="728"/>
      <c r="AD58" s="727"/>
      <c r="AE58" s="727"/>
      <c r="AF58" s="727"/>
    </row>
    <row r="59" spans="1:32" s="726" customFormat="1">
      <c r="A59" s="730" t="s">
        <v>351</v>
      </c>
      <c r="B59" s="729" t="s">
        <v>326</v>
      </c>
      <c r="C59" s="613">
        <v>866.5</v>
      </c>
      <c r="D59" s="613"/>
      <c r="E59" s="613"/>
      <c r="F59" s="613"/>
      <c r="G59" s="613">
        <v>866.5</v>
      </c>
      <c r="H59" s="613">
        <f>+G59-C59</f>
        <v>0</v>
      </c>
      <c r="I59" s="613">
        <v>1065</v>
      </c>
      <c r="J59" s="613">
        <v>918.5</v>
      </c>
      <c r="K59" s="613"/>
      <c r="L59" s="615">
        <f>L64+L69</f>
        <v>188.5</v>
      </c>
      <c r="M59" s="615">
        <f>M64+M69</f>
        <v>188.5</v>
      </c>
      <c r="N59" s="613">
        <f>N64+N69</f>
        <v>918.5</v>
      </c>
      <c r="O59" s="613"/>
      <c r="P59" s="663">
        <f>P64+P69</f>
        <v>943.13</v>
      </c>
      <c r="Q59" s="613">
        <f>Q64+Q69</f>
        <v>957.8</v>
      </c>
      <c r="R59" s="705"/>
      <c r="S59" s="613">
        <v>971.52</v>
      </c>
      <c r="T59" s="613"/>
      <c r="U59" s="613"/>
      <c r="V59" s="540"/>
      <c r="W59" s="513">
        <f>IF(ISERROR(U59/N59*100),"",U59/N59*100)</f>
        <v>0</v>
      </c>
      <c r="X59" s="513">
        <f>IF(ISERROR(U59/S59*100),"",U59/S59*100)</f>
        <v>0</v>
      </c>
      <c r="Y59" s="720" t="s">
        <v>246</v>
      </c>
      <c r="Z59" s="720" t="e">
        <f>IF(#REF!&gt;100,"Vượt",IF(#REF!&lt;99.5,"Không đạt","Đạt"))</f>
        <v>#REF!</v>
      </c>
      <c r="AA59" s="720"/>
      <c r="AB59" s="723"/>
      <c r="AC59" s="728"/>
      <c r="AD59" s="727"/>
      <c r="AE59" s="727"/>
      <c r="AF59" s="727"/>
    </row>
    <row r="60" spans="1:32" s="716" customFormat="1">
      <c r="A60" s="722" t="s">
        <v>322</v>
      </c>
      <c r="B60" s="721" t="s">
        <v>321</v>
      </c>
      <c r="C60" s="612"/>
      <c r="D60" s="612"/>
      <c r="E60" s="612"/>
      <c r="F60" s="612"/>
      <c r="G60" s="612">
        <v>27.740790536641661</v>
      </c>
      <c r="H60" s="613">
        <f>+G60-C60</f>
        <v>27.740790536641661</v>
      </c>
      <c r="I60" s="612">
        <v>25.4</v>
      </c>
      <c r="J60" s="612">
        <v>27.778170930865542</v>
      </c>
      <c r="K60" s="612"/>
      <c r="L60" s="612"/>
      <c r="M60" s="612"/>
      <c r="N60" s="612"/>
      <c r="O60" s="612"/>
      <c r="P60" s="725"/>
      <c r="Q60" s="612">
        <f>+Q61*10/Q59</f>
        <v>27.782214449780749</v>
      </c>
      <c r="R60" s="538"/>
      <c r="S60" s="612">
        <v>27.8</v>
      </c>
      <c r="T60" s="612"/>
      <c r="U60" s="612"/>
      <c r="V60" s="724"/>
      <c r="W60" s="513" t="str">
        <f>IF(ISERROR(U60/N60*100),"",U60/N60*100)</f>
        <v/>
      </c>
      <c r="X60" s="513">
        <f>IF(ISERROR(U60/S60*100),"",U60/S60*100)</f>
        <v>0</v>
      </c>
      <c r="Y60" s="720"/>
      <c r="Z60" s="720"/>
      <c r="AA60" s="720"/>
      <c r="AB60" s="723"/>
      <c r="AC60" s="718"/>
      <c r="AD60" s="717"/>
      <c r="AE60" s="717"/>
      <c r="AF60" s="717"/>
    </row>
    <row r="61" spans="1:32" s="716" customFormat="1">
      <c r="A61" s="722" t="s">
        <v>319</v>
      </c>
      <c r="B61" s="721" t="s">
        <v>299</v>
      </c>
      <c r="C61" s="603"/>
      <c r="D61" s="603"/>
      <c r="E61" s="603"/>
      <c r="F61" s="603"/>
      <c r="G61" s="603">
        <v>2403.7395000000001</v>
      </c>
      <c r="H61" s="613">
        <f>+G61-C61</f>
        <v>2403.7395000000001</v>
      </c>
      <c r="I61" s="603">
        <v>2700</v>
      </c>
      <c r="J61" s="603">
        <v>2551.4250000000002</v>
      </c>
      <c r="K61" s="603"/>
      <c r="L61" s="603">
        <f>L66+L71</f>
        <v>0</v>
      </c>
      <c r="M61" s="603"/>
      <c r="N61" s="603">
        <f>N66+N71</f>
        <v>0</v>
      </c>
      <c r="O61" s="603"/>
      <c r="P61" s="606"/>
      <c r="Q61" s="603">
        <f>+Q66+Q71</f>
        <v>2660.9805000000001</v>
      </c>
      <c r="R61" s="538"/>
      <c r="S61" s="603">
        <v>2700.8256000000001</v>
      </c>
      <c r="T61" s="603"/>
      <c r="U61" s="603"/>
      <c r="V61" s="602"/>
      <c r="W61" s="513" t="str">
        <f>IF(ISERROR(U61/N61*100),"",U61/N61*100)</f>
        <v/>
      </c>
      <c r="X61" s="513">
        <f>IF(ISERROR(U61/S61*100),"",U61/S61*100)</f>
        <v>0</v>
      </c>
      <c r="Y61" s="720"/>
      <c r="Z61" s="720"/>
      <c r="AA61" s="720"/>
      <c r="AB61" s="719"/>
      <c r="AC61" s="718"/>
      <c r="AD61" s="717"/>
      <c r="AE61" s="717"/>
      <c r="AF61" s="717"/>
    </row>
    <row r="62" spans="1:32" s="494" customFormat="1">
      <c r="A62" s="657" t="s">
        <v>362</v>
      </c>
      <c r="B62" s="656" t="s">
        <v>326</v>
      </c>
      <c r="C62" s="712">
        <v>185.5</v>
      </c>
      <c r="D62" s="712"/>
      <c r="E62" s="712"/>
      <c r="F62" s="712"/>
      <c r="G62" s="712">
        <v>185.5</v>
      </c>
      <c r="H62" s="540">
        <f>+G62-C62</f>
        <v>0</v>
      </c>
      <c r="I62" s="712"/>
      <c r="J62" s="714">
        <v>185.5</v>
      </c>
      <c r="K62" s="714"/>
      <c r="L62" s="712">
        <f>G62</f>
        <v>185.5</v>
      </c>
      <c r="M62" s="712">
        <f>+L62</f>
        <v>185.5</v>
      </c>
      <c r="N62" s="714">
        <f>G62</f>
        <v>185.5</v>
      </c>
      <c r="O62" s="714">
        <v>185.5</v>
      </c>
      <c r="P62" s="715">
        <v>185.5</v>
      </c>
      <c r="Q62" s="714">
        <v>185.5</v>
      </c>
      <c r="R62" s="538"/>
      <c r="S62" s="714">
        <v>185.5</v>
      </c>
      <c r="T62" s="713">
        <v>185.5</v>
      </c>
      <c r="U62" s="713">
        <v>185.5</v>
      </c>
      <c r="V62" s="712"/>
      <c r="W62" s="513">
        <f>IF(ISERROR(U62/N62*100),"",U62/N62*100)</f>
        <v>100</v>
      </c>
      <c r="X62" s="513">
        <f>IF(ISERROR(U62/S62*100),"",U62/S62*100)</f>
        <v>100</v>
      </c>
      <c r="Y62" s="512" t="s">
        <v>261</v>
      </c>
      <c r="Z62" s="512" t="e">
        <f>IF(#REF!&gt;100,"Vượt",IF(#REF!&lt;99.5,"Không đạt","Đạt"))</f>
        <v>#REF!</v>
      </c>
      <c r="AA62" s="512"/>
      <c r="AB62" s="558"/>
      <c r="AC62" s="557"/>
      <c r="AD62" s="523"/>
      <c r="AE62" s="523"/>
      <c r="AF62" s="523"/>
    </row>
    <row r="63" spans="1:32">
      <c r="A63" s="565" t="s">
        <v>348</v>
      </c>
      <c r="B63" s="529" t="s">
        <v>326</v>
      </c>
      <c r="C63" s="524"/>
      <c r="D63" s="524"/>
      <c r="E63" s="524"/>
      <c r="F63" s="524"/>
      <c r="G63" s="524"/>
      <c r="H63" s="540">
        <f>+G63-C63</f>
        <v>0</v>
      </c>
      <c r="I63" s="524"/>
      <c r="J63" s="539"/>
      <c r="K63" s="539"/>
      <c r="L63" s="524"/>
      <c r="M63" s="524"/>
      <c r="N63" s="539"/>
      <c r="O63" s="539"/>
      <c r="P63" s="563"/>
      <c r="Q63" s="539"/>
      <c r="R63" s="538"/>
      <c r="S63" s="539"/>
      <c r="T63" s="564"/>
      <c r="U63" s="564"/>
      <c r="V63" s="524"/>
      <c r="W63" s="513" t="str">
        <f>IF(ISERROR(U63/N63*100),"",U63/N63*100)</f>
        <v/>
      </c>
      <c r="X63" s="513" t="str">
        <f>IF(ISERROR(U63/S63*100),"",U63/S63*100)</f>
        <v/>
      </c>
      <c r="Y63" s="512"/>
      <c r="Z63" s="512"/>
      <c r="AA63" s="512"/>
      <c r="AB63" s="542"/>
      <c r="AC63" s="553"/>
      <c r="AD63" s="552"/>
      <c r="AE63" s="552"/>
      <c r="AF63" s="552"/>
    </row>
    <row r="64" spans="1:32">
      <c r="A64" s="565" t="s">
        <v>351</v>
      </c>
      <c r="B64" s="529" t="s">
        <v>326</v>
      </c>
      <c r="C64" s="618">
        <v>185.5</v>
      </c>
      <c r="D64" s="618"/>
      <c r="E64" s="618"/>
      <c r="F64" s="618"/>
      <c r="G64" s="618">
        <v>185.5</v>
      </c>
      <c r="H64" s="540">
        <f>+G64-C64</f>
        <v>0</v>
      </c>
      <c r="I64" s="618"/>
      <c r="J64" s="616">
        <v>188.5</v>
      </c>
      <c r="K64" s="616"/>
      <c r="L64" s="618">
        <v>188.5</v>
      </c>
      <c r="M64" s="618">
        <v>188.5</v>
      </c>
      <c r="N64" s="616">
        <v>188.5</v>
      </c>
      <c r="O64" s="616"/>
      <c r="P64" s="710">
        <v>185.5</v>
      </c>
      <c r="Q64" s="710">
        <f>+'[1]Ctiet UTH 17_KH 18'!J61</f>
        <v>185.5</v>
      </c>
      <c r="R64" s="538"/>
      <c r="S64" s="616">
        <v>185.5</v>
      </c>
      <c r="T64" s="615"/>
      <c r="U64" s="711"/>
      <c r="V64" s="618"/>
      <c r="W64" s="513">
        <f>IF(ISERROR(U64/N64*100),"",U64/N64*100)</f>
        <v>0</v>
      </c>
      <c r="X64" s="513">
        <f>IF(ISERROR(U64/S64*100),"",U64/S64*100)</f>
        <v>0</v>
      </c>
      <c r="Y64" s="512" t="s">
        <v>261</v>
      </c>
      <c r="Z64" s="512" t="e">
        <f>IF(#REF!&gt;100,"Vượt",IF(#REF!&lt;99.5,"Không đạt","Đạt"))</f>
        <v>#REF!</v>
      </c>
      <c r="AA64" s="512"/>
      <c r="AB64" s="542"/>
      <c r="AC64" s="553"/>
      <c r="AD64" s="552"/>
      <c r="AE64" s="552"/>
      <c r="AF64" s="552"/>
    </row>
    <row r="65" spans="1:32" s="575" customFormat="1">
      <c r="A65" s="534" t="s">
        <v>322</v>
      </c>
      <c r="B65" s="520" t="s">
        <v>321</v>
      </c>
      <c r="C65" s="680"/>
      <c r="D65" s="680"/>
      <c r="E65" s="680"/>
      <c r="F65" s="680"/>
      <c r="G65" s="680">
        <v>27.45</v>
      </c>
      <c r="H65" s="540">
        <f>+G65-C65</f>
        <v>27.45</v>
      </c>
      <c r="I65" s="680"/>
      <c r="J65" s="611">
        <v>27.5</v>
      </c>
      <c r="K65" s="611"/>
      <c r="L65" s="680"/>
      <c r="M65" s="680"/>
      <c r="N65" s="611"/>
      <c r="O65" s="611"/>
      <c r="P65" s="610"/>
      <c r="Q65" s="611">
        <v>27.5</v>
      </c>
      <c r="R65" s="538"/>
      <c r="S65" s="611">
        <v>27.5</v>
      </c>
      <c r="T65" s="612"/>
      <c r="U65" s="612"/>
      <c r="V65" s="680"/>
      <c r="W65" s="513" t="str">
        <f>IF(ISERROR(U65/N65*100),"",U65/N65*100)</f>
        <v/>
      </c>
      <c r="X65" s="513">
        <f>IF(ISERROR(U65/S65*100),"",U65/S65*100)</f>
        <v>0</v>
      </c>
      <c r="Y65" s="512"/>
      <c r="Z65" s="512"/>
      <c r="AA65" s="512"/>
      <c r="AB65" s="542"/>
      <c r="AC65" s="577"/>
      <c r="AD65" s="576"/>
      <c r="AE65" s="576"/>
      <c r="AF65" s="576"/>
    </row>
    <row r="66" spans="1:32" s="575" customFormat="1">
      <c r="A66" s="534" t="s">
        <v>319</v>
      </c>
      <c r="B66" s="520" t="s">
        <v>299</v>
      </c>
      <c r="C66" s="602"/>
      <c r="D66" s="602"/>
      <c r="E66" s="602"/>
      <c r="F66" s="602"/>
      <c r="G66" s="602">
        <v>509.19750000000005</v>
      </c>
      <c r="H66" s="540">
        <f>+G66-C66</f>
        <v>509.19750000000005</v>
      </c>
      <c r="I66" s="602"/>
      <c r="J66" s="604">
        <v>518.375</v>
      </c>
      <c r="K66" s="604"/>
      <c r="L66" s="602"/>
      <c r="M66" s="602"/>
      <c r="N66" s="604"/>
      <c r="O66" s="604"/>
      <c r="P66" s="605"/>
      <c r="Q66" s="603">
        <f>0.1*Q65*Q64</f>
        <v>510.125</v>
      </c>
      <c r="R66" s="538"/>
      <c r="S66" s="604">
        <v>510.125</v>
      </c>
      <c r="T66" s="603"/>
      <c r="U66" s="603"/>
      <c r="V66" s="602"/>
      <c r="W66" s="513" t="str">
        <f>IF(ISERROR(U66/N66*100),"",U66/N66*100)</f>
        <v/>
      </c>
      <c r="X66" s="513">
        <f>IF(ISERROR(U66/S66*100),"",U66/S66*100)</f>
        <v>0</v>
      </c>
      <c r="Y66" s="512"/>
      <c r="Z66" s="512"/>
      <c r="AA66" s="512"/>
      <c r="AB66" s="582"/>
      <c r="AC66" s="577"/>
      <c r="AD66" s="576"/>
      <c r="AE66" s="576"/>
      <c r="AF66" s="576"/>
    </row>
    <row r="67" spans="1:32" s="494" customFormat="1">
      <c r="A67" s="657" t="s">
        <v>361</v>
      </c>
      <c r="B67" s="656" t="s">
        <v>326</v>
      </c>
      <c r="C67" s="694">
        <v>1143</v>
      </c>
      <c r="D67" s="694"/>
      <c r="E67" s="694"/>
      <c r="F67" s="694"/>
      <c r="G67" s="694">
        <f>1143-0.2</f>
        <v>1142.8</v>
      </c>
      <c r="H67" s="540">
        <f>+G67-C67</f>
        <v>-0.20000000000004547</v>
      </c>
      <c r="I67" s="694"/>
      <c r="J67" s="699">
        <v>1213</v>
      </c>
      <c r="K67" s="699"/>
      <c r="L67" s="694">
        <f>G67</f>
        <v>1142.8</v>
      </c>
      <c r="M67" s="694">
        <f>+L67</f>
        <v>1142.8</v>
      </c>
      <c r="N67" s="699">
        <f>+G67+N68</f>
        <v>1194.8</v>
      </c>
      <c r="O67" s="699">
        <v>1378.5</v>
      </c>
      <c r="P67" s="703">
        <f>+G67+P68+0.7</f>
        <v>1379</v>
      </c>
      <c r="Q67" s="699">
        <f>+'[1]Ctiet UTH 17_KH 18'!J66</f>
        <v>1428.6999999999998</v>
      </c>
      <c r="R67" s="538"/>
      <c r="S67" s="699">
        <v>1629.2</v>
      </c>
      <c r="T67" s="700">
        <v>1428.6999999999998</v>
      </c>
      <c r="U67" s="700">
        <f>T67+U68</f>
        <v>1834.6</v>
      </c>
      <c r="V67" s="694">
        <v>1213</v>
      </c>
      <c r="W67" s="513">
        <f>IF(ISERROR(U67/N67*100),"",U67/N67*100)</f>
        <v>153.54871108135254</v>
      </c>
      <c r="X67" s="513">
        <f>IF(ISERROR(U67/S67*100),"",U67/S67*100)</f>
        <v>112.60741468205254</v>
      </c>
      <c r="Y67" s="512" t="s">
        <v>246</v>
      </c>
      <c r="Z67" s="512" t="e">
        <f>IF(#REF!&gt;100,"Vượt",IF(#REF!&lt;99.5,"Không đạt","Đạt"))</f>
        <v>#REF!</v>
      </c>
      <c r="AA67" s="512"/>
      <c r="AB67" s="542"/>
      <c r="AC67" s="557"/>
      <c r="AD67" s="523"/>
      <c r="AE67" s="523"/>
      <c r="AF67" s="523"/>
    </row>
    <row r="68" spans="1:32">
      <c r="A68" s="565" t="s">
        <v>348</v>
      </c>
      <c r="B68" s="529" t="s">
        <v>326</v>
      </c>
      <c r="C68" s="524">
        <v>130</v>
      </c>
      <c r="D68" s="524"/>
      <c r="E68" s="524"/>
      <c r="F68" s="524"/>
      <c r="G68" s="524">
        <v>130</v>
      </c>
      <c r="H68" s="540">
        <f>+G68-C68</f>
        <v>0</v>
      </c>
      <c r="I68" s="524"/>
      <c r="J68" s="539">
        <v>70</v>
      </c>
      <c r="K68" s="539"/>
      <c r="L68" s="524"/>
      <c r="M68" s="524"/>
      <c r="N68" s="539">
        <v>52</v>
      </c>
      <c r="O68" s="539"/>
      <c r="P68" s="710">
        <v>235.5</v>
      </c>
      <c r="Q68" s="684">
        <f>+'[1]Ctiet UTH 17_KH 18'!J67</f>
        <v>285.5</v>
      </c>
      <c r="R68" s="538"/>
      <c r="S68" s="539">
        <v>200</v>
      </c>
      <c r="T68" s="564"/>
      <c r="U68" s="683">
        <v>405.9</v>
      </c>
      <c r="V68" s="524"/>
      <c r="W68" s="513">
        <f>IF(ISERROR(U68/N68*100),"",U68/N68*100)</f>
        <v>780.57692307692298</v>
      </c>
      <c r="X68" s="513">
        <f>IF(ISERROR(U68/S68*100),"",U68/S68*100)</f>
        <v>202.95000000000002</v>
      </c>
      <c r="Y68" s="512" t="s">
        <v>246</v>
      </c>
      <c r="Z68" s="512" t="e">
        <f>IF(#REF!&gt;100,"Vượt",IF(#REF!&lt;99.5,"Không đạt","Đạt"))</f>
        <v>#REF!</v>
      </c>
      <c r="AA68" s="512"/>
      <c r="AB68" s="542"/>
      <c r="AC68" s="553"/>
      <c r="AD68" s="552"/>
      <c r="AE68" s="552"/>
      <c r="AF68" s="552"/>
    </row>
    <row r="69" spans="1:32">
      <c r="A69" s="565" t="s">
        <v>351</v>
      </c>
      <c r="B69" s="529" t="s">
        <v>326</v>
      </c>
      <c r="C69" s="524">
        <v>681</v>
      </c>
      <c r="D69" s="524"/>
      <c r="E69" s="524"/>
      <c r="F69" s="524"/>
      <c r="G69" s="524">
        <v>681</v>
      </c>
      <c r="H69" s="540">
        <f>+G69-C69</f>
        <v>0</v>
      </c>
      <c r="I69" s="524"/>
      <c r="J69" s="539">
        <v>730</v>
      </c>
      <c r="K69" s="539"/>
      <c r="L69" s="524"/>
      <c r="M69" s="524"/>
      <c r="N69" s="539">
        <v>730</v>
      </c>
      <c r="O69" s="539"/>
      <c r="P69" s="563">
        <f>943.13-P64</f>
        <v>757.63</v>
      </c>
      <c r="Q69" s="539">
        <f>+'[1]Ctiet UTH 17_KH 18'!J68</f>
        <v>772.3</v>
      </c>
      <c r="R69" s="538"/>
      <c r="S69" s="539">
        <v>786.02</v>
      </c>
      <c r="T69" s="564">
        <v>772</v>
      </c>
      <c r="U69" s="564">
        <v>772</v>
      </c>
      <c r="V69" s="524"/>
      <c r="W69" s="513">
        <f>IF(ISERROR(U69/N69*100),"",U69/N69*100)</f>
        <v>105.75342465753425</v>
      </c>
      <c r="X69" s="513">
        <f>IF(ISERROR(U69/S69*100),"",U69/S69*100)</f>
        <v>98.216330373272939</v>
      </c>
      <c r="Y69" s="512" t="s">
        <v>246</v>
      </c>
      <c r="Z69" s="512" t="e">
        <f>IF(#REF!&gt;100,"Vượt",IF(#REF!&lt;99.5,"Không đạt","Đạt"))</f>
        <v>#REF!</v>
      </c>
      <c r="AA69" s="512"/>
      <c r="AB69" s="542"/>
      <c r="AC69" s="553"/>
      <c r="AD69" s="552"/>
      <c r="AE69" s="552"/>
      <c r="AF69" s="552"/>
    </row>
    <row r="70" spans="1:32" s="575" customFormat="1">
      <c r="A70" s="534" t="s">
        <v>322</v>
      </c>
      <c r="B70" s="520" t="s">
        <v>321</v>
      </c>
      <c r="C70" s="680"/>
      <c r="D70" s="680"/>
      <c r="E70" s="680"/>
      <c r="F70" s="680"/>
      <c r="G70" s="680">
        <v>27.82</v>
      </c>
      <c r="H70" s="540">
        <f>+G70-C70</f>
        <v>27.82</v>
      </c>
      <c r="I70" s="680"/>
      <c r="J70" s="611">
        <v>27.85</v>
      </c>
      <c r="K70" s="611"/>
      <c r="L70" s="680"/>
      <c r="M70" s="680"/>
      <c r="N70" s="611"/>
      <c r="O70" s="611"/>
      <c r="P70" s="610"/>
      <c r="Q70" s="611">
        <v>27.85</v>
      </c>
      <c r="R70" s="538"/>
      <c r="S70" s="611">
        <v>27.851746774891225</v>
      </c>
      <c r="T70" s="612"/>
      <c r="U70" s="612"/>
      <c r="V70" s="680"/>
      <c r="W70" s="513" t="str">
        <f>IF(ISERROR(U70/N70*100),"",U70/N70*100)</f>
        <v/>
      </c>
      <c r="X70" s="513">
        <f>IF(ISERROR(U70/S70*100),"",U70/S70*100)</f>
        <v>0</v>
      </c>
      <c r="Y70" s="512"/>
      <c r="Z70" s="512"/>
      <c r="AA70" s="512"/>
      <c r="AB70" s="542"/>
      <c r="AC70" s="577"/>
      <c r="AD70" s="576"/>
      <c r="AE70" s="576"/>
      <c r="AF70" s="576"/>
    </row>
    <row r="71" spans="1:32" s="575" customFormat="1">
      <c r="A71" s="534" t="s">
        <v>319</v>
      </c>
      <c r="B71" s="520" t="s">
        <v>299</v>
      </c>
      <c r="C71" s="602"/>
      <c r="D71" s="602"/>
      <c r="E71" s="602"/>
      <c r="F71" s="602"/>
      <c r="G71" s="602">
        <v>1894.5419999999999</v>
      </c>
      <c r="H71" s="540">
        <f>+G71-C71</f>
        <v>1894.5419999999999</v>
      </c>
      <c r="I71" s="602"/>
      <c r="J71" s="604">
        <v>2033.0500000000002</v>
      </c>
      <c r="K71" s="604"/>
      <c r="L71" s="602"/>
      <c r="M71" s="602"/>
      <c r="N71" s="604"/>
      <c r="O71" s="604"/>
      <c r="P71" s="605"/>
      <c r="Q71" s="603">
        <f>0.1*Q70*Q69</f>
        <v>2150.8555000000001</v>
      </c>
      <c r="R71" s="538"/>
      <c r="S71" s="604">
        <v>2189.203</v>
      </c>
      <c r="T71" s="603"/>
      <c r="U71" s="603"/>
      <c r="V71" s="602"/>
      <c r="W71" s="513" t="str">
        <f>IF(ISERROR(U71/N71*100),"",U71/N71*100)</f>
        <v/>
      </c>
      <c r="X71" s="513">
        <f>IF(ISERROR(U71/S71*100),"",U71/S71*100)</f>
        <v>0</v>
      </c>
      <c r="Y71" s="512"/>
      <c r="Z71" s="512"/>
      <c r="AA71" s="512"/>
      <c r="AB71" s="582"/>
      <c r="AC71" s="577"/>
      <c r="AD71" s="576"/>
      <c r="AE71" s="576"/>
      <c r="AF71" s="576"/>
    </row>
    <row r="72" spans="1:32" s="522" customFormat="1">
      <c r="A72" s="541" t="s">
        <v>360</v>
      </c>
      <c r="B72" s="562" t="s">
        <v>326</v>
      </c>
      <c r="C72" s="572">
        <f>+C77+C82</f>
        <v>11787</v>
      </c>
      <c r="D72" s="572"/>
      <c r="E72" s="572"/>
      <c r="F72" s="572"/>
      <c r="G72" s="572">
        <f>G77+G82</f>
        <v>11937.1</v>
      </c>
      <c r="H72" s="540">
        <f>+G72-C72</f>
        <v>150.10000000000036</v>
      </c>
      <c r="I72" s="573">
        <v>11950</v>
      </c>
      <c r="J72" s="569">
        <v>11950.1</v>
      </c>
      <c r="K72" s="569"/>
      <c r="L72" s="572">
        <f>G72</f>
        <v>11937.1</v>
      </c>
      <c r="M72" s="572">
        <f>+L72</f>
        <v>11937.1</v>
      </c>
      <c r="N72" s="569">
        <f>N77+N82</f>
        <v>11916.3</v>
      </c>
      <c r="O72" s="569">
        <v>11916.3</v>
      </c>
      <c r="P72" s="668">
        <v>11914.6</v>
      </c>
      <c r="Q72" s="570">
        <f>+Q77+Q82</f>
        <v>11938.560000000001</v>
      </c>
      <c r="R72" s="538"/>
      <c r="S72" s="569">
        <v>11938.52</v>
      </c>
      <c r="T72" s="573">
        <v>11938.52</v>
      </c>
      <c r="U72" s="686">
        <v>11946.7</v>
      </c>
      <c r="V72" s="667">
        <f>+P72-J72</f>
        <v>-35.5</v>
      </c>
      <c r="W72" s="513">
        <f>IF(ISERROR(U72/N72*100),"",U72/N72*100)</f>
        <v>100.25511274472782</v>
      </c>
      <c r="X72" s="513">
        <f>IF(ISERROR(U72/S72*100),"",U72/S72*100)</f>
        <v>100.06851770571228</v>
      </c>
      <c r="Y72" s="512" t="s">
        <v>261</v>
      </c>
      <c r="Z72" s="512" t="e">
        <f>IF(#REF!&gt;100,"Vượt",IF(#REF!&lt;99.5,"Không đạt","Đạt"))</f>
        <v>#REF!</v>
      </c>
      <c r="AA72" s="512"/>
      <c r="AB72" s="691"/>
      <c r="AC72" s="635"/>
      <c r="AD72" s="709"/>
      <c r="AE72" s="709"/>
      <c r="AF72" s="552"/>
    </row>
    <row r="73" spans="1:32">
      <c r="A73" s="565" t="s">
        <v>348</v>
      </c>
      <c r="B73" s="529" t="s">
        <v>326</v>
      </c>
      <c r="C73" s="613">
        <v>137</v>
      </c>
      <c r="D73" s="613"/>
      <c r="E73" s="613"/>
      <c r="F73" s="613"/>
      <c r="G73" s="613">
        <v>137</v>
      </c>
      <c r="H73" s="540">
        <f>+G73-C73</f>
        <v>0</v>
      </c>
      <c r="I73" s="613">
        <v>10</v>
      </c>
      <c r="J73" s="613">
        <v>13</v>
      </c>
      <c r="K73" s="613"/>
      <c r="L73" s="540"/>
      <c r="M73" s="540"/>
      <c r="N73" s="613"/>
      <c r="O73" s="613"/>
      <c r="P73" s="708">
        <f>+P78+P83</f>
        <v>46.56</v>
      </c>
      <c r="Q73" s="708">
        <f>+Q78+Q83</f>
        <v>46.56</v>
      </c>
      <c r="R73" s="538"/>
      <c r="S73" s="708">
        <v>0</v>
      </c>
      <c r="T73" s="708"/>
      <c r="U73" s="708">
        <v>9.6999999999999993</v>
      </c>
      <c r="V73" s="618"/>
      <c r="W73" s="513" t="str">
        <f>IF(ISERROR(U73/N73*100),"",U73/N73*100)</f>
        <v/>
      </c>
      <c r="X73" s="513" t="str">
        <f>IF(ISERROR(U73/S73*100),"",U73/S73*100)</f>
        <v/>
      </c>
      <c r="Y73" s="512"/>
      <c r="Z73" s="512" t="e">
        <f>IF(#REF!&gt;100,"Vượt",IF(#REF!&lt;99.5,"Không đạt","Đạt"))</f>
        <v>#REF!</v>
      </c>
      <c r="AA73" s="512"/>
      <c r="AB73" s="542"/>
      <c r="AC73" s="635"/>
      <c r="AD73" s="552"/>
      <c r="AE73" s="552"/>
      <c r="AF73" s="552"/>
    </row>
    <row r="74" spans="1:32">
      <c r="A74" s="565" t="s">
        <v>351</v>
      </c>
      <c r="B74" s="529" t="s">
        <v>326</v>
      </c>
      <c r="C74" s="707">
        <v>5672</v>
      </c>
      <c r="D74" s="707"/>
      <c r="E74" s="707"/>
      <c r="F74" s="707"/>
      <c r="G74" s="707">
        <v>5672</v>
      </c>
      <c r="H74" s="540">
        <f>+G74-C74</f>
        <v>0</v>
      </c>
      <c r="I74" s="707">
        <v>9208</v>
      </c>
      <c r="J74" s="540">
        <v>9208</v>
      </c>
      <c r="K74" s="540"/>
      <c r="L74" s="540">
        <f>L79+L84</f>
        <v>0</v>
      </c>
      <c r="M74" s="540"/>
      <c r="N74" s="540">
        <f>N79+N84</f>
        <v>9208</v>
      </c>
      <c r="O74" s="540"/>
      <c r="P74" s="506">
        <f>P79+P84</f>
        <v>6450.52</v>
      </c>
      <c r="Q74" s="506">
        <f>Q79+Q84</f>
        <v>6450.96</v>
      </c>
      <c r="R74" s="538"/>
      <c r="S74" s="540">
        <v>8600.16</v>
      </c>
      <c r="T74" s="613">
        <f>T79+T84</f>
        <v>6720</v>
      </c>
      <c r="U74" s="613">
        <f>U79+U84</f>
        <v>6910</v>
      </c>
      <c r="V74" s="540"/>
      <c r="W74" s="513">
        <f>IF(ISERROR(U74/N74*100),"",U74/N74*100)</f>
        <v>75.043440486533456</v>
      </c>
      <c r="X74" s="513">
        <f>IF(ISERROR(U74/S74*100),"",U74/S74*100)</f>
        <v>80.34734237502559</v>
      </c>
      <c r="Y74" s="512"/>
      <c r="Z74" s="512" t="e">
        <f>IF(#REF!&gt;100,"Vượt",IF(#REF!&lt;99.5,"Không đạt","Đạt"))</f>
        <v>#REF!</v>
      </c>
      <c r="AA74" s="512"/>
      <c r="AB74" s="691"/>
      <c r="AC74" s="553"/>
      <c r="AD74" s="552"/>
      <c r="AE74" s="552"/>
      <c r="AF74" s="552"/>
    </row>
    <row r="75" spans="1:32" s="575" customFormat="1">
      <c r="A75" s="534" t="s">
        <v>350</v>
      </c>
      <c r="B75" s="520" t="s">
        <v>321</v>
      </c>
      <c r="C75" s="704">
        <v>16.190084626234132</v>
      </c>
      <c r="D75" s="704"/>
      <c r="E75" s="704"/>
      <c r="F75" s="704"/>
      <c r="G75" s="704">
        <v>16.190084626234132</v>
      </c>
      <c r="H75" s="540">
        <f>+G75-C75</f>
        <v>0</v>
      </c>
      <c r="I75" s="704">
        <v>13</v>
      </c>
      <c r="J75" s="704">
        <v>16.55994787141616</v>
      </c>
      <c r="K75" s="704"/>
      <c r="L75" s="680"/>
      <c r="M75" s="680"/>
      <c r="N75" s="704"/>
      <c r="O75" s="704"/>
      <c r="P75" s="706"/>
      <c r="Q75" s="704">
        <f>+Q76*10/Q74</f>
        <v>16.318644046777536</v>
      </c>
      <c r="R75" s="705"/>
      <c r="S75" s="704">
        <v>16.573173057245452</v>
      </c>
      <c r="T75" s="612">
        <f>T76/T74*10</f>
        <v>16.362901785714282</v>
      </c>
      <c r="U75" s="612">
        <f>U76/U74*10</f>
        <v>16.376483357452965</v>
      </c>
      <c r="V75" s="680"/>
      <c r="W75" s="513" t="str">
        <f>IF(ISERROR(U75/N75*100),"",U75/N75*100)</f>
        <v/>
      </c>
      <c r="X75" s="513">
        <f>IF(ISERROR(U75/S75*100),"",U75/S75*100)</f>
        <v>98.8132043326097</v>
      </c>
      <c r="Y75" s="512"/>
      <c r="Z75" s="512"/>
      <c r="AA75" s="512"/>
      <c r="AB75" s="542"/>
      <c r="AC75" s="577"/>
      <c r="AD75" s="576"/>
      <c r="AE75" s="576"/>
      <c r="AF75" s="576"/>
    </row>
    <row r="76" spans="1:32" s="575" customFormat="1">
      <c r="A76" s="534" t="s">
        <v>319</v>
      </c>
      <c r="B76" s="520" t="s">
        <v>299</v>
      </c>
      <c r="C76" s="603">
        <v>9183.0159999999996</v>
      </c>
      <c r="D76" s="603"/>
      <c r="E76" s="603"/>
      <c r="F76" s="603"/>
      <c r="G76" s="603">
        <v>9183.0159999999996</v>
      </c>
      <c r="H76" s="540">
        <f>+G76-C76</f>
        <v>0</v>
      </c>
      <c r="I76" s="603">
        <v>12000</v>
      </c>
      <c r="J76" s="604">
        <v>15248.4</v>
      </c>
      <c r="K76" s="604"/>
      <c r="L76" s="602">
        <f>L81+L86</f>
        <v>0</v>
      </c>
      <c r="M76" s="602"/>
      <c r="N76" s="604">
        <f>N81+N86</f>
        <v>0</v>
      </c>
      <c r="O76" s="604"/>
      <c r="P76" s="605"/>
      <c r="Q76" s="604">
        <f>+Q81+Q86</f>
        <v>10527.092000000001</v>
      </c>
      <c r="R76" s="538"/>
      <c r="S76" s="604">
        <v>14253.194000000003</v>
      </c>
      <c r="T76" s="603">
        <f>T81+T86</f>
        <v>10995.869999999999</v>
      </c>
      <c r="U76" s="603">
        <f>U81+U86</f>
        <v>11316.15</v>
      </c>
      <c r="V76" s="602"/>
      <c r="W76" s="513" t="str">
        <f>IF(ISERROR(U76/N76*100),"",U76/N76*100)</f>
        <v/>
      </c>
      <c r="X76" s="513">
        <f>IF(ISERROR(U76/S76*100),"",U76/S76*100)</f>
        <v>79.393783596855542</v>
      </c>
      <c r="Y76" s="512"/>
      <c r="Z76" s="512"/>
      <c r="AA76" s="512"/>
      <c r="AB76" s="558"/>
      <c r="AC76" s="577"/>
      <c r="AD76" s="576"/>
      <c r="AE76" s="576"/>
      <c r="AF76" s="576"/>
    </row>
    <row r="77" spans="1:32" s="494" customFormat="1">
      <c r="A77" s="657" t="s">
        <v>359</v>
      </c>
      <c r="B77" s="656" t="s">
        <v>326</v>
      </c>
      <c r="C77" s="700">
        <v>5941</v>
      </c>
      <c r="D77" s="700"/>
      <c r="E77" s="700"/>
      <c r="F77" s="700"/>
      <c r="G77" s="700">
        <v>6036.1</v>
      </c>
      <c r="H77" s="540">
        <f>+G77-C77</f>
        <v>95.100000000000364</v>
      </c>
      <c r="I77" s="700"/>
      <c r="J77" s="699">
        <v>6049.1</v>
      </c>
      <c r="K77" s="699"/>
      <c r="L77" s="694">
        <f>G77</f>
        <v>6036.1</v>
      </c>
      <c r="M77" s="694">
        <f>+L77</f>
        <v>6036.1</v>
      </c>
      <c r="N77" s="699">
        <f>G77+N78</f>
        <v>6036.1</v>
      </c>
      <c r="O77" s="699"/>
      <c r="P77" s="703">
        <f>+G77</f>
        <v>6036.1</v>
      </c>
      <c r="Q77" s="699">
        <f>+'[1]Ctiet UTH 17_KH 18'!J76</f>
        <v>6038.76</v>
      </c>
      <c r="R77" s="538"/>
      <c r="S77" s="699">
        <v>6038.72</v>
      </c>
      <c r="T77" s="700">
        <v>6038.72</v>
      </c>
      <c r="U77" s="700">
        <v>6038.72</v>
      </c>
      <c r="V77" s="694"/>
      <c r="W77" s="513">
        <f>IF(ISERROR(U77/N77*100),"",U77/N77*100)</f>
        <v>100.04340551018041</v>
      </c>
      <c r="X77" s="513">
        <f>IF(ISERROR(U77/S77*100),"",U77/S77*100)</f>
        <v>100</v>
      </c>
      <c r="Y77" s="512" t="s">
        <v>261</v>
      </c>
      <c r="Z77" s="512" t="e">
        <f>IF(#REF!&gt;100,"Vượt",IF(#REF!&lt;99.5,"Không đạt","Đạt"))</f>
        <v>#REF!</v>
      </c>
      <c r="AA77" s="512"/>
      <c r="AB77" s="542"/>
      <c r="AC77" s="557"/>
      <c r="AD77" s="523"/>
      <c r="AE77" s="523"/>
      <c r="AF77" s="523"/>
    </row>
    <row r="78" spans="1:32">
      <c r="A78" s="565" t="s">
        <v>348</v>
      </c>
      <c r="B78" s="529" t="s">
        <v>326</v>
      </c>
      <c r="C78" s="564"/>
      <c r="D78" s="564"/>
      <c r="E78" s="564"/>
      <c r="F78" s="564"/>
      <c r="G78" s="564">
        <v>123</v>
      </c>
      <c r="H78" s="540">
        <f>+G78-C78</f>
        <v>123</v>
      </c>
      <c r="I78" s="564"/>
      <c r="J78" s="539">
        <v>13</v>
      </c>
      <c r="K78" s="539"/>
      <c r="L78" s="524"/>
      <c r="M78" s="524"/>
      <c r="N78" s="539"/>
      <c r="O78" s="539"/>
      <c r="P78" s="563">
        <v>0</v>
      </c>
      <c r="Q78" s="685">
        <f>+'[1]Ctiet UTH 17_KH 18'!J77</f>
        <v>2.66</v>
      </c>
      <c r="R78" s="538"/>
      <c r="S78" s="539">
        <v>0</v>
      </c>
      <c r="T78" s="564"/>
      <c r="U78" s="682"/>
      <c r="V78" s="524"/>
      <c r="W78" s="513" t="str">
        <f>IF(ISERROR(U78/N78*100),"",U78/N78*100)</f>
        <v/>
      </c>
      <c r="X78" s="513" t="str">
        <f>IF(ISERROR(U78/S78*100),"",U78/S78*100)</f>
        <v/>
      </c>
      <c r="Y78" s="512"/>
      <c r="Z78" s="512"/>
      <c r="AA78" s="512"/>
      <c r="AB78" s="641"/>
      <c r="AC78" s="553"/>
      <c r="AD78" s="552"/>
      <c r="AE78" s="552"/>
      <c r="AF78" s="552"/>
    </row>
    <row r="79" spans="1:32">
      <c r="A79" s="565" t="s">
        <v>351</v>
      </c>
      <c r="B79" s="529" t="s">
        <v>326</v>
      </c>
      <c r="C79" s="613">
        <v>2476</v>
      </c>
      <c r="D79" s="613"/>
      <c r="E79" s="613"/>
      <c r="F79" s="613"/>
      <c r="G79" s="613">
        <v>2476</v>
      </c>
      <c r="H79" s="540">
        <f>+G79-C79</f>
        <v>0</v>
      </c>
      <c r="I79" s="613"/>
      <c r="J79" s="614">
        <v>4788</v>
      </c>
      <c r="K79" s="614"/>
      <c r="L79" s="540"/>
      <c r="M79" s="540"/>
      <c r="N79" s="614">
        <v>4788</v>
      </c>
      <c r="O79" s="614"/>
      <c r="P79" s="630">
        <v>2758.67</v>
      </c>
      <c r="Q79" s="630">
        <f>+'[1]Ctiet UTH 17_KH 18'!J78</f>
        <v>2759.46</v>
      </c>
      <c r="R79" s="538"/>
      <c r="S79" s="614">
        <v>4000.16</v>
      </c>
      <c r="T79" s="613">
        <v>2850</v>
      </c>
      <c r="U79" s="663">
        <v>2960</v>
      </c>
      <c r="V79" s="540"/>
      <c r="W79" s="513">
        <f>IF(ISERROR(U79/N79*100),"",U79/N79*100)</f>
        <v>61.821219715956552</v>
      </c>
      <c r="X79" s="513">
        <f>IF(ISERROR(U79/S79*100),"",U79/S79*100)</f>
        <v>73.997040118395262</v>
      </c>
      <c r="Y79" s="512"/>
      <c r="Z79" s="512" t="e">
        <f>IF(#REF!&gt;100,"Vượt",IF(#REF!&lt;99.5,"Không đạt","Đạt"))</f>
        <v>#REF!</v>
      </c>
      <c r="AA79" s="512"/>
      <c r="AB79" s="542"/>
      <c r="AC79" s="553"/>
      <c r="AD79" s="552"/>
      <c r="AE79" s="552"/>
      <c r="AF79" s="552"/>
    </row>
    <row r="80" spans="1:32" s="575" customFormat="1">
      <c r="A80" s="534" t="s">
        <v>350</v>
      </c>
      <c r="B80" s="520" t="s">
        <v>321</v>
      </c>
      <c r="C80" s="612"/>
      <c r="D80" s="612"/>
      <c r="E80" s="612"/>
      <c r="F80" s="612"/>
      <c r="G80" s="612">
        <v>18.32</v>
      </c>
      <c r="H80" s="540">
        <f>+G80-C80</f>
        <v>18.32</v>
      </c>
      <c r="I80" s="612"/>
      <c r="J80" s="611">
        <v>18</v>
      </c>
      <c r="K80" s="611"/>
      <c r="L80" s="680"/>
      <c r="M80" s="680"/>
      <c r="N80" s="611"/>
      <c r="O80" s="611"/>
      <c r="P80" s="610"/>
      <c r="Q80" s="611">
        <f>+'[1]Ctiet UTH 17_KH 18'!J80</f>
        <v>18.077971777086823</v>
      </c>
      <c r="R80" s="538"/>
      <c r="S80" s="611">
        <v>18.344901203951846</v>
      </c>
      <c r="T80" s="612">
        <v>18.2</v>
      </c>
      <c r="U80" s="612">
        <v>18.2</v>
      </c>
      <c r="V80" s="702"/>
      <c r="W80" s="513" t="str">
        <f>IF(ISERROR(U80/N80*100),"",U80/N80*100)</f>
        <v/>
      </c>
      <c r="X80" s="513">
        <f>IF(ISERROR(U80/S80*100),"",U80/S80*100)</f>
        <v>99.210128185805473</v>
      </c>
      <c r="Y80" s="512"/>
      <c r="Z80" s="512"/>
      <c r="AA80" s="512"/>
      <c r="AB80" s="542"/>
      <c r="AC80" s="577"/>
      <c r="AD80" s="576"/>
      <c r="AE80" s="576"/>
      <c r="AF80" s="576"/>
    </row>
    <row r="81" spans="1:32" s="575" customFormat="1">
      <c r="A81" s="534" t="s">
        <v>319</v>
      </c>
      <c r="B81" s="520" t="s">
        <v>299</v>
      </c>
      <c r="C81" s="603"/>
      <c r="D81" s="603"/>
      <c r="E81" s="603"/>
      <c r="F81" s="603"/>
      <c r="G81" s="603">
        <v>4536.0320000000002</v>
      </c>
      <c r="H81" s="540">
        <f>+G81-C81</f>
        <v>4536.0320000000002</v>
      </c>
      <c r="I81" s="603"/>
      <c r="J81" s="604">
        <v>8618.4</v>
      </c>
      <c r="K81" s="604"/>
      <c r="L81" s="602"/>
      <c r="M81" s="602"/>
      <c r="N81" s="604"/>
      <c r="O81" s="604"/>
      <c r="P81" s="605"/>
      <c r="Q81" s="604">
        <f>0.1*Q80*Q79</f>
        <v>4988.5440000000008</v>
      </c>
      <c r="R81" s="538"/>
      <c r="S81" s="604">
        <v>7338.2540000000017</v>
      </c>
      <c r="T81" s="603">
        <f>T80*T79/10</f>
        <v>5187</v>
      </c>
      <c r="U81" s="603">
        <f>U80*U79/10</f>
        <v>5387.2</v>
      </c>
      <c r="V81" s="602"/>
      <c r="W81" s="513" t="str">
        <f>IF(ISERROR(U81/N81*100),"",U81/N81*100)</f>
        <v/>
      </c>
      <c r="X81" s="513">
        <f>IF(ISERROR(U81/S81*100),"",U81/S81*100)</f>
        <v>73.412558355161849</v>
      </c>
      <c r="Y81" s="512"/>
      <c r="Z81" s="512"/>
      <c r="AA81" s="512"/>
      <c r="AB81" s="542"/>
      <c r="AC81" s="577"/>
      <c r="AD81" s="576"/>
      <c r="AE81" s="576"/>
      <c r="AF81" s="576"/>
    </row>
    <row r="82" spans="1:32" s="494" customFormat="1">
      <c r="A82" s="701" t="s">
        <v>358</v>
      </c>
      <c r="B82" s="656" t="s">
        <v>326</v>
      </c>
      <c r="C82" s="700">
        <v>5846</v>
      </c>
      <c r="D82" s="700"/>
      <c r="E82" s="700"/>
      <c r="F82" s="700"/>
      <c r="G82" s="700">
        <v>5901</v>
      </c>
      <c r="H82" s="540">
        <f>+G82-C82</f>
        <v>55</v>
      </c>
      <c r="I82" s="700"/>
      <c r="J82" s="699">
        <v>5901</v>
      </c>
      <c r="K82" s="699"/>
      <c r="L82" s="694">
        <f>G82</f>
        <v>5901</v>
      </c>
      <c r="M82" s="694">
        <f>+L82</f>
        <v>5901</v>
      </c>
      <c r="N82" s="697">
        <f>5901-20.8</f>
        <v>5880.2</v>
      </c>
      <c r="O82" s="697"/>
      <c r="P82" s="698">
        <f>11914.6-P77</f>
        <v>5878.5</v>
      </c>
      <c r="Q82" s="698">
        <f>+'[1]Ctiet UTH 17_KH 18'!J82</f>
        <v>5899.8</v>
      </c>
      <c r="R82" s="538"/>
      <c r="S82" s="697">
        <v>5899.8</v>
      </c>
      <c r="T82" s="696">
        <v>5899.8</v>
      </c>
      <c r="U82" s="695">
        <f>U83+T82</f>
        <v>5909.5</v>
      </c>
      <c r="V82" s="694"/>
      <c r="W82" s="513">
        <f>IF(ISERROR(U82/N82*100),"",U82/N82*100)</f>
        <v>100.49828237134793</v>
      </c>
      <c r="X82" s="513">
        <f>IF(ISERROR(U82/S82*100),"",U82/S82*100)</f>
        <v>100.16441235296112</v>
      </c>
      <c r="Y82" s="512" t="s">
        <v>357</v>
      </c>
      <c r="Z82" s="512" t="s">
        <v>357</v>
      </c>
      <c r="AA82" s="512"/>
      <c r="AB82" s="693"/>
      <c r="AC82" s="692"/>
      <c r="AD82" s="576"/>
      <c r="AE82" s="576"/>
      <c r="AF82" s="495"/>
    </row>
    <row r="83" spans="1:32">
      <c r="A83" s="565" t="s">
        <v>348</v>
      </c>
      <c r="B83" s="529" t="s">
        <v>326</v>
      </c>
      <c r="C83" s="613"/>
      <c r="D83" s="613"/>
      <c r="E83" s="613"/>
      <c r="F83" s="613"/>
      <c r="G83" s="613">
        <v>14</v>
      </c>
      <c r="H83" s="540">
        <f>+G83-C83</f>
        <v>14</v>
      </c>
      <c r="I83" s="613"/>
      <c r="J83" s="614"/>
      <c r="K83" s="614"/>
      <c r="L83" s="540"/>
      <c r="M83" s="540"/>
      <c r="N83" s="614"/>
      <c r="O83" s="614"/>
      <c r="P83" s="617">
        <v>46.56</v>
      </c>
      <c r="Q83" s="617">
        <f>+'[1]Ctiet UTH 17_KH 18'!J83</f>
        <v>43.900000000000006</v>
      </c>
      <c r="R83" s="538"/>
      <c r="S83" s="614">
        <v>0</v>
      </c>
      <c r="T83" s="613"/>
      <c r="U83" s="619">
        <v>9.6999999999999993</v>
      </c>
      <c r="V83" s="540"/>
      <c r="W83" s="513" t="str">
        <f>IF(ISERROR(U83/N83*100),"",U83/N83*100)</f>
        <v/>
      </c>
      <c r="X83" s="513" t="str">
        <f>IF(ISERROR(U83/S83*100),"",U83/S83*100)</f>
        <v/>
      </c>
      <c r="Y83" s="512"/>
      <c r="Z83" s="512"/>
      <c r="AA83" s="512"/>
      <c r="AB83" s="641"/>
      <c r="AC83" s="553"/>
      <c r="AD83" s="552"/>
      <c r="AE83" s="552"/>
      <c r="AF83" s="552"/>
    </row>
    <row r="84" spans="1:32">
      <c r="A84" s="565" t="s">
        <v>351</v>
      </c>
      <c r="B84" s="529" t="s">
        <v>326</v>
      </c>
      <c r="C84" s="613">
        <v>3196</v>
      </c>
      <c r="D84" s="613"/>
      <c r="E84" s="613"/>
      <c r="F84" s="613"/>
      <c r="G84" s="613">
        <v>3196</v>
      </c>
      <c r="H84" s="540">
        <f>+G84-C84</f>
        <v>0</v>
      </c>
      <c r="I84" s="613"/>
      <c r="J84" s="614">
        <v>4420</v>
      </c>
      <c r="K84" s="614"/>
      <c r="L84" s="540"/>
      <c r="M84" s="540"/>
      <c r="N84" s="614">
        <f>J84</f>
        <v>4420</v>
      </c>
      <c r="O84" s="614"/>
      <c r="P84" s="630">
        <v>3691.8500000000004</v>
      </c>
      <c r="Q84" s="630">
        <f>+'[1]Ctiet UTH 17_KH 18'!J84</f>
        <v>3691.5</v>
      </c>
      <c r="R84" s="538"/>
      <c r="S84" s="614">
        <v>4600</v>
      </c>
      <c r="T84" s="613">
        <v>3870</v>
      </c>
      <c r="U84" s="663">
        <v>3950</v>
      </c>
      <c r="V84" s="540"/>
      <c r="W84" s="513">
        <f>IF(ISERROR(U84/N84*100),"",U84/N84*100)</f>
        <v>89.366515837104075</v>
      </c>
      <c r="X84" s="513">
        <f>IF(ISERROR(U84/S84*100),"",U84/S84*100)</f>
        <v>85.869565217391312</v>
      </c>
      <c r="Y84" s="512" t="s">
        <v>246</v>
      </c>
      <c r="Z84" s="512" t="e">
        <f>IF(#REF!&gt;100,"Vượt",IF(#REF!&lt;99.5,"Không đạt","Đạt"))</f>
        <v>#REF!</v>
      </c>
      <c r="AA84" s="512"/>
      <c r="AB84" s="691"/>
      <c r="AC84" s="553"/>
      <c r="AD84" s="552"/>
      <c r="AE84" s="552"/>
      <c r="AF84" s="552"/>
    </row>
    <row r="85" spans="1:32" s="575" customFormat="1">
      <c r="A85" s="534" t="s">
        <v>350</v>
      </c>
      <c r="B85" s="520" t="s">
        <v>321</v>
      </c>
      <c r="C85" s="612"/>
      <c r="D85" s="612"/>
      <c r="E85" s="612"/>
      <c r="F85" s="612"/>
      <c r="G85" s="612">
        <v>14.54</v>
      </c>
      <c r="H85" s="540">
        <f>+G85-C85</f>
        <v>14.54</v>
      </c>
      <c r="I85" s="612"/>
      <c r="J85" s="611">
        <v>15</v>
      </c>
      <c r="K85" s="611"/>
      <c r="L85" s="680"/>
      <c r="M85" s="680"/>
      <c r="N85" s="611"/>
      <c r="O85" s="611"/>
      <c r="P85" s="610"/>
      <c r="Q85" s="680">
        <f>+'[1]Ctiet UTH 17_KH 18'!J85</f>
        <v>15.003516185832316</v>
      </c>
      <c r="R85" s="538"/>
      <c r="S85" s="680">
        <v>15.032478260869567</v>
      </c>
      <c r="T85" s="612">
        <v>15.01</v>
      </c>
      <c r="U85" s="612">
        <v>15.01</v>
      </c>
      <c r="V85" s="680"/>
      <c r="W85" s="513" t="str">
        <f>IF(ISERROR(U85/N85*100),"",U85/N85*100)</f>
        <v/>
      </c>
      <c r="X85" s="513">
        <f>IF(ISERROR(U85/S85*100),"",U85/S85*100)</f>
        <v>99.850468695317659</v>
      </c>
      <c r="Y85" s="512"/>
      <c r="Z85" s="512"/>
      <c r="AA85" s="512"/>
      <c r="AB85" s="542"/>
      <c r="AC85" s="577"/>
      <c r="AD85" s="576"/>
      <c r="AE85" s="576"/>
      <c r="AF85" s="576"/>
    </row>
    <row r="86" spans="1:32">
      <c r="A86" s="534" t="s">
        <v>319</v>
      </c>
      <c r="B86" s="520" t="s">
        <v>299</v>
      </c>
      <c r="C86" s="603"/>
      <c r="D86" s="603"/>
      <c r="E86" s="603"/>
      <c r="F86" s="603"/>
      <c r="G86" s="603">
        <v>4646.9839999999995</v>
      </c>
      <c r="H86" s="540">
        <f>+G86-C86</f>
        <v>4646.9839999999995</v>
      </c>
      <c r="I86" s="603"/>
      <c r="J86" s="604">
        <v>6630</v>
      </c>
      <c r="K86" s="604"/>
      <c r="L86" s="602"/>
      <c r="M86" s="602"/>
      <c r="N86" s="604"/>
      <c r="O86" s="604"/>
      <c r="P86" s="605"/>
      <c r="Q86" s="602">
        <f>0.1*Q85*Q84</f>
        <v>5538.5479999999998</v>
      </c>
      <c r="R86" s="538"/>
      <c r="S86" s="602">
        <v>6914.9400000000014</v>
      </c>
      <c r="T86" s="603">
        <f>T85*T84/10</f>
        <v>5808.87</v>
      </c>
      <c r="U86" s="603">
        <f>U85*U84/10</f>
        <v>5928.95</v>
      </c>
      <c r="V86" s="602"/>
      <c r="W86" s="513" t="str">
        <f>IF(ISERROR(U86/N86*100),"",U86/N86*100)</f>
        <v/>
      </c>
      <c r="X86" s="513">
        <f>IF(ISERROR(U86/S86*100),"",U86/S86*100)</f>
        <v>85.741163336196678</v>
      </c>
      <c r="Y86" s="512"/>
      <c r="Z86" s="512"/>
      <c r="AA86" s="512"/>
      <c r="AB86" s="542"/>
      <c r="AC86" s="553"/>
      <c r="AD86" s="552"/>
      <c r="AE86" s="552"/>
      <c r="AF86" s="552"/>
    </row>
    <row r="87" spans="1:32" s="522" customFormat="1">
      <c r="A87" s="541" t="s">
        <v>356</v>
      </c>
      <c r="B87" s="562" t="s">
        <v>326</v>
      </c>
      <c r="C87" s="572">
        <v>2551</v>
      </c>
      <c r="D87" s="572"/>
      <c r="E87" s="572"/>
      <c r="F87" s="572"/>
      <c r="G87" s="572">
        <v>2551</v>
      </c>
      <c r="H87" s="540">
        <f>+G87-C87</f>
        <v>0</v>
      </c>
      <c r="I87" s="572"/>
      <c r="J87" s="569">
        <v>2671</v>
      </c>
      <c r="K87" s="569"/>
      <c r="L87" s="572">
        <f>G87</f>
        <v>2551</v>
      </c>
      <c r="M87" s="572">
        <f>+L87</f>
        <v>2551</v>
      </c>
      <c r="N87" s="569">
        <f>G87+72</f>
        <v>2623</v>
      </c>
      <c r="O87" s="569">
        <f>+Q87</f>
        <v>2582</v>
      </c>
      <c r="P87" s="570">
        <v>2582</v>
      </c>
      <c r="Q87" s="569">
        <f>+'[1]Ctiet UTH 17_KH 18'!J87</f>
        <v>2582</v>
      </c>
      <c r="R87" s="538"/>
      <c r="S87" s="569">
        <v>2612</v>
      </c>
      <c r="T87" s="573">
        <f>Q87</f>
        <v>2582</v>
      </c>
      <c r="U87" s="573">
        <f>U88+T87</f>
        <v>2587</v>
      </c>
      <c r="V87" s="572">
        <v>3000</v>
      </c>
      <c r="W87" s="513">
        <f>IF(ISERROR(U87/N87*100),"",U87/N87*100)</f>
        <v>98.627525733892483</v>
      </c>
      <c r="X87" s="513">
        <f>IF(ISERROR(U87/S87*100),"",U87/S87*100)</f>
        <v>99.042879019908113</v>
      </c>
      <c r="Y87" s="512" t="s">
        <v>261</v>
      </c>
      <c r="Z87" s="512" t="e">
        <f>IF(#REF!&gt;100,"Vượt",IF(#REF!&lt;99.5,"Không đạt","Đạt"))</f>
        <v>#REF!</v>
      </c>
      <c r="AA87" s="512"/>
      <c r="AB87" s="666"/>
      <c r="AC87" s="553"/>
      <c r="AD87" s="552"/>
      <c r="AE87" s="552"/>
      <c r="AF87" s="552"/>
    </row>
    <row r="88" spans="1:32" s="575" customFormat="1">
      <c r="A88" s="534" t="s">
        <v>355</v>
      </c>
      <c r="B88" s="520" t="s">
        <v>326</v>
      </c>
      <c r="C88" s="514">
        <v>120</v>
      </c>
      <c r="D88" s="514"/>
      <c r="E88" s="514"/>
      <c r="F88" s="514"/>
      <c r="G88" s="514">
        <v>120</v>
      </c>
      <c r="H88" s="540">
        <f>+G88-C88</f>
        <v>0</v>
      </c>
      <c r="I88" s="514"/>
      <c r="J88" s="579">
        <v>120</v>
      </c>
      <c r="K88" s="579"/>
      <c r="L88" s="514"/>
      <c r="M88" s="514"/>
      <c r="N88" s="579">
        <v>72</v>
      </c>
      <c r="O88" s="579"/>
      <c r="P88" s="626">
        <v>83</v>
      </c>
      <c r="Q88" s="626">
        <f>+'[1]Ctiet UTH 17_KH 18'!J88</f>
        <v>83</v>
      </c>
      <c r="R88" s="538"/>
      <c r="S88" s="579">
        <v>30</v>
      </c>
      <c r="T88" s="578"/>
      <c r="U88" s="690">
        <v>5</v>
      </c>
      <c r="V88" s="514"/>
      <c r="W88" s="513">
        <f>IF(ISERROR(U88/N88*100),"",U88/N88*100)</f>
        <v>6.9444444444444446</v>
      </c>
      <c r="X88" s="513">
        <f>IF(ISERROR(U88/S88*100),"",U88/S88*100)</f>
        <v>16.666666666666664</v>
      </c>
      <c r="Y88" s="512"/>
      <c r="Z88" s="512"/>
      <c r="AA88" s="512"/>
      <c r="AB88" s="542"/>
      <c r="AC88" s="689"/>
      <c r="AD88" s="552"/>
      <c r="AE88" s="552"/>
      <c r="AF88" s="552"/>
    </row>
    <row r="89" spans="1:32" s="575" customFormat="1">
      <c r="A89" s="688" t="s">
        <v>354</v>
      </c>
      <c r="B89" s="520" t="s">
        <v>326</v>
      </c>
      <c r="C89" s="514"/>
      <c r="D89" s="514"/>
      <c r="E89" s="514"/>
      <c r="F89" s="514"/>
      <c r="G89" s="514"/>
      <c r="H89" s="540">
        <f>+G89-C89</f>
        <v>0</v>
      </c>
      <c r="I89" s="514"/>
      <c r="J89" s="579"/>
      <c r="K89" s="579"/>
      <c r="L89" s="514"/>
      <c r="M89" s="514"/>
      <c r="N89" s="579"/>
      <c r="O89" s="579"/>
      <c r="P89" s="580"/>
      <c r="Q89" s="579"/>
      <c r="R89" s="538"/>
      <c r="S89" s="579"/>
      <c r="T89" s="578"/>
      <c r="U89" s="578"/>
      <c r="V89" s="514"/>
      <c r="W89" s="513" t="str">
        <f>IF(ISERROR(U89/N89*100),"",U89/N89*100)</f>
        <v/>
      </c>
      <c r="X89" s="513" t="str">
        <f>IF(ISERROR(U89/S89*100),"",U89/S89*100)</f>
        <v/>
      </c>
      <c r="Y89" s="512"/>
      <c r="Z89" s="512" t="e">
        <f>IF(#REF!&gt;100,"Vượt",IF(#REF!&lt;99.5,"Không đạt","Đạt"))</f>
        <v>#REF!</v>
      </c>
      <c r="AA89" s="512"/>
      <c r="AB89" s="542"/>
      <c r="AC89" s="553"/>
      <c r="AD89" s="552"/>
      <c r="AE89" s="552"/>
      <c r="AF89" s="552"/>
    </row>
    <row r="90" spans="1:32" s="522" customFormat="1">
      <c r="A90" s="541" t="s">
        <v>353</v>
      </c>
      <c r="B90" s="562" t="s">
        <v>326</v>
      </c>
      <c r="C90" s="667">
        <v>32</v>
      </c>
      <c r="D90" s="667"/>
      <c r="E90" s="667"/>
      <c r="F90" s="667"/>
      <c r="G90" s="667">
        <v>32</v>
      </c>
      <c r="H90" s="540">
        <f>+G90-C90</f>
        <v>0</v>
      </c>
      <c r="I90" s="667"/>
      <c r="J90" s="669">
        <v>37</v>
      </c>
      <c r="K90" s="669"/>
      <c r="L90" s="667">
        <f>G90</f>
        <v>32</v>
      </c>
      <c r="M90" s="667">
        <f>+L90</f>
        <v>32</v>
      </c>
      <c r="N90" s="669">
        <f>G90</f>
        <v>32</v>
      </c>
      <c r="O90" s="669">
        <f>+G90</f>
        <v>32</v>
      </c>
      <c r="P90" s="570">
        <f>+G90+P91</f>
        <v>42</v>
      </c>
      <c r="Q90" s="669">
        <f>+'[1]Ctiet UTH 17_KH 18'!J90</f>
        <v>43.55</v>
      </c>
      <c r="R90" s="538"/>
      <c r="S90" s="669">
        <v>48.55</v>
      </c>
      <c r="T90" s="687">
        <f>Q90</f>
        <v>43.55</v>
      </c>
      <c r="U90" s="686">
        <f>T90+U91</f>
        <v>54.55</v>
      </c>
      <c r="V90" s="667"/>
      <c r="W90" s="513">
        <f>IF(ISERROR(U90/N90*100),"",U90/N90*100)</f>
        <v>170.46875</v>
      </c>
      <c r="X90" s="513">
        <f>IF(ISERROR(U90/S90*100),"",U90/S90*100)</f>
        <v>112.35839340885686</v>
      </c>
      <c r="Y90" s="512" t="s">
        <v>246</v>
      </c>
      <c r="Z90" s="512" t="e">
        <f>IF(#REF!&gt;100,"Vượt",IF(#REF!&lt;99.5,"Không đạt","Đạt"))</f>
        <v>#REF!</v>
      </c>
      <c r="AA90" s="512"/>
      <c r="AB90" s="666"/>
      <c r="AC90" s="553"/>
      <c r="AD90" s="552"/>
      <c r="AE90" s="552"/>
      <c r="AF90" s="552"/>
    </row>
    <row r="91" spans="1:32">
      <c r="A91" s="565" t="s">
        <v>348</v>
      </c>
      <c r="B91" s="529" t="s">
        <v>326</v>
      </c>
      <c r="C91" s="681">
        <v>18.5</v>
      </c>
      <c r="D91" s="681"/>
      <c r="E91" s="681"/>
      <c r="F91" s="681"/>
      <c r="G91" s="681">
        <v>18.5</v>
      </c>
      <c r="H91" s="540">
        <f>+G91-C91</f>
        <v>0</v>
      </c>
      <c r="I91" s="681"/>
      <c r="J91" s="684">
        <v>5</v>
      </c>
      <c r="K91" s="684"/>
      <c r="L91" s="681"/>
      <c r="M91" s="681"/>
      <c r="N91" s="684"/>
      <c r="O91" s="684"/>
      <c r="P91" s="563">
        <v>10</v>
      </c>
      <c r="Q91" s="685">
        <f>+'[1]Ctiet UTH 17_KH 18'!J91</f>
        <v>11.45</v>
      </c>
      <c r="R91" s="538"/>
      <c r="S91" s="684">
        <v>5</v>
      </c>
      <c r="T91" s="683"/>
      <c r="U91" s="682">
        <v>11</v>
      </c>
      <c r="V91" s="681"/>
      <c r="W91" s="513" t="str">
        <f>IF(ISERROR(U91/N91*100),"",U91/N91*100)</f>
        <v/>
      </c>
      <c r="X91" s="513">
        <f>IF(ISERROR(U91/S91*100),"",U91/S91*100)</f>
        <v>220.00000000000003</v>
      </c>
      <c r="Y91" s="512" t="s">
        <v>246</v>
      </c>
      <c r="Z91" s="512" t="e">
        <f>IF(#REF!&gt;100,"Vượt",IF(#REF!&lt;99.5,"Không đạt","Đạt"))</f>
        <v>#REF!</v>
      </c>
      <c r="AA91" s="512"/>
      <c r="AB91" s="641"/>
      <c r="AC91" s="553"/>
      <c r="AD91" s="552"/>
      <c r="AE91" s="552"/>
      <c r="AF91" s="552"/>
    </row>
    <row r="92" spans="1:32">
      <c r="A92" s="565" t="s">
        <v>351</v>
      </c>
      <c r="B92" s="529" t="s">
        <v>326</v>
      </c>
      <c r="C92" s="618">
        <v>13.5</v>
      </c>
      <c r="D92" s="618"/>
      <c r="E92" s="618"/>
      <c r="F92" s="618"/>
      <c r="G92" s="618">
        <v>13.5</v>
      </c>
      <c r="H92" s="540">
        <f>+G92-C92</f>
        <v>0</v>
      </c>
      <c r="I92" s="618"/>
      <c r="J92" s="616">
        <v>13.5</v>
      </c>
      <c r="K92" s="616"/>
      <c r="L92" s="618"/>
      <c r="M92" s="618"/>
      <c r="N92" s="616">
        <f>G92</f>
        <v>13.5</v>
      </c>
      <c r="O92" s="616"/>
      <c r="P92" s="617"/>
      <c r="Q92" s="616">
        <f>+'[1]Ctiet UTH 17_KH 18'!J92</f>
        <v>10.5</v>
      </c>
      <c r="R92" s="538"/>
      <c r="S92" s="616">
        <v>12.5</v>
      </c>
      <c r="T92" s="615">
        <v>11</v>
      </c>
      <c r="U92" s="615">
        <v>11</v>
      </c>
      <c r="V92" s="618"/>
      <c r="W92" s="513">
        <f>IF(ISERROR(U92/N92*100),"",U92/N92*100)</f>
        <v>81.481481481481481</v>
      </c>
      <c r="X92" s="513">
        <f>IF(ISERROR(U92/S92*100),"",U92/S92*100)</f>
        <v>88</v>
      </c>
      <c r="Y92" s="512" t="s">
        <v>246</v>
      </c>
      <c r="Z92" s="512" t="e">
        <f>IF(#REF!&gt;100,"Vượt",IF(#REF!&lt;99.5,"Không đạt","Đạt"))</f>
        <v>#REF!</v>
      </c>
      <c r="AA92" s="512"/>
      <c r="AB92" s="542"/>
      <c r="AC92" s="553"/>
      <c r="AD92" s="552"/>
      <c r="AE92" s="552"/>
      <c r="AF92" s="552"/>
    </row>
    <row r="93" spans="1:32" s="575" customFormat="1">
      <c r="A93" s="534" t="s">
        <v>350</v>
      </c>
      <c r="B93" s="520" t="s">
        <v>321</v>
      </c>
      <c r="C93" s="680"/>
      <c r="D93" s="680"/>
      <c r="E93" s="680"/>
      <c r="F93" s="680"/>
      <c r="G93" s="680">
        <v>17.5</v>
      </c>
      <c r="H93" s="540">
        <f>+G93-C93</f>
        <v>17.5</v>
      </c>
      <c r="I93" s="680"/>
      <c r="J93" s="611">
        <v>17.5</v>
      </c>
      <c r="K93" s="611"/>
      <c r="L93" s="680"/>
      <c r="M93" s="680"/>
      <c r="N93" s="611"/>
      <c r="O93" s="611"/>
      <c r="P93" s="610"/>
      <c r="Q93" s="611">
        <f>+'[1]Ctiet UTH 17_KH 18'!J93</f>
        <v>17.5</v>
      </c>
      <c r="R93" s="538"/>
      <c r="S93" s="611">
        <v>17.5</v>
      </c>
      <c r="T93" s="612">
        <v>17.3</v>
      </c>
      <c r="U93" s="612">
        <v>17.3</v>
      </c>
      <c r="V93" s="680"/>
      <c r="W93" s="513" t="str">
        <f>IF(ISERROR(U93/N93*100),"",U93/N93*100)</f>
        <v/>
      </c>
      <c r="X93" s="513">
        <f>IF(ISERROR(U93/S93*100),"",U93/S93*100)</f>
        <v>98.857142857142861</v>
      </c>
      <c r="Y93" s="512"/>
      <c r="Z93" s="512"/>
      <c r="AA93" s="512"/>
      <c r="AB93" s="542"/>
      <c r="AC93" s="577"/>
      <c r="AD93" s="576"/>
      <c r="AE93" s="576"/>
      <c r="AF93" s="576"/>
    </row>
    <row r="94" spans="1:32">
      <c r="A94" s="534" t="s">
        <v>319</v>
      </c>
      <c r="B94" s="520" t="s">
        <v>299</v>
      </c>
      <c r="C94" s="602"/>
      <c r="D94" s="602"/>
      <c r="E94" s="602"/>
      <c r="F94" s="602"/>
      <c r="G94" s="602">
        <v>23.625</v>
      </c>
      <c r="H94" s="540">
        <f>+G94-C94</f>
        <v>23.625</v>
      </c>
      <c r="I94" s="602"/>
      <c r="J94" s="604">
        <v>23.625</v>
      </c>
      <c r="K94" s="604"/>
      <c r="L94" s="602"/>
      <c r="M94" s="602"/>
      <c r="N94" s="604"/>
      <c r="O94" s="604"/>
      <c r="P94" s="605"/>
      <c r="Q94" s="604">
        <f>0.1*Q93*Q92</f>
        <v>18.375</v>
      </c>
      <c r="R94" s="538"/>
      <c r="S94" s="604">
        <v>21.875</v>
      </c>
      <c r="T94" s="603">
        <f>T93*T92/10</f>
        <v>19.03</v>
      </c>
      <c r="U94" s="603">
        <f>U93*U92/10</f>
        <v>19.03</v>
      </c>
      <c r="V94" s="602"/>
      <c r="W94" s="513" t="str">
        <f>IF(ISERROR(U94/N94*100),"",U94/N94*100)</f>
        <v/>
      </c>
      <c r="X94" s="513">
        <f>IF(ISERROR(U94/S94*100),"",U94/S94*100)</f>
        <v>86.994285714285724</v>
      </c>
      <c r="Y94" s="512"/>
      <c r="Z94" s="512"/>
      <c r="AA94" s="512"/>
      <c r="AB94" s="542"/>
      <c r="AC94" s="553"/>
      <c r="AD94" s="552"/>
      <c r="AE94" s="552"/>
      <c r="AF94" s="552"/>
    </row>
    <row r="95" spans="1:32" s="522" customFormat="1">
      <c r="A95" s="541" t="s">
        <v>352</v>
      </c>
      <c r="B95" s="562"/>
      <c r="C95" s="667"/>
      <c r="D95" s="667"/>
      <c r="E95" s="667"/>
      <c r="F95" s="667"/>
      <c r="G95" s="667"/>
      <c r="H95" s="540">
        <f>+G95-C95</f>
        <v>0</v>
      </c>
      <c r="I95" s="667"/>
      <c r="J95" s="669"/>
      <c r="K95" s="669"/>
      <c r="L95" s="667"/>
      <c r="M95" s="667"/>
      <c r="N95" s="669"/>
      <c r="O95" s="669">
        <f>+Q95</f>
        <v>118.8</v>
      </c>
      <c r="P95" s="668">
        <v>116.5</v>
      </c>
      <c r="Q95" s="569">
        <f>+'[1]Ctiet UTH 17_KH 18'!J95</f>
        <v>118.8</v>
      </c>
      <c r="R95" s="538"/>
      <c r="S95" s="570">
        <v>119</v>
      </c>
      <c r="T95" s="568">
        <v>119</v>
      </c>
      <c r="U95" s="573">
        <f>U96+T95</f>
        <v>124</v>
      </c>
      <c r="V95" s="667"/>
      <c r="W95" s="513" t="str">
        <f>IF(ISERROR(U95/N95*100),"",U95/N95*100)</f>
        <v/>
      </c>
      <c r="X95" s="513">
        <f>IF(ISERROR(U95/S95*100),"",U95/S95*100)</f>
        <v>104.20168067226892</v>
      </c>
      <c r="Y95" s="512"/>
      <c r="Z95" s="512"/>
      <c r="AA95" s="512"/>
      <c r="AB95" s="666"/>
      <c r="AC95" s="553"/>
      <c r="AD95" s="552"/>
      <c r="AE95" s="552"/>
      <c r="AF95" s="552"/>
    </row>
    <row r="96" spans="1:32" s="450" customFormat="1">
      <c r="A96" s="679" t="s">
        <v>348</v>
      </c>
      <c r="B96" s="664" t="s">
        <v>326</v>
      </c>
      <c r="C96" s="662"/>
      <c r="D96" s="662"/>
      <c r="E96" s="662"/>
      <c r="F96" s="662"/>
      <c r="G96" s="662"/>
      <c r="H96" s="540">
        <f>+G96-C96</f>
        <v>0</v>
      </c>
      <c r="I96" s="662"/>
      <c r="J96" s="617"/>
      <c r="K96" s="617"/>
      <c r="L96" s="662"/>
      <c r="M96" s="662"/>
      <c r="N96" s="617"/>
      <c r="O96" s="617"/>
      <c r="P96" s="617">
        <v>83.5</v>
      </c>
      <c r="Q96" s="630">
        <v>86</v>
      </c>
      <c r="R96" s="538"/>
      <c r="S96" s="630"/>
      <c r="T96" s="663"/>
      <c r="U96" s="663">
        <v>5</v>
      </c>
      <c r="V96" s="662"/>
      <c r="W96" s="513" t="str">
        <f>IF(ISERROR(U96/N96*100),"",U96/N96*100)</f>
        <v/>
      </c>
      <c r="X96" s="513" t="str">
        <f>IF(ISERROR(U96/S96*100),"",U96/S96*100)</f>
        <v/>
      </c>
      <c r="Y96" s="661"/>
      <c r="Z96" s="661"/>
      <c r="AA96" s="661"/>
      <c r="AB96" s="660"/>
      <c r="AC96" s="659"/>
      <c r="AD96" s="658"/>
      <c r="AE96" s="658"/>
      <c r="AF96" s="658"/>
    </row>
    <row r="97" spans="1:32" s="450" customFormat="1">
      <c r="A97" s="565" t="s">
        <v>351</v>
      </c>
      <c r="B97" s="664" t="s">
        <v>326</v>
      </c>
      <c r="C97" s="662"/>
      <c r="D97" s="662"/>
      <c r="E97" s="662"/>
      <c r="F97" s="662"/>
      <c r="G97" s="662"/>
      <c r="H97" s="540"/>
      <c r="I97" s="662"/>
      <c r="J97" s="678"/>
      <c r="K97" s="617"/>
      <c r="L97" s="662"/>
      <c r="M97" s="662"/>
      <c r="N97" s="617"/>
      <c r="O97" s="617"/>
      <c r="P97" s="678"/>
      <c r="Q97" s="676">
        <f>'[1]Ctiet UTH 17_KH 18'!J97</f>
        <v>1</v>
      </c>
      <c r="R97" s="677"/>
      <c r="S97" s="676">
        <v>1</v>
      </c>
      <c r="T97" s="675"/>
      <c r="U97" s="675"/>
      <c r="V97" s="662"/>
      <c r="W97" s="513" t="str">
        <f>IF(ISERROR(U97/N97*100),"",U97/N97*100)</f>
        <v/>
      </c>
      <c r="X97" s="513">
        <f>IF(ISERROR(U97/S97*100),"",U97/S97*100)</f>
        <v>0</v>
      </c>
      <c r="Y97" s="661"/>
      <c r="Z97" s="661"/>
      <c r="AA97" s="661"/>
      <c r="AB97" s="660"/>
      <c r="AC97" s="659"/>
      <c r="AD97" s="658"/>
      <c r="AE97" s="658"/>
      <c r="AF97" s="658"/>
    </row>
    <row r="98" spans="1:32" s="450" customFormat="1">
      <c r="A98" s="534" t="s">
        <v>350</v>
      </c>
      <c r="B98" s="674"/>
      <c r="C98" s="673"/>
      <c r="D98" s="673"/>
      <c r="E98" s="673"/>
      <c r="F98" s="673"/>
      <c r="G98" s="673"/>
      <c r="H98" s="602"/>
      <c r="I98" s="673"/>
      <c r="J98" s="671"/>
      <c r="K98" s="671"/>
      <c r="L98" s="673"/>
      <c r="M98" s="673"/>
      <c r="N98" s="671"/>
      <c r="O98" s="671"/>
      <c r="P98" s="671"/>
      <c r="Q98" s="671">
        <v>10</v>
      </c>
      <c r="R98" s="672"/>
      <c r="S98" s="605">
        <v>10</v>
      </c>
      <c r="T98" s="606"/>
      <c r="U98" s="670"/>
      <c r="V98" s="662"/>
      <c r="W98" s="513" t="str">
        <f>IF(ISERROR(U98/N98*100),"",U98/N98*100)</f>
        <v/>
      </c>
      <c r="X98" s="513">
        <f>IF(ISERROR(U98/S98*100),"",U98/S98*100)</f>
        <v>0</v>
      </c>
      <c r="Y98" s="661"/>
      <c r="Z98" s="661"/>
      <c r="AA98" s="661"/>
      <c r="AB98" s="660"/>
      <c r="AC98" s="659"/>
      <c r="AD98" s="658"/>
      <c r="AE98" s="658"/>
      <c r="AF98" s="658"/>
    </row>
    <row r="99" spans="1:32" s="450" customFormat="1">
      <c r="A99" s="534" t="s">
        <v>319</v>
      </c>
      <c r="B99" s="674"/>
      <c r="C99" s="673"/>
      <c r="D99" s="673"/>
      <c r="E99" s="673"/>
      <c r="F99" s="673"/>
      <c r="G99" s="673"/>
      <c r="H99" s="602"/>
      <c r="I99" s="673"/>
      <c r="J99" s="671"/>
      <c r="K99" s="671"/>
      <c r="L99" s="673"/>
      <c r="M99" s="673"/>
      <c r="N99" s="671"/>
      <c r="O99" s="671"/>
      <c r="P99" s="671"/>
      <c r="Q99" s="671">
        <f>+Q98*0.1*Q97</f>
        <v>1</v>
      </c>
      <c r="R99" s="672"/>
      <c r="S99" s="671">
        <v>1</v>
      </c>
      <c r="T99" s="670"/>
      <c r="U99" s="670"/>
      <c r="V99" s="662"/>
      <c r="W99" s="513" t="str">
        <f>IF(ISERROR(U99/N99*100),"",U99/N99*100)</f>
        <v/>
      </c>
      <c r="X99" s="513">
        <f>IF(ISERROR(U99/S99*100),"",U99/S99*100)</f>
        <v>0</v>
      </c>
      <c r="Y99" s="661"/>
      <c r="Z99" s="661"/>
      <c r="AA99" s="661"/>
      <c r="AB99" s="660"/>
      <c r="AC99" s="659"/>
      <c r="AD99" s="658"/>
      <c r="AE99" s="658"/>
      <c r="AF99" s="658"/>
    </row>
    <row r="100" spans="1:32" s="522" customFormat="1">
      <c r="A100" s="541" t="str">
        <f>'[1]Ctiet UTH 17_KH 18'!A100</f>
        <v>f) Cây Bạch đàn</v>
      </c>
      <c r="B100" s="664" t="s">
        <v>326</v>
      </c>
      <c r="C100" s="667"/>
      <c r="D100" s="667"/>
      <c r="E100" s="667"/>
      <c r="F100" s="667"/>
      <c r="G100" s="667"/>
      <c r="H100" s="540"/>
      <c r="I100" s="667"/>
      <c r="J100" s="669"/>
      <c r="K100" s="669"/>
      <c r="L100" s="667"/>
      <c r="M100" s="667"/>
      <c r="N100" s="669"/>
      <c r="O100" s="669"/>
      <c r="P100" s="668"/>
      <c r="Q100" s="569"/>
      <c r="R100" s="538"/>
      <c r="S100" s="570">
        <v>400</v>
      </c>
      <c r="T100" s="568"/>
      <c r="U100" s="573">
        <v>45</v>
      </c>
      <c r="V100" s="667"/>
      <c r="W100" s="513" t="str">
        <f>IF(ISERROR(U100/N100*100),"",U100/N100*100)</f>
        <v/>
      </c>
      <c r="X100" s="513">
        <f>IF(ISERROR(U100/S100*100),"",U100/S100*100)</f>
        <v>11.25</v>
      </c>
      <c r="Y100" s="512"/>
      <c r="Z100" s="512"/>
      <c r="AA100" s="512"/>
      <c r="AB100" s="666"/>
      <c r="AC100" s="553"/>
      <c r="AD100" s="552"/>
      <c r="AE100" s="552"/>
      <c r="AF100" s="552"/>
    </row>
    <row r="101" spans="1:32" s="450" customFormat="1" ht="31.5">
      <c r="A101" s="665" t="str">
        <f>'[1]Ctiet UTH 17_KH 18'!A101</f>
        <v xml:space="preserve"> + DT trồng trên đất nông nghiệp (sắn bạc màu chuyển đổi)</v>
      </c>
      <c r="B101" s="664" t="s">
        <v>326</v>
      </c>
      <c r="C101" s="662"/>
      <c r="D101" s="662"/>
      <c r="E101" s="662"/>
      <c r="F101" s="662"/>
      <c r="G101" s="662"/>
      <c r="H101" s="540"/>
      <c r="I101" s="662"/>
      <c r="J101" s="617"/>
      <c r="K101" s="617"/>
      <c r="L101" s="662"/>
      <c r="M101" s="662"/>
      <c r="N101" s="617"/>
      <c r="O101" s="617"/>
      <c r="P101" s="617"/>
      <c r="Q101" s="617"/>
      <c r="R101" s="538"/>
      <c r="S101" s="630">
        <v>200</v>
      </c>
      <c r="T101" s="663"/>
      <c r="U101" s="619"/>
      <c r="V101" s="662"/>
      <c r="W101" s="513" t="str">
        <f>IF(ISERROR(U101/N101*100),"",U101/N101*100)</f>
        <v/>
      </c>
      <c r="X101" s="513">
        <f>IF(ISERROR(U101/S101*100),"",U101/S101*100)</f>
        <v>0</v>
      </c>
      <c r="Y101" s="661"/>
      <c r="Z101" s="661"/>
      <c r="AA101" s="661"/>
      <c r="AB101" s="660"/>
      <c r="AC101" s="659"/>
      <c r="AD101" s="658"/>
      <c r="AE101" s="658"/>
      <c r="AF101" s="658"/>
    </row>
    <row r="102" spans="1:32" s="450" customFormat="1" ht="31.5">
      <c r="A102" s="665" t="str">
        <f>'[1]Ctiet UTH 17_KH 18'!A102</f>
        <v xml:space="preserve"> + DT trồng trên đất nông nghiệp (đất trống, đồi núi trọc)</v>
      </c>
      <c r="B102" s="664"/>
      <c r="C102" s="662"/>
      <c r="D102" s="662"/>
      <c r="E102" s="662"/>
      <c r="F102" s="662"/>
      <c r="G102" s="662"/>
      <c r="H102" s="540"/>
      <c r="I102" s="662"/>
      <c r="J102" s="617"/>
      <c r="K102" s="617"/>
      <c r="L102" s="662"/>
      <c r="M102" s="662"/>
      <c r="N102" s="617"/>
      <c r="O102" s="617"/>
      <c r="P102" s="617"/>
      <c r="Q102" s="617"/>
      <c r="R102" s="538"/>
      <c r="S102" s="630">
        <v>200</v>
      </c>
      <c r="T102" s="663"/>
      <c r="U102" s="619"/>
      <c r="V102" s="662"/>
      <c r="W102" s="513" t="str">
        <f>IF(ISERROR(U102/N102*100),"",U102/N102*100)</f>
        <v/>
      </c>
      <c r="X102" s="513">
        <f>IF(ISERROR(U102/S102*100),"",U102/S102*100)</f>
        <v>0</v>
      </c>
      <c r="Y102" s="661"/>
      <c r="Z102" s="661"/>
      <c r="AA102" s="661"/>
      <c r="AB102" s="660"/>
      <c r="AC102" s="659"/>
      <c r="AD102" s="658"/>
      <c r="AE102" s="658"/>
      <c r="AF102" s="658"/>
    </row>
    <row r="103" spans="1:32" s="494" customFormat="1">
      <c r="A103" s="657" t="s">
        <v>349</v>
      </c>
      <c r="B103" s="656" t="s">
        <v>326</v>
      </c>
      <c r="C103" s="652">
        <v>274</v>
      </c>
      <c r="D103" s="652"/>
      <c r="E103" s="652"/>
      <c r="F103" s="652"/>
      <c r="G103" s="652">
        <v>274</v>
      </c>
      <c r="H103" s="540">
        <f>+G103-C103</f>
        <v>0</v>
      </c>
      <c r="I103" s="652">
        <v>275</v>
      </c>
      <c r="J103" s="655">
        <v>275</v>
      </c>
      <c r="K103" s="655"/>
      <c r="L103" s="652">
        <f>G103</f>
        <v>274</v>
      </c>
      <c r="M103" s="652">
        <f>+L103</f>
        <v>274</v>
      </c>
      <c r="N103" s="655">
        <v>277</v>
      </c>
      <c r="O103" s="655">
        <f>+Q103</f>
        <v>325.8</v>
      </c>
      <c r="P103" s="654">
        <v>325</v>
      </c>
      <c r="Q103" s="654">
        <f>+'[1]Ctiet UTH 17_KH 18'!J103</f>
        <v>325.8</v>
      </c>
      <c r="R103" s="538"/>
      <c r="S103" s="654">
        <v>345.8</v>
      </c>
      <c r="T103" s="653">
        <v>326</v>
      </c>
      <c r="U103" s="653">
        <f>U104+T103</f>
        <v>346</v>
      </c>
      <c r="V103" s="652"/>
      <c r="W103" s="513">
        <f>IF(ISERROR(U103/N103*100),"",U103/N103*100)</f>
        <v>124.90974729241877</v>
      </c>
      <c r="X103" s="513">
        <f>IF(ISERROR(U103/S103*100),"",U103/S103*100)</f>
        <v>100.05783689994216</v>
      </c>
      <c r="Y103" s="512" t="s">
        <v>269</v>
      </c>
      <c r="Z103" s="512" t="e">
        <f>IF(#REF!&gt;100,"Vượt",IF(#REF!&lt;99.5,"Không đạt","Đạt"))</f>
        <v>#REF!</v>
      </c>
      <c r="AA103" s="512"/>
      <c r="AB103" s="651"/>
      <c r="AC103" s="553"/>
      <c r="AD103" s="552"/>
      <c r="AE103" s="552"/>
      <c r="AF103" s="552"/>
    </row>
    <row r="104" spans="1:32">
      <c r="A104" s="530" t="s">
        <v>348</v>
      </c>
      <c r="B104" s="529" t="s">
        <v>326</v>
      </c>
      <c r="C104" s="524"/>
      <c r="D104" s="524"/>
      <c r="E104" s="524"/>
      <c r="F104" s="524"/>
      <c r="G104" s="524"/>
      <c r="H104" s="540">
        <f>+G104-C104</f>
        <v>0</v>
      </c>
      <c r="I104" s="524"/>
      <c r="J104" s="539"/>
      <c r="K104" s="539"/>
      <c r="L104" s="524"/>
      <c r="M104" s="524"/>
      <c r="N104" s="539"/>
      <c r="O104" s="539"/>
      <c r="P104" s="563">
        <v>51</v>
      </c>
      <c r="Q104" s="563">
        <v>51</v>
      </c>
      <c r="R104" s="538"/>
      <c r="S104" s="539">
        <v>20</v>
      </c>
      <c r="T104" s="564"/>
      <c r="U104" s="526">
        <v>20</v>
      </c>
      <c r="V104" s="524"/>
      <c r="W104" s="513" t="str">
        <f>IF(ISERROR(U104/N104*100),"",U104/N104*100)</f>
        <v/>
      </c>
      <c r="X104" s="513">
        <f>IF(ISERROR(U104/S104*100),"",U104/S104*100)</f>
        <v>100</v>
      </c>
      <c r="Y104" s="512"/>
      <c r="Z104" s="512" t="e">
        <f>IF(#REF!&gt;100,"Vượt",IF(#REF!&lt;99.5,"Không đạt","Đạt"))</f>
        <v>#REF!</v>
      </c>
      <c r="AA104" s="512"/>
      <c r="AB104" s="542"/>
      <c r="AC104" s="553"/>
      <c r="AD104" s="552"/>
      <c r="AE104" s="552"/>
      <c r="AF104" s="552"/>
    </row>
    <row r="105" spans="1:32" s="522" customFormat="1">
      <c r="A105" s="541" t="s">
        <v>347</v>
      </c>
      <c r="B105" s="562" t="s">
        <v>326</v>
      </c>
      <c r="C105" s="524"/>
      <c r="D105" s="524"/>
      <c r="E105" s="524"/>
      <c r="F105" s="524"/>
      <c r="G105" s="524"/>
      <c r="H105" s="540">
        <f>+G105-C105</f>
        <v>0</v>
      </c>
      <c r="I105" s="524"/>
      <c r="J105" s="539"/>
      <c r="K105" s="539"/>
      <c r="L105" s="524"/>
      <c r="M105" s="524"/>
      <c r="N105" s="539"/>
      <c r="O105" s="539"/>
      <c r="P105" s="563"/>
      <c r="Q105" s="539"/>
      <c r="R105" s="538"/>
      <c r="S105" s="539"/>
      <c r="T105" s="564"/>
      <c r="U105" s="564"/>
      <c r="V105" s="524"/>
      <c r="W105" s="513" t="str">
        <f>IF(ISERROR(U105/N105*100),"",U105/N105*100)</f>
        <v/>
      </c>
      <c r="X105" s="513" t="str">
        <f>IF(ISERROR(U105/S105*100),"",U105/S105*100)</f>
        <v/>
      </c>
      <c r="Y105" s="512"/>
      <c r="Z105" s="512"/>
      <c r="AA105" s="512"/>
      <c r="AB105" s="558"/>
      <c r="AC105" s="557"/>
      <c r="AD105" s="523"/>
      <c r="AE105" s="523"/>
      <c r="AF105" s="523"/>
    </row>
    <row r="106" spans="1:32" s="522" customFormat="1">
      <c r="A106" s="541" t="s">
        <v>346</v>
      </c>
      <c r="B106" s="562" t="s">
        <v>326</v>
      </c>
      <c r="C106" s="650">
        <v>88776.599999999991</v>
      </c>
      <c r="D106" s="650"/>
      <c r="E106" s="650"/>
      <c r="F106" s="650"/>
      <c r="G106" s="650">
        <v>88776.599999999991</v>
      </c>
      <c r="H106" s="650">
        <v>88776.599999999991</v>
      </c>
      <c r="I106" s="650"/>
      <c r="J106" s="650">
        <v>88776.599999999991</v>
      </c>
      <c r="K106" s="560"/>
      <c r="L106" s="560">
        <v>88903.9</v>
      </c>
      <c r="M106" s="560"/>
      <c r="N106" s="648">
        <v>88776.599999999991</v>
      </c>
      <c r="O106" s="648"/>
      <c r="P106" s="649">
        <v>88776.599999999991</v>
      </c>
      <c r="Q106" s="648">
        <v>88776.599999999991</v>
      </c>
      <c r="R106" s="538"/>
      <c r="S106" s="648">
        <v>88776.599999999991</v>
      </c>
      <c r="T106" s="648">
        <v>88776.599999999991</v>
      </c>
      <c r="U106" s="648">
        <v>88776.599999999991</v>
      </c>
      <c r="V106" s="559"/>
      <c r="W106" s="513">
        <f>IF(ISERROR(U106/N106*100),"",U106/N106*100)</f>
        <v>100</v>
      </c>
      <c r="X106" s="513">
        <f>IF(ISERROR(U106/S106*100),"",U106/S106*100)</f>
        <v>100</v>
      </c>
      <c r="Y106" s="642"/>
      <c r="Z106" s="512"/>
      <c r="AA106" s="512"/>
      <c r="AB106" s="641"/>
      <c r="AC106" s="557"/>
      <c r="AD106" s="523"/>
      <c r="AE106" s="523"/>
      <c r="AF106" s="523"/>
    </row>
    <row r="107" spans="1:32" s="575" customFormat="1" ht="18.75">
      <c r="A107" s="521" t="s">
        <v>345</v>
      </c>
      <c r="B107" s="520" t="s">
        <v>326</v>
      </c>
      <c r="C107" s="627">
        <v>80161.399999999994</v>
      </c>
      <c r="D107" s="627"/>
      <c r="E107" s="627"/>
      <c r="F107" s="627"/>
      <c r="G107" s="627">
        <v>80161.399999999994</v>
      </c>
      <c r="H107" s="627">
        <v>80161.399999999994</v>
      </c>
      <c r="I107" s="627"/>
      <c r="J107" s="627">
        <v>80161.399999999994</v>
      </c>
      <c r="K107" s="579"/>
      <c r="L107" s="580">
        <v>80164.399999999994</v>
      </c>
      <c r="M107" s="580"/>
      <c r="N107" s="626">
        <v>80161.399999999994</v>
      </c>
      <c r="O107" s="626"/>
      <c r="P107" s="626">
        <v>80161.399999999994</v>
      </c>
      <c r="Q107" s="626">
        <v>80161.399999999994</v>
      </c>
      <c r="R107" s="538"/>
      <c r="S107" s="626">
        <v>80161.399999999994</v>
      </c>
      <c r="T107" s="626">
        <v>80161.399999999994</v>
      </c>
      <c r="U107" s="626">
        <v>80161.399999999994</v>
      </c>
      <c r="V107" s="514"/>
      <c r="W107" s="513">
        <f>IF(ISERROR(U107/N107*100),"",U107/N107*100)</f>
        <v>100</v>
      </c>
      <c r="X107" s="513">
        <f>IF(ISERROR(U107/S107*100),"",U107/S107*100)</f>
        <v>100</v>
      </c>
      <c r="Y107" s="646"/>
      <c r="Z107" s="512"/>
      <c r="AA107" s="512"/>
      <c r="AB107" s="582"/>
      <c r="AC107" s="647"/>
      <c r="AD107" s="576"/>
      <c r="AE107" s="576"/>
      <c r="AF107" s="576"/>
    </row>
    <row r="108" spans="1:32" s="575" customFormat="1">
      <c r="A108" s="534" t="s">
        <v>344</v>
      </c>
      <c r="B108" s="520" t="s">
        <v>326</v>
      </c>
      <c r="C108" s="627">
        <v>8615.2000000000007</v>
      </c>
      <c r="D108" s="627"/>
      <c r="E108" s="627"/>
      <c r="F108" s="627"/>
      <c r="G108" s="627">
        <v>8615.2000000000007</v>
      </c>
      <c r="H108" s="627">
        <v>8615.2000000000007</v>
      </c>
      <c r="I108" s="627"/>
      <c r="J108" s="627">
        <v>8615.2000000000007</v>
      </c>
      <c r="K108" s="579"/>
      <c r="L108" s="518">
        <v>8615.2000000000007</v>
      </c>
      <c r="M108" s="518"/>
      <c r="N108" s="626">
        <v>8615.2000000000007</v>
      </c>
      <c r="O108" s="626"/>
      <c r="P108" s="626">
        <v>8615.2000000000007</v>
      </c>
      <c r="Q108" s="626">
        <v>8615.2000000000007</v>
      </c>
      <c r="R108" s="538"/>
      <c r="S108" s="626">
        <v>8615.2000000000007</v>
      </c>
      <c r="T108" s="626">
        <v>8615.2000000000007</v>
      </c>
      <c r="U108" s="626">
        <v>8615.2000000000007</v>
      </c>
      <c r="V108" s="514"/>
      <c r="W108" s="513">
        <f>IF(ISERROR(U108/N108*100),"",U108/N108*100)</f>
        <v>100</v>
      </c>
      <c r="X108" s="513">
        <f>IF(ISERROR(U108/S108*100),"",U108/S108*100)</f>
        <v>100</v>
      </c>
      <c r="Y108" s="646"/>
      <c r="Z108" s="512"/>
      <c r="AA108" s="512"/>
      <c r="AB108" s="582"/>
      <c r="AC108" s="577"/>
      <c r="AD108" s="576"/>
      <c r="AE108" s="576"/>
      <c r="AF108" s="576"/>
    </row>
    <row r="109" spans="1:32" s="575" customFormat="1">
      <c r="A109" s="541" t="s">
        <v>343</v>
      </c>
      <c r="B109" s="562" t="s">
        <v>40</v>
      </c>
      <c r="C109" s="645">
        <v>61.944306777113603</v>
      </c>
      <c r="D109" s="645"/>
      <c r="E109" s="645"/>
      <c r="F109" s="645"/>
      <c r="G109" s="645">
        <v>61.944306777113603</v>
      </c>
      <c r="H109" s="540">
        <v>0</v>
      </c>
      <c r="I109" s="645"/>
      <c r="J109" s="643">
        <v>61.944306777113603</v>
      </c>
      <c r="K109" s="643"/>
      <c r="L109" s="645">
        <v>61.944306777113603</v>
      </c>
      <c r="M109" s="645"/>
      <c r="N109" s="643">
        <v>61.944306777113603</v>
      </c>
      <c r="O109" s="643"/>
      <c r="P109" s="644">
        <v>61.944306777113603</v>
      </c>
      <c r="Q109" s="643">
        <v>61.944306777113603</v>
      </c>
      <c r="R109" s="538"/>
      <c r="S109" s="643">
        <v>61.944306777113603</v>
      </c>
      <c r="T109" s="643">
        <v>61.944306777113603</v>
      </c>
      <c r="U109" s="643">
        <v>61.944306777113603</v>
      </c>
      <c r="V109" s="559"/>
      <c r="W109" s="513">
        <f>IF(ISERROR(U109/N109*100),"",U109/N109*100)</f>
        <v>100</v>
      </c>
      <c r="X109" s="513">
        <f>IF(ISERROR(U109/S109*100),"",U109/S109*100)</f>
        <v>100</v>
      </c>
      <c r="Y109" s="642"/>
      <c r="Z109" s="512"/>
      <c r="AA109" s="512"/>
      <c r="AB109" s="641"/>
      <c r="AC109" s="577"/>
      <c r="AD109" s="576"/>
      <c r="AE109" s="576"/>
      <c r="AF109" s="576"/>
    </row>
    <row r="110" spans="1:32">
      <c r="A110" s="541" t="s">
        <v>342</v>
      </c>
      <c r="B110" s="640"/>
      <c r="C110" s="639">
        <f>+C112+C114+C116+C123</f>
        <v>20384</v>
      </c>
      <c r="D110" s="639"/>
      <c r="E110" s="639"/>
      <c r="F110" s="639"/>
      <c r="G110" s="639">
        <f>+G112+G114+G116+G123</f>
        <v>21135</v>
      </c>
      <c r="H110" s="639">
        <f>+H112+H114+H116+H123</f>
        <v>751</v>
      </c>
      <c r="I110" s="639">
        <f>+I112+I114+I116+I123</f>
        <v>19888</v>
      </c>
      <c r="J110" s="639"/>
      <c r="K110" s="639"/>
      <c r="L110" s="639"/>
      <c r="M110" s="639"/>
      <c r="N110" s="639">
        <f>+N112+N114+N116+N123</f>
        <v>21639</v>
      </c>
      <c r="O110" s="639">
        <f>+O112+O114+O116+O123</f>
        <v>0</v>
      </c>
      <c r="P110" s="639">
        <f>+P112+P114+P116+P123</f>
        <v>21955</v>
      </c>
      <c r="Q110" s="639">
        <f>+Q112+Q114+Q116+Q123</f>
        <v>24435</v>
      </c>
      <c r="R110" s="639">
        <f>+R112+R114+R116+R123</f>
        <v>0</v>
      </c>
      <c r="S110" s="639">
        <f>+S112+S114+S116+S123</f>
        <v>24720</v>
      </c>
      <c r="T110" s="639">
        <f>+T112+T114+T116+T123</f>
        <v>20397</v>
      </c>
      <c r="U110" s="639">
        <f>+U112+U114+U116+U123</f>
        <v>21258</v>
      </c>
      <c r="V110" s="527"/>
      <c r="W110" s="638">
        <f>IF(ISERROR(U110/N110*100),"",U110/N110*100)</f>
        <v>98.239290170525436</v>
      </c>
      <c r="X110" s="638">
        <f>IF(ISERROR(U110/S110*100),"",U110/S110*100)</f>
        <v>85.995145631067956</v>
      </c>
      <c r="Y110" s="637"/>
      <c r="Z110" s="637"/>
      <c r="AA110" s="637"/>
      <c r="AB110" s="636"/>
      <c r="AC110" s="635"/>
      <c r="AD110" s="552"/>
      <c r="AE110" s="552"/>
      <c r="AF110" s="552"/>
    </row>
    <row r="111" spans="1:32">
      <c r="A111" s="541"/>
      <c r="B111" s="640"/>
      <c r="C111" s="639"/>
      <c r="D111" s="639"/>
      <c r="E111" s="639"/>
      <c r="F111" s="639"/>
      <c r="G111" s="639"/>
      <c r="H111" s="639"/>
      <c r="I111" s="639"/>
      <c r="J111" s="639"/>
      <c r="K111" s="639"/>
      <c r="L111" s="639"/>
      <c r="M111" s="639"/>
      <c r="N111" s="639">
        <f>+N113+N115+N117+N124</f>
        <v>949.62000000000012</v>
      </c>
      <c r="O111" s="639">
        <f>+O113+O115+O117+O124</f>
        <v>0</v>
      </c>
      <c r="P111" s="639">
        <f>+P113+P115+P117+P124</f>
        <v>1362.826037718</v>
      </c>
      <c r="Q111" s="639">
        <f>+Q113+Q115+Q117+Q124</f>
        <v>1619.5</v>
      </c>
      <c r="R111" s="639">
        <f>+R113+R115+R117+R124</f>
        <v>0</v>
      </c>
      <c r="S111" s="639">
        <f>+S113+S115+S117+S124</f>
        <v>1678.4</v>
      </c>
      <c r="T111" s="639">
        <f>+T113+T115+T117+T124</f>
        <v>775.83333333333326</v>
      </c>
      <c r="U111" s="639">
        <f>+U113+U115+U117+U124</f>
        <v>896.80000000000007</v>
      </c>
      <c r="V111" s="527"/>
      <c r="W111" s="638">
        <f>IF(ISERROR(U111/N111*100),"",U111/N111*100)</f>
        <v>94.437775110044015</v>
      </c>
      <c r="X111" s="638">
        <f>IF(ISERROR(U111/S111*100),"",U111/S111*100)</f>
        <v>53.431839847473782</v>
      </c>
      <c r="Y111" s="637"/>
      <c r="Z111" s="637"/>
      <c r="AA111" s="637"/>
      <c r="AB111" s="636"/>
      <c r="AC111" s="635"/>
      <c r="AD111" s="552"/>
      <c r="AE111" s="552"/>
      <c r="AF111" s="552"/>
    </row>
    <row r="112" spans="1:32">
      <c r="A112" s="530" t="s">
        <v>341</v>
      </c>
      <c r="B112" s="529" t="s">
        <v>332</v>
      </c>
      <c r="C112" s="613">
        <v>525</v>
      </c>
      <c r="D112" s="613"/>
      <c r="E112" s="613"/>
      <c r="F112" s="613"/>
      <c r="G112" s="613">
        <v>553</v>
      </c>
      <c r="H112" s="540">
        <f>+G112-C112</f>
        <v>28</v>
      </c>
      <c r="I112" s="613">
        <v>588</v>
      </c>
      <c r="J112" s="614">
        <v>600</v>
      </c>
      <c r="K112" s="614"/>
      <c r="L112" s="540">
        <v>576</v>
      </c>
      <c r="M112" s="540"/>
      <c r="N112" s="540">
        <v>576</v>
      </c>
      <c r="O112" s="540"/>
      <c r="P112" s="506">
        <v>522</v>
      </c>
      <c r="Q112" s="540">
        <f>+'[1]Ctiet UTH 17_KH 18'!J107</f>
        <v>550</v>
      </c>
      <c r="R112" s="538"/>
      <c r="S112" s="540">
        <v>570</v>
      </c>
      <c r="T112" s="525">
        <v>509</v>
      </c>
      <c r="U112" s="525">
        <v>529</v>
      </c>
      <c r="V112" s="540">
        <v>700</v>
      </c>
      <c r="W112" s="513">
        <f>IF(ISERROR(U112/N112*100),"",U112/N112*100)</f>
        <v>91.840277777777786</v>
      </c>
      <c r="X112" s="513">
        <f>IF(ISERROR(U112/S112*100),"",U112/S112*100)</f>
        <v>92.807017543859644</v>
      </c>
      <c r="Y112" s="512" t="s">
        <v>269</v>
      </c>
      <c r="Z112" s="512" t="e">
        <f>IF(#REF!&gt;100,"Vượt",IF(#REF!&lt;99.5,"Không đạt","Đạt"))</f>
        <v>#REF!</v>
      </c>
      <c r="AA112" s="512"/>
      <c r="AB112" s="542"/>
      <c r="AC112" s="634"/>
      <c r="AD112" s="552"/>
      <c r="AE112" s="552"/>
      <c r="AF112" s="552"/>
    </row>
    <row r="113" spans="1:32" s="575" customFormat="1">
      <c r="A113" s="534" t="s">
        <v>331</v>
      </c>
      <c r="B113" s="520" t="s">
        <v>299</v>
      </c>
      <c r="C113" s="578">
        <v>34</v>
      </c>
      <c r="D113" s="578"/>
      <c r="E113" s="578"/>
      <c r="F113" s="578"/>
      <c r="G113" s="578">
        <v>45</v>
      </c>
      <c r="H113" s="540">
        <f>+G113-C113</f>
        <v>11</v>
      </c>
      <c r="I113" s="578"/>
      <c r="J113" s="579">
        <v>46</v>
      </c>
      <c r="K113" s="579"/>
      <c r="L113" s="514">
        <f>+N113*0.5</f>
        <v>14.025</v>
      </c>
      <c r="M113" s="514"/>
      <c r="N113" s="579">
        <v>28.05</v>
      </c>
      <c r="O113" s="579"/>
      <c r="P113" s="580">
        <v>41.600880000000004</v>
      </c>
      <c r="Q113" s="579">
        <v>48</v>
      </c>
      <c r="R113" s="538"/>
      <c r="S113" s="579">
        <v>50</v>
      </c>
      <c r="T113" s="578">
        <v>27</v>
      </c>
      <c r="U113" s="578">
        <v>28.2</v>
      </c>
      <c r="V113" s="514"/>
      <c r="W113" s="513">
        <f>IF(ISERROR(U113/N113*100),"",U113/N113*100)</f>
        <v>100.53475935828877</v>
      </c>
      <c r="X113" s="513">
        <f>IF(ISERROR(U113/S113*100),"",U113/S113*100)</f>
        <v>56.399999999999991</v>
      </c>
      <c r="Y113" s="512" t="s">
        <v>261</v>
      </c>
      <c r="Z113" s="512" t="e">
        <f>IF(#REF!&gt;100,"Vượt",IF(#REF!&lt;99.5,"Không đạt","Đạt"))</f>
        <v>#REF!</v>
      </c>
      <c r="AA113" s="512"/>
      <c r="AB113" s="582"/>
      <c r="AC113" s="633"/>
      <c r="AD113" s="576"/>
      <c r="AE113" s="576"/>
      <c r="AF113" s="576"/>
    </row>
    <row r="114" spans="1:32">
      <c r="A114" s="530" t="s">
        <v>340</v>
      </c>
      <c r="B114" s="529" t="s">
        <v>332</v>
      </c>
      <c r="C114" s="613">
        <v>6736</v>
      </c>
      <c r="D114" s="613"/>
      <c r="E114" s="613"/>
      <c r="F114" s="613"/>
      <c r="G114" s="613">
        <v>8241</v>
      </c>
      <c r="H114" s="540">
        <f>+G114-C114</f>
        <v>1505</v>
      </c>
      <c r="I114" s="613">
        <v>8300</v>
      </c>
      <c r="J114" s="614">
        <v>8400</v>
      </c>
      <c r="K114" s="614"/>
      <c r="L114" s="540">
        <v>8241</v>
      </c>
      <c r="M114" s="540"/>
      <c r="N114" s="614">
        <v>8325</v>
      </c>
      <c r="O114" s="614"/>
      <c r="P114" s="630">
        <v>8433</v>
      </c>
      <c r="Q114" s="614">
        <f>+'[1]Ctiet UTH 17_KH 18'!J108</f>
        <v>8450</v>
      </c>
      <c r="R114" s="538"/>
      <c r="S114" s="614">
        <v>9050</v>
      </c>
      <c r="T114" s="525">
        <v>8734</v>
      </c>
      <c r="U114" s="525">
        <v>8736</v>
      </c>
      <c r="V114" s="540">
        <v>8000</v>
      </c>
      <c r="W114" s="513">
        <f>IF(ISERROR(U114/N114*100),"",U114/N114*100)</f>
        <v>104.93693693693693</v>
      </c>
      <c r="X114" s="513">
        <f>IF(ISERROR(U114/S114*100),"",U114/S114*100)</f>
        <v>96.53038674033148</v>
      </c>
      <c r="Y114" s="512" t="s">
        <v>246</v>
      </c>
      <c r="Z114" s="512" t="e">
        <f>IF(#REF!&gt;100,"Vượt",IF(#REF!&lt;99.5,"Không đạt","Đạt"))</f>
        <v>#REF!</v>
      </c>
      <c r="AA114" s="512"/>
      <c r="AB114" s="542"/>
      <c r="AC114" s="632"/>
      <c r="AD114" s="552"/>
      <c r="AE114" s="552"/>
      <c r="AF114" s="552"/>
    </row>
    <row r="115" spans="1:32" s="575" customFormat="1">
      <c r="A115" s="534" t="s">
        <v>331</v>
      </c>
      <c r="B115" s="520" t="s">
        <v>299</v>
      </c>
      <c r="C115" s="578">
        <v>278</v>
      </c>
      <c r="D115" s="578"/>
      <c r="E115" s="578"/>
      <c r="F115" s="578"/>
      <c r="G115" s="578">
        <v>378</v>
      </c>
      <c r="H115" s="540">
        <f>+G115-C115</f>
        <v>100</v>
      </c>
      <c r="I115" s="578"/>
      <c r="J115" s="579">
        <v>400</v>
      </c>
      <c r="K115" s="579"/>
      <c r="L115" s="514">
        <f>+N115*0.5</f>
        <v>86.827500000000001</v>
      </c>
      <c r="M115" s="514"/>
      <c r="N115" s="579">
        <v>173.655</v>
      </c>
      <c r="O115" s="579"/>
      <c r="P115" s="580">
        <f>+Q115*0.75</f>
        <v>303.75</v>
      </c>
      <c r="Q115" s="579">
        <v>405</v>
      </c>
      <c r="R115" s="538"/>
      <c r="S115" s="579">
        <v>434</v>
      </c>
      <c r="T115" s="578">
        <f>+U115*0.833333333333333</f>
        <v>148.33333333333329</v>
      </c>
      <c r="U115" s="578">
        <v>178</v>
      </c>
      <c r="V115" s="514"/>
      <c r="W115" s="513">
        <f>IF(ISERROR(U115/N115*100),"",U115/N115*100)</f>
        <v>102.502087472287</v>
      </c>
      <c r="X115" s="513">
        <f>IF(ISERROR(U115/S115*100),"",U115/S115*100)</f>
        <v>41.013824884792626</v>
      </c>
      <c r="Y115" s="512" t="s">
        <v>246</v>
      </c>
      <c r="Z115" s="512" t="e">
        <f>IF(#REF!&gt;100,"Vượt",IF(#REF!&lt;99.5,"Không đạt","Đạt"))</f>
        <v>#REF!</v>
      </c>
      <c r="AA115" s="512"/>
      <c r="AB115" s="582"/>
      <c r="AC115" s="631"/>
      <c r="AD115" s="576"/>
      <c r="AE115" s="576"/>
      <c r="AF115" s="576"/>
    </row>
    <row r="116" spans="1:32">
      <c r="A116" s="530" t="s">
        <v>339</v>
      </c>
      <c r="B116" s="529" t="s">
        <v>332</v>
      </c>
      <c r="C116" s="613">
        <v>12518</v>
      </c>
      <c r="D116" s="613"/>
      <c r="E116" s="613"/>
      <c r="F116" s="613"/>
      <c r="G116" s="613">
        <v>11716</v>
      </c>
      <c r="H116" s="540">
        <f>+G116-C116</f>
        <v>-802</v>
      </c>
      <c r="I116" s="613">
        <v>11000</v>
      </c>
      <c r="J116" s="614">
        <v>12500</v>
      </c>
      <c r="K116" s="614"/>
      <c r="L116" s="540">
        <v>11716</v>
      </c>
      <c r="M116" s="540"/>
      <c r="N116" s="614">
        <v>12108</v>
      </c>
      <c r="O116" s="614"/>
      <c r="P116" s="630">
        <v>12352</v>
      </c>
      <c r="Q116" s="614">
        <f>+'[1]Ctiet UTH 17_KH 18'!J109</f>
        <v>13935</v>
      </c>
      <c r="R116" s="538"/>
      <c r="S116" s="614">
        <v>13500</v>
      </c>
      <c r="T116" s="525">
        <v>10434</v>
      </c>
      <c r="U116" s="525">
        <v>11273</v>
      </c>
      <c r="V116" s="540">
        <v>15000</v>
      </c>
      <c r="W116" s="513">
        <f>IF(ISERROR(U116/N116*100),"",U116/N116*100)</f>
        <v>93.103733069045262</v>
      </c>
      <c r="X116" s="513">
        <f>IF(ISERROR(U116/S116*100),"",U116/S116*100)</f>
        <v>83.503703703703707</v>
      </c>
      <c r="Y116" s="512" t="s">
        <v>246</v>
      </c>
      <c r="Z116" s="512" t="e">
        <f>IF(#REF!&gt;100,"Vượt",IF(#REF!&lt;99.5,"Không đạt","Đạt"))</f>
        <v>#REF!</v>
      </c>
      <c r="AA116" s="512"/>
      <c r="AB116" s="542"/>
      <c r="AC116" s="553"/>
      <c r="AD116" s="552"/>
      <c r="AE116" s="552"/>
      <c r="AF116" s="552"/>
    </row>
    <row r="117" spans="1:32" s="575" customFormat="1">
      <c r="A117" s="534" t="s">
        <v>331</v>
      </c>
      <c r="B117" s="520" t="s">
        <v>299</v>
      </c>
      <c r="C117" s="578">
        <v>884</v>
      </c>
      <c r="D117" s="578"/>
      <c r="E117" s="578"/>
      <c r="F117" s="578"/>
      <c r="G117" s="578">
        <v>1178</v>
      </c>
      <c r="H117" s="540">
        <f>+G117-C117</f>
        <v>294</v>
      </c>
      <c r="I117" s="578"/>
      <c r="J117" s="579">
        <v>1190</v>
      </c>
      <c r="K117" s="579"/>
      <c r="L117" s="514">
        <f>+N117*0.5</f>
        <v>371.28000000000003</v>
      </c>
      <c r="M117" s="514"/>
      <c r="N117" s="579">
        <v>742.56000000000006</v>
      </c>
      <c r="O117" s="579"/>
      <c r="P117" s="580">
        <v>1007.350157718</v>
      </c>
      <c r="Q117" s="579">
        <v>1153</v>
      </c>
      <c r="R117" s="538"/>
      <c r="S117" s="579">
        <v>1180</v>
      </c>
      <c r="T117" s="578">
        <v>595</v>
      </c>
      <c r="U117" s="578">
        <v>685</v>
      </c>
      <c r="V117" s="514"/>
      <c r="W117" s="513">
        <f>IF(ISERROR(U117/N117*100),"",U117/N117*100)</f>
        <v>92.248437836673119</v>
      </c>
      <c r="X117" s="513">
        <f>IF(ISERROR(U117/S117*100),"",U117/S117*100)</f>
        <v>58.050847457627121</v>
      </c>
      <c r="Y117" s="512" t="s">
        <v>246</v>
      </c>
      <c r="Z117" s="512" t="e">
        <f>IF(#REF!&gt;100,"Vượt",IF(#REF!&lt;99.5,"Không đạt","Đạt"))</f>
        <v>#REF!</v>
      </c>
      <c r="AA117" s="512"/>
      <c r="AB117" s="582"/>
      <c r="AC117" s="577"/>
      <c r="AD117" s="576"/>
      <c r="AE117" s="576"/>
      <c r="AF117" s="576"/>
    </row>
    <row r="118" spans="1:32">
      <c r="A118" s="530" t="s">
        <v>338</v>
      </c>
      <c r="B118" s="529" t="s">
        <v>332</v>
      </c>
      <c r="C118" s="613">
        <v>83150</v>
      </c>
      <c r="D118" s="613"/>
      <c r="E118" s="613"/>
      <c r="F118" s="613"/>
      <c r="G118" s="613">
        <v>107102</v>
      </c>
      <c r="H118" s="540">
        <f>+G118-C118</f>
        <v>23952</v>
      </c>
      <c r="I118" s="613"/>
      <c r="J118" s="614">
        <v>110000</v>
      </c>
      <c r="K118" s="614"/>
      <c r="L118" s="540">
        <v>105000</v>
      </c>
      <c r="M118" s="540"/>
      <c r="N118" s="614">
        <v>108000</v>
      </c>
      <c r="O118" s="614"/>
      <c r="P118" s="630">
        <v>90291</v>
      </c>
      <c r="Q118" s="614">
        <f>+'[1]Ctiet UTH 17_KH 18'!J110</f>
        <v>110050</v>
      </c>
      <c r="R118" s="538"/>
      <c r="S118" s="614">
        <v>110000</v>
      </c>
      <c r="T118" s="525">
        <v>87000</v>
      </c>
      <c r="U118" s="525">
        <v>113800</v>
      </c>
      <c r="V118" s="540"/>
      <c r="W118" s="513">
        <f>IF(ISERROR(U118/N118*100),"",U118/N118*100)</f>
        <v>105.37037037037038</v>
      </c>
      <c r="X118" s="513">
        <f>IF(ISERROR(U118/S118*100),"",U118/S118*100)</f>
        <v>103.45454545454544</v>
      </c>
      <c r="Y118" s="512" t="s">
        <v>246</v>
      </c>
      <c r="Z118" s="512" t="e">
        <f>IF(#REF!&gt;100,"Vượt",IF(#REF!&lt;99.5,"Không đạt","Đạt"))</f>
        <v>#REF!</v>
      </c>
      <c r="AA118" s="512"/>
      <c r="AB118" s="542"/>
      <c r="AC118" s="553"/>
      <c r="AD118" s="552"/>
      <c r="AE118" s="552"/>
      <c r="AF118" s="552"/>
    </row>
    <row r="119" spans="1:32" s="575" customFormat="1">
      <c r="A119" s="534" t="s">
        <v>331</v>
      </c>
      <c r="B119" s="520" t="s">
        <v>299</v>
      </c>
      <c r="C119" s="516">
        <v>97</v>
      </c>
      <c r="D119" s="516"/>
      <c r="E119" s="516"/>
      <c r="F119" s="516"/>
      <c r="G119" s="516">
        <v>135</v>
      </c>
      <c r="H119" s="540">
        <f>+G119-C119</f>
        <v>38</v>
      </c>
      <c r="I119" s="578"/>
      <c r="J119" s="579">
        <v>140</v>
      </c>
      <c r="K119" s="579"/>
      <c r="L119" s="514">
        <f>+N119*0.5</f>
        <v>41.124999999999979</v>
      </c>
      <c r="M119" s="514"/>
      <c r="N119" s="579">
        <f>+Q119*0.583333333333333</f>
        <v>82.249999999999957</v>
      </c>
      <c r="O119" s="579"/>
      <c r="P119" s="580">
        <f>+Q119*0.75</f>
        <v>105.75</v>
      </c>
      <c r="Q119" s="579">
        <v>141</v>
      </c>
      <c r="R119" s="538"/>
      <c r="S119" s="579">
        <v>145</v>
      </c>
      <c r="T119" s="578">
        <v>72</v>
      </c>
      <c r="U119" s="578">
        <v>75</v>
      </c>
      <c r="V119" s="514"/>
      <c r="W119" s="513">
        <f>IF(ISERROR(U119/N119*100),"",U119/N119*100)</f>
        <v>91.185410334346557</v>
      </c>
      <c r="X119" s="513">
        <f>IF(ISERROR(U119/S119*100),"",U119/S119*100)</f>
        <v>51.724137931034484</v>
      </c>
      <c r="Y119" s="512" t="s">
        <v>246</v>
      </c>
      <c r="Z119" s="512" t="e">
        <f>IF(#REF!&gt;100,"Vượt",IF(#REF!&lt;99.5,"Không đạt","Đạt"))</f>
        <v>#REF!</v>
      </c>
      <c r="AA119" s="512"/>
      <c r="AB119" s="582"/>
      <c r="AC119" s="577"/>
      <c r="AD119" s="576"/>
      <c r="AE119" s="576"/>
      <c r="AF119" s="576"/>
    </row>
    <row r="120" spans="1:32" s="575" customFormat="1">
      <c r="A120" s="534" t="s">
        <v>337</v>
      </c>
      <c r="B120" s="520" t="s">
        <v>334</v>
      </c>
      <c r="C120" s="514"/>
      <c r="D120" s="514"/>
      <c r="E120" s="514"/>
      <c r="F120" s="514"/>
      <c r="G120" s="514"/>
      <c r="H120" s="540">
        <f>+G120-C120</f>
        <v>0</v>
      </c>
      <c r="I120" s="514"/>
      <c r="J120" s="579"/>
      <c r="K120" s="579"/>
      <c r="L120" s="514"/>
      <c r="M120" s="514"/>
      <c r="N120" s="579"/>
      <c r="O120" s="579"/>
      <c r="P120" s="580"/>
      <c r="Q120" s="579"/>
      <c r="R120" s="538"/>
      <c r="S120" s="579"/>
      <c r="T120" s="537"/>
      <c r="U120" s="537"/>
      <c r="V120" s="514"/>
      <c r="W120" s="513" t="str">
        <f>IF(ISERROR(U120/N120*100),"",U120/N120*100)</f>
        <v/>
      </c>
      <c r="X120" s="513" t="str">
        <f>IF(ISERROR(U120/S120*100),"",U120/S120*100)</f>
        <v/>
      </c>
      <c r="Y120" s="512"/>
      <c r="Z120" s="512" t="e">
        <f>IF(#REF!&gt;100,"Vượt",IF(#REF!&lt;99.5,"Không đạt","Đạt"))</f>
        <v>#REF!</v>
      </c>
      <c r="AA120" s="512"/>
      <c r="AB120" s="582"/>
      <c r="AC120" s="577"/>
      <c r="AD120" s="576"/>
      <c r="AE120" s="576"/>
      <c r="AF120" s="576"/>
    </row>
    <row r="121" spans="1:32" s="575" customFormat="1">
      <c r="A121" s="534" t="s">
        <v>336</v>
      </c>
      <c r="B121" s="520" t="s">
        <v>334</v>
      </c>
      <c r="C121" s="514"/>
      <c r="D121" s="514"/>
      <c r="E121" s="514"/>
      <c r="F121" s="514"/>
      <c r="G121" s="514"/>
      <c r="H121" s="540">
        <f>+G121-C121</f>
        <v>0</v>
      </c>
      <c r="I121" s="514"/>
      <c r="J121" s="579"/>
      <c r="K121" s="579"/>
      <c r="L121" s="514"/>
      <c r="M121" s="514"/>
      <c r="N121" s="579"/>
      <c r="O121" s="579"/>
      <c r="P121" s="580"/>
      <c r="Q121" s="579"/>
      <c r="R121" s="538"/>
      <c r="S121" s="579"/>
      <c r="T121" s="537"/>
      <c r="U121" s="537"/>
      <c r="V121" s="514"/>
      <c r="W121" s="513" t="str">
        <f>IF(ISERROR(U121/N121*100),"",U121/N121*100)</f>
        <v/>
      </c>
      <c r="X121" s="513" t="str">
        <f>IF(ISERROR(U121/S121*100),"",U121/S121*100)</f>
        <v/>
      </c>
      <c r="Y121" s="512"/>
      <c r="Z121" s="512" t="e">
        <f>IF(#REF!&gt;100,"Vượt",IF(#REF!&lt;99.5,"Không đạt","Đạt"))</f>
        <v>#REF!</v>
      </c>
      <c r="AA121" s="512"/>
      <c r="AB121" s="582"/>
      <c r="AC121" s="577"/>
      <c r="AD121" s="576"/>
      <c r="AE121" s="576"/>
      <c r="AF121" s="576"/>
    </row>
    <row r="122" spans="1:32" s="575" customFormat="1">
      <c r="A122" s="534" t="s">
        <v>335</v>
      </c>
      <c r="B122" s="520" t="s">
        <v>334</v>
      </c>
      <c r="C122" s="514"/>
      <c r="D122" s="514"/>
      <c r="E122" s="514"/>
      <c r="F122" s="514"/>
      <c r="G122" s="514"/>
      <c r="H122" s="540">
        <f>+G122-C122</f>
        <v>0</v>
      </c>
      <c r="I122" s="514"/>
      <c r="J122" s="579"/>
      <c r="K122" s="579"/>
      <c r="L122" s="514"/>
      <c r="M122" s="514"/>
      <c r="N122" s="579"/>
      <c r="O122" s="579"/>
      <c r="P122" s="580"/>
      <c r="Q122" s="579"/>
      <c r="R122" s="538"/>
      <c r="S122" s="579"/>
      <c r="T122" s="537"/>
      <c r="U122" s="537"/>
      <c r="V122" s="514"/>
      <c r="W122" s="513" t="str">
        <f>IF(ISERROR(U122/N122*100),"",U122/N122*100)</f>
        <v/>
      </c>
      <c r="X122" s="513" t="str">
        <f>IF(ISERROR(U122/S122*100),"",U122/S122*100)</f>
        <v/>
      </c>
      <c r="Y122" s="512"/>
      <c r="Z122" s="512" t="e">
        <f>IF(#REF!&gt;100,"Vượt",IF(#REF!&lt;99.5,"Không đạt","Đạt"))</f>
        <v>#REF!</v>
      </c>
      <c r="AA122" s="512"/>
      <c r="AB122" s="582"/>
      <c r="AC122" s="577"/>
      <c r="AD122" s="576"/>
      <c r="AE122" s="576"/>
      <c r="AF122" s="576"/>
    </row>
    <row r="123" spans="1:32" s="449" customFormat="1">
      <c r="A123" s="629" t="s">
        <v>333</v>
      </c>
      <c r="B123" s="628" t="s">
        <v>332</v>
      </c>
      <c r="C123" s="538">
        <v>605</v>
      </c>
      <c r="D123" s="538"/>
      <c r="E123" s="538"/>
      <c r="F123" s="538"/>
      <c r="G123" s="538">
        <v>625</v>
      </c>
      <c r="H123" s="540">
        <f>+G123-C123</f>
        <v>20</v>
      </c>
      <c r="I123" s="538"/>
      <c r="J123" s="538">
        <v>658</v>
      </c>
      <c r="K123" s="538"/>
      <c r="L123" s="540">
        <v>628</v>
      </c>
      <c r="M123" s="540"/>
      <c r="N123" s="538">
        <v>630</v>
      </c>
      <c r="O123" s="538"/>
      <c r="P123" s="517">
        <v>648</v>
      </c>
      <c r="Q123" s="538">
        <f>+'[1]Ctiet UTH 17_KH 18'!J111</f>
        <v>1500</v>
      </c>
      <c r="R123" s="538"/>
      <c r="S123" s="538">
        <v>1600</v>
      </c>
      <c r="T123" s="525">
        <v>720</v>
      </c>
      <c r="U123" s="525">
        <v>720</v>
      </c>
      <c r="V123" s="540"/>
      <c r="W123" s="513">
        <f>IF(ISERROR(U123/N123*100),"",U123/N123*100)</f>
        <v>114.28571428571428</v>
      </c>
      <c r="X123" s="513">
        <f>IF(ISERROR(U123/S123*100),"",U123/S123*100)</f>
        <v>45</v>
      </c>
      <c r="Y123" s="623"/>
      <c r="Z123" s="512"/>
      <c r="AA123" s="512"/>
      <c r="AB123" s="622"/>
      <c r="AC123" s="621"/>
      <c r="AD123" s="620"/>
      <c r="AE123" s="620"/>
      <c r="AF123" s="620"/>
    </row>
    <row r="124" spans="1:32" s="449" customFormat="1">
      <c r="A124" s="534" t="s">
        <v>331</v>
      </c>
      <c r="B124" s="520" t="s">
        <v>299</v>
      </c>
      <c r="C124" s="516">
        <v>4.1999999999999993</v>
      </c>
      <c r="D124" s="516"/>
      <c r="E124" s="516"/>
      <c r="F124" s="516"/>
      <c r="G124" s="516">
        <v>5.6</v>
      </c>
      <c r="H124" s="540">
        <f>+G124-C124</f>
        <v>1.4000000000000004</v>
      </c>
      <c r="I124" s="578"/>
      <c r="J124" s="579">
        <v>6.8</v>
      </c>
      <c r="K124" s="579"/>
      <c r="L124" s="627">
        <f>+N124*0.5</f>
        <v>2.6774999999999998</v>
      </c>
      <c r="M124" s="627"/>
      <c r="N124" s="625">
        <v>5.3549999999999995</v>
      </c>
      <c r="O124" s="625"/>
      <c r="P124" s="626">
        <f>+Q124*0.75</f>
        <v>10.125</v>
      </c>
      <c r="Q124" s="625">
        <v>13.5</v>
      </c>
      <c r="R124" s="538"/>
      <c r="S124" s="625">
        <v>14.4</v>
      </c>
      <c r="T124" s="624">
        <v>5.5</v>
      </c>
      <c r="U124" s="624">
        <v>5.6</v>
      </c>
      <c r="V124" s="540"/>
      <c r="W124" s="513">
        <f>IF(ISERROR(U124/N124*100),"",U124/N124*100)</f>
        <v>104.57516339869282</v>
      </c>
      <c r="X124" s="513">
        <f>IF(ISERROR(U124/S124*100),"",U124/S124*100)</f>
        <v>38.888888888888886</v>
      </c>
      <c r="Y124" s="623"/>
      <c r="Z124" s="512"/>
      <c r="AA124" s="512"/>
      <c r="AB124" s="622"/>
      <c r="AC124" s="621"/>
      <c r="AD124" s="620"/>
      <c r="AE124" s="620"/>
      <c r="AF124" s="620"/>
    </row>
    <row r="125" spans="1:32">
      <c r="A125" s="541" t="s">
        <v>330</v>
      </c>
      <c r="B125" s="529"/>
      <c r="C125" s="526"/>
      <c r="D125" s="526"/>
      <c r="E125" s="526"/>
      <c r="F125" s="526"/>
      <c r="G125" s="526"/>
      <c r="H125" s="540">
        <f>+G125-C125</f>
        <v>0</v>
      </c>
      <c r="I125" s="564"/>
      <c r="J125" s="539"/>
      <c r="K125" s="539"/>
      <c r="L125" s="524"/>
      <c r="M125" s="524"/>
      <c r="N125" s="539"/>
      <c r="O125" s="539"/>
      <c r="P125" s="563"/>
      <c r="Q125" s="539"/>
      <c r="R125" s="538"/>
      <c r="S125" s="539"/>
      <c r="T125" s="564"/>
      <c r="U125" s="537"/>
      <c r="V125" s="524"/>
      <c r="W125" s="513" t="str">
        <f>IF(ISERROR(U125/N125*100),"",U125/N125*100)</f>
        <v/>
      </c>
      <c r="X125" s="513" t="str">
        <f>IF(ISERROR(U125/S125*100),"",U125/S125*100)</f>
        <v/>
      </c>
      <c r="Y125" s="512"/>
      <c r="Z125" s="512"/>
      <c r="AA125" s="512"/>
      <c r="AB125" s="542"/>
      <c r="AC125" s="553"/>
      <c r="AD125" s="552"/>
      <c r="AE125" s="552"/>
      <c r="AF125" s="552"/>
    </row>
    <row r="126" spans="1:32">
      <c r="A126" s="541" t="s">
        <v>329</v>
      </c>
      <c r="B126" s="529"/>
      <c r="C126" s="564"/>
      <c r="D126" s="564"/>
      <c r="E126" s="564"/>
      <c r="F126" s="564"/>
      <c r="G126" s="564"/>
      <c r="H126" s="540">
        <f>+G126-C126</f>
        <v>0</v>
      </c>
      <c r="I126" s="564"/>
      <c r="J126" s="539"/>
      <c r="K126" s="539"/>
      <c r="L126" s="524"/>
      <c r="M126" s="524"/>
      <c r="N126" s="539"/>
      <c r="O126" s="539"/>
      <c r="P126" s="563"/>
      <c r="Q126" s="539"/>
      <c r="R126" s="538"/>
      <c r="S126" s="539"/>
      <c r="T126" s="564"/>
      <c r="U126" s="537"/>
      <c r="V126" s="524"/>
      <c r="W126" s="513" t="str">
        <f>IF(ISERROR(U126/N126*100),"",U126/N126*100)</f>
        <v/>
      </c>
      <c r="X126" s="513" t="str">
        <f>IF(ISERROR(U126/S126*100),"",U126/S126*100)</f>
        <v/>
      </c>
      <c r="Y126" s="512"/>
      <c r="Z126" s="512"/>
      <c r="AA126" s="512"/>
      <c r="AB126" s="542"/>
      <c r="AC126" s="553"/>
      <c r="AD126" s="552"/>
      <c r="AE126" s="552"/>
      <c r="AF126" s="552"/>
    </row>
    <row r="127" spans="1:32">
      <c r="A127" s="608" t="s">
        <v>328</v>
      </c>
      <c r="B127" s="607" t="s">
        <v>326</v>
      </c>
      <c r="C127" s="619">
        <v>65.400000000000006</v>
      </c>
      <c r="D127" s="619"/>
      <c r="E127" s="619"/>
      <c r="F127" s="619"/>
      <c r="G127" s="619">
        <v>70.5</v>
      </c>
      <c r="H127" s="540">
        <f>+G127-C127</f>
        <v>5.0999999999999943</v>
      </c>
      <c r="I127" s="615">
        <v>66</v>
      </c>
      <c r="J127" s="616">
        <v>70.5</v>
      </c>
      <c r="K127" s="616"/>
      <c r="L127" s="618">
        <f>+J127</f>
        <v>70.5</v>
      </c>
      <c r="M127" s="618"/>
      <c r="N127" s="616">
        <f>+L127</f>
        <v>70.5</v>
      </c>
      <c r="O127" s="616"/>
      <c r="P127" s="617">
        <f>+Q127</f>
        <v>70.5</v>
      </c>
      <c r="Q127" s="616">
        <f>N127</f>
        <v>70.5</v>
      </c>
      <c r="R127" s="538"/>
      <c r="S127" s="616">
        <v>75</v>
      </c>
      <c r="T127" s="615">
        <v>72</v>
      </c>
      <c r="U127" s="537">
        <v>72</v>
      </c>
      <c r="V127" s="540">
        <v>70</v>
      </c>
      <c r="W127" s="513">
        <f>IF(ISERROR(U127/N127*100),"",U127/N127*100)</f>
        <v>102.12765957446808</v>
      </c>
      <c r="X127" s="513">
        <f>IF(ISERROR(U127/S127*100),"",U127/S127*100)</f>
        <v>96</v>
      </c>
      <c r="Y127" s="512" t="s">
        <v>246</v>
      </c>
      <c r="Z127" s="512" t="e">
        <f>IF(#REF!&gt;100,"Vượt",IF(#REF!&lt;99.5,"Không đạt","Đạt"))</f>
        <v>#REF!</v>
      </c>
      <c r="AA127" s="512"/>
      <c r="AB127" s="542"/>
      <c r="AC127" s="553"/>
      <c r="AD127" s="552"/>
      <c r="AE127" s="552"/>
      <c r="AF127" s="552"/>
    </row>
    <row r="128" spans="1:32" s="575" customFormat="1">
      <c r="A128" s="534" t="s">
        <v>322</v>
      </c>
      <c r="B128" s="520" t="s">
        <v>321</v>
      </c>
      <c r="C128" s="612">
        <v>19.32</v>
      </c>
      <c r="D128" s="612"/>
      <c r="E128" s="612"/>
      <c r="F128" s="612"/>
      <c r="G128" s="612">
        <v>39.4</v>
      </c>
      <c r="H128" s="540">
        <f>+G128-C128</f>
        <v>20.079999999999998</v>
      </c>
      <c r="I128" s="612">
        <v>33.6</v>
      </c>
      <c r="J128" s="604">
        <v>40</v>
      </c>
      <c r="K128" s="604"/>
      <c r="L128" s="602"/>
      <c r="M128" s="602"/>
      <c r="N128" s="611">
        <v>19.32</v>
      </c>
      <c r="O128" s="611"/>
      <c r="P128" s="610">
        <v>19.420000000000002</v>
      </c>
      <c r="Q128" s="604">
        <f>'[1]Ctiet UTH 17_KH 18'!J115</f>
        <v>39.995744680851068</v>
      </c>
      <c r="R128" s="538"/>
      <c r="S128" s="604">
        <v>36.596000000000004</v>
      </c>
      <c r="T128" s="609">
        <v>19.2</v>
      </c>
      <c r="U128" s="609">
        <v>21</v>
      </c>
      <c r="V128" s="602"/>
      <c r="W128" s="513">
        <f>IF(ISERROR(U128/N128*100),"",U128/N128*100)</f>
        <v>108.69565217391303</v>
      </c>
      <c r="X128" s="513">
        <f>IF(ISERROR(U128/S128*100),"",U128/S128*100)</f>
        <v>57.383320581484313</v>
      </c>
      <c r="Y128" s="512"/>
      <c r="Z128" s="512"/>
      <c r="AA128" s="512"/>
      <c r="AB128" s="542"/>
      <c r="AC128" s="577"/>
      <c r="AD128" s="576"/>
      <c r="AE128" s="576"/>
      <c r="AF128" s="576"/>
    </row>
    <row r="129" spans="1:32">
      <c r="A129" s="534" t="s">
        <v>319</v>
      </c>
      <c r="B129" s="597" t="s">
        <v>299</v>
      </c>
      <c r="C129" s="578">
        <v>126</v>
      </c>
      <c r="D129" s="578"/>
      <c r="E129" s="578"/>
      <c r="F129" s="578"/>
      <c r="G129" s="578">
        <v>277.77</v>
      </c>
      <c r="H129" s="540">
        <f>+G129-C129</f>
        <v>151.76999999999998</v>
      </c>
      <c r="I129" s="578">
        <v>220</v>
      </c>
      <c r="J129" s="578">
        <v>282</v>
      </c>
      <c r="K129" s="579"/>
      <c r="L129" s="514"/>
      <c r="M129" s="514"/>
      <c r="N129" s="578">
        <f>+N128*0.1*N127</f>
        <v>136.20600000000002</v>
      </c>
      <c r="O129" s="578"/>
      <c r="P129" s="516">
        <f>0.1*P128*P127</f>
        <v>136.911</v>
      </c>
      <c r="Q129" s="578">
        <f>+Q128*0.1*Q127</f>
        <v>281.97000000000003</v>
      </c>
      <c r="R129" s="538"/>
      <c r="S129" s="578">
        <v>274.47000000000003</v>
      </c>
      <c r="T129" s="578">
        <f>T128*T127/10</f>
        <v>138.23999999999998</v>
      </c>
      <c r="U129" s="578">
        <f>U128*U127/10</f>
        <v>151.19999999999999</v>
      </c>
      <c r="V129" s="514"/>
      <c r="W129" s="513">
        <f>IF(ISERROR(U129/N129*100),"",U129/N129*100)</f>
        <v>111.0083256244218</v>
      </c>
      <c r="X129" s="513">
        <f>IF(ISERROR(U129/S129*100),"",U129/S129*100)</f>
        <v>55.087987758224934</v>
      </c>
      <c r="Y129" s="512"/>
      <c r="Z129" s="512"/>
      <c r="AA129" s="512"/>
      <c r="AB129" s="542"/>
      <c r="AC129" s="553"/>
      <c r="AD129" s="552"/>
      <c r="AE129" s="552"/>
      <c r="AF129" s="552"/>
    </row>
    <row r="130" spans="1:32">
      <c r="A130" s="608" t="s">
        <v>327</v>
      </c>
      <c r="B130" s="607" t="s">
        <v>326</v>
      </c>
      <c r="C130" s="613">
        <v>250</v>
      </c>
      <c r="D130" s="613"/>
      <c r="E130" s="613"/>
      <c r="F130" s="613"/>
      <c r="G130" s="613">
        <v>250</v>
      </c>
      <c r="H130" s="540">
        <f>+G130-C130</f>
        <v>0</v>
      </c>
      <c r="I130" s="613">
        <v>250</v>
      </c>
      <c r="J130" s="614">
        <v>250</v>
      </c>
      <c r="K130" s="614"/>
      <c r="L130" s="540">
        <v>250</v>
      </c>
      <c r="M130" s="540"/>
      <c r="N130" s="614">
        <v>250</v>
      </c>
      <c r="O130" s="614"/>
      <c r="P130" s="614">
        <v>250</v>
      </c>
      <c r="Q130" s="614">
        <v>250</v>
      </c>
      <c r="R130" s="538"/>
      <c r="S130" s="614">
        <v>250</v>
      </c>
      <c r="T130" s="613">
        <v>250</v>
      </c>
      <c r="U130" s="613">
        <v>250</v>
      </c>
      <c r="V130" s="540"/>
      <c r="W130" s="513">
        <f>IF(ISERROR(U130/N130*100),"",U130/N130*100)</f>
        <v>100</v>
      </c>
      <c r="X130" s="513">
        <f>IF(ISERROR(U130/S130*100),"",U130/S130*100)</f>
        <v>100</v>
      </c>
      <c r="Y130" s="512" t="s">
        <v>261</v>
      </c>
      <c r="Z130" s="512" t="e">
        <f>IF(#REF!&gt;100,"Vượt",IF(#REF!&lt;99.5,"Không đạt","Đạt"))</f>
        <v>#REF!</v>
      </c>
      <c r="AA130" s="512"/>
      <c r="AB130" s="567"/>
      <c r="AC130" s="553"/>
      <c r="AD130" s="552"/>
      <c r="AE130" s="552"/>
      <c r="AF130" s="552"/>
    </row>
    <row r="131" spans="1:32" s="575" customFormat="1">
      <c r="A131" s="534" t="s">
        <v>322</v>
      </c>
      <c r="B131" s="520" t="s">
        <v>321</v>
      </c>
      <c r="C131" s="612">
        <v>0.42</v>
      </c>
      <c r="D131" s="612"/>
      <c r="E131" s="612"/>
      <c r="F131" s="612"/>
      <c r="G131" s="603">
        <v>1</v>
      </c>
      <c r="H131" s="540">
        <f>+G131-C131</f>
        <v>0.58000000000000007</v>
      </c>
      <c r="I131" s="603" t="s">
        <v>325</v>
      </c>
      <c r="J131" s="604">
        <v>1</v>
      </c>
      <c r="K131" s="604"/>
      <c r="L131" s="602"/>
      <c r="M131" s="602"/>
      <c r="N131" s="611">
        <v>0.5</v>
      </c>
      <c r="O131" s="611"/>
      <c r="P131" s="610">
        <v>0.45</v>
      </c>
      <c r="Q131" s="604">
        <v>1</v>
      </c>
      <c r="R131" s="538"/>
      <c r="S131" s="604">
        <v>1</v>
      </c>
      <c r="T131" s="609">
        <v>0.5</v>
      </c>
      <c r="U131" s="609">
        <v>0.6</v>
      </c>
      <c r="V131" s="602"/>
      <c r="W131" s="513">
        <f>IF(ISERROR(U131/N131*100),"",U131/N131*100)</f>
        <v>120</v>
      </c>
      <c r="X131" s="513">
        <f>IF(ISERROR(U131/S131*100),"",U131/S131*100)</f>
        <v>60</v>
      </c>
      <c r="Y131" s="512"/>
      <c r="Z131" s="512"/>
      <c r="AA131" s="512"/>
      <c r="AB131" s="542"/>
      <c r="AC131" s="577"/>
      <c r="AD131" s="576"/>
      <c r="AE131" s="576"/>
      <c r="AF131" s="576"/>
    </row>
    <row r="132" spans="1:32">
      <c r="A132" s="534" t="s">
        <v>319</v>
      </c>
      <c r="B132" s="597" t="s">
        <v>299</v>
      </c>
      <c r="C132" s="578">
        <v>11</v>
      </c>
      <c r="D132" s="578"/>
      <c r="E132" s="578"/>
      <c r="F132" s="578"/>
      <c r="G132" s="578">
        <v>20</v>
      </c>
      <c r="H132" s="540">
        <f>+G132-C132</f>
        <v>9</v>
      </c>
      <c r="I132" s="578">
        <v>20</v>
      </c>
      <c r="J132" s="578">
        <v>20</v>
      </c>
      <c r="K132" s="579"/>
      <c r="L132" s="514"/>
      <c r="M132" s="514"/>
      <c r="N132" s="578">
        <f>+N131*0.1*N130</f>
        <v>12.5</v>
      </c>
      <c r="O132" s="578"/>
      <c r="P132" s="516">
        <f>0.1*P131*P130</f>
        <v>11.250000000000002</v>
      </c>
      <c r="Q132" s="578">
        <f>+Q131*0.1*Q130</f>
        <v>25</v>
      </c>
      <c r="R132" s="538"/>
      <c r="S132" s="578">
        <v>25</v>
      </c>
      <c r="T132" s="578">
        <f>T131*T130/10</f>
        <v>12.5</v>
      </c>
      <c r="U132" s="578">
        <f>U131*U130/10</f>
        <v>15</v>
      </c>
      <c r="V132" s="524"/>
      <c r="W132" s="513">
        <f>IF(ISERROR(U132/N132*100),"",U132/N132*100)</f>
        <v>120</v>
      </c>
      <c r="X132" s="513">
        <f>IF(ISERROR(U132/S132*100),"",U132/S132*100)</f>
        <v>60</v>
      </c>
      <c r="Y132" s="512"/>
      <c r="Z132" s="512"/>
      <c r="AA132" s="512"/>
      <c r="AB132" s="542"/>
      <c r="AC132" s="553"/>
      <c r="AD132" s="552"/>
      <c r="AE132" s="552"/>
      <c r="AF132" s="552"/>
    </row>
    <row r="133" spans="1:32">
      <c r="A133" s="608" t="s">
        <v>324</v>
      </c>
      <c r="B133" s="607" t="s">
        <v>323</v>
      </c>
      <c r="C133" s="526">
        <v>0</v>
      </c>
      <c r="D133" s="526"/>
      <c r="E133" s="526"/>
      <c r="F133" s="526"/>
      <c r="G133" s="526">
        <v>0</v>
      </c>
      <c r="H133" s="540">
        <f>+G133-C133</f>
        <v>0</v>
      </c>
      <c r="I133" s="564">
        <v>6</v>
      </c>
      <c r="J133" s="539">
        <v>42</v>
      </c>
      <c r="K133" s="539"/>
      <c r="L133" s="524"/>
      <c r="M133" s="524"/>
      <c r="N133" s="539"/>
      <c r="O133" s="539"/>
      <c r="P133" s="563">
        <v>0</v>
      </c>
      <c r="Q133" s="563">
        <v>0</v>
      </c>
      <c r="R133" s="538"/>
      <c r="S133" s="539">
        <v>20</v>
      </c>
      <c r="T133" s="564"/>
      <c r="U133" s="537"/>
      <c r="V133" s="524"/>
      <c r="W133" s="513" t="str">
        <f>IF(ISERROR(U133/N133*100),"",U133/N133*100)</f>
        <v/>
      </c>
      <c r="X133" s="513">
        <f>IF(ISERROR(U133/S133*100),"",U133/S133*100)</f>
        <v>0</v>
      </c>
      <c r="Y133" s="512" t="s">
        <v>269</v>
      </c>
      <c r="Z133" s="512" t="e">
        <f>IF(#REF!&gt;100,"Vượt",IF(#REF!&lt;99.5,"Không đạt","Đạt"))</f>
        <v>#REF!</v>
      </c>
      <c r="AA133" s="512"/>
      <c r="AB133" s="542"/>
      <c r="AC133" s="553"/>
      <c r="AD133" s="552"/>
      <c r="AE133" s="552"/>
      <c r="AF133" s="552"/>
    </row>
    <row r="134" spans="1:32" s="575" customFormat="1">
      <c r="A134" s="534" t="s">
        <v>322</v>
      </c>
      <c r="B134" s="520" t="s">
        <v>321</v>
      </c>
      <c r="C134" s="606">
        <v>0</v>
      </c>
      <c r="D134" s="606"/>
      <c r="E134" s="606"/>
      <c r="F134" s="606"/>
      <c r="G134" s="606">
        <v>0</v>
      </c>
      <c r="H134" s="540">
        <f>+G134-C134</f>
        <v>0</v>
      </c>
      <c r="I134" s="603" t="s">
        <v>320</v>
      </c>
      <c r="J134" s="604">
        <v>15</v>
      </c>
      <c r="K134" s="604"/>
      <c r="L134" s="602"/>
      <c r="M134" s="602"/>
      <c r="N134" s="604"/>
      <c r="O134" s="604"/>
      <c r="P134" s="605">
        <v>0</v>
      </c>
      <c r="Q134" s="605">
        <v>0</v>
      </c>
      <c r="R134" s="538"/>
      <c r="S134" s="604">
        <v>15</v>
      </c>
      <c r="T134" s="603"/>
      <c r="U134" s="537"/>
      <c r="V134" s="602"/>
      <c r="W134" s="513" t="str">
        <f>IF(ISERROR(U134/N134*100),"",U134/N134*100)</f>
        <v/>
      </c>
      <c r="X134" s="513">
        <f>IF(ISERROR(U134/S134*100),"",U134/S134*100)</f>
        <v>0</v>
      </c>
      <c r="Y134" s="512"/>
      <c r="Z134" s="512"/>
      <c r="AA134" s="512"/>
      <c r="AB134" s="542"/>
      <c r="AC134" s="577"/>
      <c r="AD134" s="576"/>
      <c r="AE134" s="576"/>
      <c r="AF134" s="576"/>
    </row>
    <row r="135" spans="1:32">
      <c r="A135" s="534" t="s">
        <v>319</v>
      </c>
      <c r="B135" s="597" t="s">
        <v>299</v>
      </c>
      <c r="C135" s="516">
        <v>0</v>
      </c>
      <c r="D135" s="516"/>
      <c r="E135" s="516"/>
      <c r="F135" s="516"/>
      <c r="G135" s="516">
        <v>0</v>
      </c>
      <c r="H135" s="540">
        <f>+G135-C135</f>
        <v>0</v>
      </c>
      <c r="I135" s="578">
        <v>7</v>
      </c>
      <c r="J135" s="578">
        <v>63</v>
      </c>
      <c r="K135" s="579"/>
      <c r="L135" s="514"/>
      <c r="M135" s="514"/>
      <c r="N135" s="579"/>
      <c r="O135" s="579"/>
      <c r="P135" s="580">
        <v>0</v>
      </c>
      <c r="Q135" s="580">
        <v>0</v>
      </c>
      <c r="R135" s="538"/>
      <c r="S135" s="578">
        <v>30</v>
      </c>
      <c r="T135" s="578"/>
      <c r="U135" s="537"/>
      <c r="V135" s="514"/>
      <c r="W135" s="513" t="str">
        <f>IF(ISERROR(U135/N135*100),"",U135/N135*100)</f>
        <v/>
      </c>
      <c r="X135" s="513">
        <f>IF(ISERROR(U135/S135*100),"",U135/S135*100)</f>
        <v>0</v>
      </c>
      <c r="Y135" s="512"/>
      <c r="Z135" s="512"/>
      <c r="AA135" s="512"/>
      <c r="AB135" s="542"/>
      <c r="AC135" s="553"/>
      <c r="AD135" s="552"/>
      <c r="AE135" s="552"/>
      <c r="AF135" s="552"/>
    </row>
    <row r="136" spans="1:32">
      <c r="A136" s="601" t="s">
        <v>318</v>
      </c>
      <c r="B136" s="600" t="s">
        <v>299</v>
      </c>
      <c r="C136" s="585">
        <f>C137+C138</f>
        <v>467</v>
      </c>
      <c r="D136" s="585"/>
      <c r="E136" s="585"/>
      <c r="F136" s="585"/>
      <c r="G136" s="585">
        <f>G137+G138</f>
        <v>607.77</v>
      </c>
      <c r="H136" s="540">
        <f>+G136-C136</f>
        <v>140.76999999999998</v>
      </c>
      <c r="I136" s="585">
        <f>I137+I138</f>
        <v>275</v>
      </c>
      <c r="J136" s="585">
        <v>680</v>
      </c>
      <c r="K136" s="585"/>
      <c r="L136" s="585">
        <f>L137+L138</f>
        <v>226</v>
      </c>
      <c r="M136" s="585"/>
      <c r="N136" s="585">
        <f>N137+N138</f>
        <v>340</v>
      </c>
      <c r="O136" s="585"/>
      <c r="P136" s="585">
        <f>P137+P138</f>
        <v>468.161</v>
      </c>
      <c r="Q136" s="585">
        <f>Q137+Q138</f>
        <v>626.5</v>
      </c>
      <c r="R136" s="538"/>
      <c r="S136" s="585">
        <v>674.47</v>
      </c>
      <c r="T136" s="586">
        <f>T137+T138</f>
        <v>309.74</v>
      </c>
      <c r="U136" s="586">
        <f>U137+U138</f>
        <v>331.2</v>
      </c>
      <c r="V136" s="583">
        <f>V137+V138</f>
        <v>0</v>
      </c>
      <c r="W136" s="513">
        <f>IF(ISERROR(U136/N136*100),"",U136/N136*100)</f>
        <v>97.411764705882348</v>
      </c>
      <c r="X136" s="513">
        <f>IF(ISERROR(U136/S136*100),"",U136/S136*100)</f>
        <v>49.105223360564587</v>
      </c>
      <c r="Y136" s="512" t="s">
        <v>269</v>
      </c>
      <c r="Z136" s="512" t="e">
        <f>IF(#REF!&gt;100,"Vượt",IF(#REF!&lt;99.5,"Không đạt","Đạt"))</f>
        <v>#REF!</v>
      </c>
      <c r="AA136" s="512"/>
      <c r="AB136" s="542"/>
      <c r="AC136" s="553"/>
      <c r="AD136" s="552"/>
      <c r="AE136" s="552"/>
      <c r="AF136" s="552"/>
    </row>
    <row r="137" spans="1:32">
      <c r="A137" s="599" t="s">
        <v>317</v>
      </c>
      <c r="B137" s="597" t="s">
        <v>299</v>
      </c>
      <c r="C137" s="578">
        <v>234</v>
      </c>
      <c r="D137" s="578"/>
      <c r="E137" s="578"/>
      <c r="F137" s="578"/>
      <c r="G137" s="578">
        <v>297.77</v>
      </c>
      <c r="H137" s="540">
        <f>+G137-C137</f>
        <v>63.769999999999982</v>
      </c>
      <c r="I137" s="578"/>
      <c r="J137" s="579">
        <v>365</v>
      </c>
      <c r="K137" s="579"/>
      <c r="L137" s="514">
        <v>121</v>
      </c>
      <c r="M137" s="514"/>
      <c r="N137" s="579">
        <v>182</v>
      </c>
      <c r="O137" s="579"/>
      <c r="P137" s="579">
        <f>+P132+P129</f>
        <v>148.161</v>
      </c>
      <c r="Q137" s="579">
        <f>'[1]Ctiet UTH 17_KH 18'!J124</f>
        <v>307</v>
      </c>
      <c r="R137" s="538"/>
      <c r="S137" s="579">
        <v>329.47</v>
      </c>
      <c r="T137" s="578">
        <f>T129+T132</f>
        <v>150.73999999999998</v>
      </c>
      <c r="U137" s="578">
        <f>U129+U132</f>
        <v>166.2</v>
      </c>
      <c r="V137" s="514"/>
      <c r="W137" s="513">
        <f>IF(ISERROR(U137/N137*100),"",U137/N137*100)</f>
        <v>91.318681318681314</v>
      </c>
      <c r="X137" s="513">
        <f>IF(ISERROR(U137/S137*100),"",U137/S137*100)</f>
        <v>50.444653534464436</v>
      </c>
      <c r="Y137" s="512" t="s">
        <v>269</v>
      </c>
      <c r="Z137" s="512" t="e">
        <f>IF(#REF!&gt;100,"Vượt",IF(#REF!&lt;99.5,"Không đạt","Đạt"))</f>
        <v>#REF!</v>
      </c>
      <c r="AA137" s="512"/>
      <c r="AB137" s="542"/>
      <c r="AC137" s="553"/>
      <c r="AD137" s="552"/>
      <c r="AE137" s="552"/>
      <c r="AF137" s="552"/>
    </row>
    <row r="138" spans="1:32">
      <c r="A138" s="598" t="s">
        <v>316</v>
      </c>
      <c r="B138" s="597" t="s">
        <v>299</v>
      </c>
      <c r="C138" s="578">
        <v>233</v>
      </c>
      <c r="D138" s="578"/>
      <c r="E138" s="578"/>
      <c r="F138" s="578"/>
      <c r="G138" s="578">
        <v>310</v>
      </c>
      <c r="H138" s="540">
        <f>+G138-C138</f>
        <v>77</v>
      </c>
      <c r="I138" s="578">
        <v>275</v>
      </c>
      <c r="J138" s="579">
        <v>315</v>
      </c>
      <c r="K138" s="579"/>
      <c r="L138" s="514">
        <v>105</v>
      </c>
      <c r="M138" s="514"/>
      <c r="N138" s="579">
        <v>158</v>
      </c>
      <c r="O138" s="579"/>
      <c r="P138" s="579">
        <v>320</v>
      </c>
      <c r="Q138" s="579">
        <f>'[1]Ctiet UTH 17_KH 18'!J125</f>
        <v>319.5</v>
      </c>
      <c r="R138" s="538"/>
      <c r="S138" s="579">
        <v>345</v>
      </c>
      <c r="T138" s="578">
        <v>159</v>
      </c>
      <c r="U138" s="578">
        <v>165</v>
      </c>
      <c r="V138" s="514"/>
      <c r="W138" s="513">
        <f>IF(ISERROR(U138/N138*100),"",U138/N138*100)</f>
        <v>104.43037974683544</v>
      </c>
      <c r="X138" s="513">
        <f>IF(ISERROR(U138/S138*100),"",U138/S138*100)</f>
        <v>47.826086956521742</v>
      </c>
      <c r="Y138" s="512" t="s">
        <v>261</v>
      </c>
      <c r="Z138" s="512" t="e">
        <f>IF(#REF!&gt;100,"Vượt",IF(#REF!&lt;99.5,"Không đạt","Đạt"))</f>
        <v>#REF!</v>
      </c>
      <c r="AA138" s="512"/>
      <c r="AB138" s="542"/>
      <c r="AC138" s="553"/>
      <c r="AD138" s="552"/>
      <c r="AE138" s="552"/>
      <c r="AF138" s="552"/>
    </row>
    <row r="139" spans="1:32" s="522" customFormat="1">
      <c r="A139" s="541" t="s">
        <v>315</v>
      </c>
      <c r="B139" s="562"/>
      <c r="C139" s="524"/>
      <c r="D139" s="524"/>
      <c r="E139" s="524"/>
      <c r="F139" s="524"/>
      <c r="G139" s="524"/>
      <c r="H139" s="540">
        <f>+G139-C139</f>
        <v>0</v>
      </c>
      <c r="I139" s="524"/>
      <c r="J139" s="539"/>
      <c r="K139" s="539"/>
      <c r="L139" s="524"/>
      <c r="M139" s="524"/>
      <c r="N139" s="539"/>
      <c r="O139" s="539"/>
      <c r="P139" s="563"/>
      <c r="Q139" s="539"/>
      <c r="R139" s="538"/>
      <c r="S139" s="539"/>
      <c r="T139" s="537"/>
      <c r="U139" s="537"/>
      <c r="V139" s="524"/>
      <c r="W139" s="513" t="str">
        <f>IF(ISERROR(U139/N139*100),"",U139/N139*100)</f>
        <v/>
      </c>
      <c r="X139" s="513" t="str">
        <f>IF(ISERROR(U139/S139*100),"",U139/S139*100)</f>
        <v/>
      </c>
      <c r="Y139" s="512"/>
      <c r="Z139" s="512"/>
      <c r="AA139" s="512"/>
      <c r="AB139" s="558"/>
      <c r="AC139" s="557"/>
      <c r="AD139" s="523"/>
      <c r="AE139" s="523"/>
      <c r="AF139" s="523"/>
    </row>
    <row r="140" spans="1:32" s="522" customFormat="1">
      <c r="A140" s="541" t="s">
        <v>314</v>
      </c>
      <c r="B140" s="562"/>
      <c r="C140" s="524"/>
      <c r="D140" s="524"/>
      <c r="E140" s="524"/>
      <c r="F140" s="524"/>
      <c r="G140" s="524"/>
      <c r="H140" s="540">
        <f>+G140-C140</f>
        <v>0</v>
      </c>
      <c r="I140" s="524"/>
      <c r="J140" s="539"/>
      <c r="K140" s="539"/>
      <c r="L140" s="524"/>
      <c r="M140" s="524"/>
      <c r="N140" s="539"/>
      <c r="O140" s="539"/>
      <c r="P140" s="563"/>
      <c r="Q140" s="539"/>
      <c r="R140" s="538"/>
      <c r="S140" s="539"/>
      <c r="T140" s="537"/>
      <c r="U140" s="537"/>
      <c r="V140" s="524"/>
      <c r="W140" s="513" t="str">
        <f>IF(ISERROR(U140/N140*100),"",U140/N140*100)</f>
        <v/>
      </c>
      <c r="X140" s="513" t="str">
        <f>IF(ISERROR(U140/S140*100),"",U140/S140*100)</f>
        <v/>
      </c>
      <c r="Y140" s="512"/>
      <c r="Z140" s="512"/>
      <c r="AA140" s="512"/>
      <c r="AB140" s="558"/>
      <c r="AC140" s="557"/>
      <c r="AD140" s="523"/>
      <c r="AE140" s="523"/>
      <c r="AF140" s="523"/>
    </row>
    <row r="141" spans="1:32" s="522" customFormat="1">
      <c r="A141" s="521" t="s">
        <v>313</v>
      </c>
      <c r="B141" s="562"/>
      <c r="C141" s="524"/>
      <c r="D141" s="524"/>
      <c r="E141" s="524"/>
      <c r="F141" s="524"/>
      <c r="G141" s="524"/>
      <c r="H141" s="540">
        <f>+G141-C141</f>
        <v>0</v>
      </c>
      <c r="I141" s="524"/>
      <c r="J141" s="539"/>
      <c r="K141" s="539"/>
      <c r="L141" s="524"/>
      <c r="M141" s="524"/>
      <c r="N141" s="539"/>
      <c r="O141" s="539"/>
      <c r="P141" s="563"/>
      <c r="Q141" s="539"/>
      <c r="R141" s="538"/>
      <c r="S141" s="539"/>
      <c r="T141" s="537"/>
      <c r="U141" s="537"/>
      <c r="V141" s="524"/>
      <c r="W141" s="513" t="str">
        <f>IF(ISERROR(U141/N141*100),"",U141/N141*100)</f>
        <v/>
      </c>
      <c r="X141" s="513" t="str">
        <f>IF(ISERROR(U141/S141*100),"",U141/S141*100)</f>
        <v/>
      </c>
      <c r="Y141" s="512"/>
      <c r="Z141" s="512"/>
      <c r="AA141" s="512"/>
      <c r="AB141" s="558"/>
      <c r="AC141" s="557"/>
      <c r="AD141" s="523"/>
      <c r="AE141" s="523"/>
      <c r="AF141" s="523"/>
    </row>
    <row r="142" spans="1:32" s="522" customFormat="1">
      <c r="A142" s="594" t="s">
        <v>312</v>
      </c>
      <c r="B142" s="529" t="s">
        <v>299</v>
      </c>
      <c r="C142" s="564">
        <v>47814</v>
      </c>
      <c r="D142" s="564"/>
      <c r="E142" s="564"/>
      <c r="F142" s="564"/>
      <c r="G142" s="564">
        <v>64000</v>
      </c>
      <c r="H142" s="540">
        <f>+G142-C142</f>
        <v>16186</v>
      </c>
      <c r="I142" s="564"/>
      <c r="J142" s="539">
        <v>64000</v>
      </c>
      <c r="K142" s="539"/>
      <c r="L142" s="524">
        <f>+N142*5/6</f>
        <v>32817.5</v>
      </c>
      <c r="M142" s="524"/>
      <c r="N142" s="539">
        <v>39381</v>
      </c>
      <c r="O142" s="539"/>
      <c r="P142" s="563">
        <f>'[1]GTSX 6 thang 2018'!EC45</f>
        <v>59400</v>
      </c>
      <c r="Q142" s="539">
        <f>+'[1]GTSX 6 thang 2018'!ET45</f>
        <v>79000</v>
      </c>
      <c r="R142" s="538"/>
      <c r="S142" s="539">
        <v>79500</v>
      </c>
      <c r="T142" s="525">
        <f>+U142</f>
        <v>39750</v>
      </c>
      <c r="U142" s="525">
        <f>+S142*(6/12)</f>
        <v>39750</v>
      </c>
      <c r="V142" s="524"/>
      <c r="W142" s="513">
        <f>IF(ISERROR(U142/N142*100),"",U142/N142*100)</f>
        <v>100.93700007617888</v>
      </c>
      <c r="X142" s="513">
        <f>IF(ISERROR(U142/S142*100),"",U142/S142*100)</f>
        <v>50</v>
      </c>
      <c r="Y142" s="512" t="s">
        <v>246</v>
      </c>
      <c r="Z142" s="512" t="e">
        <f>IF(#REF!&gt;100,"Vượt",IF(#REF!&lt;99.5,"Không đạt","Đạt"))</f>
        <v>#REF!</v>
      </c>
      <c r="AA142" s="512"/>
      <c r="AB142" s="542"/>
      <c r="AC142" s="557"/>
      <c r="AD142" s="523"/>
      <c r="AE142" s="523"/>
      <c r="AF142" s="523"/>
    </row>
    <row r="143" spans="1:32" s="522" customFormat="1">
      <c r="A143" s="594" t="s">
        <v>311</v>
      </c>
      <c r="B143" s="593" t="s">
        <v>309</v>
      </c>
      <c r="C143" s="564">
        <v>18300</v>
      </c>
      <c r="D143" s="564"/>
      <c r="E143" s="564"/>
      <c r="F143" s="564"/>
      <c r="G143" s="564">
        <v>22400.000000000004</v>
      </c>
      <c r="H143" s="540">
        <f>+G143-C143</f>
        <v>4100.0000000000036</v>
      </c>
      <c r="I143" s="564"/>
      <c r="J143" s="539">
        <v>23000</v>
      </c>
      <c r="K143" s="539"/>
      <c r="L143" s="592"/>
      <c r="M143" s="592"/>
      <c r="N143" s="563">
        <v>3000</v>
      </c>
      <c r="O143" s="563"/>
      <c r="P143" s="563">
        <f>'[1]GTSX 6 thang 2018'!EC53</f>
        <v>17250</v>
      </c>
      <c r="Q143" s="539">
        <f>+'[1]GTSX 6 thang 2018'!EU53</f>
        <v>19000</v>
      </c>
      <c r="R143" s="538"/>
      <c r="S143" s="539">
        <v>23000</v>
      </c>
      <c r="T143" s="525">
        <f>+U143*5.8/6</f>
        <v>7411.1111111111104</v>
      </c>
      <c r="U143" s="525">
        <f>+S143*(4/12)</f>
        <v>7666.6666666666661</v>
      </c>
      <c r="V143" s="524"/>
      <c r="W143" s="513">
        <f>IF(ISERROR(U143/N143*100),"",U143/N143*100)</f>
        <v>255.55555555555554</v>
      </c>
      <c r="X143" s="513">
        <f>IF(ISERROR(U143/S143*100),"",U143/S143*100)</f>
        <v>33.333333333333329</v>
      </c>
      <c r="Y143" s="512" t="s">
        <v>246</v>
      </c>
      <c r="Z143" s="512" t="e">
        <f>IF(#REF!&gt;100,"Vượt",IF(#REF!&lt;99.5,"Không đạt","Đạt"))</f>
        <v>#REF!</v>
      </c>
      <c r="AA143" s="512"/>
      <c r="AB143" s="542"/>
      <c r="AC143" s="557"/>
      <c r="AD143" s="523"/>
      <c r="AE143" s="523"/>
      <c r="AF143" s="523"/>
    </row>
    <row r="144" spans="1:32" s="522" customFormat="1">
      <c r="A144" s="594" t="s">
        <v>310</v>
      </c>
      <c r="B144" s="593" t="s">
        <v>309</v>
      </c>
      <c r="C144" s="564">
        <v>26306</v>
      </c>
      <c r="D144" s="564"/>
      <c r="E144" s="564"/>
      <c r="F144" s="564"/>
      <c r="G144" s="564">
        <v>35075</v>
      </c>
      <c r="H144" s="540">
        <f>+G144-C144</f>
        <v>8769</v>
      </c>
      <c r="I144" s="564"/>
      <c r="J144" s="539">
        <v>32500</v>
      </c>
      <c r="K144" s="539"/>
      <c r="L144" s="592"/>
      <c r="M144" s="592"/>
      <c r="N144" s="563">
        <v>15250</v>
      </c>
      <c r="O144" s="563"/>
      <c r="P144" s="563">
        <f>'[1]GTSX 6 thang 2018'!EC54</f>
        <v>15250</v>
      </c>
      <c r="Q144" s="539">
        <f>+'[1]GTSX 6 thang 2018'!ET54</f>
        <v>20333.333333333332</v>
      </c>
      <c r="R144" s="538"/>
      <c r="S144" s="539">
        <v>25000</v>
      </c>
      <c r="T144" s="525">
        <f>+U144*5.8/6</f>
        <v>15104.166666666666</v>
      </c>
      <c r="U144" s="525">
        <f>+S144*(7.5/12)</f>
        <v>15625</v>
      </c>
      <c r="V144" s="524"/>
      <c r="W144" s="513">
        <f>IF(ISERROR(U144/N144*100),"",U144/N144*100)</f>
        <v>102.45901639344261</v>
      </c>
      <c r="X144" s="513">
        <f>IF(ISERROR(U144/S144*100),"",U144/S144*100)</f>
        <v>62.5</v>
      </c>
      <c r="Y144" s="512" t="s">
        <v>246</v>
      </c>
      <c r="Z144" s="512" t="e">
        <f>IF(#REF!&gt;100,"Vượt",IF(#REF!&lt;99.5,"Không đạt","Đạt"))</f>
        <v>#REF!</v>
      </c>
      <c r="AA144" s="512"/>
      <c r="AB144" s="558"/>
      <c r="AC144" s="557"/>
      <c r="AD144" s="523"/>
      <c r="AE144" s="523"/>
      <c r="AF144" s="523"/>
    </row>
    <row r="145" spans="1:32" s="522" customFormat="1">
      <c r="A145" s="594" t="s">
        <v>308</v>
      </c>
      <c r="B145" s="593" t="s">
        <v>299</v>
      </c>
      <c r="C145" s="564">
        <v>2742</v>
      </c>
      <c r="D145" s="564"/>
      <c r="E145" s="564"/>
      <c r="F145" s="564"/>
      <c r="G145" s="564">
        <v>5502.1</v>
      </c>
      <c r="H145" s="540">
        <f>+G145-C145</f>
        <v>2760.1000000000004</v>
      </c>
      <c r="I145" s="564"/>
      <c r="J145" s="539">
        <v>10320</v>
      </c>
      <c r="K145" s="539"/>
      <c r="L145" s="592"/>
      <c r="M145" s="592"/>
      <c r="N145" s="563">
        <f>'[1]GTSX 6 thang 2018'!DK55+'[1]GTSX 6 thang 2018'!DK59+'[1]GTSX 6 thang 2018'!DK60</f>
        <v>5788</v>
      </c>
      <c r="O145" s="563"/>
      <c r="P145" s="563">
        <f>'[1]GTSX 6 thang 2018'!EC55+'[1]GTSX 6 thang 2018'!EC59+'[1]GTSX 6 thang 2018'!EC60</f>
        <v>6841</v>
      </c>
      <c r="Q145" s="539">
        <f>+'[1]GTSX 6 thang 2018'!ET55+'[1]GTSX 6 thang 2018'!ET59+'[1]GTSX 6 thang 2018'!ET60</f>
        <v>10910.529999999999</v>
      </c>
      <c r="R145" s="538"/>
      <c r="S145" s="539">
        <v>13215</v>
      </c>
      <c r="T145" s="596">
        <f>+U145*5.8/6</f>
        <v>2567.1419615757573</v>
      </c>
      <c r="U145" s="596">
        <f>'[1]GTSX 6 thang 2018'!GR55+'[1]GTSX 6 thang 2018'!GR59+'[1]GTSX 6 thang 2018'!GR60</f>
        <v>2655.6640981818182</v>
      </c>
      <c r="V145" s="524"/>
      <c r="W145" s="513">
        <f>IF(ISERROR(U145/N145*100),"",U145/N145*100)</f>
        <v>45.882240811710751</v>
      </c>
      <c r="X145" s="513">
        <f>IF(ISERROR(U145/S145*100),"",U145/S145*100)</f>
        <v>20.095831238606269</v>
      </c>
      <c r="Y145" s="512" t="s">
        <v>261</v>
      </c>
      <c r="Z145" s="512" t="s">
        <v>261</v>
      </c>
      <c r="AA145" s="512"/>
      <c r="AB145" s="558"/>
      <c r="AC145" s="557"/>
      <c r="AD145" s="523"/>
      <c r="AE145" s="523"/>
      <c r="AF145" s="523"/>
    </row>
    <row r="146" spans="1:32" s="522" customFormat="1">
      <c r="A146" s="541" t="s">
        <v>307</v>
      </c>
      <c r="B146" s="562"/>
      <c r="C146" s="524"/>
      <c r="D146" s="524"/>
      <c r="E146" s="524"/>
      <c r="F146" s="524"/>
      <c r="G146" s="524"/>
      <c r="H146" s="540">
        <f>+G146-C146</f>
        <v>0</v>
      </c>
      <c r="I146" s="524"/>
      <c r="J146" s="539"/>
      <c r="K146" s="539"/>
      <c r="L146" s="592"/>
      <c r="M146" s="592"/>
      <c r="N146" s="563"/>
      <c r="O146" s="563"/>
      <c r="P146" s="563"/>
      <c r="Q146" s="563"/>
      <c r="R146" s="538"/>
      <c r="S146" s="563"/>
      <c r="T146" s="537"/>
      <c r="U146" s="537"/>
      <c r="V146" s="524"/>
      <c r="W146" s="513" t="str">
        <f>IF(ISERROR(U146/N146*100),"",U146/N146*100)</f>
        <v/>
      </c>
      <c r="X146" s="513" t="str">
        <f>IF(ISERROR(U146/S146*100),"",U146/S146*100)</f>
        <v/>
      </c>
      <c r="Y146" s="512"/>
      <c r="Z146" s="512"/>
      <c r="AA146" s="512"/>
      <c r="AB146" s="558"/>
      <c r="AC146" s="557"/>
      <c r="AD146" s="523"/>
      <c r="AE146" s="523"/>
      <c r="AF146" s="523"/>
    </row>
    <row r="147" spans="1:32" s="522" customFormat="1">
      <c r="A147" s="521" t="s">
        <v>306</v>
      </c>
      <c r="B147" s="562"/>
      <c r="C147" s="524"/>
      <c r="D147" s="524"/>
      <c r="E147" s="524"/>
      <c r="F147" s="524"/>
      <c r="G147" s="524"/>
      <c r="H147" s="540">
        <f>+G147-C147</f>
        <v>0</v>
      </c>
      <c r="I147" s="524"/>
      <c r="J147" s="539"/>
      <c r="K147" s="539"/>
      <c r="L147" s="592"/>
      <c r="M147" s="592"/>
      <c r="N147" s="563"/>
      <c r="O147" s="563"/>
      <c r="P147" s="563"/>
      <c r="Q147" s="563"/>
      <c r="R147" s="538"/>
      <c r="S147" s="563"/>
      <c r="T147" s="537"/>
      <c r="U147" s="537"/>
      <c r="V147" s="524"/>
      <c r="W147" s="513" t="str">
        <f>IF(ISERROR(U147/N147*100),"",U147/N147*100)</f>
        <v/>
      </c>
      <c r="X147" s="513" t="str">
        <f>IF(ISERROR(U147/S147*100),"",U147/S147*100)</f>
        <v/>
      </c>
      <c r="Y147" s="512"/>
      <c r="Z147" s="512"/>
      <c r="AA147" s="512"/>
      <c r="AB147" s="558"/>
      <c r="AC147" s="557"/>
      <c r="AD147" s="523"/>
      <c r="AE147" s="523"/>
      <c r="AF147" s="523"/>
    </row>
    <row r="148" spans="1:32" s="522" customFormat="1">
      <c r="A148" s="594" t="s">
        <v>305</v>
      </c>
      <c r="B148" s="595" t="s">
        <v>304</v>
      </c>
      <c r="C148" s="564">
        <v>16365</v>
      </c>
      <c r="D148" s="564"/>
      <c r="E148" s="564"/>
      <c r="F148" s="564"/>
      <c r="G148" s="564">
        <v>21820</v>
      </c>
      <c r="H148" s="540">
        <f>+G148-C148</f>
        <v>5455</v>
      </c>
      <c r="I148" s="564"/>
      <c r="J148" s="539">
        <v>20000</v>
      </c>
      <c r="K148" s="539"/>
      <c r="L148" s="592"/>
      <c r="M148" s="592"/>
      <c r="N148" s="563">
        <f>'[1]GTSX 6 thang 2018'!DK62</f>
        <v>10200</v>
      </c>
      <c r="O148" s="563"/>
      <c r="P148" s="563">
        <f>+'[1]GTSX 6 thang 2018'!EC62</f>
        <v>15000</v>
      </c>
      <c r="Q148" s="563">
        <f>+'[1]GTSX 6 thang 2018'!ET62</f>
        <v>20150</v>
      </c>
      <c r="R148" s="538"/>
      <c r="S148" s="539">
        <v>20000</v>
      </c>
      <c r="T148" s="525">
        <f>+U148*5.85/6</f>
        <v>10562.499999999998</v>
      </c>
      <c r="U148" s="525">
        <f>+S148*(6.5/12)</f>
        <v>10833.333333333332</v>
      </c>
      <c r="V148" s="524"/>
      <c r="W148" s="513">
        <f>IF(ISERROR(U148/N148*100),"",U148/N148*100)</f>
        <v>106.20915032679736</v>
      </c>
      <c r="X148" s="513">
        <f>IF(ISERROR(U148/S148*100),"",U148/S148*100)</f>
        <v>54.166666666666664</v>
      </c>
      <c r="Y148" s="512" t="s">
        <v>269</v>
      </c>
      <c r="Z148" s="512" t="e">
        <f>IF(#REF!&gt;100,"Vượt",IF(#REF!&lt;99.5,"Không đạt","Đạt"))</f>
        <v>#REF!</v>
      </c>
      <c r="AA148" s="512"/>
      <c r="AB148" s="558"/>
      <c r="AC148" s="557"/>
      <c r="AD148" s="523"/>
      <c r="AE148" s="523"/>
      <c r="AF148" s="523"/>
    </row>
    <row r="149" spans="1:32" s="522" customFormat="1">
      <c r="A149" s="594" t="s">
        <v>303</v>
      </c>
      <c r="B149" s="593" t="s">
        <v>301</v>
      </c>
      <c r="C149" s="564">
        <v>700</v>
      </c>
      <c r="D149" s="564"/>
      <c r="E149" s="564"/>
      <c r="F149" s="564"/>
      <c r="G149" s="564">
        <v>970</v>
      </c>
      <c r="H149" s="540">
        <f>+G149-C149</f>
        <v>270</v>
      </c>
      <c r="I149" s="564"/>
      <c r="J149" s="539">
        <v>800</v>
      </c>
      <c r="K149" s="539"/>
      <c r="L149" s="592"/>
      <c r="M149" s="592"/>
      <c r="N149" s="563">
        <f>'[1]GTSX 6 thang 2018'!DK63</f>
        <v>416</v>
      </c>
      <c r="O149" s="563"/>
      <c r="P149" s="563">
        <f>+'[1]GTSX 6 thang 2018'!EC63</f>
        <v>600</v>
      </c>
      <c r="Q149" s="563">
        <f>+'[1]GTSX 6 thang 2018'!ET63</f>
        <v>812</v>
      </c>
      <c r="R149" s="538"/>
      <c r="S149" s="539">
        <v>800</v>
      </c>
      <c r="T149" s="525">
        <f>+U149*5.5/6</f>
        <v>397.22222222222217</v>
      </c>
      <c r="U149" s="525">
        <f>+S149*(6.5/12)</f>
        <v>433.33333333333331</v>
      </c>
      <c r="V149" s="524"/>
      <c r="W149" s="513">
        <f>IF(ISERROR(U149/N149*100),"",U149/N149*100)</f>
        <v>104.16666666666666</v>
      </c>
      <c r="X149" s="513">
        <f>IF(ISERROR(U149/S149*100),"",U149/S149*100)</f>
        <v>54.166666666666664</v>
      </c>
      <c r="Y149" s="512" t="s">
        <v>269</v>
      </c>
      <c r="Z149" s="512" t="e">
        <f>IF(#REF!&gt;100,"Vượt",IF(#REF!&lt;99.5,"Không đạt","Đạt"))</f>
        <v>#REF!</v>
      </c>
      <c r="AA149" s="512"/>
      <c r="AB149" s="558"/>
      <c r="AC149" s="557"/>
      <c r="AD149" s="523"/>
      <c r="AE149" s="523"/>
      <c r="AF149" s="523"/>
    </row>
    <row r="150" spans="1:32" s="522" customFormat="1">
      <c r="A150" s="594" t="s">
        <v>302</v>
      </c>
      <c r="B150" s="593" t="s">
        <v>301</v>
      </c>
      <c r="C150" s="564">
        <v>5960</v>
      </c>
      <c r="D150" s="564"/>
      <c r="E150" s="564"/>
      <c r="F150" s="564"/>
      <c r="G150" s="564">
        <v>8175.0000000000009</v>
      </c>
      <c r="H150" s="540">
        <f>+G150-C150</f>
        <v>2215.0000000000009</v>
      </c>
      <c r="I150" s="564"/>
      <c r="J150" s="539">
        <v>8200</v>
      </c>
      <c r="K150" s="539"/>
      <c r="L150" s="592"/>
      <c r="M150" s="592"/>
      <c r="N150" s="563">
        <f>'[1]GTSX 6 thang 2018'!DK64</f>
        <v>3690</v>
      </c>
      <c r="O150" s="563"/>
      <c r="P150" s="563">
        <f>+'[1]GTSX 6 thang 2018'!EC64</f>
        <v>6150</v>
      </c>
      <c r="Q150" s="563">
        <f>+'[1]GTSX 6 thang 2018'!ET64</f>
        <v>8223</v>
      </c>
      <c r="R150" s="538"/>
      <c r="S150" s="539">
        <v>8300</v>
      </c>
      <c r="T150" s="525">
        <f>+U150*5.58/6</f>
        <v>4181.125</v>
      </c>
      <c r="U150" s="525">
        <f>+S150*(6.5/12)</f>
        <v>4495.833333333333</v>
      </c>
      <c r="V150" s="524"/>
      <c r="W150" s="513">
        <f>IF(ISERROR(U150/N150*100),"",U150/N150*100)</f>
        <v>121.83830171635049</v>
      </c>
      <c r="X150" s="513">
        <f>IF(ISERROR(U150/S150*100),"",U150/S150*100)</f>
        <v>54.166666666666664</v>
      </c>
      <c r="Y150" s="512" t="s">
        <v>246</v>
      </c>
      <c r="Z150" s="512" t="e">
        <f>IF(#REF!&gt;100,"Vượt",IF(#REF!&lt;99.5,"Không đạt","Đạt"))</f>
        <v>#REF!</v>
      </c>
      <c r="AA150" s="512"/>
      <c r="AB150" s="558"/>
      <c r="AC150" s="557"/>
      <c r="AD150" s="523"/>
      <c r="AE150" s="523"/>
      <c r="AF150" s="523"/>
    </row>
    <row r="151" spans="1:32" s="522" customFormat="1">
      <c r="A151" s="594" t="s">
        <v>300</v>
      </c>
      <c r="B151" s="593" t="s">
        <v>299</v>
      </c>
      <c r="C151" s="564">
        <v>1830</v>
      </c>
      <c r="D151" s="564"/>
      <c r="E151" s="564"/>
      <c r="F151" s="564"/>
      <c r="G151" s="564">
        <v>2420</v>
      </c>
      <c r="H151" s="540">
        <f>+G151-C151</f>
        <v>590</v>
      </c>
      <c r="I151" s="564"/>
      <c r="J151" s="539">
        <v>2450</v>
      </c>
      <c r="K151" s="539"/>
      <c r="L151" s="592"/>
      <c r="M151" s="592"/>
      <c r="N151" s="563">
        <f>'[1]GTSX 6 thang 2018'!DK65</f>
        <v>1151.5</v>
      </c>
      <c r="O151" s="563"/>
      <c r="P151" s="563">
        <f>+'[1]GTSX 6 thang 2018'!EC65</f>
        <v>1837.5</v>
      </c>
      <c r="Q151" s="563">
        <f>+'[1]GTSX 6 thang 2018'!ET65</f>
        <v>2450</v>
      </c>
      <c r="R151" s="538"/>
      <c r="S151" s="563">
        <v>2800</v>
      </c>
      <c r="T151" s="525">
        <f>+U151*5.58/6</f>
        <v>1410.5</v>
      </c>
      <c r="U151" s="525">
        <f>+S151*(6.5/12)</f>
        <v>1516.6666666666665</v>
      </c>
      <c r="V151" s="524"/>
      <c r="W151" s="513">
        <f>IF(ISERROR(U151/N151*100),"",U151/N151*100)</f>
        <v>131.71225937183382</v>
      </c>
      <c r="X151" s="513">
        <f>IF(ISERROR(U151/S151*100),"",U151/S151*100)</f>
        <v>54.166666666666664</v>
      </c>
      <c r="Y151" s="512" t="s">
        <v>246</v>
      </c>
      <c r="Z151" s="512" t="e">
        <f>IF(#REF!&gt;100,"Vượt",IF(#REF!&lt;99.5,"Không đạt","Đạt"))</f>
        <v>#REF!</v>
      </c>
      <c r="AA151" s="512"/>
      <c r="AB151" s="558"/>
      <c r="AC151" s="557"/>
      <c r="AD151" s="523"/>
      <c r="AE151" s="523"/>
      <c r="AF151" s="523"/>
    </row>
    <row r="152" spans="1:32" s="522" customFormat="1">
      <c r="A152" s="541" t="s">
        <v>298</v>
      </c>
      <c r="B152" s="562"/>
      <c r="C152" s="524"/>
      <c r="D152" s="524"/>
      <c r="E152" s="524"/>
      <c r="F152" s="524"/>
      <c r="G152" s="524"/>
      <c r="H152" s="540">
        <f>+G152-C152</f>
        <v>0</v>
      </c>
      <c r="I152" s="524"/>
      <c r="J152" s="539"/>
      <c r="K152" s="539"/>
      <c r="L152" s="524"/>
      <c r="M152" s="524"/>
      <c r="N152" s="539"/>
      <c r="O152" s="539"/>
      <c r="P152" s="563"/>
      <c r="Q152" s="539"/>
      <c r="R152" s="538"/>
      <c r="S152" s="539"/>
      <c r="T152" s="537"/>
      <c r="U152" s="537"/>
      <c r="V152" s="524"/>
      <c r="W152" s="513" t="str">
        <f>IF(ISERROR(U152/N152*100),"",U152/N152*100)</f>
        <v/>
      </c>
      <c r="X152" s="513" t="str">
        <f>IF(ISERROR(U152/S152*100),"",U152/S152*100)</f>
        <v/>
      </c>
      <c r="Y152" s="512"/>
      <c r="Z152" s="512"/>
      <c r="AA152" s="512"/>
      <c r="AB152" s="558"/>
      <c r="AC152" s="557"/>
      <c r="AD152" s="523"/>
      <c r="AE152" s="523"/>
      <c r="AF152" s="523"/>
    </row>
    <row r="153" spans="1:32" s="522" customFormat="1">
      <c r="A153" s="541" t="s">
        <v>297</v>
      </c>
      <c r="B153" s="562"/>
      <c r="C153" s="524"/>
      <c r="D153" s="524"/>
      <c r="E153" s="524"/>
      <c r="F153" s="524"/>
      <c r="G153" s="524"/>
      <c r="H153" s="540">
        <f>+G153-C153</f>
        <v>0</v>
      </c>
      <c r="I153" s="524"/>
      <c r="J153" s="539"/>
      <c r="K153" s="539"/>
      <c r="L153" s="524"/>
      <c r="M153" s="524"/>
      <c r="N153" s="539"/>
      <c r="O153" s="539"/>
      <c r="P153" s="563"/>
      <c r="Q153" s="539"/>
      <c r="R153" s="538"/>
      <c r="S153" s="539"/>
      <c r="T153" s="537"/>
      <c r="U153" s="537"/>
      <c r="V153" s="524"/>
      <c r="W153" s="513" t="str">
        <f>IF(ISERROR(U153/N153*100),"",U153/N153*100)</f>
        <v/>
      </c>
      <c r="X153" s="513" t="str">
        <f>IF(ISERROR(U153/S153*100),"",U153/S153*100)</f>
        <v/>
      </c>
      <c r="Y153" s="512"/>
      <c r="Z153" s="512"/>
      <c r="AA153" s="512"/>
      <c r="AB153" s="558"/>
      <c r="AC153" s="557"/>
      <c r="AD153" s="523"/>
      <c r="AE153" s="523"/>
      <c r="AF153" s="523"/>
    </row>
    <row r="154" spans="1:32" s="522" customFormat="1">
      <c r="A154" s="521" t="s">
        <v>296</v>
      </c>
      <c r="B154" s="562"/>
      <c r="C154" s="524"/>
      <c r="D154" s="524"/>
      <c r="E154" s="524"/>
      <c r="F154" s="524"/>
      <c r="G154" s="524"/>
      <c r="H154" s="540">
        <f>+G154-C154</f>
        <v>0</v>
      </c>
      <c r="I154" s="524"/>
      <c r="J154" s="539"/>
      <c r="K154" s="539"/>
      <c r="L154" s="524"/>
      <c r="M154" s="524"/>
      <c r="N154" s="539"/>
      <c r="O154" s="539"/>
      <c r="P154" s="563"/>
      <c r="Q154" s="539"/>
      <c r="R154" s="538"/>
      <c r="S154" s="539"/>
      <c r="T154" s="537"/>
      <c r="U154" s="537"/>
      <c r="V154" s="524"/>
      <c r="W154" s="513" t="str">
        <f>IF(ISERROR(U154/N154*100),"",U154/N154*100)</f>
        <v/>
      </c>
      <c r="X154" s="513" t="str">
        <f>IF(ISERROR(U154/S154*100),"",U154/S154*100)</f>
        <v/>
      </c>
      <c r="Y154" s="512"/>
      <c r="Z154" s="512"/>
      <c r="AA154" s="512"/>
      <c r="AB154" s="558"/>
      <c r="AC154" s="557"/>
      <c r="AD154" s="523"/>
      <c r="AE154" s="523"/>
      <c r="AF154" s="523"/>
    </row>
    <row r="155" spans="1:32">
      <c r="A155" s="530" t="s">
        <v>295</v>
      </c>
      <c r="B155" s="529" t="s">
        <v>288</v>
      </c>
      <c r="C155" s="564">
        <v>6</v>
      </c>
      <c r="D155" s="564"/>
      <c r="E155" s="564"/>
      <c r="F155" s="564"/>
      <c r="G155" s="564">
        <v>6</v>
      </c>
      <c r="H155" s="540">
        <f>+G155-C155</f>
        <v>0</v>
      </c>
      <c r="I155" s="564"/>
      <c r="J155" s="539">
        <v>6</v>
      </c>
      <c r="K155" s="539"/>
      <c r="L155" s="539">
        <v>6</v>
      </c>
      <c r="M155" s="539"/>
      <c r="N155" s="524">
        <v>6</v>
      </c>
      <c r="O155" s="539">
        <v>6</v>
      </c>
      <c r="P155" s="524">
        <v>7</v>
      </c>
      <c r="Q155" s="524">
        <v>7</v>
      </c>
      <c r="R155" s="538"/>
      <c r="S155" s="524">
        <v>7</v>
      </c>
      <c r="T155" s="525">
        <v>7</v>
      </c>
      <c r="U155" s="525">
        <v>7</v>
      </c>
      <c r="V155" s="524"/>
      <c r="W155" s="513">
        <f>IF(ISERROR(U155/N155*100),"",U155/N155*100)</f>
        <v>116.66666666666667</v>
      </c>
      <c r="X155" s="513">
        <f>IF(ISERROR(U155/S155*100),"",U155/S155*100)</f>
        <v>100</v>
      </c>
      <c r="Y155" s="590"/>
      <c r="Z155" s="590"/>
      <c r="AA155" s="590"/>
      <c r="AB155" s="542"/>
      <c r="AC155" s="553"/>
      <c r="AD155" s="552"/>
      <c r="AE155" s="552"/>
      <c r="AF155" s="552"/>
    </row>
    <row r="156" spans="1:32">
      <c r="A156" s="530" t="s">
        <v>294</v>
      </c>
      <c r="B156" s="529" t="s">
        <v>288</v>
      </c>
      <c r="C156" s="564">
        <v>1</v>
      </c>
      <c r="D156" s="564"/>
      <c r="E156" s="564"/>
      <c r="F156" s="564"/>
      <c r="G156" s="564">
        <v>1</v>
      </c>
      <c r="H156" s="540">
        <f>+G156-C156</f>
        <v>0</v>
      </c>
      <c r="I156" s="564"/>
      <c r="J156" s="539">
        <v>1</v>
      </c>
      <c r="K156" s="539"/>
      <c r="L156" s="539">
        <v>1</v>
      </c>
      <c r="M156" s="539"/>
      <c r="N156" s="524">
        <v>1</v>
      </c>
      <c r="O156" s="539">
        <v>1</v>
      </c>
      <c r="P156" s="539">
        <v>1</v>
      </c>
      <c r="Q156" s="591">
        <v>1</v>
      </c>
      <c r="R156" s="549"/>
      <c r="S156" s="591">
        <v>1</v>
      </c>
      <c r="T156" s="525">
        <v>1</v>
      </c>
      <c r="U156" s="525">
        <v>1</v>
      </c>
      <c r="V156" s="524"/>
      <c r="W156" s="513">
        <f>IF(ISERROR(U156/N156*100),"",U156/N156*100)</f>
        <v>100</v>
      </c>
      <c r="X156" s="513">
        <f>IF(ISERROR(U156/S156*100),"",U156/S156*100)</f>
        <v>100</v>
      </c>
      <c r="Y156" s="590"/>
      <c r="Z156" s="590"/>
      <c r="AA156" s="590"/>
      <c r="AB156" s="542"/>
      <c r="AC156" s="553"/>
      <c r="AD156" s="552"/>
      <c r="AE156" s="552"/>
      <c r="AF156" s="552"/>
    </row>
    <row r="157" spans="1:32">
      <c r="A157" s="530" t="s">
        <v>293</v>
      </c>
      <c r="B157" s="529" t="s">
        <v>292</v>
      </c>
      <c r="C157" s="564">
        <v>4</v>
      </c>
      <c r="D157" s="564"/>
      <c r="E157" s="564"/>
      <c r="F157" s="564"/>
      <c r="G157" s="564">
        <v>4</v>
      </c>
      <c r="H157" s="540">
        <f>+G157-C157</f>
        <v>0</v>
      </c>
      <c r="I157" s="564"/>
      <c r="J157" s="539">
        <v>4</v>
      </c>
      <c r="K157" s="539"/>
      <c r="L157" s="539">
        <v>4</v>
      </c>
      <c r="M157" s="539"/>
      <c r="N157" s="524">
        <v>4</v>
      </c>
      <c r="O157" s="539">
        <v>4</v>
      </c>
      <c r="P157" s="539">
        <v>4</v>
      </c>
      <c r="Q157" s="591">
        <v>4</v>
      </c>
      <c r="R157" s="549"/>
      <c r="S157" s="591">
        <v>4</v>
      </c>
      <c r="T157" s="525">
        <v>4</v>
      </c>
      <c r="U157" s="525">
        <v>4</v>
      </c>
      <c r="V157" s="524"/>
      <c r="W157" s="513">
        <f>IF(ISERROR(U157/N157*100),"",U157/N157*100)</f>
        <v>100</v>
      </c>
      <c r="X157" s="513">
        <f>IF(ISERROR(U157/S157*100),"",U157/S157*100)</f>
        <v>100</v>
      </c>
      <c r="Y157" s="590"/>
      <c r="Z157" s="590"/>
      <c r="AA157" s="590"/>
      <c r="AB157" s="542"/>
      <c r="AC157" s="553"/>
      <c r="AD157" s="552"/>
      <c r="AE157" s="552"/>
      <c r="AF157" s="552"/>
    </row>
    <row r="158" spans="1:32">
      <c r="A158" s="530" t="s">
        <v>291</v>
      </c>
      <c r="B158" s="529" t="s">
        <v>288</v>
      </c>
      <c r="C158" s="564">
        <v>1</v>
      </c>
      <c r="D158" s="564"/>
      <c r="E158" s="564"/>
      <c r="F158" s="564"/>
      <c r="G158" s="564">
        <v>1</v>
      </c>
      <c r="H158" s="540">
        <f>+G158-C158</f>
        <v>0</v>
      </c>
      <c r="I158" s="564"/>
      <c r="J158" s="539">
        <v>1</v>
      </c>
      <c r="K158" s="539"/>
      <c r="L158" s="539">
        <v>1</v>
      </c>
      <c r="M158" s="539"/>
      <c r="N158" s="524">
        <v>1</v>
      </c>
      <c r="O158" s="539">
        <v>1</v>
      </c>
      <c r="P158" s="539">
        <v>1</v>
      </c>
      <c r="Q158" s="591">
        <v>1</v>
      </c>
      <c r="R158" s="549"/>
      <c r="S158" s="591">
        <v>1</v>
      </c>
      <c r="T158" s="525">
        <v>1</v>
      </c>
      <c r="U158" s="525">
        <v>1</v>
      </c>
      <c r="V158" s="524"/>
      <c r="W158" s="513">
        <f>IF(ISERROR(U158/N158*100),"",U158/N158*100)</f>
        <v>100</v>
      </c>
      <c r="X158" s="513">
        <f>IF(ISERROR(U158/S158*100),"",U158/S158*100)</f>
        <v>100</v>
      </c>
      <c r="Y158" s="590"/>
      <c r="Z158" s="590"/>
      <c r="AA158" s="590"/>
      <c r="AB158" s="542"/>
      <c r="AC158" s="553"/>
      <c r="AD158" s="552"/>
      <c r="AE158" s="552"/>
      <c r="AF158" s="552"/>
    </row>
    <row r="159" spans="1:32">
      <c r="A159" s="530" t="s">
        <v>290</v>
      </c>
      <c r="B159" s="529" t="s">
        <v>288</v>
      </c>
      <c r="C159" s="564">
        <v>2</v>
      </c>
      <c r="D159" s="564"/>
      <c r="E159" s="564"/>
      <c r="F159" s="564"/>
      <c r="G159" s="564">
        <v>2</v>
      </c>
      <c r="H159" s="540">
        <f>+G159-C159</f>
        <v>0</v>
      </c>
      <c r="I159" s="564"/>
      <c r="J159" s="539">
        <v>2</v>
      </c>
      <c r="K159" s="539"/>
      <c r="L159" s="539">
        <v>2</v>
      </c>
      <c r="M159" s="539"/>
      <c r="N159" s="524">
        <v>2</v>
      </c>
      <c r="O159" s="539">
        <v>2</v>
      </c>
      <c r="P159" s="539">
        <v>2</v>
      </c>
      <c r="Q159" s="591">
        <v>2</v>
      </c>
      <c r="R159" s="549"/>
      <c r="S159" s="591">
        <v>2</v>
      </c>
      <c r="T159" s="525">
        <v>2</v>
      </c>
      <c r="U159" s="525">
        <v>2</v>
      </c>
      <c r="V159" s="524"/>
      <c r="W159" s="513">
        <f>IF(ISERROR(U159/N159*100),"",U159/N159*100)</f>
        <v>100</v>
      </c>
      <c r="X159" s="513">
        <f>IF(ISERROR(U159/S159*100),"",U159/S159*100)</f>
        <v>100</v>
      </c>
      <c r="Y159" s="590"/>
      <c r="Z159" s="590"/>
      <c r="AA159" s="590"/>
      <c r="AB159" s="542"/>
      <c r="AC159" s="553"/>
      <c r="AD159" s="552"/>
      <c r="AE159" s="552"/>
      <c r="AF159" s="552"/>
    </row>
    <row r="160" spans="1:32">
      <c r="A160" s="530" t="s">
        <v>289</v>
      </c>
      <c r="B160" s="529" t="s">
        <v>288</v>
      </c>
      <c r="C160" s="564">
        <v>3</v>
      </c>
      <c r="D160" s="564"/>
      <c r="E160" s="564"/>
      <c r="F160" s="564"/>
      <c r="G160" s="564">
        <v>3</v>
      </c>
      <c r="H160" s="540">
        <f>+G160-C160</f>
        <v>0</v>
      </c>
      <c r="I160" s="564"/>
      <c r="J160" s="539">
        <v>3</v>
      </c>
      <c r="K160" s="539"/>
      <c r="L160" s="539">
        <v>3</v>
      </c>
      <c r="M160" s="539"/>
      <c r="N160" s="524">
        <v>3</v>
      </c>
      <c r="O160" s="539">
        <v>3</v>
      </c>
      <c r="P160" s="539">
        <v>3</v>
      </c>
      <c r="Q160" s="591">
        <v>3</v>
      </c>
      <c r="R160" s="549"/>
      <c r="S160" s="591">
        <v>3</v>
      </c>
      <c r="T160" s="525">
        <v>3</v>
      </c>
      <c r="U160" s="525">
        <v>3</v>
      </c>
      <c r="V160" s="524"/>
      <c r="W160" s="513">
        <f>IF(ISERROR(U160/N160*100),"",U160/N160*100)</f>
        <v>100</v>
      </c>
      <c r="X160" s="513">
        <f>IF(ISERROR(U160/S160*100),"",U160/S160*100)</f>
        <v>100</v>
      </c>
      <c r="Y160" s="590"/>
      <c r="Z160" s="590"/>
      <c r="AA160" s="590"/>
      <c r="AB160" s="542"/>
      <c r="AC160" s="553"/>
      <c r="AD160" s="552"/>
      <c r="AE160" s="552"/>
      <c r="AF160" s="552"/>
    </row>
    <row r="161" spans="1:32">
      <c r="A161" s="541" t="s">
        <v>287</v>
      </c>
      <c r="B161" s="529" t="s">
        <v>247</v>
      </c>
      <c r="C161" s="585">
        <f>C162+C163+C164</f>
        <v>407017</v>
      </c>
      <c r="D161" s="585"/>
      <c r="E161" s="585"/>
      <c r="F161" s="585"/>
      <c r="G161" s="586">
        <v>867692.02532253182</v>
      </c>
      <c r="H161" s="540">
        <f>+G161-C161</f>
        <v>460675.02532253182</v>
      </c>
      <c r="I161" s="586"/>
      <c r="J161" s="585">
        <v>911884.2649999999</v>
      </c>
      <c r="K161" s="585"/>
      <c r="L161" s="583">
        <f>L162+L163+L164</f>
        <v>52166.541263999992</v>
      </c>
      <c r="M161" s="583"/>
      <c r="N161" s="585">
        <f>N162+N163+N164</f>
        <v>173888.47087999998</v>
      </c>
      <c r="O161" s="585"/>
      <c r="P161" s="585">
        <f>P162+P163+P164</f>
        <v>370399.63430491794</v>
      </c>
      <c r="Q161" s="585">
        <f>Q162+Q163+Q164</f>
        <v>938625.63734006055</v>
      </c>
      <c r="R161" s="538"/>
      <c r="S161" s="585">
        <v>963534.84644000011</v>
      </c>
      <c r="T161" s="586">
        <f>T162+T163+T164</f>
        <v>216552.47747899999</v>
      </c>
      <c r="U161" s="586">
        <f>U162+U163+U164</f>
        <v>222105.10510666668</v>
      </c>
      <c r="V161" s="583"/>
      <c r="W161" s="513">
        <f>IF(ISERROR(U161/N161*100),"",U161/N161*100)</f>
        <v>127.72848250528403</v>
      </c>
      <c r="X161" s="513">
        <f>IF(ISERROR(U161/S161*100),"",U161/S161*100)</f>
        <v>23.051071367816618</v>
      </c>
      <c r="Y161" s="512" t="s">
        <v>261</v>
      </c>
      <c r="Z161" s="512" t="e">
        <f>IF(#REF!&gt;100,"Vượt",IF(#REF!&lt;99.5,"Không đạt","Đạt"))</f>
        <v>#REF!</v>
      </c>
      <c r="AA161" s="512"/>
      <c r="AB161" s="542"/>
      <c r="AC161" s="553"/>
      <c r="AD161" s="552"/>
      <c r="AE161" s="552"/>
      <c r="AF161" s="552"/>
    </row>
    <row r="162" spans="1:32">
      <c r="A162" s="530" t="s">
        <v>286</v>
      </c>
      <c r="B162" s="529" t="s">
        <v>247</v>
      </c>
      <c r="C162" s="564">
        <v>376081</v>
      </c>
      <c r="D162" s="564"/>
      <c r="E162" s="564"/>
      <c r="F162" s="564"/>
      <c r="G162" s="564">
        <v>823612.69432253181</v>
      </c>
      <c r="H162" s="540">
        <f>+G162-C162</f>
        <v>447531.69432253181</v>
      </c>
      <c r="I162" s="564"/>
      <c r="J162" s="539">
        <v>864199.2649999999</v>
      </c>
      <c r="K162" s="539"/>
      <c r="L162" s="524">
        <f>+N162*0.3</f>
        <v>45010.071263999991</v>
      </c>
      <c r="M162" s="524"/>
      <c r="N162" s="539">
        <f>'[1]GTSX 6 thang 2018'!DP8</f>
        <v>150033.57087999998</v>
      </c>
      <c r="O162" s="539"/>
      <c r="P162" s="563">
        <f>+'[1]GTSX 6 thang 2018'!EH8</f>
        <v>335559.88930491795</v>
      </c>
      <c r="Q162" s="539">
        <f>'[1]GTSX 6 thang 2018'!EY8</f>
        <v>901279.4373400606</v>
      </c>
      <c r="R162" s="538"/>
      <c r="S162" s="539">
        <v>916733.69644000009</v>
      </c>
      <c r="T162" s="525">
        <f>+U162*5.85/6</f>
        <v>196487.952479</v>
      </c>
      <c r="U162" s="525">
        <f>'[1]GTSX 6 thang 2018'!GW8</f>
        <v>201526.10510666668</v>
      </c>
      <c r="V162" s="524"/>
      <c r="W162" s="513">
        <f>IF(ISERROR(U162/N162*100),"",U162/N162*100)</f>
        <v>134.32067498270203</v>
      </c>
      <c r="X162" s="513">
        <f>IF(ISERROR(U162/S162*100),"",U162/S162*100)</f>
        <v>21.983058535893633</v>
      </c>
      <c r="Y162" s="512" t="s">
        <v>246</v>
      </c>
      <c r="Z162" s="512" t="e">
        <f>IF(#REF!&gt;100,"Vượt",IF(#REF!&lt;99.5,"Không đạt","Đạt"))</f>
        <v>#REF!</v>
      </c>
      <c r="AA162" s="512"/>
      <c r="AB162" s="542"/>
      <c r="AC162" s="553"/>
      <c r="AD162" s="552"/>
      <c r="AE162" s="552"/>
      <c r="AF162" s="552"/>
    </row>
    <row r="163" spans="1:32">
      <c r="A163" s="530" t="s">
        <v>285</v>
      </c>
      <c r="B163" s="529" t="s">
        <v>247</v>
      </c>
      <c r="C163" s="564">
        <v>22164</v>
      </c>
      <c r="D163" s="564"/>
      <c r="E163" s="564"/>
      <c r="F163" s="564"/>
      <c r="G163" s="564">
        <v>28899.65</v>
      </c>
      <c r="H163" s="540">
        <f>+G163-C163</f>
        <v>6735.6500000000015</v>
      </c>
      <c r="I163" s="564"/>
      <c r="J163" s="539">
        <v>32175</v>
      </c>
      <c r="K163" s="539"/>
      <c r="L163" s="524">
        <f>+N163*0.3</f>
        <v>4827</v>
      </c>
      <c r="M163" s="524"/>
      <c r="N163" s="539">
        <f>'[1]GTSX 6 thang 2018'!DP34</f>
        <v>16090</v>
      </c>
      <c r="O163" s="539"/>
      <c r="P163" s="563">
        <f>'[1]GTSX 6 thang 2018'!EH34</f>
        <v>24267.244999999999</v>
      </c>
      <c r="Q163" s="539">
        <f>'[1]GTSX 6 thang 2018'!EY34</f>
        <v>31387.5</v>
      </c>
      <c r="R163" s="538"/>
      <c r="S163" s="539">
        <v>33801.15</v>
      </c>
      <c r="T163" s="525">
        <f>+U163*5.85/6</f>
        <v>16140.15</v>
      </c>
      <c r="U163" s="525">
        <f>'[1]GTSX 6 thang 2018'!GW34</f>
        <v>16554</v>
      </c>
      <c r="V163" s="524"/>
      <c r="W163" s="513">
        <f>IF(ISERROR(U163/N163*100),"",U163/N163*100)</f>
        <v>102.88377874456185</v>
      </c>
      <c r="X163" s="513">
        <f>IF(ISERROR(U163/S163*100),"",U163/S163*100)</f>
        <v>48.974665063170924</v>
      </c>
      <c r="Y163" s="512" t="s">
        <v>269</v>
      </c>
      <c r="Z163" s="512" t="e">
        <f>IF(#REF!&gt;100,"Vượt",IF(#REF!&lt;99.5,"Không đạt","Đạt"))</f>
        <v>#REF!</v>
      </c>
      <c r="AA163" s="512"/>
      <c r="AB163" s="542"/>
      <c r="AC163" s="553"/>
      <c r="AD163" s="552"/>
      <c r="AE163" s="552"/>
      <c r="AF163" s="552"/>
    </row>
    <row r="164" spans="1:32">
      <c r="A164" s="530" t="s">
        <v>284</v>
      </c>
      <c r="B164" s="529" t="s">
        <v>247</v>
      </c>
      <c r="C164" s="564">
        <v>8772</v>
      </c>
      <c r="D164" s="564"/>
      <c r="E164" s="564"/>
      <c r="F164" s="564"/>
      <c r="G164" s="564">
        <v>15179.681</v>
      </c>
      <c r="H164" s="540">
        <f>+G164-C164</f>
        <v>6407.6810000000005</v>
      </c>
      <c r="I164" s="564"/>
      <c r="J164" s="539">
        <v>15510</v>
      </c>
      <c r="K164" s="539"/>
      <c r="L164" s="524">
        <f>+N164*0.3</f>
        <v>2329.4700000000003</v>
      </c>
      <c r="M164" s="524"/>
      <c r="N164" s="539">
        <f>'[1]GTSX 6 thang 2018'!DP32</f>
        <v>7764.9000000000005</v>
      </c>
      <c r="O164" s="539"/>
      <c r="P164" s="563">
        <f>'[1]GTSX 6 thang 2018'!EH37</f>
        <v>10572.5</v>
      </c>
      <c r="Q164" s="563">
        <f>'[1]GTSX 6 thang 2018'!EY37</f>
        <v>5958.7</v>
      </c>
      <c r="R164" s="538"/>
      <c r="S164" s="539">
        <v>13000</v>
      </c>
      <c r="T164" s="525">
        <f>+U164*5.85/6</f>
        <v>3924.375</v>
      </c>
      <c r="U164" s="525">
        <f>'[1]GTSX 6 thang 2018'!GW37</f>
        <v>4025</v>
      </c>
      <c r="V164" s="524"/>
      <c r="W164" s="513">
        <f>IF(ISERROR(U164/N164*100),"",U164/N164*100)</f>
        <v>51.835825316488297</v>
      </c>
      <c r="X164" s="513">
        <f>IF(ISERROR(U164/S164*100),"",U164/S164*100)</f>
        <v>30.961538461538463</v>
      </c>
      <c r="Y164" s="512" t="s">
        <v>269</v>
      </c>
      <c r="Z164" s="512" t="e">
        <f>IF(#REF!&gt;100,"Vượt",IF(#REF!&lt;99.5,"Không đạt","Đạt"))</f>
        <v>#REF!</v>
      </c>
      <c r="AA164" s="512"/>
      <c r="AB164" s="542"/>
      <c r="AC164" s="553"/>
      <c r="AD164" s="552"/>
      <c r="AE164" s="552"/>
      <c r="AF164" s="552"/>
    </row>
    <row r="165" spans="1:32">
      <c r="A165" s="541" t="s">
        <v>283</v>
      </c>
      <c r="B165" s="529" t="s">
        <v>247</v>
      </c>
      <c r="C165" s="586">
        <f>C166+C169+C172</f>
        <v>781852</v>
      </c>
      <c r="D165" s="586"/>
      <c r="E165" s="586"/>
      <c r="F165" s="586"/>
      <c r="G165" s="586">
        <v>1050779.7699095267</v>
      </c>
      <c r="H165" s="540">
        <f>+G165-C165</f>
        <v>268927.76990952669</v>
      </c>
      <c r="I165" s="586"/>
      <c r="J165" s="585">
        <v>1137230.42</v>
      </c>
      <c r="K165" s="585"/>
      <c r="L165" s="585">
        <f>L166+L169+L172</f>
        <v>391398.42116666684</v>
      </c>
      <c r="M165" s="585"/>
      <c r="N165" s="585">
        <f>N166+N169+N172</f>
        <v>607300.63800000004</v>
      </c>
      <c r="O165" s="585"/>
      <c r="P165" s="585">
        <f>P166+P169+P172</f>
        <v>862857.97835415998</v>
      </c>
      <c r="Q165" s="589">
        <f>Q166+Q169+Q172</f>
        <v>1346260.9942048844</v>
      </c>
      <c r="R165" s="538"/>
      <c r="S165" s="585">
        <v>1420955.625</v>
      </c>
      <c r="T165" s="588">
        <f>T166+T169+T172</f>
        <v>676714.7203042109</v>
      </c>
      <c r="U165" s="588">
        <f>U166+U169+U172</f>
        <v>709485.43323998828</v>
      </c>
      <c r="V165" s="583"/>
      <c r="W165" s="513">
        <f>IF(ISERROR(U165/N165*100),"",U165/N165*100)</f>
        <v>116.82606420051023</v>
      </c>
      <c r="X165" s="513">
        <f>IF(ISERROR(U165/S165*100),"",U165/S165*100)</f>
        <v>49.930161136452675</v>
      </c>
      <c r="Y165" s="512" t="s">
        <v>246</v>
      </c>
      <c r="Z165" s="512" t="e">
        <f>IF(#REF!&gt;100,"Vượt",IF(#REF!&lt;99.5,"Không đạt","Đạt"))</f>
        <v>#REF!</v>
      </c>
      <c r="AA165" s="512"/>
      <c r="AB165" s="542"/>
      <c r="AC165" s="553"/>
      <c r="AD165" s="552"/>
      <c r="AE165" s="552"/>
      <c r="AF165" s="552"/>
    </row>
    <row r="166" spans="1:32">
      <c r="A166" s="530" t="s">
        <v>282</v>
      </c>
      <c r="B166" s="529" t="s">
        <v>247</v>
      </c>
      <c r="C166" s="564">
        <v>519468</v>
      </c>
      <c r="D166" s="564"/>
      <c r="E166" s="564"/>
      <c r="F166" s="564"/>
      <c r="G166" s="564">
        <v>754257.91990952671</v>
      </c>
      <c r="H166" s="540">
        <f>+G166-C166</f>
        <v>234789.91990952671</v>
      </c>
      <c r="I166" s="564"/>
      <c r="J166" s="539">
        <v>902165.92</v>
      </c>
      <c r="K166" s="539"/>
      <c r="L166" s="539">
        <f>+N166*0.666666666666667</f>
        <v>350992.40866666683</v>
      </c>
      <c r="M166" s="539"/>
      <c r="N166" s="539">
        <f>'[1]GTSX 6 thang 2018'!DP44</f>
        <v>526488.61300000001</v>
      </c>
      <c r="O166" s="539"/>
      <c r="P166" s="563">
        <f>'[1]GTSX 6 thang 2018'!EH44</f>
        <v>722081.66599999997</v>
      </c>
      <c r="Q166" s="563">
        <f>'[1]GTSX 6 thang 2018'!EY44</f>
        <v>1082988.8541366665</v>
      </c>
      <c r="R166" s="538"/>
      <c r="S166" s="539">
        <v>1179806.625</v>
      </c>
      <c r="T166" s="525">
        <f>+U166*5.8/6</f>
        <v>534163.7702208776</v>
      </c>
      <c r="U166" s="525">
        <f>'[1]GTSX 6 thang 2018'!GW44</f>
        <v>552583.21057332167</v>
      </c>
      <c r="V166" s="524"/>
      <c r="W166" s="513">
        <f>IF(ISERROR(U166/N166*100),"",U166/N166*100)</f>
        <v>104.95634604984735</v>
      </c>
      <c r="X166" s="513">
        <f>IF(ISERROR(U166/S166*100),"",U166/S166*100)</f>
        <v>46.836761115265112</v>
      </c>
      <c r="Y166" s="512" t="s">
        <v>246</v>
      </c>
      <c r="Z166" s="512" t="e">
        <f>IF(#REF!&gt;100,"Vượt",IF(#REF!&lt;99.5,"Không đạt","Đạt"))</f>
        <v>#REF!</v>
      </c>
      <c r="AA166" s="512"/>
      <c r="AB166" s="542"/>
      <c r="AC166" s="553"/>
      <c r="AD166" s="552"/>
      <c r="AE166" s="552"/>
      <c r="AF166" s="552"/>
    </row>
    <row r="167" spans="1:32" s="575" customFormat="1">
      <c r="A167" s="534" t="s">
        <v>281</v>
      </c>
      <c r="B167" s="529" t="s">
        <v>247</v>
      </c>
      <c r="C167" s="578">
        <v>229862</v>
      </c>
      <c r="D167" s="578"/>
      <c r="E167" s="578"/>
      <c r="F167" s="578"/>
      <c r="G167" s="578">
        <v>489920</v>
      </c>
      <c r="H167" s="540">
        <f>+G167-C167</f>
        <v>260058</v>
      </c>
      <c r="I167" s="578"/>
      <c r="J167" s="579">
        <v>525120</v>
      </c>
      <c r="K167" s="579"/>
      <c r="L167" s="514">
        <f>+N167*0.666666666666667</f>
        <v>212843.1700000001</v>
      </c>
      <c r="M167" s="514"/>
      <c r="N167" s="579">
        <f>'[1]GTSX 6 thang 2018'!DP45</f>
        <v>319264.755</v>
      </c>
      <c r="O167" s="579"/>
      <c r="P167" s="580">
        <f>+'[1]GTSX 6 thang 2018'!EH45</f>
        <v>449955</v>
      </c>
      <c r="Q167" s="580">
        <f>'[1]GTSX 6 thang 2018'!EY45</f>
        <v>646516.25</v>
      </c>
      <c r="R167" s="538"/>
      <c r="S167" s="579">
        <v>661340.625</v>
      </c>
      <c r="T167" s="578">
        <f>+U167</f>
        <v>446203.34062500001</v>
      </c>
      <c r="U167" s="525">
        <f>'[1]GTSX 6 thang 2018'!GW45</f>
        <v>446203.34062500001</v>
      </c>
      <c r="V167" s="514"/>
      <c r="W167" s="513">
        <f>IF(ISERROR(U167/N167*100),"",U167/N167*100)</f>
        <v>139.75966142112995</v>
      </c>
      <c r="X167" s="513">
        <f>IF(ISERROR(U167/S167*100),"",U167/S167*100)</f>
        <v>67.469519300284929</v>
      </c>
      <c r="Y167" s="512" t="s">
        <v>246</v>
      </c>
      <c r="Z167" s="512" t="e">
        <f>IF(#REF!&gt;100,"Vượt",IF(#REF!&lt;99.5,"Không đạt","Đạt"))</f>
        <v>#REF!</v>
      </c>
      <c r="AA167" s="512"/>
      <c r="AB167" s="542"/>
      <c r="AC167" s="577"/>
      <c r="AD167" s="576"/>
      <c r="AE167" s="576"/>
      <c r="AF167" s="576"/>
    </row>
    <row r="168" spans="1:32" s="575" customFormat="1">
      <c r="A168" s="587" t="s">
        <v>280</v>
      </c>
      <c r="B168" s="529" t="s">
        <v>247</v>
      </c>
      <c r="C168" s="578">
        <v>88966</v>
      </c>
      <c r="D168" s="578"/>
      <c r="E168" s="578"/>
      <c r="F168" s="578"/>
      <c r="G168" s="578">
        <v>202156.16990952671</v>
      </c>
      <c r="H168" s="540">
        <f>+G168-C168</f>
        <v>113190.16990952671</v>
      </c>
      <c r="I168" s="578"/>
      <c r="J168" s="579">
        <v>310021.92000000004</v>
      </c>
      <c r="K168" s="579"/>
      <c r="L168" s="514">
        <f>+N168*0.666666666666667</f>
        <v>114186.27200000004</v>
      </c>
      <c r="M168" s="514"/>
      <c r="N168" s="579">
        <f>'[1]GTSX 6 thang 2018'!DP55+'[1]GTSX 6 thang 2018'!DP59+'[1]GTSX 6 thang 2018'!DP60</f>
        <v>171279.408</v>
      </c>
      <c r="O168" s="579"/>
      <c r="P168" s="580">
        <f>+'[1]GTSX 6 thang 2018'!EH55+'[1]GTSX 6 thang 2018'!EH59+'[1]GTSX 6 thang 2018'!EH60</f>
        <v>225052.416</v>
      </c>
      <c r="Q168" s="580">
        <f>'[1]GTSX 6 thang 2018'!EY55+'[1]GTSX 6 thang 2018'!EY59+'[1]GTSX 6 thang 2018'!EY60</f>
        <v>393421.19883000001</v>
      </c>
      <c r="R168" s="538"/>
      <c r="S168" s="579">
        <v>470498</v>
      </c>
      <c r="T168" s="578">
        <f>+U168</f>
        <v>82503.020769988434</v>
      </c>
      <c r="U168" s="525">
        <f>'[1]GTSX 6 thang 2018'!GW55+'[1]GTSX 6 thang 2018'!GW59+'[1]GTSX 6 thang 2018'!GW60</f>
        <v>82503.020769988434</v>
      </c>
      <c r="V168" s="514"/>
      <c r="W168" s="513">
        <f>IF(ISERROR(U168/N168*100),"",U168/N168*100)</f>
        <v>48.168674643006959</v>
      </c>
      <c r="X168" s="513">
        <f>IF(ISERROR(U168/S168*100),"",U168/S168*100)</f>
        <v>17.535254298634307</v>
      </c>
      <c r="Y168" s="512" t="s">
        <v>246</v>
      </c>
      <c r="Z168" s="512" t="e">
        <f>IF(#REF!&gt;100,"Vượt",IF(#REF!&lt;99.5,"Không đạt","Đạt"))</f>
        <v>#REF!</v>
      </c>
      <c r="AA168" s="512"/>
      <c r="AB168" s="542"/>
      <c r="AC168" s="577"/>
      <c r="AD168" s="576"/>
      <c r="AE168" s="576"/>
      <c r="AF168" s="576"/>
    </row>
    <row r="169" spans="1:32">
      <c r="A169" s="530" t="s">
        <v>279</v>
      </c>
      <c r="B169" s="529" t="s">
        <v>247</v>
      </c>
      <c r="C169" s="564">
        <v>20318</v>
      </c>
      <c r="D169" s="564"/>
      <c r="E169" s="564"/>
      <c r="F169" s="564"/>
      <c r="G169" s="564">
        <v>27582.6</v>
      </c>
      <c r="H169" s="540">
        <f>+G169-C169</f>
        <v>7264.5999999999985</v>
      </c>
      <c r="I169" s="564"/>
      <c r="J169" s="539">
        <v>21564.5</v>
      </c>
      <c r="K169" s="539"/>
      <c r="L169" s="524">
        <f>+N169*0.5</f>
        <v>5463.5125000000007</v>
      </c>
      <c r="M169" s="524"/>
      <c r="N169" s="539">
        <f>+'[1]GTSX 6 thang 2018'!DP61</f>
        <v>10927.025000000001</v>
      </c>
      <c r="O169" s="539"/>
      <c r="P169" s="563">
        <f>+'[1]GTSX 6 thang 2018'!EH61</f>
        <v>15923.375</v>
      </c>
      <c r="Q169" s="563">
        <f>+'[1]GTSX 6 thang 2018'!EY61</f>
        <v>23873.47</v>
      </c>
      <c r="R169" s="538"/>
      <c r="S169" s="539">
        <v>27149</v>
      </c>
      <c r="T169" s="525">
        <f>+U169*0.833333333333333</f>
        <v>12760.873611111108</v>
      </c>
      <c r="U169" s="525">
        <f>+'[1]GTSX 6 thang 2018'!GW61</f>
        <v>15313.048333333336</v>
      </c>
      <c r="V169" s="539"/>
      <c r="W169" s="513">
        <f>IF(ISERROR(U169/N169*100),"",U169/N169*100)</f>
        <v>140.13922667270674</v>
      </c>
      <c r="X169" s="513">
        <f>IF(ISERROR(U169/S169*100),"",U169/S169*100)</f>
        <v>56.403728805235318</v>
      </c>
      <c r="Y169" s="512" t="s">
        <v>246</v>
      </c>
      <c r="Z169" s="512" t="e">
        <f>IF(#REF!&gt;100,"Vượt",IF(#REF!&lt;99.5,"Không đạt","Đạt"))</f>
        <v>#REF!</v>
      </c>
      <c r="AA169" s="512"/>
      <c r="AB169" s="542"/>
      <c r="AC169" s="553"/>
      <c r="AD169" s="552"/>
      <c r="AE169" s="552"/>
      <c r="AF169" s="552"/>
    </row>
    <row r="170" spans="1:32" s="575" customFormat="1">
      <c r="A170" s="521" t="s">
        <v>278</v>
      </c>
      <c r="B170" s="529" t="s">
        <v>247</v>
      </c>
      <c r="C170" s="578">
        <v>16038</v>
      </c>
      <c r="D170" s="578"/>
      <c r="E170" s="578"/>
      <c r="F170" s="578"/>
      <c r="G170" s="578">
        <v>21383.599999999999</v>
      </c>
      <c r="H170" s="540">
        <f>+G170-C170</f>
        <v>5345.5999999999985</v>
      </c>
      <c r="I170" s="578"/>
      <c r="J170" s="579">
        <v>15000</v>
      </c>
      <c r="K170" s="579"/>
      <c r="L170" s="524">
        <f>+N170*0.5</f>
        <v>3825</v>
      </c>
      <c r="M170" s="524"/>
      <c r="N170" s="579">
        <f>+'[1]GTSX 6 thang 2018'!DP62</f>
        <v>7650</v>
      </c>
      <c r="O170" s="579"/>
      <c r="P170" s="580">
        <f>+'[1]GTSX 6 thang 2018'!EH62</f>
        <v>11250</v>
      </c>
      <c r="Q170" s="579">
        <f>+'[1]GTSX 6 thang 2018'!EY62</f>
        <v>17127.5</v>
      </c>
      <c r="R170" s="538"/>
      <c r="S170" s="579">
        <v>15000</v>
      </c>
      <c r="T170" s="578">
        <f>+U170*5.9/6</f>
        <v>8668.6979166666661</v>
      </c>
      <c r="U170" s="525">
        <f>+'[1]GTSX 6 thang 2018'!GW62</f>
        <v>8815.625</v>
      </c>
      <c r="V170" s="514"/>
      <c r="W170" s="513">
        <f>IF(ISERROR(U170/N170*100),"",U170/N170*100)</f>
        <v>115.23692810457516</v>
      </c>
      <c r="X170" s="513">
        <f>IF(ISERROR(U170/S170*100),"",U170/S170*100)</f>
        <v>58.770833333333336</v>
      </c>
      <c r="Y170" s="512" t="s">
        <v>269</v>
      </c>
      <c r="Z170" s="512" t="e">
        <f>IF(#REF!&gt;100,"Vượt",IF(#REF!&lt;99.5,"Không đạt","Đạt"))</f>
        <v>#REF!</v>
      </c>
      <c r="AA170" s="512"/>
      <c r="AB170" s="542"/>
      <c r="AC170" s="577"/>
      <c r="AD170" s="576"/>
      <c r="AE170" s="576"/>
      <c r="AF170" s="576"/>
    </row>
    <row r="171" spans="1:32" s="575" customFormat="1">
      <c r="A171" s="581" t="s">
        <v>277</v>
      </c>
      <c r="B171" s="529" t="s">
        <v>247</v>
      </c>
      <c r="C171" s="578">
        <v>945</v>
      </c>
      <c r="D171" s="578"/>
      <c r="E171" s="578"/>
      <c r="F171" s="578"/>
      <c r="G171" s="578">
        <v>1309.5</v>
      </c>
      <c r="H171" s="540">
        <f>+G171-C171</f>
        <v>364.5</v>
      </c>
      <c r="I171" s="578"/>
      <c r="J171" s="579">
        <v>1080</v>
      </c>
      <c r="K171" s="579"/>
      <c r="L171" s="524">
        <f>+N171*0.5</f>
        <v>280.8</v>
      </c>
      <c r="M171" s="524"/>
      <c r="N171" s="579">
        <f>+'[1]GTSX 6 thang 2018'!DP63</f>
        <v>561.6</v>
      </c>
      <c r="O171" s="579"/>
      <c r="P171" s="580">
        <f>+'[1]GTSX 6 thang 2018'!EH63</f>
        <v>810</v>
      </c>
      <c r="Q171" s="579">
        <f>+'[1]GTSX 6 thang 2018'!EY63</f>
        <v>1177.3999999999999</v>
      </c>
      <c r="R171" s="538"/>
      <c r="S171" s="579">
        <v>1080</v>
      </c>
      <c r="T171" s="578">
        <f>+U171*5/6</f>
        <v>456.75</v>
      </c>
      <c r="U171" s="525">
        <f>+'[1]GTSX 6 thang 2018'!GW63</f>
        <v>548.1</v>
      </c>
      <c r="V171" s="514"/>
      <c r="W171" s="513">
        <f>IF(ISERROR(U171/N171*100),"",U171/N171*100)</f>
        <v>97.59615384615384</v>
      </c>
      <c r="X171" s="513">
        <f>IF(ISERROR(U171/S171*100),"",U171/S171*100)</f>
        <v>50.750000000000007</v>
      </c>
      <c r="Y171" s="512" t="s">
        <v>269</v>
      </c>
      <c r="Z171" s="512" t="e">
        <f>IF(#REF!&gt;100,"Vượt",IF(#REF!&lt;99.5,"Không đạt","Đạt"))</f>
        <v>#REF!</v>
      </c>
      <c r="AA171" s="512"/>
      <c r="AB171" s="542"/>
      <c r="AC171" s="577"/>
      <c r="AD171" s="576"/>
      <c r="AE171" s="576"/>
      <c r="AF171" s="576"/>
    </row>
    <row r="172" spans="1:32">
      <c r="A172" s="530" t="s">
        <v>276</v>
      </c>
      <c r="B172" s="529" t="s">
        <v>247</v>
      </c>
      <c r="C172" s="564">
        <v>242066</v>
      </c>
      <c r="D172" s="564"/>
      <c r="E172" s="564"/>
      <c r="F172" s="564"/>
      <c r="G172" s="564">
        <v>268939.25</v>
      </c>
      <c r="H172" s="540">
        <f>+G172-C172</f>
        <v>26873.25</v>
      </c>
      <c r="I172" s="564"/>
      <c r="J172" s="539">
        <v>213500</v>
      </c>
      <c r="K172" s="539"/>
      <c r="L172" s="524">
        <f>+N172*0.5</f>
        <v>34942.5</v>
      </c>
      <c r="M172" s="524"/>
      <c r="N172" s="539">
        <f>'[1]GTSX 6 thang 2018'!DP71</f>
        <v>69885</v>
      </c>
      <c r="O172" s="539"/>
      <c r="P172" s="563">
        <f>+'[1]GTSX 6 thang 2018'!EH71</f>
        <v>124852.93735415998</v>
      </c>
      <c r="Q172" s="539">
        <f>'[1]GTSX 6 thang 2018'!EY71</f>
        <v>239398.67006821797</v>
      </c>
      <c r="R172" s="538"/>
      <c r="S172" s="539">
        <v>214000</v>
      </c>
      <c r="T172" s="525">
        <f>+U172*5.5/6</f>
        <v>129790.07647222222</v>
      </c>
      <c r="U172" s="525">
        <f>+'[1]GTSX 6 thang 2018'!GW71</f>
        <v>141589.17433333333</v>
      </c>
      <c r="V172" s="524"/>
      <c r="W172" s="513">
        <f>IF(ISERROR(U172/N172*100),"",U172/N172*100)</f>
        <v>202.60309699267842</v>
      </c>
      <c r="X172" s="513">
        <f>IF(ISERROR(U172/S172*100),"",U172/S172*100)</f>
        <v>66.163165576323991</v>
      </c>
      <c r="Y172" s="512" t="s">
        <v>246</v>
      </c>
      <c r="Z172" s="512" t="e">
        <f>IF(#REF!&gt;100,"Vượt",IF(#REF!&lt;99.5,"Không đạt","Đạt"))</f>
        <v>#REF!</v>
      </c>
      <c r="AA172" s="512"/>
      <c r="AB172" s="582"/>
      <c r="AC172" s="553"/>
      <c r="AD172" s="552"/>
      <c r="AE172" s="552"/>
      <c r="AF172" s="552"/>
    </row>
    <row r="173" spans="1:32">
      <c r="A173" s="534" t="s">
        <v>275</v>
      </c>
      <c r="B173" s="520" t="s">
        <v>247</v>
      </c>
      <c r="C173" s="578">
        <v>174564</v>
      </c>
      <c r="D173" s="578"/>
      <c r="E173" s="578"/>
      <c r="F173" s="578"/>
      <c r="G173" s="578">
        <v>189945</v>
      </c>
      <c r="H173" s="540">
        <f>+G173-C173</f>
        <v>15381</v>
      </c>
      <c r="I173" s="578"/>
      <c r="J173" s="579">
        <v>127500</v>
      </c>
      <c r="K173" s="579"/>
      <c r="L173" s="518">
        <f>+N173*0.5</f>
        <v>22312.5</v>
      </c>
      <c r="M173" s="518"/>
      <c r="N173" s="579">
        <f>'[1]GTSX 6 thang 2018'!DP72</f>
        <v>44625</v>
      </c>
      <c r="O173" s="579"/>
      <c r="P173" s="580">
        <f>+'[1]GTSX 6 thang 2018'!EH72</f>
        <v>76252.937354159978</v>
      </c>
      <c r="Q173" s="580">
        <f>+'[1]GTSX 6 thang 2018'!EY72</f>
        <v>127723.67006821797</v>
      </c>
      <c r="R173" s="538"/>
      <c r="S173" s="579">
        <v>130000</v>
      </c>
      <c r="T173" s="578">
        <f>+U173*5.5/6</f>
        <v>59583.333333333336</v>
      </c>
      <c r="U173" s="578">
        <f>+'[1]GTSX 6 thang 2018'!GW72</f>
        <v>65000</v>
      </c>
      <c r="V173" s="514"/>
      <c r="W173" s="513">
        <f>IF(ISERROR(U173/N173*100),"",U173/N173*100)</f>
        <v>145.65826330532212</v>
      </c>
      <c r="X173" s="513">
        <f>IF(ISERROR(U173/S173*100),"",U173/S173*100)</f>
        <v>50</v>
      </c>
      <c r="Y173" s="512" t="s">
        <v>246</v>
      </c>
      <c r="Z173" s="512" t="e">
        <f>IF(#REF!&gt;100,"Vượt",IF(#REF!&lt;99.5,"Không đạt","Đạt"))</f>
        <v>#REF!</v>
      </c>
      <c r="AA173" s="512"/>
      <c r="AB173" s="542"/>
      <c r="AC173" s="553"/>
      <c r="AD173" s="552"/>
      <c r="AE173" s="552"/>
      <c r="AF173" s="552"/>
    </row>
    <row r="174" spans="1:32">
      <c r="A174" s="581" t="s">
        <v>274</v>
      </c>
      <c r="B174" s="520" t="s">
        <v>247</v>
      </c>
      <c r="C174" s="578">
        <v>35225</v>
      </c>
      <c r="D174" s="578"/>
      <c r="E174" s="578"/>
      <c r="F174" s="578"/>
      <c r="G174" s="578">
        <v>35225</v>
      </c>
      <c r="H174" s="540">
        <f>+G174-C174</f>
        <v>0</v>
      </c>
      <c r="I174" s="578"/>
      <c r="J174" s="579">
        <v>38000</v>
      </c>
      <c r="K174" s="579"/>
      <c r="L174" s="518">
        <f>+N174*0.5</f>
        <v>6080</v>
      </c>
      <c r="M174" s="518"/>
      <c r="N174" s="579">
        <f>'[1]GTSX 6 thang 2018'!DP74</f>
        <v>12160</v>
      </c>
      <c r="O174" s="579"/>
      <c r="P174" s="580">
        <f>+'[1]GTSX 6 thang 2018'!EH74</f>
        <v>22800</v>
      </c>
      <c r="Q174" s="579">
        <f>+J174+85</f>
        <v>38085</v>
      </c>
      <c r="R174" s="538"/>
      <c r="S174" s="579">
        <v>40000</v>
      </c>
      <c r="T174" s="578">
        <f>+U174*5.8/6</f>
        <v>22555.555555555551</v>
      </c>
      <c r="U174" s="578">
        <f>+'[1]GTSX 6 thang 2018'!GW74</f>
        <v>23333.333333333332</v>
      </c>
      <c r="V174" s="514"/>
      <c r="W174" s="513">
        <f>IF(ISERROR(U174/N174*100),"",U174/N174*100)</f>
        <v>191.88596491228068</v>
      </c>
      <c r="X174" s="513">
        <f>IF(ISERROR(U174/S174*100),"",U174/S174*100)</f>
        <v>58.333333333333329</v>
      </c>
      <c r="Y174" s="512" t="s">
        <v>246</v>
      </c>
      <c r="Z174" s="512" t="e">
        <f>IF(#REF!&gt;100,"Vượt",IF(#REF!&lt;99.5,"Không đạt","Đạt"))</f>
        <v>#REF!</v>
      </c>
      <c r="AA174" s="512"/>
      <c r="AB174" s="542"/>
      <c r="AC174" s="553"/>
      <c r="AD174" s="552"/>
      <c r="AE174" s="552"/>
      <c r="AF174" s="552"/>
    </row>
    <row r="175" spans="1:32" s="522" customFormat="1">
      <c r="A175" s="541" t="s">
        <v>273</v>
      </c>
      <c r="B175" s="562" t="s">
        <v>247</v>
      </c>
      <c r="C175" s="560">
        <f>+C176+C179</f>
        <v>420666</v>
      </c>
      <c r="D175" s="560"/>
      <c r="E175" s="560"/>
      <c r="F175" s="560"/>
      <c r="G175" s="586">
        <v>599356.49890000001</v>
      </c>
      <c r="H175" s="540">
        <f>+G175-C175</f>
        <v>178690.49890000001</v>
      </c>
      <c r="I175" s="586"/>
      <c r="J175" s="585">
        <v>675472.40274599998</v>
      </c>
      <c r="K175" s="585"/>
      <c r="L175" s="585">
        <f>L176+L179</f>
        <v>184168.2723966667</v>
      </c>
      <c r="M175" s="585"/>
      <c r="N175" s="585">
        <f>N176+N179</f>
        <v>335658.34106899996</v>
      </c>
      <c r="O175" s="585"/>
      <c r="P175" s="560">
        <f>+P176+P179</f>
        <v>501167.93705950008</v>
      </c>
      <c r="Q175" s="560">
        <f>+Q176+Q179</f>
        <v>695667.76341691497</v>
      </c>
      <c r="R175" s="538"/>
      <c r="S175" s="560">
        <v>764119.05175999994</v>
      </c>
      <c r="T175" s="584">
        <f>+T176+T179</f>
        <v>346445.51550166664</v>
      </c>
      <c r="U175" s="584">
        <f>+U176+U179</f>
        <v>388699.20332000003</v>
      </c>
      <c r="V175" s="583"/>
      <c r="W175" s="513">
        <f>IF(ISERROR(U175/N175*100),"",U175/N175*100)</f>
        <v>115.80203908595755</v>
      </c>
      <c r="X175" s="513">
        <f>IF(ISERROR(U175/S175*100),"",U175/S175*100)</f>
        <v>50.868932324708673</v>
      </c>
      <c r="Y175" s="512" t="s">
        <v>246</v>
      </c>
      <c r="Z175" s="512" t="e">
        <f>IF(#REF!&gt;100,"Vượt",IF(#REF!&lt;99.5,"Không đạt","Đạt"))</f>
        <v>#REF!</v>
      </c>
      <c r="AA175" s="512"/>
      <c r="AB175" s="582"/>
      <c r="AC175" s="557"/>
      <c r="AD175" s="523"/>
      <c r="AE175" s="523"/>
      <c r="AF175" s="523"/>
    </row>
    <row r="176" spans="1:32">
      <c r="A176" s="565" t="s">
        <v>272</v>
      </c>
      <c r="B176" s="529" t="s">
        <v>247</v>
      </c>
      <c r="C176" s="564">
        <v>116061</v>
      </c>
      <c r="D176" s="564"/>
      <c r="E176" s="564"/>
      <c r="F176" s="564"/>
      <c r="G176" s="564">
        <v>170481.69890000002</v>
      </c>
      <c r="H176" s="540">
        <f>+G176-C176</f>
        <v>54420.698900000018</v>
      </c>
      <c r="I176" s="564"/>
      <c r="J176" s="539">
        <v>192040.67674600001</v>
      </c>
      <c r="K176" s="539"/>
      <c r="L176" s="524">
        <f>0.666666666666667*N176</f>
        <v>65356.407448666701</v>
      </c>
      <c r="M176" s="524"/>
      <c r="N176" s="539">
        <f>'[1]GTSX 6 thang 2018'!DP81</f>
        <v>98034.611173000012</v>
      </c>
      <c r="O176" s="539"/>
      <c r="P176" s="563">
        <f>+'[1]GTSX 6 thang 2018'!EH81</f>
        <v>138594.1425595</v>
      </c>
      <c r="Q176" s="539">
        <f>'[1]GTSX 6 thang 2018'!EY81</f>
        <v>202901.5042568646</v>
      </c>
      <c r="R176" s="538"/>
      <c r="S176" s="539">
        <v>236440.101</v>
      </c>
      <c r="T176" s="525">
        <f>+U176*0.833333333333333</f>
        <v>98620.875416666633</v>
      </c>
      <c r="U176" s="525">
        <f>+'[1]GTSX 6 thang 2018'!GW81</f>
        <v>118345.0505</v>
      </c>
      <c r="V176" s="524"/>
      <c r="W176" s="513">
        <f>IF(ISERROR(U176/N176*100),"",U176/N176*100)</f>
        <v>120.71762113806777</v>
      </c>
      <c r="X176" s="513">
        <f>IF(ISERROR(U176/S176*100),"",U176/S176*100)</f>
        <v>50.052867512520649</v>
      </c>
      <c r="Y176" s="512" t="s">
        <v>269</v>
      </c>
      <c r="Z176" s="512" t="e">
        <f>IF(#REF!&gt;100,"Vượt",IF(#REF!&lt;99.5,"Không đạt","Đạt"))</f>
        <v>#REF!</v>
      </c>
      <c r="AA176" s="512"/>
      <c r="AB176" s="582"/>
      <c r="AC176" s="553"/>
      <c r="AD176" s="552"/>
      <c r="AE176" s="552"/>
      <c r="AF176" s="552"/>
    </row>
    <row r="177" spans="1:32">
      <c r="A177" s="534" t="s">
        <v>271</v>
      </c>
      <c r="B177" s="520" t="s">
        <v>247</v>
      </c>
      <c r="C177" s="578">
        <v>19227</v>
      </c>
      <c r="D177" s="578"/>
      <c r="E177" s="578"/>
      <c r="F177" s="578"/>
      <c r="G177" s="578">
        <v>37200</v>
      </c>
      <c r="H177" s="540">
        <f>+G177-C177</f>
        <v>17973</v>
      </c>
      <c r="I177" s="578"/>
      <c r="J177" s="579">
        <v>42550</v>
      </c>
      <c r="K177" s="579"/>
      <c r="L177" s="579">
        <f>0.666666666666667*N177</f>
        <v>14750.666666666673</v>
      </c>
      <c r="M177" s="579"/>
      <c r="N177" s="579">
        <f>'[1]GTSX 6 thang 2018'!DP82</f>
        <v>22126</v>
      </c>
      <c r="O177" s="579"/>
      <c r="P177" s="580">
        <f>+'[1]GTSX 6 thang 2018'!EH82</f>
        <v>31912.5</v>
      </c>
      <c r="Q177" s="579">
        <f>'[1]GTSX 6 thang 2018'!EY82</f>
        <v>47719.9</v>
      </c>
      <c r="R177" s="538"/>
      <c r="S177" s="579">
        <v>46000</v>
      </c>
      <c r="T177" s="578">
        <f>+U177*0.833333333333333</f>
        <v>19166.666666666661</v>
      </c>
      <c r="U177" s="578">
        <f>+'[1]GTSX 6 thang 2018'!GW82</f>
        <v>23000</v>
      </c>
      <c r="V177" s="514"/>
      <c r="W177" s="513">
        <f>IF(ISERROR(U177/N177*100),"",U177/N177*100)</f>
        <v>103.95010395010395</v>
      </c>
      <c r="X177" s="513">
        <f>IF(ISERROR(U177/S177*100),"",U177/S177*100)</f>
        <v>50</v>
      </c>
      <c r="Y177" s="512" t="s">
        <v>261</v>
      </c>
      <c r="Z177" s="512" t="e">
        <f>IF(#REF!&gt;100,"Vượt",IF(#REF!&lt;99.5,"Không đạt","Đạt"))</f>
        <v>#REF!</v>
      </c>
      <c r="AA177" s="512"/>
      <c r="AB177" s="558"/>
      <c r="AC177" s="553"/>
      <c r="AD177" s="552"/>
      <c r="AE177" s="552"/>
      <c r="AF177" s="552"/>
    </row>
    <row r="178" spans="1:32">
      <c r="A178" s="581" t="s">
        <v>270</v>
      </c>
      <c r="B178" s="520" t="s">
        <v>247</v>
      </c>
      <c r="C178" s="578">
        <v>96834</v>
      </c>
      <c r="D178" s="578"/>
      <c r="E178" s="578"/>
      <c r="F178" s="578"/>
      <c r="G178" s="578">
        <v>133281.69890000002</v>
      </c>
      <c r="H178" s="540">
        <f>+G178-C178</f>
        <v>36447.698900000018</v>
      </c>
      <c r="I178" s="578"/>
      <c r="J178" s="579">
        <v>149490.67674600001</v>
      </c>
      <c r="K178" s="579"/>
      <c r="L178" s="579">
        <f>0.666666666666667*N178</f>
        <v>50605.74078200003</v>
      </c>
      <c r="M178" s="579"/>
      <c r="N178" s="579">
        <f>'[1]GTSX 6 thang 2018'!DP83</f>
        <v>75908.611173000012</v>
      </c>
      <c r="O178" s="579"/>
      <c r="P178" s="580">
        <f>+'[1]GTSX 6 thang 2018'!EH83</f>
        <v>106681.64255950002</v>
      </c>
      <c r="Q178" s="579">
        <f>'[1]GTSX 6 thang 2018'!EY83</f>
        <v>155181.60425686461</v>
      </c>
      <c r="R178" s="538"/>
      <c r="S178" s="579">
        <v>190440.101</v>
      </c>
      <c r="T178" s="578">
        <f>+U178*0.833333333333333</f>
        <v>79454.208749999976</v>
      </c>
      <c r="U178" s="578">
        <f>+'[1]GTSX 6 thang 2018'!GW83</f>
        <v>95345.050499999998</v>
      </c>
      <c r="V178" s="514"/>
      <c r="W178" s="513">
        <f>IF(ISERROR(U178/N178*100),"",U178/N178*100)</f>
        <v>125.60505195214708</v>
      </c>
      <c r="X178" s="513">
        <f>IF(ISERROR(U178/S178*100),"",U178/S178*100)</f>
        <v>50.065637436308648</v>
      </c>
      <c r="Y178" s="512" t="s">
        <v>269</v>
      </c>
      <c r="Z178" s="512" t="e">
        <f>IF(#REF!&gt;100,"Vượt",IF(#REF!&lt;99.5,"Không đạt","Đạt"))</f>
        <v>#REF!</v>
      </c>
      <c r="AA178" s="512"/>
      <c r="AB178" s="542"/>
      <c r="AC178" s="553"/>
      <c r="AD178" s="552"/>
      <c r="AE178" s="552"/>
      <c r="AF178" s="552"/>
    </row>
    <row r="179" spans="1:32">
      <c r="A179" s="565" t="s">
        <v>268</v>
      </c>
      <c r="B179" s="529" t="s">
        <v>247</v>
      </c>
      <c r="C179" s="564">
        <v>304605</v>
      </c>
      <c r="D179" s="564"/>
      <c r="E179" s="564"/>
      <c r="F179" s="564"/>
      <c r="G179" s="564">
        <v>428874.8</v>
      </c>
      <c r="H179" s="540">
        <f>+G179-C179</f>
        <v>124269.79999999999</v>
      </c>
      <c r="I179" s="564"/>
      <c r="J179" s="539">
        <v>483431.72599999997</v>
      </c>
      <c r="K179" s="539"/>
      <c r="L179" s="539">
        <f>+N179*0.5</f>
        <v>118811.86494799999</v>
      </c>
      <c r="M179" s="539"/>
      <c r="N179" s="539">
        <f>'[1]GTSX 6 thang 2018'!DP98</f>
        <v>237623.72989599998</v>
      </c>
      <c r="O179" s="539"/>
      <c r="P179" s="563">
        <f>+'[1]GTSX 6 thang 2018'!EH98</f>
        <v>362573.79450000008</v>
      </c>
      <c r="Q179" s="539">
        <f>'[1]GTSX 6 thang 2018'!EY98</f>
        <v>492766.25916005037</v>
      </c>
      <c r="R179" s="538"/>
      <c r="S179" s="539">
        <v>527678.95075999992</v>
      </c>
      <c r="T179" s="525">
        <f>+U179*5.5/6</f>
        <v>247824.64008499999</v>
      </c>
      <c r="U179" s="525">
        <f>+'[1]GTSX 6 thang 2018'!GW98</f>
        <v>270354.15282000002</v>
      </c>
      <c r="V179" s="539"/>
      <c r="W179" s="513">
        <f>IF(ISERROR(U179/N179*100),"",U179/N179*100)</f>
        <v>113.7740548632601</v>
      </c>
      <c r="X179" s="513">
        <f>IF(ISERROR(U179/S179*100),"",U179/S179*100)</f>
        <v>51.234591114657348</v>
      </c>
      <c r="Y179" s="512" t="s">
        <v>246</v>
      </c>
      <c r="Z179" s="512" t="e">
        <f>IF(#REF!&gt;100,"Vượt",IF(#REF!&lt;99.5,"Không đạt","Đạt"))</f>
        <v>#REF!</v>
      </c>
      <c r="AA179" s="512"/>
      <c r="AB179" s="542"/>
      <c r="AC179" s="553"/>
      <c r="AD179" s="552"/>
      <c r="AE179" s="552"/>
      <c r="AF179" s="552"/>
    </row>
    <row r="180" spans="1:32" s="575" customFormat="1">
      <c r="A180" s="534" t="s">
        <v>267</v>
      </c>
      <c r="B180" s="520" t="s">
        <v>247</v>
      </c>
      <c r="C180" s="578">
        <v>140160</v>
      </c>
      <c r="D180" s="578"/>
      <c r="E180" s="578"/>
      <c r="F180" s="578"/>
      <c r="G180" s="578">
        <v>197720</v>
      </c>
      <c r="H180" s="540">
        <f>+G180-C180</f>
        <v>57560</v>
      </c>
      <c r="I180" s="578"/>
      <c r="J180" s="579">
        <v>221446.39999999999</v>
      </c>
      <c r="K180" s="579"/>
      <c r="L180" s="579">
        <f>+N180*0.5</f>
        <v>52039.903999999995</v>
      </c>
      <c r="M180" s="579"/>
      <c r="N180" s="579">
        <f>'[1]GTSX 6 thang 2018'!DP103</f>
        <v>104079.80799999999</v>
      </c>
      <c r="O180" s="579"/>
      <c r="P180" s="580">
        <f>+'[1]GTSX 6 thang 2018'!EH103</f>
        <v>166084.79999999999</v>
      </c>
      <c r="Q180" s="579">
        <f>'[1]GTSX 6 thang 2018'!EY103</f>
        <v>221889.2928</v>
      </c>
      <c r="R180" s="538"/>
      <c r="S180" s="579">
        <v>235000</v>
      </c>
      <c r="T180" s="578">
        <f>+U180*0.833333333333333</f>
        <v>101180.55555555552</v>
      </c>
      <c r="U180" s="578">
        <f>+'[1]GTSX 6 thang 2018'!GW103</f>
        <v>121416.66666666667</v>
      </c>
      <c r="V180" s="514"/>
      <c r="W180" s="513">
        <f>IF(ISERROR(U180/N180*100),"",U180/N180*100)</f>
        <v>116.65727387455085</v>
      </c>
      <c r="X180" s="513">
        <f>IF(ISERROR(U180/S180*100),"",U180/S180*100)</f>
        <v>51.666666666666671</v>
      </c>
      <c r="Y180" s="512" t="s">
        <v>246</v>
      </c>
      <c r="Z180" s="512" t="e">
        <f>IF(#REF!&gt;100,"Vượt",IF(#REF!&lt;99.5,"Không đạt","Đạt"))</f>
        <v>#REF!</v>
      </c>
      <c r="AA180" s="512"/>
      <c r="AB180" s="542"/>
      <c r="AC180" s="577"/>
      <c r="AD180" s="576"/>
      <c r="AE180" s="576"/>
      <c r="AF180" s="576"/>
    </row>
    <row r="181" spans="1:32">
      <c r="A181" s="541" t="s">
        <v>266</v>
      </c>
      <c r="B181" s="529"/>
      <c r="C181" s="524"/>
      <c r="D181" s="524">
        <f>D182-E182</f>
        <v>0</v>
      </c>
      <c r="E181" s="524"/>
      <c r="F181" s="524"/>
      <c r="G181" s="524"/>
      <c r="H181" s="540">
        <f>+G181-C181</f>
        <v>0</v>
      </c>
      <c r="I181" s="524"/>
      <c r="J181" s="539"/>
      <c r="K181" s="539"/>
      <c r="L181" s="524"/>
      <c r="M181" s="524"/>
      <c r="N181" s="539"/>
      <c r="O181" s="539"/>
      <c r="P181" s="563"/>
      <c r="Q181" s="539"/>
      <c r="R181" s="538"/>
      <c r="S181" s="539"/>
      <c r="T181" s="537"/>
      <c r="U181" s="537"/>
      <c r="V181" s="524"/>
      <c r="W181" s="513" t="str">
        <f>IF(ISERROR(U181/N181*100),"",U181/N181*100)</f>
        <v/>
      </c>
      <c r="X181" s="513" t="str">
        <f>IF(ISERROR(U181/S181*100),"",U181/S181*100)</f>
        <v/>
      </c>
      <c r="Y181" s="512"/>
      <c r="Z181" s="512"/>
      <c r="AA181" s="512"/>
      <c r="AB181" s="542"/>
      <c r="AC181" s="553"/>
      <c r="AD181" s="552"/>
      <c r="AE181" s="552"/>
      <c r="AF181" s="552"/>
    </row>
    <row r="182" spans="1:32">
      <c r="A182" s="574" t="s">
        <v>265</v>
      </c>
      <c r="B182" s="529" t="s">
        <v>247</v>
      </c>
      <c r="C182" s="573">
        <f>SUM(C183:C185)</f>
        <v>1609535</v>
      </c>
      <c r="D182" s="573">
        <f>SUM(E183:E185)</f>
        <v>2310129.0076500317</v>
      </c>
      <c r="E182" s="573">
        <v>2310129.0076500298</v>
      </c>
      <c r="F182" s="573"/>
      <c r="G182" s="573">
        <v>2617828.2941320599</v>
      </c>
      <c r="H182" s="540">
        <f>+G182-C182</f>
        <v>1008293.2941320599</v>
      </c>
      <c r="I182" s="573"/>
      <c r="J182" s="569">
        <v>2724587.0877459999</v>
      </c>
      <c r="K182" s="569"/>
      <c r="L182" s="569">
        <f>SUM(L183:L185)</f>
        <v>627733.2348273336</v>
      </c>
      <c r="M182" s="569"/>
      <c r="N182" s="569">
        <f>SUM(N183:N185)</f>
        <v>1116847.449949</v>
      </c>
      <c r="O182" s="569"/>
      <c r="P182" s="569">
        <f>SUM(P183:P185)</f>
        <v>1734425.5497185779</v>
      </c>
      <c r="Q182" s="569">
        <f>SUM(Q183:Q185)</f>
        <v>2980554.39496186</v>
      </c>
      <c r="S182" s="569">
        <v>3148609.5231999997</v>
      </c>
      <c r="T182" s="573">
        <f>SUM(T183:T185)</f>
        <v>1239712.7132848776</v>
      </c>
      <c r="U182" s="573">
        <f>SUM(U183:U185)</f>
        <v>1320289.7416666551</v>
      </c>
      <c r="V182" s="572"/>
      <c r="W182" s="513">
        <f>IF(ISERROR(U182/N182*100),"",U182/N182*100)</f>
        <v>118.21576364139482</v>
      </c>
      <c r="X182" s="513">
        <f>IF(ISERROR(U182/S182*100),"",U182/S182*100)</f>
        <v>41.932469934373323</v>
      </c>
      <c r="Y182" s="512" t="s">
        <v>246</v>
      </c>
      <c r="Z182" s="512" t="e">
        <f>IF(#REF!&gt;100,"Vượt",IF(#REF!&lt;99.5,"Không đạt","Đạt"))</f>
        <v>#REF!</v>
      </c>
      <c r="AA182" s="512"/>
      <c r="AB182" s="542"/>
      <c r="AC182" s="553"/>
      <c r="AD182" s="552"/>
      <c r="AE182" s="552"/>
      <c r="AF182" s="552"/>
    </row>
    <row r="183" spans="1:32">
      <c r="A183" s="565" t="s">
        <v>259</v>
      </c>
      <c r="B183" s="529" t="s">
        <v>247</v>
      </c>
      <c r="C183" s="564">
        <f>+C161</f>
        <v>407017</v>
      </c>
      <c r="D183" s="564"/>
      <c r="E183" s="564">
        <v>794497.64802430896</v>
      </c>
      <c r="F183" s="564"/>
      <c r="G183" s="533">
        <f>854397.217906835+10000</f>
        <v>864397.21790683502</v>
      </c>
      <c r="H183" s="540">
        <f>+G183-C183</f>
        <v>457380.21790683502</v>
      </c>
      <c r="I183" s="564"/>
      <c r="J183" s="539">
        <v>911884.2649999999</v>
      </c>
      <c r="K183" s="539"/>
      <c r="L183" s="539">
        <f>+L161</f>
        <v>52166.541263999992</v>
      </c>
      <c r="M183" s="539"/>
      <c r="N183" s="539">
        <f>+N161</f>
        <v>173888.47087999998</v>
      </c>
      <c r="O183" s="539"/>
      <c r="P183" s="539">
        <f>+P161</f>
        <v>370399.63430491794</v>
      </c>
      <c r="Q183" s="539">
        <f>Q161</f>
        <v>938625.63734006055</v>
      </c>
      <c r="R183" s="538"/>
      <c r="S183" s="539">
        <v>963534.84644000011</v>
      </c>
      <c r="T183" s="564">
        <f>T161</f>
        <v>216552.47747899999</v>
      </c>
      <c r="U183" s="564">
        <f>U161</f>
        <v>222105.10510666668</v>
      </c>
      <c r="V183" s="524"/>
      <c r="W183" s="513">
        <f>IF(ISERROR(U183/N183*100),"",U183/N183*100)</f>
        <v>127.72848250528403</v>
      </c>
      <c r="X183" s="513">
        <f>IF(ISERROR(U183/S183*100),"",U183/S183*100)</f>
        <v>23.051071367816618</v>
      </c>
      <c r="Y183" s="512" t="s">
        <v>261</v>
      </c>
      <c r="Z183" s="512" t="e">
        <f>IF(#REF!&gt;100,"Vượt",IF(#REF!&lt;99.5,"Không đạt","Đạt"))</f>
        <v>#REF!</v>
      </c>
      <c r="AA183" s="512"/>
      <c r="AB183" s="542"/>
      <c r="AC183" s="553"/>
      <c r="AD183" s="552"/>
      <c r="AE183" s="552"/>
      <c r="AF183" s="552"/>
    </row>
    <row r="184" spans="1:32">
      <c r="A184" s="565" t="s">
        <v>258</v>
      </c>
      <c r="B184" s="529" t="s">
        <v>247</v>
      </c>
      <c r="C184" s="564">
        <f>+C165</f>
        <v>781852</v>
      </c>
      <c r="D184" s="564"/>
      <c r="E184" s="564">
        <f>913042.31389888+4800</f>
        <v>917842.31389888003</v>
      </c>
      <c r="F184" s="564"/>
      <c r="G184" s="533">
        <f>1092424.35966716+10000</f>
        <v>1102424.3596671601</v>
      </c>
      <c r="H184" s="540">
        <f>+G184-C184</f>
        <v>320572.35966716008</v>
      </c>
      <c r="I184" s="564"/>
      <c r="J184" s="539">
        <v>1137230.42</v>
      </c>
      <c r="K184" s="539"/>
      <c r="L184" s="539">
        <f>L165</f>
        <v>391398.42116666684</v>
      </c>
      <c r="M184" s="539"/>
      <c r="N184" s="539">
        <f>N165</f>
        <v>607300.63800000004</v>
      </c>
      <c r="O184" s="539"/>
      <c r="P184" s="563">
        <f>P165</f>
        <v>862857.97835415998</v>
      </c>
      <c r="Q184" s="563">
        <f>Q165</f>
        <v>1346260.9942048844</v>
      </c>
      <c r="R184" s="538"/>
      <c r="S184" s="539">
        <v>1420955.625</v>
      </c>
      <c r="T184" s="526">
        <f>T165</f>
        <v>676714.7203042109</v>
      </c>
      <c r="U184" s="526">
        <f>U165</f>
        <v>709485.43323998828</v>
      </c>
      <c r="V184" s="524"/>
      <c r="W184" s="513">
        <f>IF(ISERROR(U184/N184*100),"",U184/N184*100)</f>
        <v>116.82606420051023</v>
      </c>
      <c r="X184" s="513">
        <f>IF(ISERROR(U184/S184*100),"",U184/S184*100)</f>
        <v>49.930161136452675</v>
      </c>
      <c r="Y184" s="512" t="s">
        <v>246</v>
      </c>
      <c r="Z184" s="512" t="e">
        <f>IF(#REF!&gt;100,"Vượt",IF(#REF!&lt;99.5,"Không đạt","Đạt"))</f>
        <v>#REF!</v>
      </c>
      <c r="AA184" s="512"/>
      <c r="AB184" s="542"/>
      <c r="AC184" s="553"/>
      <c r="AD184" s="552"/>
      <c r="AE184" s="552"/>
      <c r="AF184" s="552"/>
    </row>
    <row r="185" spans="1:32">
      <c r="A185" s="556" t="s">
        <v>257</v>
      </c>
      <c r="B185" s="529" t="s">
        <v>247</v>
      </c>
      <c r="C185" s="564">
        <f>+C175</f>
        <v>420666</v>
      </c>
      <c r="D185" s="564"/>
      <c r="E185" s="564">
        <f>639189.045726843-30000-7000-400-4000</f>
        <v>597789.04572684295</v>
      </c>
      <c r="F185" s="564"/>
      <c r="G185" s="533">
        <f>641006.716558069+10000</f>
        <v>651006.71655806899</v>
      </c>
      <c r="H185" s="540">
        <f>+G185-C185</f>
        <v>230340.71655806899</v>
      </c>
      <c r="I185" s="564"/>
      <c r="J185" s="539">
        <v>675472.40274599998</v>
      </c>
      <c r="K185" s="539"/>
      <c r="L185" s="539">
        <f>L175</f>
        <v>184168.2723966667</v>
      </c>
      <c r="M185" s="539"/>
      <c r="N185" s="539">
        <f>N175</f>
        <v>335658.34106899996</v>
      </c>
      <c r="O185" s="539"/>
      <c r="P185" s="539">
        <f>P175</f>
        <v>501167.93705950008</v>
      </c>
      <c r="Q185" s="539">
        <f>Q175</f>
        <v>695667.76341691497</v>
      </c>
      <c r="R185" s="538"/>
      <c r="S185" s="539">
        <v>764119.05175999994</v>
      </c>
      <c r="T185" s="564">
        <f>T175</f>
        <v>346445.51550166664</v>
      </c>
      <c r="U185" s="564">
        <f>U175</f>
        <v>388699.20332000003</v>
      </c>
      <c r="V185" s="524"/>
      <c r="W185" s="513">
        <f>IF(ISERROR(U185/N185*100),"",U185/N185*100)</f>
        <v>115.80203908595755</v>
      </c>
      <c r="X185" s="513">
        <f>IF(ISERROR(U185/S185*100),"",U185/S185*100)</f>
        <v>50.868932324708673</v>
      </c>
      <c r="Y185" s="512" t="s">
        <v>246</v>
      </c>
      <c r="Z185" s="512" t="e">
        <f>IF(#REF!&gt;100,"Vượt",IF(#REF!&lt;99.5,"Không đạt","Đạt"))</f>
        <v>#REF!</v>
      </c>
      <c r="AA185" s="512"/>
      <c r="AB185" s="542"/>
      <c r="AC185" s="553"/>
      <c r="AD185" s="552"/>
      <c r="AE185" s="552"/>
      <c r="AF185" s="552"/>
    </row>
    <row r="186" spans="1:32" s="522" customFormat="1">
      <c r="A186" s="541" t="s">
        <v>264</v>
      </c>
      <c r="B186" s="562" t="s">
        <v>40</v>
      </c>
      <c r="C186" s="560">
        <f>SUM(C187:C189)</f>
        <v>100.01</v>
      </c>
      <c r="D186" s="560"/>
      <c r="E186" s="560">
        <f>SUM(E187:E189)</f>
        <v>100.0000000000001</v>
      </c>
      <c r="F186" s="560"/>
      <c r="G186" s="560">
        <f>SUM(G187:G189)</f>
        <v>100.00000000000017</v>
      </c>
      <c r="H186" s="540">
        <f>+G186-C186</f>
        <v>-9.9999999998345857E-3</v>
      </c>
      <c r="I186" s="561"/>
      <c r="J186" s="560">
        <v>100</v>
      </c>
      <c r="K186" s="560"/>
      <c r="L186" s="559"/>
      <c r="M186" s="559"/>
      <c r="N186" s="560"/>
      <c r="O186" s="560"/>
      <c r="P186" s="560">
        <f>SUM(P187:P189)</f>
        <v>100</v>
      </c>
      <c r="Q186" s="560">
        <f>SUM(Q187:Q189)</f>
        <v>100</v>
      </c>
      <c r="R186" s="538"/>
      <c r="S186" s="560">
        <v>100.00000000000001</v>
      </c>
      <c r="T186" s="537"/>
      <c r="U186" s="537"/>
      <c r="V186" s="559"/>
      <c r="W186" s="513" t="str">
        <f>IF(ISERROR(U186/N186*100),"",U186/N186*100)</f>
        <v/>
      </c>
      <c r="X186" s="513">
        <f>IF(ISERROR(U186/S186*100),"",U186/S186*100)</f>
        <v>0</v>
      </c>
      <c r="Y186" s="512"/>
      <c r="Z186" s="512"/>
      <c r="AA186" s="512"/>
      <c r="AB186" s="558"/>
      <c r="AC186" s="557"/>
      <c r="AD186" s="523"/>
      <c r="AE186" s="523"/>
      <c r="AF186" s="523"/>
    </row>
    <row r="187" spans="1:32">
      <c r="A187" s="556" t="s">
        <v>259</v>
      </c>
      <c r="B187" s="529" t="s">
        <v>40</v>
      </c>
      <c r="C187" s="555">
        <v>25.29</v>
      </c>
      <c r="D187" s="555"/>
      <c r="E187" s="555">
        <f>E183/E182*100</f>
        <v>34.391916875348393</v>
      </c>
      <c r="F187" s="555"/>
      <c r="G187" s="555">
        <f>G183/G182*100</f>
        <v>33.019630043895823</v>
      </c>
      <c r="H187" s="540">
        <f>+G187-C187</f>
        <v>7.7296300438958241</v>
      </c>
      <c r="I187" s="555"/>
      <c r="J187" s="545">
        <v>33.468714180627813</v>
      </c>
      <c r="K187" s="545"/>
      <c r="L187" s="554"/>
      <c r="M187" s="554"/>
      <c r="N187" s="545"/>
      <c r="O187" s="545"/>
      <c r="P187" s="545">
        <f>+P183/$P$182*100</f>
        <v>21.355752881120655</v>
      </c>
      <c r="Q187" s="545">
        <f>+Q183/$Q$182*100</f>
        <v>31.491645947702001</v>
      </c>
      <c r="R187" s="538"/>
      <c r="S187" s="545">
        <v>30.601916158239241</v>
      </c>
      <c r="T187" s="537"/>
      <c r="U187" s="555"/>
      <c r="V187" s="547"/>
      <c r="W187" s="513" t="str">
        <f>IF(ISERROR(U187/N187*100),"",U187/N187*100)</f>
        <v/>
      </c>
      <c r="X187" s="513">
        <f>IF(ISERROR(U187/S187*100),"",U187/S187*100)</f>
        <v>0</v>
      </c>
      <c r="Y187" s="512"/>
      <c r="Z187" s="512"/>
      <c r="AA187" s="512"/>
      <c r="AB187" s="542"/>
      <c r="AC187" s="553"/>
      <c r="AD187" s="552"/>
      <c r="AE187" s="532"/>
      <c r="AF187" s="552"/>
    </row>
    <row r="188" spans="1:32">
      <c r="A188" s="556" t="s">
        <v>258</v>
      </c>
      <c r="B188" s="529" t="s">
        <v>40</v>
      </c>
      <c r="C188" s="555">
        <v>48.58</v>
      </c>
      <c r="D188" s="555"/>
      <c r="E188" s="555">
        <f>E184/E182*100</f>
        <v>39.731214614397302</v>
      </c>
      <c r="F188" s="555"/>
      <c r="G188" s="555">
        <f>G184/G182*100</f>
        <v>42.112172220702064</v>
      </c>
      <c r="H188" s="540">
        <f>+G188-C188</f>
        <v>-6.4678277792979344</v>
      </c>
      <c r="I188" s="555"/>
      <c r="J188" s="545">
        <v>41.739551109038302</v>
      </c>
      <c r="K188" s="545"/>
      <c r="L188" s="554"/>
      <c r="M188" s="554"/>
      <c r="N188" s="545"/>
      <c r="O188" s="545"/>
      <c r="P188" s="545">
        <f>+P184/$P$182*100</f>
        <v>49.748919951863279</v>
      </c>
      <c r="Q188" s="545">
        <f>+Q184/$Q$182*100</f>
        <v>45.168140413089539</v>
      </c>
      <c r="R188" s="538"/>
      <c r="S188" s="545">
        <v>45.129623553823599</v>
      </c>
      <c r="T188" s="537"/>
      <c r="U188" s="555"/>
      <c r="V188" s="547"/>
      <c r="W188" s="513" t="str">
        <f>IF(ISERROR(U188/N188*100),"",U188/N188*100)</f>
        <v/>
      </c>
      <c r="X188" s="513">
        <f>IF(ISERROR(U188/S188*100),"",U188/S188*100)</f>
        <v>0</v>
      </c>
      <c r="Y188" s="512"/>
      <c r="Z188" s="512"/>
      <c r="AA188" s="512"/>
      <c r="AB188" s="542"/>
      <c r="AC188" s="553"/>
      <c r="AD188" s="552"/>
      <c r="AE188" s="532"/>
      <c r="AF188" s="552"/>
    </row>
    <row r="189" spans="1:32">
      <c r="A189" s="556" t="s">
        <v>257</v>
      </c>
      <c r="B189" s="529" t="s">
        <v>40</v>
      </c>
      <c r="C189" s="555">
        <v>26.14</v>
      </c>
      <c r="D189" s="555"/>
      <c r="E189" s="555">
        <f>E185/E182*100</f>
        <v>25.876868510254397</v>
      </c>
      <c r="F189" s="555"/>
      <c r="G189" s="555">
        <f>G185/G182*100</f>
        <v>24.86819773540228</v>
      </c>
      <c r="H189" s="540">
        <f>+G189-C189</f>
        <v>-1.2718022645977207</v>
      </c>
      <c r="I189" s="555"/>
      <c r="J189" s="545">
        <v>24.791734710333877</v>
      </c>
      <c r="K189" s="545"/>
      <c r="L189" s="554"/>
      <c r="M189" s="554"/>
      <c r="N189" s="545"/>
      <c r="O189" s="545"/>
      <c r="P189" s="545">
        <f>+P185/$P$182*100</f>
        <v>28.89532716701607</v>
      </c>
      <c r="Q189" s="545">
        <f>+Q185/$Q$182*100</f>
        <v>23.34021363920845</v>
      </c>
      <c r="R189" s="538"/>
      <c r="S189" s="545">
        <v>24.268460287937174</v>
      </c>
      <c r="T189" s="537"/>
      <c r="U189" s="555"/>
      <c r="V189" s="547"/>
      <c r="W189" s="513" t="str">
        <f>IF(ISERROR(U189/N189*100),"",U189/N189*100)</f>
        <v/>
      </c>
      <c r="X189" s="513">
        <f>IF(ISERROR(U189/S189*100),"",U189/S189*100)</f>
        <v>0</v>
      </c>
      <c r="Y189" s="512"/>
      <c r="Z189" s="512"/>
      <c r="AA189" s="512"/>
      <c r="AB189" s="542"/>
      <c r="AC189" s="553"/>
      <c r="AD189" s="552"/>
      <c r="AE189" s="552"/>
      <c r="AF189" s="552"/>
    </row>
    <row r="190" spans="1:32" s="522" customFormat="1">
      <c r="A190" s="571" t="s">
        <v>263</v>
      </c>
      <c r="B190" s="529" t="s">
        <v>247</v>
      </c>
      <c r="C190" s="569">
        <f>SUM(C191:C193)</f>
        <v>1181928</v>
      </c>
      <c r="D190" s="569">
        <v>1816091.0535721723</v>
      </c>
      <c r="E190" s="569">
        <f>SUM(E191:E193)</f>
        <v>1816091.053572173</v>
      </c>
      <c r="F190" s="569"/>
      <c r="G190" s="570">
        <f>SUM(G191:G193)</f>
        <v>2064869.1138641092</v>
      </c>
      <c r="H190" s="540">
        <f>+G190-C190</f>
        <v>882941.11386410915</v>
      </c>
      <c r="I190" s="561"/>
      <c r="J190" s="560">
        <v>2131542.5806671353</v>
      </c>
      <c r="K190" s="560"/>
      <c r="L190" s="559"/>
      <c r="M190" s="559"/>
      <c r="N190" s="560">
        <f>SUM(N191:N193)</f>
        <v>917455.9220543534</v>
      </c>
      <c r="O190" s="560"/>
      <c r="P190" s="570">
        <f>SUM(P191:P193)</f>
        <v>1440406.0839211685</v>
      </c>
      <c r="Q190" s="570">
        <f>SUM(Q191:Q193)</f>
        <v>2351337.3072864711</v>
      </c>
      <c r="R190" s="538"/>
      <c r="S190" s="569">
        <v>2543572.5440829508</v>
      </c>
      <c r="T190" s="568">
        <f>SUM(T191:T193)</f>
        <v>779997.98442146112</v>
      </c>
      <c r="U190" s="568">
        <f>SUM(U191:U193)</f>
        <v>935997.58130575321</v>
      </c>
      <c r="V190" s="559">
        <v>13</v>
      </c>
      <c r="W190" s="513">
        <f>IF(ISERROR(U190/N190*100),"",U190/N190*100)</f>
        <v>102.02098638263533</v>
      </c>
      <c r="X190" s="513">
        <f>IF(ISERROR(U190/S190*100),"",U190/S190*100)</f>
        <v>36.798540835139178</v>
      </c>
      <c r="Y190" s="512" t="s">
        <v>246</v>
      </c>
      <c r="Z190" s="512" t="e">
        <f>IF(#REF!&gt;100,"Vượt",IF(#REF!&lt;99.5,"Không đạt","Đạt"))</f>
        <v>#REF!</v>
      </c>
      <c r="AA190" s="512"/>
      <c r="AB190" s="558"/>
      <c r="AC190" s="557"/>
      <c r="AD190" s="523"/>
      <c r="AE190" s="523"/>
      <c r="AF190" s="523"/>
    </row>
    <row r="191" spans="1:32">
      <c r="A191" s="565" t="s">
        <v>259</v>
      </c>
      <c r="B191" s="529" t="s">
        <v>247</v>
      </c>
      <c r="C191" s="564">
        <v>291367</v>
      </c>
      <c r="D191" s="564"/>
      <c r="E191" s="564">
        <v>673830.41666666698</v>
      </c>
      <c r="F191" s="564"/>
      <c r="G191" s="526">
        <f>709893.02669502*65/63</f>
        <v>732429.31325676676</v>
      </c>
      <c r="H191" s="540">
        <f>+G191-C191</f>
        <v>441062.31325676676</v>
      </c>
      <c r="I191" s="564"/>
      <c r="J191" s="539">
        <v>718735.61587272724</v>
      </c>
      <c r="K191" s="539"/>
      <c r="L191" s="524"/>
      <c r="M191" s="524"/>
      <c r="N191" s="539">
        <v>174580.39070399106</v>
      </c>
      <c r="O191" s="539"/>
      <c r="P191" s="563">
        <f>'[1]GTSX 6 thang 2018'!EG7</f>
        <v>373079.02347589139</v>
      </c>
      <c r="Q191" s="563">
        <f>'[1]GTSX 6 thang 2018'!EX7</f>
        <v>804426.37630947493</v>
      </c>
      <c r="R191" s="538"/>
      <c r="S191" s="539">
        <v>868645.24307551445</v>
      </c>
      <c r="T191" s="525">
        <v>161313.01817182545</v>
      </c>
      <c r="U191" s="525">
        <f>+'[1]GTSX 6 thang 2018'!GV7</f>
        <v>193575.62180619052</v>
      </c>
      <c r="V191" s="524"/>
      <c r="W191" s="513">
        <f>IF(ISERROR(U191/N191*100),"",U191/N191*100)</f>
        <v>110.88050669700169</v>
      </c>
      <c r="X191" s="513">
        <f>IF(ISERROR(U191/S191*100),"",U191/S191*100)</f>
        <v>22.284773139471657</v>
      </c>
      <c r="Y191" s="512" t="s">
        <v>261</v>
      </c>
      <c r="Z191" s="512" t="e">
        <f>IF(#REF!&gt;100,"Vượt",IF(#REF!&lt;99.5,"Không đạt","Đạt"))</f>
        <v>#REF!</v>
      </c>
      <c r="AA191" s="512"/>
      <c r="AB191" s="567"/>
      <c r="AC191" s="566"/>
      <c r="AD191" s="552"/>
      <c r="AE191" s="552"/>
      <c r="AF191" s="552"/>
    </row>
    <row r="192" spans="1:32">
      <c r="A192" s="565" t="s">
        <v>258</v>
      </c>
      <c r="B192" s="529" t="s">
        <v>247</v>
      </c>
      <c r="C192" s="564">
        <v>549126</v>
      </c>
      <c r="D192" s="564"/>
      <c r="E192" s="564">
        <v>670947.70732087898</v>
      </c>
      <c r="F192" s="564"/>
      <c r="G192" s="526">
        <f>778374.706439832*65/63</f>
        <v>803085.01458077901</v>
      </c>
      <c r="H192" s="540">
        <f>+G192-C192</f>
        <v>253959.01458077901</v>
      </c>
      <c r="I192" s="564"/>
      <c r="J192" s="539">
        <v>862223.59563081805</v>
      </c>
      <c r="K192" s="539"/>
      <c r="L192" s="524"/>
      <c r="M192" s="524"/>
      <c r="N192" s="539">
        <f>'[1]GTSX 6 thang 2018'!DO43</f>
        <v>469444.5170731828</v>
      </c>
      <c r="O192" s="539"/>
      <c r="P192" s="563">
        <f>+'[1]GTSX 6 thang 2018'!EG43</f>
        <v>658571.35280335392</v>
      </c>
      <c r="Q192" s="563">
        <f>'[1]GTSX 6 thang 2018'!EX43</f>
        <v>980194.30147936614</v>
      </c>
      <c r="R192" s="538"/>
      <c r="S192" s="539">
        <v>1053317.8412715388</v>
      </c>
      <c r="T192" s="525">
        <v>355076.81493232795</v>
      </c>
      <c r="U192" s="525">
        <f>+'[1]GTSX 6 thang 2018'!GV43</f>
        <v>426092.17791879352</v>
      </c>
      <c r="V192" s="524"/>
      <c r="W192" s="513">
        <f>IF(ISERROR(U192/N192*100),"",U192/N192*100)</f>
        <v>90.765183620702288</v>
      </c>
      <c r="X192" s="513">
        <f>IF(ISERROR(U192/S192*100),"",U192/S192*100)</f>
        <v>40.452384002574739</v>
      </c>
      <c r="Y192" s="512" t="s">
        <v>261</v>
      </c>
      <c r="Z192" s="512" t="e">
        <f>IF(#REF!&gt;100,"Vượt",IF(#REF!&lt;99.5,"Không đạt","Đạt"))</f>
        <v>#REF!</v>
      </c>
      <c r="AA192" s="512"/>
      <c r="AB192" s="542"/>
      <c r="AC192" s="553"/>
      <c r="AD192" s="552"/>
      <c r="AE192" s="552"/>
      <c r="AF192" s="552"/>
    </row>
    <row r="193" spans="1:32">
      <c r="A193" s="556" t="s">
        <v>262</v>
      </c>
      <c r="B193" s="529" t="s">
        <v>247</v>
      </c>
      <c r="C193" s="564">
        <v>341435</v>
      </c>
      <c r="D193" s="564"/>
      <c r="E193" s="564">
        <f>491312.929584627-20000</f>
        <v>471312.92958462698</v>
      </c>
      <c r="F193" s="564"/>
      <c r="G193" s="526">
        <f>490535.435051282*45/41.7</f>
        <v>529354.78602656326</v>
      </c>
      <c r="H193" s="540">
        <f>+G193-C193</f>
        <v>187919.78602656326</v>
      </c>
      <c r="I193" s="564"/>
      <c r="J193" s="539">
        <v>550583.36916358978</v>
      </c>
      <c r="K193" s="539"/>
      <c r="L193" s="524"/>
      <c r="M193" s="524"/>
      <c r="N193" s="539">
        <f>'[1]GTSX 6 thang 2018'!DO80</f>
        <v>273431.01427717949</v>
      </c>
      <c r="O193" s="539"/>
      <c r="P193" s="563">
        <f>+'[1]GTSX 6 thang 2018'!EG80</f>
        <v>408755.70764192304</v>
      </c>
      <c r="Q193" s="563">
        <f>'[1]GTSX 6 thang 2018'!EX80</f>
        <v>566716.62949763029</v>
      </c>
      <c r="R193" s="538"/>
      <c r="S193" s="563">
        <v>621609.45973589749</v>
      </c>
      <c r="T193" s="525">
        <v>263608.15131730773</v>
      </c>
      <c r="U193" s="525">
        <f>+'[1]GTSX 6 thang 2018'!GV80</f>
        <v>316329.78158076922</v>
      </c>
      <c r="V193" s="524"/>
      <c r="W193" s="513">
        <f>IF(ISERROR(U193/N193*100),"",U193/N193*100)</f>
        <v>115.68906417474021</v>
      </c>
      <c r="X193" s="513">
        <f>IF(ISERROR(U193/S193*100),"",U193/S193*100)</f>
        <v>50.888830056603055</v>
      </c>
      <c r="Y193" s="512" t="s">
        <v>261</v>
      </c>
      <c r="Z193" s="512" t="e">
        <f>IF(#REF!&gt;100,"Vượt",IF(#REF!&lt;99.5,"Không đạt","Đạt"))</f>
        <v>#REF!</v>
      </c>
      <c r="AA193" s="512"/>
      <c r="AB193" s="542"/>
      <c r="AC193" s="553"/>
      <c r="AD193" s="552"/>
      <c r="AE193" s="552"/>
      <c r="AF193" s="552"/>
    </row>
    <row r="194" spans="1:32" s="522" customFormat="1">
      <c r="A194" s="541" t="s">
        <v>260</v>
      </c>
      <c r="B194" s="562" t="s">
        <v>40</v>
      </c>
      <c r="C194" s="560">
        <f>SUM(C195:C197)</f>
        <v>100</v>
      </c>
      <c r="D194" s="560"/>
      <c r="E194" s="560">
        <f>SUM(E195:E197)</f>
        <v>99.999999999999986</v>
      </c>
      <c r="F194" s="560"/>
      <c r="G194" s="561">
        <v>100</v>
      </c>
      <c r="H194" s="540">
        <f>+G194-C194</f>
        <v>0</v>
      </c>
      <c r="I194" s="561"/>
      <c r="J194" s="560">
        <f>SUM(J195:J197)</f>
        <v>99.999999999999986</v>
      </c>
      <c r="K194" s="560">
        <f>SUM(K195:K197)</f>
        <v>0</v>
      </c>
      <c r="L194" s="560">
        <f>SUM(L195:L197)</f>
        <v>0</v>
      </c>
      <c r="M194" s="560">
        <f>SUM(M195:M197)</f>
        <v>0</v>
      </c>
      <c r="N194" s="560">
        <f>SUM(N195:N197)</f>
        <v>0</v>
      </c>
      <c r="O194" s="560">
        <f>SUM(O195:O197)</f>
        <v>0</v>
      </c>
      <c r="P194" s="560">
        <f>SUM(P195:P197)</f>
        <v>100</v>
      </c>
      <c r="Q194" s="560">
        <f>SUM(Q195:Q197)</f>
        <v>100</v>
      </c>
      <c r="R194" s="538"/>
      <c r="S194" s="560">
        <v>100</v>
      </c>
      <c r="T194" s="537"/>
      <c r="U194" s="537"/>
      <c r="V194" s="559"/>
      <c r="W194" s="513" t="str">
        <f>IF(ISERROR(U194/N194*100),"",U194/N194*100)</f>
        <v/>
      </c>
      <c r="X194" s="513">
        <f>IF(ISERROR(U194/S194*100),"",U194/S194*100)</f>
        <v>0</v>
      </c>
      <c r="Y194" s="512"/>
      <c r="Z194" s="512"/>
      <c r="AA194" s="512"/>
      <c r="AB194" s="558"/>
      <c r="AC194" s="557"/>
      <c r="AD194" s="523"/>
      <c r="AE194" s="523"/>
      <c r="AF194" s="523"/>
    </row>
    <row r="195" spans="1:32">
      <c r="A195" s="556" t="s">
        <v>259</v>
      </c>
      <c r="B195" s="529" t="s">
        <v>40</v>
      </c>
      <c r="C195" s="555">
        <f>+C191/$C$190*100</f>
        <v>24.651840044402029</v>
      </c>
      <c r="D195" s="555"/>
      <c r="E195" s="555">
        <f>E191/E190*100</f>
        <v>37.103338807890253</v>
      </c>
      <c r="F195" s="555"/>
      <c r="G195" s="555">
        <v>33.374613346471392</v>
      </c>
      <c r="H195" s="540">
        <f>+G195-C195</f>
        <v>8.7227733020693634</v>
      </c>
      <c r="I195" s="555"/>
      <c r="J195" s="545">
        <v>33.719036269393953</v>
      </c>
      <c r="K195" s="545"/>
      <c r="L195" s="554"/>
      <c r="M195" s="554"/>
      <c r="N195" s="545"/>
      <c r="O195" s="545"/>
      <c r="P195" s="545">
        <f>P191/$P$190*100</f>
        <v>25.900961377521476</v>
      </c>
      <c r="Q195" s="545">
        <f>Q191/$Q$190*100</f>
        <v>34.211441030458204</v>
      </c>
      <c r="R195" s="538"/>
      <c r="S195" s="545">
        <v>34.150598342328479</v>
      </c>
      <c r="T195" s="537"/>
      <c r="U195" s="537"/>
      <c r="V195" s="547"/>
      <c r="W195" s="513" t="str">
        <f>IF(ISERROR(U195/N195*100),"",U195/N195*100)</f>
        <v/>
      </c>
      <c r="X195" s="513">
        <f>IF(ISERROR(U195/S195*100),"",U195/S195*100)</f>
        <v>0</v>
      </c>
      <c r="Y195" s="512"/>
      <c r="Z195" s="512"/>
      <c r="AA195" s="512"/>
      <c r="AB195" s="542"/>
      <c r="AC195" s="553"/>
      <c r="AD195" s="552"/>
      <c r="AE195" s="532"/>
      <c r="AF195" s="552"/>
    </row>
    <row r="196" spans="1:32">
      <c r="A196" s="556" t="s">
        <v>258</v>
      </c>
      <c r="B196" s="529" t="s">
        <v>40</v>
      </c>
      <c r="C196" s="555">
        <f>+C192/$C$190*100</f>
        <v>46.460190468454932</v>
      </c>
      <c r="D196" s="555"/>
      <c r="E196" s="555">
        <f>E192/E190*100</f>
        <v>36.944607265211381</v>
      </c>
      <c r="F196" s="555"/>
      <c r="G196" s="555">
        <v>40.725331279087584</v>
      </c>
      <c r="H196" s="540">
        <f>+G196-C196</f>
        <v>-5.7348591893673486</v>
      </c>
      <c r="I196" s="555"/>
      <c r="J196" s="545">
        <v>40.450685970390388</v>
      </c>
      <c r="K196" s="545"/>
      <c r="L196" s="554"/>
      <c r="M196" s="554"/>
      <c r="N196" s="545"/>
      <c r="O196" s="545"/>
      <c r="P196" s="545">
        <f>P192/$P$190*100</f>
        <v>45.721228211599019</v>
      </c>
      <c r="Q196" s="545">
        <f>Q192/$Q$190*100</f>
        <v>41.686673300418391</v>
      </c>
      <c r="R196" s="538"/>
      <c r="S196" s="545">
        <v>41.410961276565345</v>
      </c>
      <c r="T196" s="537"/>
      <c r="U196" s="537"/>
      <c r="V196" s="547"/>
      <c r="W196" s="513" t="str">
        <f>IF(ISERROR(U196/N196*100),"",U196/N196*100)</f>
        <v/>
      </c>
      <c r="X196" s="513">
        <f>IF(ISERROR(U196/S196*100),"",U196/S196*100)</f>
        <v>0</v>
      </c>
      <c r="Y196" s="512"/>
      <c r="Z196" s="512"/>
      <c r="AA196" s="512"/>
      <c r="AB196" s="542"/>
      <c r="AC196" s="553"/>
      <c r="AD196" s="552"/>
      <c r="AE196" s="532"/>
      <c r="AF196" s="552"/>
    </row>
    <row r="197" spans="1:32">
      <c r="A197" s="556" t="s">
        <v>257</v>
      </c>
      <c r="B197" s="529" t="s">
        <v>40</v>
      </c>
      <c r="C197" s="555">
        <f>+C193/$C$190*100</f>
        <v>28.887969487143039</v>
      </c>
      <c r="D197" s="555"/>
      <c r="E197" s="555">
        <f>E193/E190*100</f>
        <v>25.952053926898362</v>
      </c>
      <c r="F197" s="555"/>
      <c r="G197" s="555">
        <v>25.900055374441024</v>
      </c>
      <c r="H197" s="540">
        <f>+G197-C197</f>
        <v>-2.9879141127020148</v>
      </c>
      <c r="I197" s="555"/>
      <c r="J197" s="545">
        <v>25.830277760215651</v>
      </c>
      <c r="K197" s="545"/>
      <c r="L197" s="554"/>
      <c r="M197" s="554"/>
      <c r="N197" s="545"/>
      <c r="O197" s="545"/>
      <c r="P197" s="545">
        <f>P193/$P$190*100</f>
        <v>28.377810410879501</v>
      </c>
      <c r="Q197" s="545">
        <f>Q193/$Q$190*100</f>
        <v>24.101885669123408</v>
      </c>
      <c r="R197" s="538"/>
      <c r="S197" s="545">
        <v>24.438440381106176</v>
      </c>
      <c r="T197" s="537"/>
      <c r="U197" s="537"/>
      <c r="V197" s="547"/>
      <c r="W197" s="513" t="str">
        <f>IF(ISERROR(U197/N197*100),"",U197/N197*100)</f>
        <v/>
      </c>
      <c r="X197" s="513">
        <f>IF(ISERROR(U197/S197*100),"",U197/S197*100)</f>
        <v>0</v>
      </c>
      <c r="Y197" s="512"/>
      <c r="Z197" s="512"/>
      <c r="AA197" s="512"/>
      <c r="AB197" s="542"/>
      <c r="AC197" s="553"/>
      <c r="AD197" s="552"/>
      <c r="AE197" s="552"/>
      <c r="AF197" s="552"/>
    </row>
    <row r="198" spans="1:32">
      <c r="A198" s="541" t="s">
        <v>256</v>
      </c>
      <c r="B198" s="529" t="s">
        <v>247</v>
      </c>
      <c r="C198" s="551">
        <v>24.91725759976806</v>
      </c>
      <c r="D198" s="548"/>
      <c r="E198" s="550">
        <v>25.556514878600002</v>
      </c>
      <c r="F198" s="550"/>
      <c r="G198" s="550">
        <v>28.172575997681001</v>
      </c>
      <c r="H198" s="549">
        <f>+G198-C198</f>
        <v>3.2553183979129408</v>
      </c>
      <c r="I198" s="548"/>
      <c r="J198" s="548">
        <v>27</v>
      </c>
      <c r="K198" s="544"/>
      <c r="L198" s="547"/>
      <c r="M198" s="547"/>
      <c r="N198" s="544"/>
      <c r="O198" s="544"/>
      <c r="P198" s="546"/>
      <c r="Q198" s="545">
        <f>'[1]GTSX 6 thang 2018'!EU135</f>
        <v>31.981278947700439</v>
      </c>
      <c r="R198" s="538"/>
      <c r="S198" s="544">
        <v>29.170359574926085</v>
      </c>
      <c r="T198" s="537"/>
      <c r="U198" s="537"/>
      <c r="V198" s="543"/>
      <c r="W198" s="513" t="str">
        <f>IF(ISERROR(U198/N198*100),"",U198/N198*100)</f>
        <v/>
      </c>
      <c r="X198" s="513">
        <f>IF(ISERROR(U198/S198*100),"",U198/S198*100)</f>
        <v>0</v>
      </c>
      <c r="Y198" s="512" t="s">
        <v>246</v>
      </c>
      <c r="Z198" s="512" t="e">
        <f>IF(#REF!&gt;100,"Vượt",IF(#REF!&lt;99.5,"Không đạt","Đạt"))</f>
        <v>#REF!</v>
      </c>
      <c r="AA198" s="512"/>
      <c r="AB198" s="542"/>
      <c r="AC198" s="452"/>
      <c r="AD198" s="451"/>
      <c r="AE198" s="451"/>
      <c r="AF198" s="451"/>
    </row>
    <row r="199" spans="1:32" s="522" customFormat="1">
      <c r="A199" s="541" t="s">
        <v>255</v>
      </c>
      <c r="B199" s="529"/>
      <c r="C199" s="524"/>
      <c r="D199" s="524"/>
      <c r="E199" s="524"/>
      <c r="F199" s="524"/>
      <c r="G199" s="527"/>
      <c r="H199" s="540">
        <f>+G199-C199</f>
        <v>0</v>
      </c>
      <c r="I199" s="524"/>
      <c r="J199" s="527"/>
      <c r="K199" s="539"/>
      <c r="L199" s="524"/>
      <c r="M199" s="524"/>
      <c r="N199" s="527"/>
      <c r="O199" s="527"/>
      <c r="P199" s="527"/>
      <c r="Q199" s="527"/>
      <c r="R199" s="538"/>
      <c r="S199" s="527"/>
      <c r="T199" s="537"/>
      <c r="U199" s="537"/>
      <c r="V199" s="524"/>
      <c r="W199" s="513" t="str">
        <f>IF(ISERROR(U199/N199*100),"",U199/N199*100)</f>
        <v/>
      </c>
      <c r="X199" s="513" t="str">
        <f>IF(ISERROR(U199/S199*100),"",U199/S199*100)</f>
        <v/>
      </c>
      <c r="Y199" s="512"/>
      <c r="Z199" s="512"/>
      <c r="AA199" s="512"/>
      <c r="AB199" s="510"/>
      <c r="AC199" s="536"/>
      <c r="AD199" s="523"/>
      <c r="AE199" s="523"/>
      <c r="AF199" s="523"/>
    </row>
    <row r="200" spans="1:32" s="522" customFormat="1" ht="22.5">
      <c r="A200" s="530" t="s">
        <v>254</v>
      </c>
      <c r="B200" s="529" t="s">
        <v>247</v>
      </c>
      <c r="C200" s="526">
        <v>50328</v>
      </c>
      <c r="D200" s="526"/>
      <c r="E200" s="526">
        <v>87826.591671999995</v>
      </c>
      <c r="F200" s="526"/>
      <c r="G200" s="528">
        <v>81691.453599999993</v>
      </c>
      <c r="H200" s="506">
        <f>+G200-C200</f>
        <v>31363.453599999993</v>
      </c>
      <c r="I200" s="526">
        <v>54880</v>
      </c>
      <c r="J200" s="526">
        <v>60487</v>
      </c>
      <c r="K200" s="526">
        <v>60487</v>
      </c>
      <c r="L200" s="527">
        <v>14409.3</v>
      </c>
      <c r="M200" s="527"/>
      <c r="N200" s="526">
        <v>30302</v>
      </c>
      <c r="O200" s="526"/>
      <c r="P200" s="526">
        <v>62737.21</v>
      </c>
      <c r="Q200" s="526">
        <v>80692.752999999997</v>
      </c>
      <c r="R200" s="517"/>
      <c r="S200" s="526">
        <v>71367</v>
      </c>
      <c r="T200" s="525">
        <v>53316</v>
      </c>
      <c r="U200" s="525">
        <v>57504</v>
      </c>
      <c r="V200" s="524"/>
      <c r="W200" s="513">
        <f>IF(ISERROR(U200/N200*100),"",U200/N200*100)</f>
        <v>189.76965216817371</v>
      </c>
      <c r="X200" s="513">
        <f>IF(ISERROR(U200/S200*100),"",U200/S200*100)</f>
        <v>80.575055698011681</v>
      </c>
      <c r="Y200" s="512" t="s">
        <v>246</v>
      </c>
      <c r="Z200" s="512" t="e">
        <f>IF(#REF!&gt;100,"Vượt",IF(#REF!&lt;99.5,"Không đạt","Đạt"))</f>
        <v>#REF!</v>
      </c>
      <c r="AA200" s="535"/>
      <c r="AB200" s="510"/>
      <c r="AC200" s="496"/>
      <c r="AD200" s="532"/>
      <c r="AE200" s="523"/>
      <c r="AF200" s="523"/>
    </row>
    <row r="201" spans="1:32" s="494" customFormat="1" ht="22.5">
      <c r="A201" s="534" t="s">
        <v>253</v>
      </c>
      <c r="B201" s="520" t="s">
        <v>247</v>
      </c>
      <c r="C201" s="516">
        <v>30587</v>
      </c>
      <c r="D201" s="516"/>
      <c r="E201" s="516"/>
      <c r="F201" s="516"/>
      <c r="G201" s="519">
        <v>36398</v>
      </c>
      <c r="H201" s="506">
        <f>+G201-C201</f>
        <v>5811</v>
      </c>
      <c r="I201" s="516">
        <v>20130</v>
      </c>
      <c r="J201" s="516">
        <v>25737</v>
      </c>
      <c r="K201" s="518">
        <v>25737</v>
      </c>
      <c r="L201" s="518">
        <v>7102</v>
      </c>
      <c r="M201" s="518"/>
      <c r="N201" s="516">
        <v>12891</v>
      </c>
      <c r="O201" s="516"/>
      <c r="P201" s="516">
        <v>25607.440999999999</v>
      </c>
      <c r="Q201" s="516">
        <v>33196.987000000001</v>
      </c>
      <c r="R201" s="517"/>
      <c r="S201" s="516">
        <v>29197</v>
      </c>
      <c r="T201" s="515">
        <v>16101</v>
      </c>
      <c r="U201" s="515">
        <v>18996</v>
      </c>
      <c r="V201" s="514"/>
      <c r="W201" s="513">
        <f>IF(ISERROR(U201/N201*100),"",U201/N201*100)</f>
        <v>147.35862229462415</v>
      </c>
      <c r="X201" s="513">
        <f>IF(ISERROR(U201/S201*100),"",U201/S201*100)</f>
        <v>65.061478919067028</v>
      </c>
      <c r="Y201" s="512" t="s">
        <v>246</v>
      </c>
      <c r="Z201" s="512" t="e">
        <f>IF(#REF!&gt;100,"Vượt",IF(#REF!&lt;99.5,"Không đạt","Đạt"))</f>
        <v>#REF!</v>
      </c>
      <c r="AA201" s="511"/>
      <c r="AB201" s="510"/>
      <c r="AC201" s="496"/>
      <c r="AD201" s="532"/>
      <c r="AE201" s="495"/>
      <c r="AF201" s="495"/>
    </row>
    <row r="202" spans="1:32" s="522" customFormat="1" ht="22.5">
      <c r="A202" s="530" t="s">
        <v>252</v>
      </c>
      <c r="B202" s="529" t="s">
        <v>247</v>
      </c>
      <c r="C202" s="526">
        <v>204797</v>
      </c>
      <c r="D202" s="526"/>
      <c r="E202" s="526"/>
      <c r="F202" s="526"/>
      <c r="G202" s="528">
        <v>312025</v>
      </c>
      <c r="H202" s="506">
        <f>+G202-C202</f>
        <v>107228</v>
      </c>
      <c r="I202" s="526">
        <f>258989+450</f>
        <v>259439</v>
      </c>
      <c r="J202" s="526">
        <v>264083</v>
      </c>
      <c r="K202" s="527">
        <v>264083</v>
      </c>
      <c r="L202" s="527">
        <v>101238</v>
      </c>
      <c r="M202" s="527"/>
      <c r="N202" s="526">
        <v>147982</v>
      </c>
      <c r="O202" s="526"/>
      <c r="P202" s="533">
        <v>359704</v>
      </c>
      <c r="Q202" s="526">
        <v>375031</v>
      </c>
      <c r="R202" s="517"/>
      <c r="S202" s="526">
        <v>320670</v>
      </c>
      <c r="T202" s="525">
        <v>104531</v>
      </c>
      <c r="U202" s="525">
        <v>222120</v>
      </c>
      <c r="V202" s="524"/>
      <c r="W202" s="513">
        <f>IF(ISERROR(U202/N202*100),"",U202/N202*100)</f>
        <v>150.09933640577907</v>
      </c>
      <c r="X202" s="513">
        <f>IF(ISERROR(U202/S202*100),"",U202/S202*100)</f>
        <v>69.267471232107766</v>
      </c>
      <c r="Y202" s="512" t="s">
        <v>246</v>
      </c>
      <c r="Z202" s="512" t="e">
        <f>IF(#REF!&gt;100,"Vượt",IF(#REF!&lt;99.5,"Không đạt","Đạt"))</f>
        <v>#REF!</v>
      </c>
      <c r="AA202" s="511"/>
      <c r="AB202" s="510"/>
      <c r="AC202" s="496"/>
      <c r="AD202" s="532"/>
      <c r="AE202" s="523"/>
      <c r="AF202" s="523"/>
    </row>
    <row r="203" spans="1:32" s="522" customFormat="1" ht="34.5">
      <c r="A203" s="521" t="s">
        <v>251</v>
      </c>
      <c r="B203" s="520" t="s">
        <v>247</v>
      </c>
      <c r="C203" s="516">
        <v>45652</v>
      </c>
      <c r="D203" s="516"/>
      <c r="E203" s="516"/>
      <c r="F203" s="516"/>
      <c r="G203" s="519">
        <v>63660</v>
      </c>
      <c r="H203" s="506">
        <f>+G203-C203</f>
        <v>18008</v>
      </c>
      <c r="I203" s="516">
        <f>48176+450</f>
        <v>48626</v>
      </c>
      <c r="J203" s="516">
        <v>53270</v>
      </c>
      <c r="K203" s="518">
        <v>52820</v>
      </c>
      <c r="L203" s="518">
        <v>11510</v>
      </c>
      <c r="M203" s="518"/>
      <c r="N203" s="516">
        <v>23168</v>
      </c>
      <c r="O203" s="516"/>
      <c r="P203" s="516">
        <v>49219.707000000002</v>
      </c>
      <c r="Q203" s="516">
        <v>65046.981</v>
      </c>
      <c r="R203" s="517"/>
      <c r="S203" s="516">
        <v>57856</v>
      </c>
      <c r="T203" s="515">
        <v>44406</v>
      </c>
      <c r="U203" s="515">
        <v>47877</v>
      </c>
      <c r="V203" s="514"/>
      <c r="W203" s="513">
        <f>IF(ISERROR(U203/N203*100),"",U203/N203*100)</f>
        <v>206.65141574585638</v>
      </c>
      <c r="X203" s="513">
        <f>IF(ISERROR(U203/S203*100),"",U203/S203*100)</f>
        <v>82.752004977876098</v>
      </c>
      <c r="Y203" s="512" t="s">
        <v>246</v>
      </c>
      <c r="Z203" s="512" t="e">
        <f>IF(#REF!&gt;100,"Vượt",IF(#REF!&lt;99.5,"Không đạt","Đạt"))</f>
        <v>#REF!</v>
      </c>
      <c r="AA203" s="511"/>
      <c r="AB203" s="510"/>
      <c r="AC203" s="531"/>
      <c r="AD203" s="523"/>
      <c r="AE203" s="523"/>
      <c r="AF203" s="523"/>
    </row>
    <row r="204" spans="1:32" s="522" customFormat="1" ht="22.5">
      <c r="A204" s="530" t="s">
        <v>250</v>
      </c>
      <c r="B204" s="529" t="s">
        <v>247</v>
      </c>
      <c r="C204" s="526">
        <v>175383</v>
      </c>
      <c r="D204" s="526"/>
      <c r="E204" s="526"/>
      <c r="F204" s="526"/>
      <c r="G204" s="528">
        <v>305974</v>
      </c>
      <c r="H204" s="506">
        <f>+G204-C204</f>
        <v>130591</v>
      </c>
      <c r="I204" s="526">
        <f>258989+450</f>
        <v>259439</v>
      </c>
      <c r="J204" s="526">
        <v>264083</v>
      </c>
      <c r="K204" s="527">
        <v>264083</v>
      </c>
      <c r="L204" s="527">
        <v>59917</v>
      </c>
      <c r="M204" s="527"/>
      <c r="N204" s="526">
        <v>121824</v>
      </c>
      <c r="O204" s="526"/>
      <c r="P204" s="526">
        <v>359704</v>
      </c>
      <c r="Q204" s="526">
        <v>361782</v>
      </c>
      <c r="R204" s="517"/>
      <c r="S204" s="526">
        <v>320670</v>
      </c>
      <c r="T204" s="525">
        <v>119818</v>
      </c>
      <c r="U204" s="525">
        <v>173260</v>
      </c>
      <c r="V204" s="524"/>
      <c r="W204" s="513">
        <f>IF(ISERROR(U204/N204*100),"",U204/N204*100)</f>
        <v>142.22156553716837</v>
      </c>
      <c r="X204" s="513">
        <f>IF(ISERROR(U204/S204*100),"",U204/S204*100)</f>
        <v>54.030623382293321</v>
      </c>
      <c r="Y204" s="512" t="s">
        <v>246</v>
      </c>
      <c r="Z204" s="512" t="e">
        <f>IF(#REF!&gt;100,"Vượt",IF(#REF!&lt;99.5,"Không đạt","Đạt"))</f>
        <v>#REF!</v>
      </c>
      <c r="AA204" s="511"/>
      <c r="AB204" s="510"/>
      <c r="AC204" s="496"/>
      <c r="AD204" s="523"/>
      <c r="AE204" s="523"/>
      <c r="AF204" s="523"/>
    </row>
    <row r="205" spans="1:32" s="494" customFormat="1" ht="22.5">
      <c r="A205" s="521" t="s">
        <v>249</v>
      </c>
      <c r="B205" s="520" t="s">
        <v>247</v>
      </c>
      <c r="C205" s="516">
        <v>23371</v>
      </c>
      <c r="D205" s="516"/>
      <c r="E205" s="516"/>
      <c r="F205" s="516"/>
      <c r="G205" s="519">
        <v>38955</v>
      </c>
      <c r="H205" s="506">
        <f>+G205-C205</f>
        <v>15584</v>
      </c>
      <c r="I205" s="516">
        <v>24919</v>
      </c>
      <c r="J205" s="516">
        <v>28253</v>
      </c>
      <c r="K205" s="518">
        <v>28253</v>
      </c>
      <c r="L205" s="518">
        <v>11611</v>
      </c>
      <c r="M205" s="518"/>
      <c r="N205" s="516">
        <v>14563</v>
      </c>
      <c r="O205" s="516"/>
      <c r="P205" s="516">
        <v>80304</v>
      </c>
      <c r="Q205" s="516">
        <v>68068.824999999997</v>
      </c>
      <c r="R205" s="517"/>
      <c r="S205" s="516">
        <v>62208</v>
      </c>
      <c r="T205" s="515">
        <v>18082.760000000002</v>
      </c>
      <c r="U205" s="515">
        <v>25700</v>
      </c>
      <c r="V205" s="514"/>
      <c r="W205" s="513">
        <f>IF(ISERROR(U205/N205*100),"",U205/N205*100)</f>
        <v>176.47462748060153</v>
      </c>
      <c r="X205" s="513">
        <f>IF(ISERROR(U205/S205*100),"",U205/S205*100)</f>
        <v>41.313014403292179</v>
      </c>
      <c r="Y205" s="512" t="s">
        <v>246</v>
      </c>
      <c r="Z205" s="512" t="e">
        <f>IF(#REF!&gt;100,"Vượt",IF(#REF!&lt;99.5,"Không đạt","Đạt"))</f>
        <v>#REF!</v>
      </c>
      <c r="AA205" s="511"/>
      <c r="AB205" s="510"/>
      <c r="AC205" s="496"/>
      <c r="AD205" s="495"/>
      <c r="AE205" s="495"/>
      <c r="AF205" s="495"/>
    </row>
    <row r="206" spans="1:32" s="494" customFormat="1" ht="22.5">
      <c r="A206" s="509" t="s">
        <v>248</v>
      </c>
      <c r="B206" s="508" t="s">
        <v>247</v>
      </c>
      <c r="C206" s="504">
        <v>152012</v>
      </c>
      <c r="D206" s="504"/>
      <c r="E206" s="504"/>
      <c r="F206" s="504"/>
      <c r="G206" s="507">
        <v>231059</v>
      </c>
      <c r="H206" s="506">
        <f>+G206-C206</f>
        <v>79047</v>
      </c>
      <c r="I206" s="504">
        <v>229310</v>
      </c>
      <c r="J206" s="504">
        <v>230347</v>
      </c>
      <c r="K206" s="505">
        <v>225843</v>
      </c>
      <c r="L206" s="505">
        <v>48327</v>
      </c>
      <c r="M206" s="505"/>
      <c r="N206" s="504">
        <v>107261</v>
      </c>
      <c r="O206" s="504"/>
      <c r="P206" s="504">
        <v>276083</v>
      </c>
      <c r="Q206" s="504">
        <v>276083</v>
      </c>
      <c r="R206" s="504"/>
      <c r="S206" s="504">
        <v>252993</v>
      </c>
      <c r="T206" s="503">
        <v>101735</v>
      </c>
      <c r="U206" s="503">
        <v>147560</v>
      </c>
      <c r="V206" s="502"/>
      <c r="W206" s="501">
        <f>IF(ISERROR(U206/N206*100),"",U206/N206*100)</f>
        <v>137.57097174182601</v>
      </c>
      <c r="X206" s="501">
        <f>IF(ISERROR(U206/S206*100),"",U206/S206*100)</f>
        <v>58.325724427158065</v>
      </c>
      <c r="Y206" s="500" t="s">
        <v>246</v>
      </c>
      <c r="Z206" s="499" t="e">
        <f>IF(#REF!&gt;100,"Vượt",IF(#REF!&lt;99.5,"Không đạt","Đạt"))</f>
        <v>#REF!</v>
      </c>
      <c r="AA206" s="498"/>
      <c r="AB206" s="497"/>
      <c r="AC206" s="496"/>
      <c r="AD206" s="495"/>
      <c r="AE206" s="495"/>
      <c r="AF206" s="495"/>
    </row>
    <row r="207" spans="1:32">
      <c r="B207" s="490"/>
      <c r="C207" s="489"/>
      <c r="D207" s="489"/>
      <c r="E207" s="489"/>
      <c r="F207" s="489"/>
      <c r="G207" s="489"/>
      <c r="H207" s="489"/>
      <c r="I207" s="489"/>
      <c r="J207" s="490"/>
      <c r="K207" s="490"/>
      <c r="L207" s="489"/>
      <c r="M207" s="489"/>
      <c r="N207" s="490"/>
      <c r="O207" s="490"/>
      <c r="P207" s="493"/>
      <c r="Q207" s="490"/>
      <c r="R207" s="492"/>
      <c r="S207" s="490"/>
      <c r="T207" s="491"/>
      <c r="U207" s="491"/>
      <c r="V207" s="489"/>
      <c r="W207" s="489"/>
      <c r="X207" s="489"/>
      <c r="Y207" s="488"/>
      <c r="Z207" s="488"/>
      <c r="AA207" s="488"/>
      <c r="AB207" s="453"/>
      <c r="AC207" s="452"/>
      <c r="AD207" s="451"/>
      <c r="AE207" s="451"/>
      <c r="AF207" s="451"/>
    </row>
    <row r="208" spans="1:32">
      <c r="B208" s="490"/>
      <c r="C208" s="487"/>
      <c r="D208" s="487"/>
      <c r="E208" s="487"/>
      <c r="F208" s="487"/>
      <c r="G208" s="487"/>
      <c r="H208" s="487"/>
      <c r="I208" s="487"/>
      <c r="J208" s="483"/>
      <c r="K208" s="483"/>
      <c r="L208" s="487">
        <v>62000</v>
      </c>
      <c r="M208" s="487"/>
      <c r="N208" s="483"/>
      <c r="O208" s="483"/>
      <c r="P208" s="483"/>
      <c r="Q208" s="483"/>
      <c r="R208" s="486"/>
      <c r="S208" s="483"/>
      <c r="T208" s="485"/>
      <c r="U208" s="485"/>
      <c r="V208" s="489"/>
      <c r="W208" s="484"/>
      <c r="X208" s="484"/>
      <c r="Y208" s="488"/>
      <c r="Z208" s="488"/>
      <c r="AA208" s="488"/>
      <c r="AB208" s="453"/>
      <c r="AC208" s="452"/>
      <c r="AD208" s="451"/>
      <c r="AE208" s="451"/>
      <c r="AF208" s="451"/>
    </row>
    <row r="209" spans="1:32">
      <c r="A209" s="473"/>
      <c r="B209" s="473"/>
      <c r="C209" s="487"/>
      <c r="D209" s="487"/>
      <c r="E209" s="487"/>
      <c r="F209" s="487"/>
      <c r="G209" s="487"/>
      <c r="H209" s="487"/>
      <c r="I209" s="487"/>
      <c r="J209" s="483"/>
      <c r="K209" s="483">
        <v>11614</v>
      </c>
      <c r="L209" s="487"/>
      <c r="M209" s="487"/>
      <c r="N209" s="483"/>
      <c r="O209" s="483"/>
      <c r="P209" s="483"/>
      <c r="Q209" s="483"/>
      <c r="R209" s="486"/>
      <c r="S209" s="483"/>
      <c r="T209" s="485"/>
      <c r="U209" s="485"/>
      <c r="V209" s="476"/>
      <c r="W209" s="484"/>
      <c r="X209" s="484"/>
      <c r="Y209" s="474"/>
      <c r="Z209" s="474"/>
      <c r="AA209" s="474"/>
      <c r="AB209" s="466"/>
      <c r="AC209" s="452"/>
      <c r="AD209" s="451"/>
      <c r="AE209" s="451"/>
      <c r="AF209" s="451"/>
    </row>
    <row r="210" spans="1:32">
      <c r="A210" s="473"/>
      <c r="B210" s="473"/>
      <c r="C210" s="476"/>
      <c r="D210" s="476"/>
      <c r="E210" s="476"/>
      <c r="F210" s="476"/>
      <c r="G210" s="476"/>
      <c r="H210" s="476"/>
      <c r="I210" s="476"/>
      <c r="J210" s="473"/>
      <c r="K210" s="483">
        <f>+K205-K209</f>
        <v>16639</v>
      </c>
      <c r="L210" s="476"/>
      <c r="M210" s="476"/>
      <c r="N210" s="473"/>
      <c r="O210" s="473"/>
      <c r="P210" s="473"/>
      <c r="Q210" s="482"/>
      <c r="R210" s="478"/>
      <c r="S210" s="473"/>
      <c r="T210" s="477"/>
      <c r="U210" s="477"/>
      <c r="V210" s="476"/>
      <c r="W210" s="475"/>
      <c r="X210" s="475"/>
      <c r="Y210" s="474"/>
      <c r="Z210" s="474"/>
      <c r="AA210" s="474"/>
      <c r="AB210" s="466"/>
      <c r="AC210" s="452"/>
      <c r="AD210" s="451"/>
      <c r="AE210" s="451"/>
      <c r="AF210" s="451"/>
    </row>
    <row r="211" spans="1:32">
      <c r="A211" s="473"/>
      <c r="B211" s="473"/>
      <c r="C211" s="476"/>
      <c r="D211" s="476"/>
      <c r="E211" s="476"/>
      <c r="F211" s="476"/>
      <c r="G211" s="476"/>
      <c r="H211" s="476"/>
      <c r="I211" s="476"/>
      <c r="J211" s="481">
        <v>818945</v>
      </c>
      <c r="K211" s="480">
        <v>32800.435028248598</v>
      </c>
      <c r="L211" s="476"/>
      <c r="M211" s="476"/>
      <c r="N211" s="473"/>
      <c r="O211" s="473"/>
      <c r="P211" s="473"/>
      <c r="Q211" s="479"/>
      <c r="R211" s="478"/>
      <c r="S211" s="473"/>
      <c r="T211" s="477"/>
      <c r="U211" s="477"/>
      <c r="V211" s="476"/>
      <c r="W211" s="475"/>
      <c r="X211" s="475"/>
      <c r="Y211" s="474"/>
      <c r="Z211" s="474"/>
      <c r="AA211" s="474"/>
      <c r="AB211" s="466"/>
      <c r="AC211" s="452"/>
      <c r="AD211" s="451"/>
      <c r="AE211" s="451"/>
      <c r="AF211" s="451"/>
    </row>
    <row r="212" spans="1:32">
      <c r="A212" s="473"/>
      <c r="B212" s="473"/>
      <c r="K212" s="441">
        <f>+K211-K205</f>
        <v>4547.4350282485975</v>
      </c>
      <c r="P212" s="441"/>
      <c r="V212" s="476"/>
      <c r="W212" s="475"/>
      <c r="X212" s="475"/>
      <c r="Y212" s="474"/>
      <c r="Z212" s="474"/>
      <c r="AA212" s="474"/>
      <c r="AB212" s="466"/>
      <c r="AC212" s="452"/>
      <c r="AD212" s="451"/>
      <c r="AE212" s="451"/>
      <c r="AF212" s="451"/>
    </row>
    <row r="213" spans="1:32">
      <c r="A213" s="473"/>
      <c r="B213" s="471"/>
      <c r="C213" s="469"/>
      <c r="D213" s="469"/>
      <c r="E213" s="469"/>
      <c r="F213" s="469"/>
      <c r="G213" s="469"/>
      <c r="H213" s="469"/>
      <c r="I213" s="469"/>
      <c r="J213" s="471"/>
      <c r="K213" s="471"/>
      <c r="L213" s="469"/>
      <c r="M213" s="469"/>
      <c r="N213" s="471"/>
      <c r="O213" s="471"/>
      <c r="P213" s="471"/>
      <c r="Q213" s="471"/>
      <c r="R213" s="472"/>
      <c r="S213" s="471"/>
      <c r="T213" s="470"/>
      <c r="U213" s="470"/>
      <c r="V213" s="469"/>
      <c r="W213" s="468"/>
      <c r="X213" s="468"/>
      <c r="Y213" s="467"/>
      <c r="Z213" s="467"/>
      <c r="AA213" s="467"/>
      <c r="AB213" s="466"/>
      <c r="AC213" s="452"/>
      <c r="AD213" s="451"/>
      <c r="AE213" s="451"/>
      <c r="AF213" s="451"/>
    </row>
    <row r="214" spans="1:32">
      <c r="A214" s="455"/>
      <c r="B214" s="465"/>
      <c r="C214" s="448"/>
      <c r="D214" s="448"/>
      <c r="E214" s="448"/>
      <c r="F214" s="448"/>
      <c r="G214" s="448"/>
      <c r="H214" s="448"/>
      <c r="I214" s="448"/>
      <c r="J214" s="435"/>
      <c r="K214" s="435"/>
      <c r="L214" s="448"/>
      <c r="M214" s="448"/>
      <c r="N214" s="435"/>
      <c r="O214" s="435"/>
      <c r="P214" s="435"/>
      <c r="Q214" s="435"/>
      <c r="R214" s="449"/>
      <c r="S214" s="435"/>
      <c r="V214" s="448"/>
      <c r="W214" s="448"/>
      <c r="X214" s="448"/>
      <c r="Y214" s="447"/>
      <c r="Z214" s="447"/>
      <c r="AA214" s="447"/>
      <c r="AB214" s="464"/>
      <c r="AC214" s="452"/>
      <c r="AD214" s="451"/>
      <c r="AE214" s="451"/>
      <c r="AF214" s="451"/>
    </row>
    <row r="215" spans="1:32">
      <c r="A215" s="455"/>
      <c r="C215" s="448"/>
      <c r="D215" s="448"/>
      <c r="E215" s="448"/>
      <c r="F215" s="448"/>
      <c r="G215" s="448"/>
      <c r="H215" s="448"/>
      <c r="I215" s="448"/>
      <c r="J215" s="435"/>
      <c r="K215" s="435"/>
      <c r="L215" s="448"/>
      <c r="M215" s="448"/>
      <c r="N215" s="435"/>
      <c r="O215" s="435"/>
      <c r="P215" s="435"/>
      <c r="Q215" s="435"/>
      <c r="R215" s="449"/>
      <c r="S215" s="435"/>
      <c r="V215" s="448"/>
      <c r="W215" s="448"/>
      <c r="X215" s="448"/>
      <c r="Y215" s="447"/>
      <c r="Z215" s="447"/>
      <c r="AA215" s="447"/>
      <c r="AB215" s="453"/>
      <c r="AC215" s="452"/>
      <c r="AD215" s="451"/>
      <c r="AE215" s="451"/>
      <c r="AF215" s="451"/>
    </row>
    <row r="216" spans="1:32">
      <c r="A216" s="455"/>
      <c r="C216" s="448"/>
      <c r="D216" s="448"/>
      <c r="E216" s="448"/>
      <c r="F216" s="448"/>
      <c r="G216" s="448"/>
      <c r="H216" s="448"/>
      <c r="I216" s="448"/>
      <c r="J216" s="435"/>
      <c r="K216" s="435"/>
      <c r="L216" s="448"/>
      <c r="M216" s="448"/>
      <c r="N216" s="435"/>
      <c r="O216" s="435"/>
      <c r="P216" s="435"/>
      <c r="Q216" s="435"/>
      <c r="R216" s="449"/>
      <c r="S216" s="435"/>
      <c r="V216" s="448"/>
      <c r="W216" s="448"/>
      <c r="X216" s="448"/>
      <c r="Y216" s="447"/>
      <c r="Z216" s="447"/>
      <c r="AA216" s="447"/>
      <c r="AB216" s="453"/>
      <c r="AC216" s="452"/>
      <c r="AD216" s="451"/>
      <c r="AE216" s="451"/>
      <c r="AF216" s="451"/>
    </row>
    <row r="217" spans="1:32">
      <c r="A217" s="455"/>
      <c r="C217" s="448"/>
      <c r="D217" s="448"/>
      <c r="E217" s="448"/>
      <c r="F217" s="448"/>
      <c r="G217" s="448"/>
      <c r="H217" s="448"/>
      <c r="I217" s="448"/>
      <c r="J217" s="435"/>
      <c r="K217" s="435"/>
      <c r="L217" s="448"/>
      <c r="M217" s="448"/>
      <c r="N217" s="435"/>
      <c r="O217" s="435"/>
      <c r="P217" s="435"/>
      <c r="Q217" s="435"/>
      <c r="R217" s="449"/>
      <c r="S217" s="435"/>
      <c r="V217" s="448"/>
      <c r="W217" s="448"/>
      <c r="X217" s="448"/>
      <c r="Y217" s="447"/>
      <c r="Z217" s="447"/>
      <c r="AA217" s="447"/>
      <c r="AB217" s="453"/>
      <c r="AC217" s="452"/>
      <c r="AD217" s="451"/>
      <c r="AE217" s="451"/>
      <c r="AF217" s="451"/>
    </row>
    <row r="218" spans="1:32">
      <c r="A218" s="455"/>
      <c r="C218" s="448"/>
      <c r="D218" s="448"/>
      <c r="E218" s="448"/>
      <c r="F218" s="448"/>
      <c r="G218" s="448"/>
      <c r="H218" s="448"/>
      <c r="I218" s="448"/>
      <c r="J218" s="435"/>
      <c r="K218" s="435"/>
      <c r="L218" s="448"/>
      <c r="M218" s="448"/>
      <c r="N218" s="435"/>
      <c r="O218" s="435"/>
      <c r="P218" s="435"/>
      <c r="Q218" s="435"/>
      <c r="R218" s="449"/>
      <c r="S218" s="435"/>
      <c r="V218" s="448"/>
      <c r="W218" s="448"/>
      <c r="X218" s="448"/>
      <c r="Y218" s="447"/>
      <c r="Z218" s="447"/>
      <c r="AA218" s="447"/>
      <c r="AB218" s="453"/>
      <c r="AC218" s="452"/>
      <c r="AD218" s="451"/>
      <c r="AE218" s="451"/>
      <c r="AF218" s="451"/>
    </row>
    <row r="219" spans="1:32">
      <c r="A219" s="455"/>
      <c r="C219" s="448"/>
      <c r="D219" s="448"/>
      <c r="E219" s="448"/>
      <c r="F219" s="448"/>
      <c r="G219" s="448"/>
      <c r="H219" s="448"/>
      <c r="I219" s="448"/>
      <c r="J219" s="435"/>
      <c r="K219" s="435"/>
      <c r="L219" s="448"/>
      <c r="M219" s="448"/>
      <c r="N219" s="435"/>
      <c r="O219" s="435"/>
      <c r="P219" s="435"/>
      <c r="Q219" s="435"/>
      <c r="R219" s="449"/>
      <c r="S219" s="435"/>
      <c r="V219" s="448"/>
      <c r="W219" s="448"/>
      <c r="X219" s="448"/>
      <c r="Y219" s="447"/>
      <c r="Z219" s="447"/>
      <c r="AA219" s="447"/>
      <c r="AB219" s="453"/>
      <c r="AC219" s="452"/>
      <c r="AD219" s="451"/>
      <c r="AE219" s="451"/>
      <c r="AF219" s="451"/>
    </row>
    <row r="220" spans="1:32">
      <c r="A220" s="455"/>
      <c r="C220" s="448"/>
      <c r="D220" s="448"/>
      <c r="E220" s="448"/>
      <c r="F220" s="448"/>
      <c r="G220" s="448"/>
      <c r="H220" s="448"/>
      <c r="I220" s="448"/>
      <c r="J220" s="435"/>
      <c r="K220" s="435"/>
      <c r="L220" s="448"/>
      <c r="M220" s="448"/>
      <c r="N220" s="435"/>
      <c r="O220" s="435"/>
      <c r="P220" s="435"/>
      <c r="Q220" s="435"/>
      <c r="R220" s="449"/>
      <c r="S220" s="435"/>
      <c r="V220" s="448"/>
      <c r="W220" s="448"/>
      <c r="X220" s="448"/>
      <c r="Y220" s="447"/>
      <c r="Z220" s="447"/>
      <c r="AA220" s="447"/>
      <c r="AB220" s="453"/>
      <c r="AC220" s="452"/>
      <c r="AD220" s="451"/>
      <c r="AE220" s="451"/>
      <c r="AF220" s="451"/>
    </row>
    <row r="221" spans="1:32">
      <c r="A221" s="455"/>
      <c r="C221" s="448"/>
      <c r="D221" s="448"/>
      <c r="E221" s="448"/>
      <c r="F221" s="448"/>
      <c r="G221" s="448"/>
      <c r="H221" s="448"/>
      <c r="I221" s="448"/>
      <c r="J221" s="435"/>
      <c r="K221" s="435"/>
      <c r="L221" s="448"/>
      <c r="M221" s="448"/>
      <c r="N221" s="435"/>
      <c r="O221" s="435"/>
      <c r="P221" s="435"/>
      <c r="Q221" s="435"/>
      <c r="R221" s="449"/>
      <c r="S221" s="435"/>
      <c r="V221" s="448"/>
      <c r="W221" s="448"/>
      <c r="X221" s="448"/>
      <c r="Y221" s="447"/>
      <c r="Z221" s="447"/>
      <c r="AA221" s="447"/>
      <c r="AB221" s="453"/>
      <c r="AC221" s="452"/>
      <c r="AD221" s="451"/>
      <c r="AE221" s="451"/>
      <c r="AF221" s="451"/>
    </row>
    <row r="222" spans="1:32">
      <c r="A222" s="455"/>
      <c r="C222" s="448"/>
      <c r="D222" s="448"/>
      <c r="E222" s="448"/>
      <c r="F222" s="448"/>
      <c r="G222" s="448"/>
      <c r="H222" s="448"/>
      <c r="I222" s="448"/>
      <c r="J222" s="435"/>
      <c r="K222" s="435"/>
      <c r="L222" s="448"/>
      <c r="M222" s="448"/>
      <c r="N222" s="435"/>
      <c r="O222" s="435"/>
      <c r="P222" s="435"/>
      <c r="Q222" s="435"/>
      <c r="R222" s="449"/>
      <c r="S222" s="435"/>
      <c r="V222" s="448"/>
      <c r="W222" s="448"/>
      <c r="X222" s="448"/>
      <c r="Y222" s="447"/>
      <c r="Z222" s="447"/>
      <c r="AA222" s="447"/>
      <c r="AB222" s="453"/>
      <c r="AC222" s="452"/>
      <c r="AD222" s="451"/>
      <c r="AE222" s="451"/>
      <c r="AF222" s="451"/>
    </row>
    <row r="223" spans="1:32">
      <c r="A223" s="455"/>
      <c r="C223" s="448"/>
      <c r="D223" s="448"/>
      <c r="E223" s="448"/>
      <c r="F223" s="448"/>
      <c r="G223" s="448"/>
      <c r="H223" s="448"/>
      <c r="I223" s="448"/>
      <c r="J223" s="435"/>
      <c r="K223" s="435"/>
      <c r="L223" s="448"/>
      <c r="M223" s="448"/>
      <c r="N223" s="435"/>
      <c r="O223" s="435"/>
      <c r="P223" s="435"/>
      <c r="Q223" s="435"/>
      <c r="R223" s="449"/>
      <c r="S223" s="435"/>
      <c r="V223" s="448"/>
      <c r="W223" s="448"/>
      <c r="X223" s="448"/>
      <c r="Y223" s="447"/>
      <c r="Z223" s="447"/>
      <c r="AA223" s="447"/>
      <c r="AB223" s="453"/>
      <c r="AC223" s="452"/>
      <c r="AD223" s="451"/>
      <c r="AE223" s="451"/>
      <c r="AF223" s="451"/>
    </row>
    <row r="224" spans="1:32">
      <c r="A224" s="455"/>
      <c r="C224" s="448"/>
      <c r="D224" s="448"/>
      <c r="E224" s="448"/>
      <c r="F224" s="448"/>
      <c r="G224" s="448"/>
      <c r="H224" s="448"/>
      <c r="I224" s="448"/>
      <c r="J224" s="435"/>
      <c r="K224" s="435"/>
      <c r="L224" s="448"/>
      <c r="M224" s="448"/>
      <c r="N224" s="435"/>
      <c r="O224" s="435"/>
      <c r="P224" s="435"/>
      <c r="Q224" s="435"/>
      <c r="R224" s="449"/>
      <c r="S224" s="435"/>
      <c r="V224" s="448"/>
      <c r="W224" s="448"/>
      <c r="X224" s="448"/>
      <c r="Y224" s="447"/>
      <c r="Z224" s="447"/>
      <c r="AA224" s="447"/>
      <c r="AB224" s="453"/>
      <c r="AC224" s="452"/>
      <c r="AD224" s="451"/>
      <c r="AE224" s="451"/>
      <c r="AF224" s="451"/>
    </row>
    <row r="225" spans="1:32">
      <c r="A225" s="455"/>
      <c r="C225" s="448"/>
      <c r="D225" s="448"/>
      <c r="E225" s="448"/>
      <c r="F225" s="448"/>
      <c r="G225" s="448"/>
      <c r="H225" s="448"/>
      <c r="I225" s="448"/>
      <c r="J225" s="435"/>
      <c r="K225" s="435"/>
      <c r="L225" s="448"/>
      <c r="M225" s="448"/>
      <c r="N225" s="435"/>
      <c r="O225" s="435"/>
      <c r="P225" s="435"/>
      <c r="Q225" s="435"/>
      <c r="R225" s="449"/>
      <c r="S225" s="435"/>
      <c r="V225" s="448"/>
      <c r="W225" s="448"/>
      <c r="X225" s="448"/>
      <c r="Y225" s="447"/>
      <c r="Z225" s="447"/>
      <c r="AA225" s="447"/>
      <c r="AB225" s="453"/>
      <c r="AC225" s="452"/>
      <c r="AD225" s="451"/>
      <c r="AE225" s="451"/>
      <c r="AF225" s="451"/>
    </row>
    <row r="226" spans="1:32">
      <c r="A226" s="455"/>
      <c r="C226" s="448"/>
      <c r="D226" s="448"/>
      <c r="E226" s="448"/>
      <c r="F226" s="448"/>
      <c r="G226" s="448"/>
      <c r="H226" s="448"/>
      <c r="I226" s="448"/>
      <c r="J226" s="435"/>
      <c r="K226" s="435"/>
      <c r="L226" s="448"/>
      <c r="M226" s="448"/>
      <c r="N226" s="435"/>
      <c r="O226" s="435"/>
      <c r="P226" s="435"/>
      <c r="Q226" s="435"/>
      <c r="R226" s="449"/>
      <c r="S226" s="435"/>
      <c r="V226" s="448"/>
      <c r="W226" s="448"/>
      <c r="X226" s="448"/>
      <c r="Y226" s="447"/>
      <c r="Z226" s="447"/>
      <c r="AA226" s="447"/>
      <c r="AB226" s="453"/>
      <c r="AC226" s="452"/>
      <c r="AD226" s="451"/>
      <c r="AE226" s="451"/>
      <c r="AF226" s="451"/>
    </row>
    <row r="227" spans="1:32">
      <c r="A227" s="455"/>
      <c r="C227" s="448"/>
      <c r="D227" s="448"/>
      <c r="E227" s="448"/>
      <c r="F227" s="448"/>
      <c r="G227" s="448"/>
      <c r="H227" s="448"/>
      <c r="I227" s="448"/>
      <c r="J227" s="435"/>
      <c r="K227" s="435"/>
      <c r="L227" s="448"/>
      <c r="M227" s="448"/>
      <c r="N227" s="435"/>
      <c r="O227" s="435"/>
      <c r="P227" s="435"/>
      <c r="Q227" s="435"/>
      <c r="R227" s="449"/>
      <c r="S227" s="435"/>
      <c r="V227" s="448"/>
      <c r="W227" s="448"/>
      <c r="X227" s="448"/>
      <c r="Y227" s="447"/>
      <c r="Z227" s="447"/>
      <c r="AA227" s="447"/>
      <c r="AB227" s="453"/>
      <c r="AC227" s="452"/>
      <c r="AD227" s="451"/>
      <c r="AE227" s="451"/>
      <c r="AF227" s="451"/>
    </row>
    <row r="228" spans="1:32">
      <c r="A228" s="455"/>
      <c r="C228" s="448"/>
      <c r="D228" s="448"/>
      <c r="E228" s="448"/>
      <c r="F228" s="448"/>
      <c r="G228" s="448"/>
      <c r="H228" s="448"/>
      <c r="I228" s="448"/>
      <c r="J228" s="435"/>
      <c r="K228" s="435"/>
      <c r="L228" s="448"/>
      <c r="M228" s="448"/>
      <c r="N228" s="435"/>
      <c r="O228" s="435"/>
      <c r="P228" s="435"/>
      <c r="Q228" s="435"/>
      <c r="R228" s="449"/>
      <c r="S228" s="435"/>
      <c r="V228" s="448"/>
      <c r="W228" s="448"/>
      <c r="X228" s="448"/>
      <c r="Y228" s="447"/>
      <c r="Z228" s="447"/>
      <c r="AA228" s="447"/>
      <c r="AB228" s="453"/>
      <c r="AC228" s="452"/>
      <c r="AD228" s="451"/>
      <c r="AE228" s="451"/>
      <c r="AF228" s="451"/>
    </row>
    <row r="229" spans="1:32">
      <c r="A229" s="455"/>
      <c r="C229" s="448"/>
      <c r="D229" s="448"/>
      <c r="E229" s="448"/>
      <c r="F229" s="448"/>
      <c r="G229" s="448"/>
      <c r="H229" s="448"/>
      <c r="I229" s="448"/>
      <c r="J229" s="435"/>
      <c r="K229" s="435"/>
      <c r="L229" s="448"/>
      <c r="M229" s="448"/>
      <c r="N229" s="435"/>
      <c r="O229" s="435"/>
      <c r="P229" s="450"/>
      <c r="Q229" s="435"/>
      <c r="R229" s="449"/>
      <c r="S229" s="435"/>
      <c r="V229" s="448"/>
      <c r="W229" s="448"/>
      <c r="X229" s="448"/>
      <c r="Y229" s="447"/>
      <c r="Z229" s="447"/>
      <c r="AA229" s="447"/>
      <c r="AB229" s="453"/>
      <c r="AC229" s="452"/>
      <c r="AD229" s="451"/>
      <c r="AE229" s="451"/>
      <c r="AF229" s="451"/>
    </row>
    <row r="230" spans="1:32">
      <c r="A230" s="455"/>
      <c r="C230" s="448"/>
      <c r="D230" s="448"/>
      <c r="E230" s="448"/>
      <c r="F230" s="448"/>
      <c r="G230" s="448"/>
      <c r="H230" s="448"/>
      <c r="I230" s="448"/>
      <c r="J230" s="435"/>
      <c r="K230" s="435"/>
      <c r="L230" s="448"/>
      <c r="M230" s="448"/>
      <c r="N230" s="435"/>
      <c r="O230" s="435"/>
      <c r="P230" s="450"/>
      <c r="Q230" s="435"/>
      <c r="R230" s="449"/>
      <c r="S230" s="435"/>
      <c r="V230" s="448"/>
      <c r="W230" s="448"/>
      <c r="X230" s="448"/>
      <c r="Y230" s="447"/>
      <c r="Z230" s="447"/>
      <c r="AA230" s="447"/>
      <c r="AB230" s="453"/>
      <c r="AC230" s="452"/>
      <c r="AD230" s="451"/>
      <c r="AE230" s="451"/>
      <c r="AF230" s="451"/>
    </row>
    <row r="231" spans="1:32">
      <c r="A231" s="455"/>
      <c r="C231" s="448"/>
      <c r="D231" s="448"/>
      <c r="E231" s="448"/>
      <c r="F231" s="448"/>
      <c r="G231" s="448"/>
      <c r="H231" s="448"/>
      <c r="I231" s="448"/>
      <c r="J231" s="435"/>
      <c r="K231" s="435"/>
      <c r="L231" s="448"/>
      <c r="M231" s="448"/>
      <c r="N231" s="435"/>
      <c r="O231" s="435"/>
      <c r="P231" s="450"/>
      <c r="Q231" s="435"/>
      <c r="R231" s="449"/>
      <c r="S231" s="435"/>
      <c r="V231" s="448"/>
      <c r="W231" s="448"/>
      <c r="X231" s="448"/>
      <c r="Y231" s="447"/>
      <c r="Z231" s="447"/>
      <c r="AA231" s="447"/>
      <c r="AB231" s="453"/>
      <c r="AC231" s="452"/>
      <c r="AD231" s="451"/>
      <c r="AE231" s="451"/>
      <c r="AF231" s="451"/>
    </row>
    <row r="232" spans="1:32">
      <c r="A232" s="455"/>
      <c r="C232" s="448"/>
      <c r="D232" s="448"/>
      <c r="E232" s="448"/>
      <c r="F232" s="448"/>
      <c r="G232" s="448"/>
      <c r="H232" s="448"/>
      <c r="I232" s="448"/>
      <c r="J232" s="435"/>
      <c r="K232" s="435"/>
      <c r="L232" s="448"/>
      <c r="M232" s="448"/>
      <c r="N232" s="435"/>
      <c r="O232" s="435"/>
      <c r="P232" s="450"/>
      <c r="Q232" s="435"/>
      <c r="R232" s="449"/>
      <c r="S232" s="435"/>
      <c r="V232" s="448"/>
      <c r="W232" s="448"/>
      <c r="X232" s="448"/>
      <c r="Y232" s="447"/>
      <c r="Z232" s="447"/>
      <c r="AA232" s="447"/>
      <c r="AB232" s="453"/>
      <c r="AC232" s="452"/>
      <c r="AD232" s="451"/>
      <c r="AE232" s="451"/>
      <c r="AF232" s="451"/>
    </row>
    <row r="233" spans="1:32">
      <c r="A233" s="455"/>
      <c r="C233" s="448"/>
      <c r="D233" s="448"/>
      <c r="E233" s="448"/>
      <c r="F233" s="448"/>
      <c r="G233" s="448"/>
      <c r="H233" s="448"/>
      <c r="I233" s="448"/>
      <c r="J233" s="435"/>
      <c r="K233" s="435"/>
      <c r="L233" s="448"/>
      <c r="M233" s="448"/>
      <c r="N233" s="435"/>
      <c r="O233" s="435"/>
      <c r="P233" s="450"/>
      <c r="Q233" s="435"/>
      <c r="R233" s="449"/>
      <c r="S233" s="435"/>
      <c r="V233" s="448"/>
      <c r="W233" s="448"/>
      <c r="X233" s="448"/>
      <c r="Y233" s="447"/>
      <c r="Z233" s="447"/>
      <c r="AA233" s="447"/>
      <c r="AB233" s="453"/>
      <c r="AC233" s="452"/>
      <c r="AD233" s="451"/>
      <c r="AE233" s="451"/>
      <c r="AF233" s="451"/>
    </row>
    <row r="234" spans="1:32">
      <c r="A234" s="455"/>
      <c r="C234" s="448"/>
      <c r="D234" s="448"/>
      <c r="E234" s="448"/>
      <c r="F234" s="448"/>
      <c r="G234" s="448"/>
      <c r="H234" s="448"/>
      <c r="I234" s="448"/>
      <c r="J234" s="435"/>
      <c r="K234" s="435"/>
      <c r="L234" s="448"/>
      <c r="M234" s="448"/>
      <c r="N234" s="435"/>
      <c r="O234" s="435"/>
      <c r="P234" s="450"/>
      <c r="Q234" s="435"/>
      <c r="R234" s="449"/>
      <c r="S234" s="435"/>
      <c r="V234" s="448"/>
      <c r="W234" s="448"/>
      <c r="X234" s="448"/>
      <c r="Y234" s="447"/>
      <c r="Z234" s="447"/>
      <c r="AA234" s="447"/>
      <c r="AB234" s="453"/>
      <c r="AC234" s="452"/>
      <c r="AD234" s="451"/>
      <c r="AE234" s="451"/>
      <c r="AF234" s="451"/>
    </row>
    <row r="235" spans="1:32">
      <c r="A235" s="455"/>
      <c r="C235" s="448"/>
      <c r="D235" s="448"/>
      <c r="E235" s="448"/>
      <c r="F235" s="448"/>
      <c r="G235" s="448"/>
      <c r="H235" s="448"/>
      <c r="I235" s="448"/>
      <c r="J235" s="435"/>
      <c r="K235" s="435"/>
      <c r="L235" s="448"/>
      <c r="M235" s="448"/>
      <c r="N235" s="435"/>
      <c r="O235" s="435"/>
      <c r="P235" s="450"/>
      <c r="Q235" s="435"/>
      <c r="R235" s="449"/>
      <c r="S235" s="435"/>
      <c r="V235" s="448"/>
      <c r="W235" s="448"/>
      <c r="X235" s="448"/>
      <c r="Y235" s="447"/>
      <c r="Z235" s="447"/>
      <c r="AA235" s="447"/>
      <c r="AB235" s="453"/>
      <c r="AC235" s="452"/>
      <c r="AD235" s="451"/>
      <c r="AE235" s="451"/>
      <c r="AF235" s="451"/>
    </row>
    <row r="236" spans="1:32">
      <c r="A236" s="455"/>
      <c r="C236" s="448"/>
      <c r="D236" s="448"/>
      <c r="E236" s="448"/>
      <c r="F236" s="448"/>
      <c r="G236" s="448"/>
      <c r="H236" s="448"/>
      <c r="I236" s="448"/>
      <c r="J236" s="435"/>
      <c r="K236" s="435"/>
      <c r="L236" s="448"/>
      <c r="M236" s="448"/>
      <c r="N236" s="435"/>
      <c r="O236" s="435"/>
      <c r="P236" s="450"/>
      <c r="Q236" s="435"/>
      <c r="R236" s="449"/>
      <c r="S236" s="435"/>
      <c r="V236" s="448"/>
      <c r="W236" s="448"/>
      <c r="X236" s="448"/>
      <c r="Y236" s="447"/>
      <c r="Z236" s="447"/>
      <c r="AA236" s="447"/>
      <c r="AB236" s="453"/>
      <c r="AC236" s="452"/>
      <c r="AD236" s="451"/>
      <c r="AE236" s="451"/>
      <c r="AF236" s="451"/>
    </row>
    <row r="237" spans="1:32">
      <c r="A237" s="455"/>
      <c r="C237" s="448"/>
      <c r="D237" s="448"/>
      <c r="E237" s="448"/>
      <c r="F237" s="448"/>
      <c r="G237" s="448"/>
      <c r="H237" s="448"/>
      <c r="I237" s="448"/>
      <c r="J237" s="435"/>
      <c r="K237" s="435"/>
      <c r="L237" s="448"/>
      <c r="M237" s="448"/>
      <c r="N237" s="435"/>
      <c r="O237" s="435"/>
      <c r="P237" s="450"/>
      <c r="Q237" s="435"/>
      <c r="R237" s="449"/>
      <c r="S237" s="435"/>
      <c r="V237" s="448"/>
      <c r="W237" s="448"/>
      <c r="X237" s="448"/>
      <c r="Y237" s="447"/>
      <c r="Z237" s="447"/>
      <c r="AA237" s="447"/>
      <c r="AB237" s="453"/>
      <c r="AC237" s="452"/>
      <c r="AD237" s="451"/>
      <c r="AE237" s="451"/>
      <c r="AF237" s="451"/>
    </row>
    <row r="238" spans="1:32">
      <c r="A238" s="455"/>
      <c r="C238" s="448"/>
      <c r="D238" s="448"/>
      <c r="E238" s="448"/>
      <c r="F238" s="448"/>
      <c r="G238" s="448"/>
      <c r="H238" s="448"/>
      <c r="I238" s="448"/>
      <c r="J238" s="435"/>
      <c r="K238" s="435"/>
      <c r="L238" s="448"/>
      <c r="M238" s="448"/>
      <c r="N238" s="435"/>
      <c r="O238" s="435"/>
      <c r="P238" s="450"/>
      <c r="Q238" s="435"/>
      <c r="R238" s="449"/>
      <c r="S238" s="435"/>
      <c r="V238" s="448"/>
      <c r="W238" s="448"/>
      <c r="X238" s="448"/>
      <c r="Y238" s="447"/>
      <c r="Z238" s="447"/>
      <c r="AA238" s="447"/>
      <c r="AB238" s="453"/>
      <c r="AC238" s="452"/>
      <c r="AD238" s="451"/>
      <c r="AE238" s="451"/>
      <c r="AF238" s="451"/>
    </row>
    <row r="239" spans="1:32">
      <c r="A239" s="455"/>
      <c r="C239" s="448"/>
      <c r="D239" s="448"/>
      <c r="E239" s="448"/>
      <c r="F239" s="448"/>
      <c r="G239" s="448"/>
      <c r="H239" s="448"/>
      <c r="I239" s="448"/>
      <c r="J239" s="435"/>
      <c r="K239" s="435"/>
      <c r="L239" s="448"/>
      <c r="M239" s="448"/>
      <c r="N239" s="435"/>
      <c r="O239" s="435"/>
      <c r="P239" s="450"/>
      <c r="Q239" s="435"/>
      <c r="R239" s="449"/>
      <c r="S239" s="435"/>
      <c r="V239" s="448"/>
      <c r="W239" s="448"/>
      <c r="X239" s="448"/>
      <c r="Y239" s="447"/>
      <c r="Z239" s="447"/>
      <c r="AA239" s="447"/>
      <c r="AB239" s="453"/>
      <c r="AC239" s="452"/>
      <c r="AD239" s="451"/>
      <c r="AE239" s="451"/>
      <c r="AF239" s="451"/>
    </row>
    <row r="240" spans="1:32">
      <c r="A240" s="457"/>
      <c r="B240" s="456"/>
      <c r="C240" s="448"/>
      <c r="D240" s="448"/>
      <c r="E240" s="448"/>
      <c r="F240" s="448"/>
      <c r="G240" s="448"/>
      <c r="H240" s="448"/>
      <c r="I240" s="448"/>
      <c r="J240" s="435"/>
      <c r="K240" s="435"/>
      <c r="L240" s="448"/>
      <c r="M240" s="448"/>
      <c r="N240" s="435"/>
      <c r="O240" s="435"/>
      <c r="P240" s="450"/>
      <c r="Q240" s="435"/>
      <c r="R240" s="449"/>
      <c r="S240" s="435"/>
      <c r="V240" s="448"/>
      <c r="W240" s="448"/>
      <c r="X240" s="448"/>
      <c r="Y240" s="447"/>
      <c r="Z240" s="447"/>
      <c r="AA240" s="447"/>
      <c r="AB240" s="453"/>
      <c r="AC240" s="452"/>
      <c r="AD240" s="451"/>
      <c r="AE240" s="451"/>
      <c r="AF240" s="451"/>
    </row>
    <row r="241" spans="1:32">
      <c r="A241" s="461"/>
      <c r="B241" s="456"/>
      <c r="C241" s="448"/>
      <c r="D241" s="448"/>
      <c r="E241" s="448"/>
      <c r="F241" s="448"/>
      <c r="G241" s="448"/>
      <c r="H241" s="448"/>
      <c r="I241" s="448"/>
      <c r="J241" s="435"/>
      <c r="K241" s="435"/>
      <c r="L241" s="448"/>
      <c r="M241" s="448"/>
      <c r="N241" s="435"/>
      <c r="O241" s="435"/>
      <c r="P241" s="450"/>
      <c r="Q241" s="435"/>
      <c r="R241" s="449"/>
      <c r="S241" s="435"/>
      <c r="V241" s="448"/>
      <c r="W241" s="448"/>
      <c r="X241" s="448"/>
      <c r="Y241" s="447"/>
      <c r="Z241" s="447"/>
      <c r="AA241" s="447"/>
      <c r="AB241" s="463"/>
      <c r="AC241" s="452"/>
      <c r="AD241" s="451"/>
      <c r="AE241" s="451"/>
      <c r="AF241" s="451"/>
    </row>
    <row r="242" spans="1:32">
      <c r="A242" s="462"/>
      <c r="B242" s="460"/>
      <c r="C242" s="448"/>
      <c r="D242" s="448"/>
      <c r="E242" s="448"/>
      <c r="F242" s="448"/>
      <c r="G242" s="448"/>
      <c r="H242" s="448"/>
      <c r="I242" s="448"/>
      <c r="J242" s="435"/>
      <c r="K242" s="435"/>
      <c r="L242" s="448"/>
      <c r="M242" s="448"/>
      <c r="N242" s="435"/>
      <c r="O242" s="435"/>
      <c r="P242" s="450"/>
      <c r="Q242" s="435"/>
      <c r="R242" s="449"/>
      <c r="S242" s="435"/>
      <c r="V242" s="448"/>
      <c r="W242" s="448"/>
      <c r="X242" s="448"/>
      <c r="Y242" s="447"/>
      <c r="Z242" s="447"/>
      <c r="AA242" s="447"/>
      <c r="AB242" s="453"/>
      <c r="AC242" s="452"/>
      <c r="AD242" s="451"/>
      <c r="AE242" s="451"/>
      <c r="AF242" s="451"/>
    </row>
    <row r="243" spans="1:32">
      <c r="A243" s="461"/>
      <c r="B243" s="460"/>
      <c r="C243" s="448"/>
      <c r="D243" s="448"/>
      <c r="E243" s="448"/>
      <c r="F243" s="448"/>
      <c r="G243" s="448"/>
      <c r="H243" s="448"/>
      <c r="I243" s="448"/>
      <c r="J243" s="435"/>
      <c r="K243" s="435"/>
      <c r="L243" s="448"/>
      <c r="M243" s="448"/>
      <c r="N243" s="435"/>
      <c r="O243" s="435"/>
      <c r="P243" s="450"/>
      <c r="Q243" s="435"/>
      <c r="R243" s="449"/>
      <c r="S243" s="435"/>
      <c r="V243" s="448"/>
      <c r="W243" s="448"/>
      <c r="X243" s="448"/>
      <c r="Y243" s="447"/>
      <c r="Z243" s="447"/>
      <c r="AA243" s="447"/>
      <c r="AB243" s="453"/>
      <c r="AC243" s="452"/>
      <c r="AD243" s="451"/>
      <c r="AE243" s="451"/>
      <c r="AF243" s="451"/>
    </row>
    <row r="244" spans="1:32">
      <c r="A244" s="461"/>
      <c r="B244" s="460"/>
      <c r="C244" s="448"/>
      <c r="D244" s="448"/>
      <c r="E244" s="448"/>
      <c r="F244" s="448"/>
      <c r="G244" s="448"/>
      <c r="H244" s="448"/>
      <c r="I244" s="448"/>
      <c r="J244" s="435"/>
      <c r="K244" s="435"/>
      <c r="L244" s="448"/>
      <c r="M244" s="448"/>
      <c r="N244" s="435"/>
      <c r="O244" s="435"/>
      <c r="P244" s="450"/>
      <c r="Q244" s="435"/>
      <c r="R244" s="449"/>
      <c r="S244" s="435"/>
      <c r="V244" s="448"/>
      <c r="W244" s="448"/>
      <c r="X244" s="448"/>
      <c r="Y244" s="447"/>
      <c r="Z244" s="447"/>
      <c r="AA244" s="447"/>
      <c r="AB244" s="453"/>
      <c r="AC244" s="452"/>
      <c r="AD244" s="451"/>
      <c r="AE244" s="451"/>
      <c r="AF244" s="451"/>
    </row>
    <row r="245" spans="1:32">
      <c r="A245" s="459"/>
      <c r="B245" s="456"/>
      <c r="C245" s="448"/>
      <c r="D245" s="448"/>
      <c r="E245" s="448"/>
      <c r="F245" s="448"/>
      <c r="G245" s="448"/>
      <c r="H245" s="448"/>
      <c r="I245" s="448"/>
      <c r="J245" s="435"/>
      <c r="K245" s="435"/>
      <c r="L245" s="448"/>
      <c r="M245" s="448"/>
      <c r="N245" s="435"/>
      <c r="O245" s="435"/>
      <c r="P245" s="450"/>
      <c r="Q245" s="435"/>
      <c r="R245" s="449"/>
      <c r="S245" s="435"/>
      <c r="V245" s="448"/>
      <c r="W245" s="448"/>
      <c r="X245" s="448"/>
      <c r="Y245" s="447"/>
      <c r="Z245" s="447"/>
      <c r="AA245" s="447"/>
      <c r="AB245" s="453"/>
      <c r="AC245" s="452"/>
      <c r="AD245" s="451"/>
      <c r="AE245" s="451"/>
      <c r="AF245" s="451"/>
    </row>
    <row r="246" spans="1:32">
      <c r="A246" s="458"/>
      <c r="B246" s="456"/>
      <c r="C246" s="448"/>
      <c r="D246" s="448"/>
      <c r="E246" s="448"/>
      <c r="F246" s="448"/>
      <c r="G246" s="448"/>
      <c r="H246" s="448"/>
      <c r="I246" s="448"/>
      <c r="J246" s="435"/>
      <c r="K246" s="435"/>
      <c r="L246" s="448"/>
      <c r="M246" s="448"/>
      <c r="N246" s="435"/>
      <c r="O246" s="435"/>
      <c r="P246" s="450"/>
      <c r="Q246" s="435"/>
      <c r="R246" s="449"/>
      <c r="S246" s="435"/>
      <c r="V246" s="448"/>
      <c r="W246" s="448"/>
      <c r="X246" s="448"/>
      <c r="Y246" s="447"/>
      <c r="Z246" s="447"/>
      <c r="AA246" s="447"/>
      <c r="AB246" s="453"/>
      <c r="AC246" s="452"/>
      <c r="AD246" s="451"/>
      <c r="AE246" s="451"/>
      <c r="AF246" s="451"/>
    </row>
    <row r="247" spans="1:32">
      <c r="A247" s="457"/>
      <c r="B247" s="456"/>
      <c r="C247" s="448"/>
      <c r="D247" s="448"/>
      <c r="E247" s="448"/>
      <c r="F247" s="448"/>
      <c r="G247" s="448"/>
      <c r="H247" s="448"/>
      <c r="I247" s="448"/>
      <c r="J247" s="435"/>
      <c r="K247" s="435"/>
      <c r="L247" s="448"/>
      <c r="M247" s="448"/>
      <c r="N247" s="435"/>
      <c r="O247" s="435"/>
      <c r="P247" s="450"/>
      <c r="Q247" s="435"/>
      <c r="R247" s="449"/>
      <c r="S247" s="435"/>
      <c r="V247" s="448"/>
      <c r="W247" s="448"/>
      <c r="X247" s="448"/>
      <c r="Y247" s="447"/>
      <c r="Z247" s="447"/>
      <c r="AA247" s="447"/>
      <c r="AB247" s="453"/>
      <c r="AC247" s="452"/>
      <c r="AD247" s="451"/>
      <c r="AE247" s="451"/>
      <c r="AF247" s="451"/>
    </row>
    <row r="248" spans="1:32">
      <c r="A248" s="457"/>
      <c r="B248" s="456"/>
      <c r="C248" s="448"/>
      <c r="D248" s="448"/>
      <c r="E248" s="448"/>
      <c r="F248" s="448"/>
      <c r="G248" s="448"/>
      <c r="H248" s="448"/>
      <c r="I248" s="448"/>
      <c r="J248" s="435"/>
      <c r="K248" s="435"/>
      <c r="L248" s="448"/>
      <c r="M248" s="448"/>
      <c r="N248" s="435"/>
      <c r="O248" s="435"/>
      <c r="P248" s="450"/>
      <c r="Q248" s="435"/>
      <c r="R248" s="449"/>
      <c r="S248" s="435"/>
      <c r="V248" s="448"/>
      <c r="W248" s="448"/>
      <c r="X248" s="448"/>
      <c r="Y248" s="447"/>
      <c r="Z248" s="447"/>
      <c r="AA248" s="447"/>
      <c r="AB248" s="453"/>
      <c r="AC248" s="452"/>
      <c r="AD248" s="451"/>
      <c r="AE248" s="451"/>
      <c r="AF248" s="451"/>
    </row>
    <row r="249" spans="1:32">
      <c r="A249" s="457"/>
      <c r="B249" s="456"/>
      <c r="C249" s="448"/>
      <c r="D249" s="448"/>
      <c r="E249" s="448"/>
      <c r="F249" s="448"/>
      <c r="G249" s="448"/>
      <c r="H249" s="448"/>
      <c r="I249" s="448"/>
      <c r="J249" s="435"/>
      <c r="K249" s="435"/>
      <c r="L249" s="448"/>
      <c r="M249" s="448"/>
      <c r="N249" s="435"/>
      <c r="O249" s="435"/>
      <c r="P249" s="450"/>
      <c r="Q249" s="435"/>
      <c r="R249" s="449"/>
      <c r="S249" s="435"/>
      <c r="V249" s="448"/>
      <c r="W249" s="448"/>
      <c r="X249" s="448"/>
      <c r="Y249" s="447"/>
      <c r="Z249" s="447"/>
      <c r="AA249" s="447"/>
      <c r="AB249" s="453"/>
      <c r="AC249" s="452"/>
      <c r="AD249" s="451"/>
      <c r="AE249" s="451"/>
      <c r="AF249" s="451"/>
    </row>
    <row r="250" spans="1:32">
      <c r="A250" s="455"/>
      <c r="C250" s="448"/>
      <c r="D250" s="448"/>
      <c r="E250" s="448"/>
      <c r="F250" s="448"/>
      <c r="G250" s="448"/>
      <c r="H250" s="448"/>
      <c r="I250" s="448"/>
      <c r="J250" s="435"/>
      <c r="K250" s="435"/>
      <c r="L250" s="448"/>
      <c r="M250" s="448"/>
      <c r="N250" s="435"/>
      <c r="O250" s="435"/>
      <c r="P250" s="450"/>
      <c r="Q250" s="435"/>
      <c r="R250" s="449"/>
      <c r="S250" s="435"/>
      <c r="V250" s="448"/>
      <c r="W250" s="448"/>
      <c r="X250" s="448"/>
      <c r="Y250" s="447"/>
      <c r="Z250" s="447"/>
      <c r="AA250" s="447"/>
      <c r="AB250" s="453"/>
      <c r="AC250" s="452"/>
      <c r="AD250" s="451"/>
      <c r="AE250" s="451"/>
      <c r="AF250" s="451"/>
    </row>
    <row r="251" spans="1:32">
      <c r="A251" s="455"/>
      <c r="C251" s="448"/>
      <c r="D251" s="448"/>
      <c r="E251" s="448"/>
      <c r="F251" s="448"/>
      <c r="G251" s="448"/>
      <c r="H251" s="448"/>
      <c r="I251" s="448"/>
      <c r="J251" s="435"/>
      <c r="K251" s="435"/>
      <c r="L251" s="448"/>
      <c r="M251" s="448"/>
      <c r="N251" s="435"/>
      <c r="O251" s="435"/>
      <c r="P251" s="450"/>
      <c r="Q251" s="435"/>
      <c r="R251" s="449"/>
      <c r="S251" s="435"/>
      <c r="V251" s="448"/>
      <c r="W251" s="448"/>
      <c r="X251" s="448"/>
      <c r="Y251" s="447"/>
      <c r="Z251" s="447"/>
      <c r="AA251" s="447"/>
      <c r="AB251" s="453"/>
      <c r="AC251" s="452"/>
      <c r="AD251" s="451"/>
      <c r="AE251" s="451"/>
      <c r="AF251" s="451"/>
    </row>
    <row r="252" spans="1:32">
      <c r="C252" s="448"/>
      <c r="D252" s="448"/>
      <c r="E252" s="448"/>
      <c r="F252" s="448"/>
      <c r="G252" s="448"/>
      <c r="H252" s="448"/>
      <c r="I252" s="448"/>
      <c r="J252" s="435"/>
      <c r="K252" s="435"/>
      <c r="L252" s="448"/>
      <c r="M252" s="448"/>
      <c r="N252" s="435"/>
      <c r="O252" s="435"/>
      <c r="P252" s="450"/>
      <c r="Q252" s="435"/>
      <c r="R252" s="449"/>
      <c r="S252" s="435"/>
      <c r="V252" s="448"/>
      <c r="W252" s="448"/>
      <c r="X252" s="448"/>
      <c r="Y252" s="447"/>
      <c r="Z252" s="447"/>
      <c r="AA252" s="447"/>
      <c r="AB252" s="453"/>
      <c r="AC252" s="452"/>
      <c r="AD252" s="451"/>
      <c r="AE252" s="451"/>
      <c r="AF252" s="451"/>
    </row>
    <row r="253" spans="1:32">
      <c r="C253" s="448"/>
      <c r="D253" s="448"/>
      <c r="E253" s="448"/>
      <c r="F253" s="448"/>
      <c r="G253" s="448"/>
      <c r="H253" s="448"/>
      <c r="I253" s="448"/>
      <c r="J253" s="435"/>
      <c r="K253" s="435"/>
      <c r="L253" s="448"/>
      <c r="M253" s="448"/>
      <c r="N253" s="435"/>
      <c r="O253" s="435"/>
      <c r="P253" s="450"/>
      <c r="Q253" s="435"/>
      <c r="R253" s="449"/>
      <c r="S253" s="435"/>
      <c r="V253" s="448"/>
      <c r="W253" s="448"/>
      <c r="X253" s="448"/>
      <c r="Y253" s="447"/>
      <c r="Z253" s="447"/>
      <c r="AA253" s="447"/>
      <c r="AB253" s="453"/>
      <c r="AC253" s="452"/>
      <c r="AD253" s="451"/>
      <c r="AE253" s="451"/>
      <c r="AF253" s="451"/>
    </row>
    <row r="254" spans="1:32">
      <c r="C254" s="448"/>
      <c r="D254" s="448"/>
      <c r="E254" s="448"/>
      <c r="F254" s="448"/>
      <c r="G254" s="448"/>
      <c r="H254" s="448"/>
      <c r="I254" s="448"/>
      <c r="J254" s="435"/>
      <c r="K254" s="435"/>
      <c r="L254" s="448"/>
      <c r="M254" s="448"/>
      <c r="N254" s="435"/>
      <c r="O254" s="435"/>
      <c r="P254" s="450"/>
      <c r="Q254" s="435"/>
      <c r="R254" s="449"/>
      <c r="S254" s="435"/>
      <c r="V254" s="448"/>
      <c r="W254" s="448"/>
      <c r="X254" s="448"/>
      <c r="Y254" s="447"/>
      <c r="Z254" s="447"/>
      <c r="AA254" s="447"/>
      <c r="AB254" s="453"/>
      <c r="AC254" s="452"/>
      <c r="AD254" s="451"/>
      <c r="AE254" s="451"/>
      <c r="AF254" s="451"/>
    </row>
    <row r="255" spans="1:32">
      <c r="B255" s="454"/>
      <c r="C255" s="448"/>
      <c r="D255" s="448"/>
      <c r="E255" s="448"/>
      <c r="F255" s="448"/>
      <c r="G255" s="448"/>
      <c r="H255" s="448"/>
      <c r="I255" s="448"/>
      <c r="J255" s="435"/>
      <c r="K255" s="435"/>
      <c r="L255" s="448"/>
      <c r="M255" s="448"/>
      <c r="N255" s="435"/>
      <c r="O255" s="435"/>
      <c r="P255" s="450"/>
      <c r="Q255" s="435"/>
      <c r="R255" s="449"/>
      <c r="S255" s="435"/>
      <c r="V255" s="448"/>
      <c r="W255" s="448"/>
      <c r="X255" s="448"/>
      <c r="Y255" s="447"/>
      <c r="Z255" s="447"/>
      <c r="AA255" s="447"/>
      <c r="AB255" s="453"/>
      <c r="AC255" s="452"/>
      <c r="AD255" s="451"/>
      <c r="AE255" s="451"/>
      <c r="AF255" s="451"/>
    </row>
    <row r="256" spans="1:32">
      <c r="C256" s="448"/>
      <c r="D256" s="448"/>
      <c r="E256" s="448"/>
      <c r="F256" s="448"/>
      <c r="G256" s="448"/>
      <c r="H256" s="448"/>
      <c r="I256" s="448"/>
      <c r="J256" s="435"/>
      <c r="K256" s="435"/>
      <c r="L256" s="448"/>
      <c r="M256" s="448"/>
      <c r="N256" s="435"/>
      <c r="O256" s="435"/>
      <c r="P256" s="450"/>
      <c r="Q256" s="435"/>
      <c r="R256" s="449"/>
      <c r="S256" s="435"/>
      <c r="V256" s="448"/>
      <c r="W256" s="448"/>
      <c r="X256" s="448"/>
      <c r="Y256" s="447"/>
      <c r="Z256" s="447"/>
      <c r="AA256" s="447"/>
      <c r="AB256" s="453"/>
      <c r="AC256" s="452"/>
      <c r="AD256" s="451"/>
      <c r="AE256" s="451"/>
      <c r="AF256" s="451"/>
    </row>
    <row r="257" spans="3:32">
      <c r="C257" s="448"/>
      <c r="D257" s="448"/>
      <c r="E257" s="448"/>
      <c r="F257" s="448"/>
      <c r="G257" s="448"/>
      <c r="H257" s="448"/>
      <c r="I257" s="448"/>
      <c r="J257" s="435"/>
      <c r="K257" s="435"/>
      <c r="L257" s="448"/>
      <c r="M257" s="448"/>
      <c r="N257" s="435"/>
      <c r="O257" s="435"/>
      <c r="P257" s="450"/>
      <c r="Q257" s="435"/>
      <c r="R257" s="449"/>
      <c r="S257" s="435"/>
      <c r="V257" s="448"/>
      <c r="W257" s="448"/>
      <c r="X257" s="448"/>
      <c r="Y257" s="447"/>
      <c r="Z257" s="447"/>
      <c r="AA257" s="447"/>
      <c r="AB257" s="453"/>
      <c r="AC257" s="452"/>
      <c r="AD257" s="451"/>
      <c r="AE257" s="451"/>
      <c r="AF257" s="451"/>
    </row>
    <row r="258" spans="3:32">
      <c r="C258" s="448"/>
      <c r="D258" s="448"/>
      <c r="E258" s="448"/>
      <c r="F258" s="448"/>
      <c r="G258" s="448"/>
      <c r="H258" s="448"/>
      <c r="I258" s="448"/>
      <c r="J258" s="435"/>
      <c r="K258" s="435"/>
      <c r="L258" s="448"/>
      <c r="M258" s="448"/>
      <c r="N258" s="435"/>
      <c r="O258" s="435"/>
      <c r="P258" s="450"/>
      <c r="Q258" s="435"/>
      <c r="R258" s="449"/>
      <c r="S258" s="435"/>
      <c r="V258" s="448"/>
      <c r="W258" s="448"/>
      <c r="X258" s="448"/>
      <c r="Y258" s="447"/>
      <c r="Z258" s="447"/>
      <c r="AA258" s="447"/>
      <c r="AB258" s="453"/>
      <c r="AC258" s="452"/>
      <c r="AD258" s="451"/>
      <c r="AE258" s="451"/>
      <c r="AF258" s="451"/>
    </row>
    <row r="259" spans="3:32">
      <c r="C259" s="448"/>
      <c r="D259" s="448"/>
      <c r="E259" s="448"/>
      <c r="F259" s="448"/>
      <c r="G259" s="448"/>
      <c r="H259" s="448"/>
      <c r="I259" s="448"/>
      <c r="J259" s="435"/>
      <c r="K259" s="435"/>
      <c r="L259" s="448"/>
      <c r="M259" s="448"/>
      <c r="N259" s="435"/>
      <c r="O259" s="435"/>
      <c r="P259" s="450"/>
      <c r="Q259" s="435"/>
      <c r="R259" s="449"/>
      <c r="S259" s="435"/>
      <c r="V259" s="448"/>
      <c r="W259" s="448"/>
      <c r="X259" s="448"/>
      <c r="Y259" s="447"/>
      <c r="Z259" s="447"/>
      <c r="AA259" s="447"/>
      <c r="AB259" s="453"/>
      <c r="AC259" s="452"/>
      <c r="AD259" s="451"/>
      <c r="AE259" s="451"/>
      <c r="AF259" s="451"/>
    </row>
    <row r="260" spans="3:32">
      <c r="C260" s="448"/>
      <c r="D260" s="448"/>
      <c r="E260" s="448"/>
      <c r="F260" s="448"/>
      <c r="G260" s="448"/>
      <c r="H260" s="448"/>
      <c r="I260" s="448"/>
      <c r="J260" s="435"/>
      <c r="K260" s="435"/>
      <c r="L260" s="448"/>
      <c r="M260" s="448"/>
      <c r="N260" s="435"/>
      <c r="O260" s="435"/>
      <c r="P260" s="450"/>
      <c r="Q260" s="435"/>
      <c r="R260" s="449"/>
      <c r="S260" s="435"/>
      <c r="V260" s="448"/>
      <c r="W260" s="448"/>
      <c r="X260" s="448"/>
      <c r="Y260" s="447"/>
      <c r="Z260" s="447"/>
      <c r="AA260" s="447"/>
      <c r="AB260" s="453"/>
      <c r="AC260" s="452"/>
      <c r="AD260" s="451"/>
      <c r="AE260" s="451"/>
      <c r="AF260" s="451"/>
    </row>
    <row r="261" spans="3:32">
      <c r="C261" s="448"/>
      <c r="D261" s="448"/>
      <c r="E261" s="448"/>
      <c r="F261" s="448"/>
      <c r="G261" s="448"/>
      <c r="H261" s="448"/>
      <c r="I261" s="448"/>
      <c r="J261" s="435"/>
      <c r="K261" s="435"/>
      <c r="L261" s="448"/>
      <c r="M261" s="448"/>
      <c r="N261" s="435"/>
      <c r="O261" s="435"/>
      <c r="P261" s="450"/>
      <c r="Q261" s="435"/>
      <c r="R261" s="449"/>
      <c r="S261" s="435"/>
      <c r="V261" s="448"/>
      <c r="W261" s="448"/>
      <c r="X261" s="448"/>
      <c r="Y261" s="447"/>
      <c r="Z261" s="447"/>
      <c r="AA261" s="447"/>
      <c r="AB261" s="453"/>
      <c r="AC261" s="452"/>
      <c r="AD261" s="451"/>
      <c r="AE261" s="451"/>
      <c r="AF261" s="451"/>
    </row>
    <row r="262" spans="3:32">
      <c r="C262" s="448"/>
      <c r="D262" s="448"/>
      <c r="E262" s="448"/>
      <c r="F262" s="448"/>
      <c r="G262" s="448"/>
      <c r="H262" s="448"/>
      <c r="I262" s="448"/>
      <c r="J262" s="435"/>
      <c r="K262" s="435"/>
      <c r="L262" s="448"/>
      <c r="M262" s="448"/>
      <c r="N262" s="435"/>
      <c r="O262" s="435"/>
      <c r="P262" s="450"/>
      <c r="Q262" s="435"/>
      <c r="R262" s="449"/>
      <c r="S262" s="435"/>
      <c r="V262" s="448"/>
      <c r="W262" s="448"/>
      <c r="X262" s="448"/>
      <c r="Y262" s="447"/>
      <c r="Z262" s="447"/>
      <c r="AA262" s="447"/>
      <c r="AB262" s="453"/>
      <c r="AC262" s="452"/>
      <c r="AD262" s="451"/>
      <c r="AE262" s="451"/>
      <c r="AF262" s="451"/>
    </row>
    <row r="263" spans="3:32">
      <c r="C263" s="448"/>
      <c r="D263" s="448"/>
      <c r="E263" s="448"/>
      <c r="F263" s="448"/>
      <c r="G263" s="448"/>
      <c r="H263" s="448"/>
      <c r="I263" s="448"/>
      <c r="J263" s="435"/>
      <c r="K263" s="435"/>
      <c r="L263" s="448"/>
      <c r="M263" s="448"/>
      <c r="N263" s="435"/>
      <c r="O263" s="435"/>
      <c r="P263" s="450"/>
      <c r="Q263" s="435"/>
      <c r="R263" s="449"/>
      <c r="S263" s="435"/>
      <c r="V263" s="448"/>
      <c r="W263" s="448"/>
      <c r="X263" s="448"/>
      <c r="Y263" s="447"/>
      <c r="Z263" s="447"/>
      <c r="AA263" s="447"/>
      <c r="AB263" s="453"/>
      <c r="AC263" s="452"/>
      <c r="AD263" s="451"/>
      <c r="AE263" s="451"/>
      <c r="AF263" s="451"/>
    </row>
    <row r="264" spans="3:32">
      <c r="C264" s="448"/>
      <c r="D264" s="448"/>
      <c r="E264" s="448"/>
      <c r="F264" s="448"/>
      <c r="G264" s="448"/>
      <c r="H264" s="448"/>
      <c r="I264" s="448"/>
      <c r="J264" s="435"/>
      <c r="K264" s="435"/>
      <c r="L264" s="448"/>
      <c r="M264" s="448"/>
      <c r="N264" s="435"/>
      <c r="O264" s="435"/>
      <c r="P264" s="450"/>
      <c r="Q264" s="435"/>
      <c r="R264" s="449"/>
      <c r="S264" s="435"/>
      <c r="V264" s="448"/>
      <c r="W264" s="448"/>
      <c r="X264" s="448"/>
      <c r="Y264" s="447"/>
      <c r="Z264" s="447"/>
      <c r="AA264" s="447"/>
      <c r="AB264" s="453"/>
      <c r="AC264" s="452"/>
      <c r="AD264" s="451"/>
      <c r="AE264" s="451"/>
      <c r="AF264" s="451"/>
    </row>
    <row r="265" spans="3:32">
      <c r="C265" s="448"/>
      <c r="D265" s="448"/>
      <c r="E265" s="448"/>
      <c r="F265" s="448"/>
      <c r="G265" s="448"/>
      <c r="H265" s="448"/>
      <c r="I265" s="448"/>
      <c r="J265" s="435"/>
      <c r="K265" s="435"/>
      <c r="L265" s="448"/>
      <c r="M265" s="448"/>
      <c r="N265" s="435"/>
      <c r="O265" s="435"/>
      <c r="P265" s="450"/>
      <c r="Q265" s="435"/>
      <c r="R265" s="449"/>
      <c r="S265" s="435"/>
      <c r="V265" s="448"/>
      <c r="W265" s="448"/>
      <c r="X265" s="448"/>
      <c r="Y265" s="447"/>
      <c r="Z265" s="447"/>
      <c r="AA265" s="447"/>
      <c r="AB265" s="453"/>
      <c r="AC265" s="452"/>
      <c r="AD265" s="451"/>
      <c r="AE265" s="451"/>
      <c r="AF265" s="451"/>
    </row>
    <row r="266" spans="3:32">
      <c r="C266" s="448"/>
      <c r="D266" s="448"/>
      <c r="E266" s="448"/>
      <c r="F266" s="448"/>
      <c r="G266" s="448"/>
      <c r="H266" s="448"/>
      <c r="I266" s="448"/>
      <c r="J266" s="435"/>
      <c r="K266" s="435"/>
      <c r="L266" s="448"/>
      <c r="M266" s="448"/>
      <c r="N266" s="435"/>
      <c r="O266" s="435"/>
      <c r="P266" s="450"/>
      <c r="Q266" s="435"/>
      <c r="R266" s="449"/>
      <c r="S266" s="435"/>
      <c r="V266" s="448"/>
      <c r="W266" s="448"/>
      <c r="X266" s="448"/>
      <c r="Y266" s="447"/>
      <c r="Z266" s="447"/>
      <c r="AA266" s="447"/>
      <c r="AB266" s="453"/>
      <c r="AC266" s="452"/>
      <c r="AD266" s="451"/>
      <c r="AE266" s="451"/>
      <c r="AF266" s="451"/>
    </row>
    <row r="267" spans="3:32">
      <c r="C267" s="448"/>
      <c r="D267" s="448"/>
      <c r="E267" s="448"/>
      <c r="F267" s="448"/>
      <c r="G267" s="448"/>
      <c r="H267" s="448"/>
      <c r="I267" s="448"/>
      <c r="J267" s="435"/>
      <c r="K267" s="435"/>
      <c r="L267" s="448"/>
      <c r="M267" s="448"/>
      <c r="N267" s="435"/>
      <c r="O267" s="435"/>
      <c r="P267" s="450"/>
      <c r="Q267" s="435"/>
      <c r="R267" s="449"/>
      <c r="S267" s="435"/>
      <c r="V267" s="448"/>
      <c r="W267" s="448"/>
      <c r="X267" s="448"/>
      <c r="Y267" s="447"/>
      <c r="Z267" s="447"/>
      <c r="AA267" s="447"/>
      <c r="AB267" s="453"/>
      <c r="AC267" s="452"/>
      <c r="AD267" s="451"/>
      <c r="AE267" s="451"/>
      <c r="AF267" s="451"/>
    </row>
    <row r="268" spans="3:32">
      <c r="C268" s="448"/>
      <c r="D268" s="448"/>
      <c r="E268" s="448"/>
      <c r="F268" s="448"/>
      <c r="G268" s="448"/>
      <c r="H268" s="448"/>
      <c r="I268" s="448"/>
      <c r="J268" s="435"/>
      <c r="K268" s="435"/>
      <c r="L268" s="448"/>
      <c r="M268" s="448"/>
      <c r="N268" s="435"/>
      <c r="O268" s="435"/>
      <c r="P268" s="450"/>
      <c r="Q268" s="435"/>
      <c r="R268" s="449"/>
      <c r="S268" s="435"/>
      <c r="V268" s="448"/>
      <c r="W268" s="448"/>
      <c r="X268" s="448"/>
      <c r="Y268" s="447"/>
      <c r="Z268" s="447"/>
      <c r="AA268" s="447"/>
      <c r="AB268" s="453"/>
      <c r="AC268" s="452"/>
      <c r="AD268" s="451"/>
      <c r="AE268" s="451"/>
      <c r="AF268" s="451"/>
    </row>
    <row r="269" spans="3:32">
      <c r="C269" s="448"/>
      <c r="D269" s="448"/>
      <c r="E269" s="448"/>
      <c r="F269" s="448"/>
      <c r="G269" s="448"/>
      <c r="H269" s="448"/>
      <c r="I269" s="448"/>
      <c r="J269" s="435"/>
      <c r="K269" s="435"/>
      <c r="L269" s="448"/>
      <c r="M269" s="448"/>
      <c r="N269" s="435"/>
      <c r="O269" s="435"/>
      <c r="P269" s="450"/>
      <c r="Q269" s="435"/>
      <c r="R269" s="449"/>
      <c r="S269" s="435"/>
      <c r="V269" s="448"/>
      <c r="W269" s="448"/>
      <c r="X269" s="448"/>
      <c r="Y269" s="447"/>
      <c r="Z269" s="447"/>
      <c r="AA269" s="447"/>
      <c r="AB269" s="453"/>
      <c r="AC269" s="452"/>
      <c r="AD269" s="451"/>
      <c r="AE269" s="451"/>
      <c r="AF269" s="451"/>
    </row>
    <row r="270" spans="3:32">
      <c r="C270" s="448"/>
      <c r="D270" s="448"/>
      <c r="E270" s="448"/>
      <c r="F270" s="448"/>
      <c r="G270" s="448"/>
      <c r="H270" s="448"/>
      <c r="I270" s="448"/>
      <c r="J270" s="435"/>
      <c r="K270" s="435"/>
      <c r="L270" s="448"/>
      <c r="M270" s="448"/>
      <c r="N270" s="435"/>
      <c r="O270" s="435"/>
      <c r="P270" s="450"/>
      <c r="Q270" s="435"/>
      <c r="R270" s="449"/>
      <c r="S270" s="435"/>
      <c r="V270" s="448"/>
      <c r="W270" s="448"/>
      <c r="X270" s="448"/>
      <c r="Y270" s="447"/>
      <c r="Z270" s="447"/>
      <c r="AA270" s="447"/>
      <c r="AB270" s="453"/>
      <c r="AC270" s="452"/>
      <c r="AD270" s="451"/>
      <c r="AE270" s="451"/>
      <c r="AF270" s="451"/>
    </row>
    <row r="271" spans="3:32">
      <c r="C271" s="448"/>
      <c r="D271" s="448"/>
      <c r="E271" s="448"/>
      <c r="F271" s="448"/>
      <c r="G271" s="448"/>
      <c r="H271" s="448"/>
      <c r="I271" s="448"/>
      <c r="J271" s="435"/>
      <c r="K271" s="435"/>
      <c r="L271" s="448"/>
      <c r="M271" s="448"/>
      <c r="N271" s="435"/>
      <c r="O271" s="435"/>
      <c r="P271" s="450"/>
      <c r="Q271" s="435"/>
      <c r="R271" s="449"/>
      <c r="S271" s="435"/>
      <c r="V271" s="448"/>
      <c r="W271" s="448"/>
      <c r="X271" s="448"/>
      <c r="Y271" s="447"/>
      <c r="Z271" s="447"/>
      <c r="AA271" s="447"/>
      <c r="AB271" s="453"/>
      <c r="AC271" s="452"/>
      <c r="AD271" s="451"/>
      <c r="AE271" s="451"/>
      <c r="AF271" s="451"/>
    </row>
    <row r="272" spans="3:32">
      <c r="C272" s="448"/>
      <c r="D272" s="448"/>
      <c r="E272" s="448"/>
      <c r="F272" s="448"/>
      <c r="G272" s="448"/>
      <c r="H272" s="448"/>
      <c r="I272" s="448"/>
      <c r="J272" s="435"/>
      <c r="K272" s="435"/>
      <c r="L272" s="448"/>
      <c r="M272" s="448"/>
      <c r="N272" s="435"/>
      <c r="O272" s="435"/>
      <c r="P272" s="450"/>
      <c r="Q272" s="435"/>
      <c r="R272" s="449"/>
      <c r="S272" s="435"/>
      <c r="V272" s="448"/>
      <c r="W272" s="448"/>
      <c r="X272" s="448"/>
      <c r="Y272" s="447"/>
      <c r="Z272" s="447"/>
      <c r="AA272" s="447"/>
      <c r="AB272" s="453"/>
      <c r="AC272" s="452"/>
      <c r="AD272" s="451"/>
      <c r="AE272" s="451"/>
      <c r="AF272" s="451"/>
    </row>
    <row r="273" spans="3:32">
      <c r="C273" s="448"/>
      <c r="D273" s="448"/>
      <c r="E273" s="448"/>
      <c r="F273" s="448"/>
      <c r="G273" s="448"/>
      <c r="H273" s="448"/>
      <c r="I273" s="448"/>
      <c r="J273" s="435"/>
      <c r="K273" s="435"/>
      <c r="L273" s="448"/>
      <c r="M273" s="448"/>
      <c r="N273" s="435"/>
      <c r="O273" s="435"/>
      <c r="P273" s="450"/>
      <c r="Q273" s="435"/>
      <c r="R273" s="449"/>
      <c r="S273" s="435"/>
      <c r="V273" s="448"/>
      <c r="W273" s="448"/>
      <c r="X273" s="448"/>
      <c r="Y273" s="447"/>
      <c r="Z273" s="447"/>
      <c r="AA273" s="447"/>
      <c r="AB273" s="453"/>
      <c r="AC273" s="452"/>
      <c r="AD273" s="451"/>
      <c r="AE273" s="451"/>
      <c r="AF273" s="451"/>
    </row>
    <row r="274" spans="3:32">
      <c r="C274" s="448"/>
      <c r="D274" s="448"/>
      <c r="E274" s="448"/>
      <c r="F274" s="448"/>
      <c r="G274" s="448"/>
      <c r="H274" s="448"/>
      <c r="I274" s="448"/>
      <c r="J274" s="435"/>
      <c r="K274" s="435"/>
      <c r="L274" s="448"/>
      <c r="M274" s="448"/>
      <c r="N274" s="435"/>
      <c r="O274" s="435"/>
      <c r="P274" s="450"/>
      <c r="Q274" s="435"/>
      <c r="R274" s="449"/>
      <c r="S274" s="435"/>
      <c r="V274" s="448"/>
      <c r="W274" s="448"/>
      <c r="X274" s="448"/>
      <c r="Y274" s="447"/>
      <c r="Z274" s="447"/>
      <c r="AA274" s="447"/>
      <c r="AB274" s="453"/>
      <c r="AC274" s="452"/>
      <c r="AD274" s="451"/>
      <c r="AE274" s="451"/>
      <c r="AF274" s="451"/>
    </row>
    <row r="275" spans="3:32">
      <c r="C275" s="448"/>
      <c r="D275" s="448"/>
      <c r="E275" s="448"/>
      <c r="F275" s="448"/>
      <c r="G275" s="448"/>
      <c r="H275" s="448"/>
      <c r="I275" s="448"/>
      <c r="J275" s="435"/>
      <c r="K275" s="435"/>
      <c r="L275" s="448"/>
      <c r="M275" s="448"/>
      <c r="N275" s="435"/>
      <c r="O275" s="435"/>
      <c r="P275" s="450"/>
      <c r="Q275" s="435"/>
      <c r="R275" s="449"/>
      <c r="S275" s="435"/>
      <c r="V275" s="448"/>
      <c r="W275" s="448"/>
      <c r="X275" s="448"/>
      <c r="Y275" s="447"/>
      <c r="Z275" s="447"/>
      <c r="AA275" s="447"/>
      <c r="AB275" s="453"/>
      <c r="AC275" s="452"/>
      <c r="AD275" s="451"/>
      <c r="AE275" s="451"/>
      <c r="AF275" s="451"/>
    </row>
    <row r="276" spans="3:32">
      <c r="C276" s="448"/>
      <c r="D276" s="448"/>
      <c r="E276" s="448"/>
      <c r="F276" s="448"/>
      <c r="G276" s="448"/>
      <c r="H276" s="448"/>
      <c r="I276" s="448"/>
      <c r="J276" s="435"/>
      <c r="K276" s="435"/>
      <c r="L276" s="448"/>
      <c r="M276" s="448"/>
      <c r="N276" s="435"/>
      <c r="O276" s="435"/>
      <c r="P276" s="450"/>
      <c r="Q276" s="435"/>
      <c r="R276" s="449"/>
      <c r="S276" s="435"/>
      <c r="V276" s="448"/>
      <c r="W276" s="448"/>
      <c r="X276" s="448"/>
      <c r="Y276" s="447"/>
      <c r="Z276" s="447"/>
      <c r="AA276" s="447"/>
      <c r="AB276" s="453"/>
      <c r="AC276" s="452"/>
      <c r="AD276" s="451"/>
      <c r="AE276" s="451"/>
      <c r="AF276" s="451"/>
    </row>
    <row r="277" spans="3:32">
      <c r="C277" s="448"/>
      <c r="D277" s="448"/>
      <c r="E277" s="448"/>
      <c r="F277" s="448"/>
      <c r="G277" s="448"/>
      <c r="H277" s="448"/>
      <c r="I277" s="448"/>
      <c r="J277" s="435"/>
      <c r="K277" s="435"/>
      <c r="L277" s="448"/>
      <c r="M277" s="448"/>
      <c r="N277" s="435"/>
      <c r="O277" s="435"/>
      <c r="P277" s="450"/>
      <c r="Q277" s="435"/>
      <c r="R277" s="449"/>
      <c r="S277" s="435"/>
      <c r="V277" s="448"/>
      <c r="W277" s="448"/>
      <c r="X277" s="448"/>
      <c r="Y277" s="447"/>
      <c r="Z277" s="447"/>
      <c r="AA277" s="447"/>
      <c r="AB277" s="453"/>
      <c r="AC277" s="452"/>
      <c r="AD277" s="451"/>
      <c r="AE277" s="451"/>
      <c r="AF277" s="451"/>
    </row>
    <row r="278" spans="3:32">
      <c r="C278" s="448"/>
      <c r="D278" s="448"/>
      <c r="E278" s="448"/>
      <c r="F278" s="448"/>
      <c r="G278" s="448"/>
      <c r="H278" s="448"/>
      <c r="I278" s="448"/>
      <c r="J278" s="435"/>
      <c r="K278" s="435"/>
      <c r="L278" s="448"/>
      <c r="M278" s="448"/>
      <c r="N278" s="435"/>
      <c r="O278" s="435"/>
      <c r="P278" s="450"/>
      <c r="Q278" s="435"/>
      <c r="R278" s="449"/>
      <c r="S278" s="435"/>
      <c r="V278" s="448"/>
      <c r="W278" s="448"/>
      <c r="X278" s="448"/>
      <c r="Y278" s="447"/>
      <c r="Z278" s="447"/>
      <c r="AA278" s="447"/>
      <c r="AB278" s="453"/>
      <c r="AC278" s="452"/>
      <c r="AD278" s="451"/>
      <c r="AE278" s="451"/>
      <c r="AF278" s="451"/>
    </row>
    <row r="279" spans="3:32">
      <c r="C279" s="448"/>
      <c r="D279" s="448"/>
      <c r="E279" s="448"/>
      <c r="F279" s="448"/>
      <c r="G279" s="448"/>
      <c r="H279" s="448"/>
      <c r="I279" s="448"/>
      <c r="J279" s="435"/>
      <c r="K279" s="435"/>
      <c r="L279" s="448"/>
      <c r="M279" s="448"/>
      <c r="N279" s="435"/>
      <c r="O279" s="435"/>
      <c r="P279" s="450"/>
      <c r="Q279" s="435"/>
      <c r="R279" s="449"/>
      <c r="S279" s="435"/>
      <c r="V279" s="448"/>
      <c r="W279" s="448"/>
      <c r="X279" s="448"/>
      <c r="Y279" s="447"/>
      <c r="Z279" s="447"/>
      <c r="AA279" s="447"/>
      <c r="AB279" s="453"/>
      <c r="AC279" s="452"/>
      <c r="AD279" s="451"/>
      <c r="AE279" s="451"/>
      <c r="AF279" s="451"/>
    </row>
    <row r="280" spans="3:32">
      <c r="C280" s="448"/>
      <c r="D280" s="448"/>
      <c r="E280" s="448"/>
      <c r="F280" s="448"/>
      <c r="G280" s="448"/>
      <c r="H280" s="448"/>
      <c r="I280" s="448"/>
      <c r="J280" s="435"/>
      <c r="K280" s="435"/>
      <c r="L280" s="448"/>
      <c r="M280" s="448"/>
      <c r="N280" s="435"/>
      <c r="O280" s="435"/>
      <c r="P280" s="450"/>
      <c r="Q280" s="435"/>
      <c r="R280" s="449"/>
      <c r="S280" s="435"/>
      <c r="V280" s="448"/>
      <c r="W280" s="448"/>
      <c r="X280" s="448"/>
      <c r="Y280" s="447"/>
      <c r="Z280" s="447"/>
      <c r="AA280" s="447"/>
      <c r="AB280" s="453"/>
      <c r="AC280" s="452"/>
      <c r="AD280" s="451"/>
      <c r="AE280" s="451"/>
      <c r="AF280" s="451"/>
    </row>
    <row r="281" spans="3:32">
      <c r="C281" s="448"/>
      <c r="D281" s="448"/>
      <c r="E281" s="448"/>
      <c r="F281" s="448"/>
      <c r="G281" s="448"/>
      <c r="H281" s="448"/>
      <c r="I281" s="448"/>
      <c r="J281" s="435"/>
      <c r="K281" s="435"/>
      <c r="L281" s="448"/>
      <c r="M281" s="448"/>
      <c r="N281" s="435"/>
      <c r="O281" s="435"/>
      <c r="P281" s="450"/>
      <c r="Q281" s="435"/>
      <c r="R281" s="449"/>
      <c r="S281" s="435"/>
      <c r="V281" s="448"/>
      <c r="W281" s="448"/>
      <c r="X281" s="448"/>
      <c r="Y281" s="447"/>
      <c r="Z281" s="447"/>
      <c r="AA281" s="447"/>
      <c r="AB281" s="453"/>
      <c r="AC281" s="452"/>
      <c r="AD281" s="451"/>
      <c r="AE281" s="451"/>
      <c r="AF281" s="451"/>
    </row>
    <row r="282" spans="3:32">
      <c r="C282" s="448"/>
      <c r="D282" s="448"/>
      <c r="E282" s="448"/>
      <c r="F282" s="448"/>
      <c r="G282" s="448"/>
      <c r="H282" s="448"/>
      <c r="I282" s="448"/>
      <c r="J282" s="435"/>
      <c r="K282" s="435"/>
      <c r="L282" s="448"/>
      <c r="M282" s="448"/>
      <c r="N282" s="435"/>
      <c r="O282" s="435"/>
      <c r="P282" s="450"/>
      <c r="Q282" s="435"/>
      <c r="R282" s="449"/>
      <c r="S282" s="435"/>
      <c r="V282" s="448"/>
      <c r="W282" s="448"/>
      <c r="X282" s="448"/>
      <c r="Y282" s="447"/>
      <c r="Z282" s="447"/>
      <c r="AA282" s="447"/>
      <c r="AB282" s="453"/>
      <c r="AC282" s="452"/>
      <c r="AD282" s="451"/>
      <c r="AE282" s="451"/>
      <c r="AF282" s="451"/>
    </row>
    <row r="283" spans="3:32">
      <c r="C283" s="448"/>
      <c r="D283" s="448"/>
      <c r="E283" s="448"/>
      <c r="F283" s="448"/>
      <c r="G283" s="448"/>
      <c r="H283" s="448"/>
      <c r="I283" s="448"/>
      <c r="J283" s="435"/>
      <c r="K283" s="435"/>
      <c r="L283" s="448"/>
      <c r="M283" s="448"/>
      <c r="N283" s="435"/>
      <c r="O283" s="435"/>
      <c r="P283" s="450"/>
      <c r="Q283" s="435"/>
      <c r="R283" s="449"/>
      <c r="S283" s="435"/>
      <c r="V283" s="448"/>
      <c r="W283" s="448"/>
      <c r="X283" s="448"/>
      <c r="Y283" s="447"/>
      <c r="Z283" s="447"/>
      <c r="AA283" s="447"/>
      <c r="AB283" s="453"/>
      <c r="AC283" s="452"/>
      <c r="AD283" s="451"/>
      <c r="AE283" s="451"/>
      <c r="AF283" s="451"/>
    </row>
    <row r="284" spans="3:32">
      <c r="C284" s="448"/>
      <c r="D284" s="448"/>
      <c r="E284" s="448"/>
      <c r="F284" s="448"/>
      <c r="G284" s="448"/>
      <c r="H284" s="448"/>
      <c r="I284" s="448"/>
      <c r="J284" s="435"/>
      <c r="K284" s="435"/>
      <c r="L284" s="448"/>
      <c r="M284" s="448"/>
      <c r="N284" s="435"/>
      <c r="O284" s="435"/>
      <c r="P284" s="450"/>
      <c r="Q284" s="435"/>
      <c r="R284" s="449"/>
      <c r="S284" s="435"/>
      <c r="V284" s="448"/>
      <c r="W284" s="448"/>
      <c r="X284" s="448"/>
      <c r="Y284" s="447"/>
      <c r="Z284" s="447"/>
      <c r="AA284" s="447"/>
      <c r="AB284" s="453"/>
      <c r="AC284" s="452"/>
      <c r="AD284" s="451"/>
      <c r="AE284" s="451"/>
      <c r="AF284" s="451"/>
    </row>
    <row r="285" spans="3:32">
      <c r="C285" s="448"/>
      <c r="D285" s="448"/>
      <c r="E285" s="448"/>
      <c r="F285" s="448"/>
      <c r="G285" s="448"/>
      <c r="H285" s="448"/>
      <c r="I285" s="448"/>
      <c r="J285" s="435"/>
      <c r="K285" s="435"/>
      <c r="L285" s="448"/>
      <c r="M285" s="448"/>
      <c r="N285" s="435"/>
      <c r="O285" s="435"/>
      <c r="P285" s="450"/>
      <c r="Q285" s="435"/>
      <c r="R285" s="449"/>
      <c r="S285" s="435"/>
      <c r="V285" s="448"/>
      <c r="W285" s="448"/>
      <c r="X285" s="448"/>
      <c r="Y285" s="447"/>
      <c r="Z285" s="447"/>
      <c r="AA285" s="447"/>
      <c r="AB285" s="453"/>
      <c r="AC285" s="452"/>
      <c r="AD285" s="451"/>
      <c r="AE285" s="451"/>
      <c r="AF285" s="451"/>
    </row>
    <row r="286" spans="3:32">
      <c r="C286" s="448"/>
      <c r="D286" s="448"/>
      <c r="E286" s="448"/>
      <c r="F286" s="448"/>
      <c r="G286" s="448"/>
      <c r="H286" s="448"/>
      <c r="I286" s="448"/>
      <c r="J286" s="435"/>
      <c r="K286" s="435"/>
      <c r="L286" s="448"/>
      <c r="M286" s="448"/>
      <c r="N286" s="435"/>
      <c r="O286" s="435"/>
      <c r="P286" s="450"/>
      <c r="Q286" s="435"/>
      <c r="R286" s="449"/>
      <c r="S286" s="435"/>
      <c r="V286" s="448"/>
      <c r="W286" s="448"/>
      <c r="X286" s="448"/>
      <c r="Y286" s="447"/>
      <c r="Z286" s="447"/>
      <c r="AA286" s="447"/>
      <c r="AB286" s="453"/>
      <c r="AC286" s="452"/>
      <c r="AD286" s="451"/>
      <c r="AE286" s="451"/>
      <c r="AF286" s="451"/>
    </row>
    <row r="287" spans="3:32">
      <c r="C287" s="448"/>
      <c r="D287" s="448"/>
      <c r="E287" s="448"/>
      <c r="F287" s="448"/>
      <c r="G287" s="448"/>
      <c r="H287" s="448"/>
      <c r="I287" s="448"/>
      <c r="J287" s="435"/>
      <c r="K287" s="435"/>
      <c r="L287" s="448"/>
      <c r="M287" s="448"/>
      <c r="N287" s="435"/>
      <c r="O287" s="435"/>
      <c r="P287" s="450"/>
      <c r="Q287" s="435"/>
      <c r="R287" s="449"/>
      <c r="S287" s="435"/>
      <c r="V287" s="448"/>
      <c r="W287" s="448"/>
      <c r="X287" s="448"/>
      <c r="Y287" s="447"/>
      <c r="Z287" s="447"/>
      <c r="AA287" s="447"/>
      <c r="AB287" s="453"/>
      <c r="AC287" s="452"/>
      <c r="AD287" s="451"/>
      <c r="AE287" s="451"/>
      <c r="AF287" s="451"/>
    </row>
    <row r="288" spans="3:32">
      <c r="C288" s="448"/>
      <c r="D288" s="448"/>
      <c r="E288" s="448"/>
      <c r="F288" s="448"/>
      <c r="G288" s="448"/>
      <c r="H288" s="448"/>
      <c r="I288" s="448"/>
      <c r="J288" s="435"/>
      <c r="K288" s="435"/>
      <c r="L288" s="448"/>
      <c r="M288" s="448"/>
      <c r="N288" s="435"/>
      <c r="O288" s="435"/>
      <c r="P288" s="450"/>
      <c r="Q288" s="435"/>
      <c r="R288" s="449"/>
      <c r="S288" s="435"/>
      <c r="V288" s="448"/>
      <c r="W288" s="448"/>
      <c r="X288" s="448"/>
      <c r="Y288" s="447"/>
      <c r="Z288" s="447"/>
      <c r="AA288" s="447"/>
      <c r="AB288" s="453"/>
      <c r="AC288" s="452"/>
      <c r="AD288" s="451"/>
      <c r="AE288" s="451"/>
      <c r="AF288" s="451"/>
    </row>
    <row r="289" spans="3:32">
      <c r="C289" s="448"/>
      <c r="D289" s="448"/>
      <c r="E289" s="448"/>
      <c r="F289" s="448"/>
      <c r="G289" s="448"/>
      <c r="H289" s="448"/>
      <c r="I289" s="448"/>
      <c r="J289" s="435"/>
      <c r="K289" s="435"/>
      <c r="L289" s="448"/>
      <c r="M289" s="448"/>
      <c r="N289" s="435"/>
      <c r="O289" s="435"/>
      <c r="P289" s="450"/>
      <c r="Q289" s="435"/>
      <c r="R289" s="449"/>
      <c r="S289" s="435"/>
      <c r="V289" s="448"/>
      <c r="W289" s="448"/>
      <c r="X289" s="448"/>
      <c r="Y289" s="447"/>
      <c r="Z289" s="447"/>
      <c r="AA289" s="447"/>
      <c r="AB289" s="453"/>
      <c r="AC289" s="452"/>
      <c r="AD289" s="451"/>
      <c r="AE289" s="451"/>
      <c r="AF289" s="451"/>
    </row>
    <row r="290" spans="3:32">
      <c r="C290" s="448"/>
      <c r="D290" s="448"/>
      <c r="E290" s="448"/>
      <c r="F290" s="448"/>
      <c r="G290" s="448"/>
      <c r="H290" s="448"/>
      <c r="I290" s="448"/>
      <c r="J290" s="435"/>
      <c r="K290" s="435"/>
      <c r="L290" s="448"/>
      <c r="M290" s="448"/>
      <c r="N290" s="435"/>
      <c r="O290" s="435"/>
      <c r="P290" s="450"/>
      <c r="Q290" s="435"/>
      <c r="R290" s="449"/>
      <c r="S290" s="435"/>
      <c r="V290" s="448"/>
      <c r="W290" s="448"/>
      <c r="X290" s="448"/>
      <c r="Y290" s="447"/>
      <c r="Z290" s="447"/>
      <c r="AA290" s="447"/>
      <c r="AB290" s="453"/>
      <c r="AC290" s="452"/>
      <c r="AD290" s="451"/>
      <c r="AE290" s="451"/>
      <c r="AF290" s="451"/>
    </row>
    <row r="291" spans="3:32">
      <c r="C291" s="448"/>
      <c r="D291" s="448"/>
      <c r="E291" s="448"/>
      <c r="F291" s="448"/>
      <c r="G291" s="448"/>
      <c r="H291" s="448"/>
      <c r="I291" s="448"/>
      <c r="J291" s="435"/>
      <c r="K291" s="435"/>
      <c r="L291" s="448"/>
      <c r="M291" s="448"/>
      <c r="N291" s="435"/>
      <c r="O291" s="435"/>
      <c r="P291" s="450"/>
      <c r="Q291" s="435"/>
      <c r="R291" s="449"/>
      <c r="S291" s="435"/>
      <c r="V291" s="448"/>
      <c r="W291" s="448"/>
      <c r="X291" s="448"/>
      <c r="Y291" s="447"/>
      <c r="Z291" s="447"/>
      <c r="AA291" s="447"/>
      <c r="AB291" s="453"/>
      <c r="AC291" s="452"/>
      <c r="AD291" s="451"/>
      <c r="AE291" s="451"/>
      <c r="AF291" s="451"/>
    </row>
    <row r="292" spans="3:32">
      <c r="C292" s="448"/>
      <c r="D292" s="448"/>
      <c r="E292" s="448"/>
      <c r="F292" s="448"/>
      <c r="G292" s="448"/>
      <c r="H292" s="448"/>
      <c r="I292" s="448"/>
      <c r="J292" s="435"/>
      <c r="K292" s="435"/>
      <c r="L292" s="448"/>
      <c r="M292" s="448"/>
      <c r="N292" s="435"/>
      <c r="O292" s="435"/>
      <c r="P292" s="450"/>
      <c r="Q292" s="435"/>
      <c r="R292" s="449"/>
      <c r="S292" s="435"/>
      <c r="V292" s="448"/>
      <c r="W292" s="448"/>
      <c r="X292" s="448"/>
      <c r="Y292" s="447"/>
      <c r="Z292" s="447"/>
      <c r="AA292" s="447"/>
      <c r="AB292" s="453"/>
      <c r="AC292" s="452"/>
      <c r="AD292" s="451"/>
      <c r="AE292" s="451"/>
      <c r="AF292" s="451"/>
    </row>
    <row r="293" spans="3:32">
      <c r="C293" s="448"/>
      <c r="D293" s="448"/>
      <c r="E293" s="448"/>
      <c r="F293" s="448"/>
      <c r="G293" s="448"/>
      <c r="H293" s="448"/>
      <c r="I293" s="448"/>
      <c r="J293" s="435"/>
      <c r="K293" s="435"/>
      <c r="L293" s="448"/>
      <c r="M293" s="448"/>
      <c r="N293" s="435"/>
      <c r="O293" s="435"/>
      <c r="P293" s="450"/>
      <c r="Q293" s="435"/>
      <c r="R293" s="449"/>
      <c r="S293" s="435"/>
      <c r="V293" s="448"/>
      <c r="W293" s="448"/>
      <c r="X293" s="448"/>
      <c r="Y293" s="447"/>
      <c r="Z293" s="447"/>
      <c r="AA293" s="447"/>
      <c r="AB293" s="453"/>
      <c r="AC293" s="452"/>
      <c r="AD293" s="451"/>
      <c r="AE293" s="451"/>
      <c r="AF293" s="451"/>
    </row>
    <row r="294" spans="3:32">
      <c r="C294" s="448"/>
      <c r="D294" s="448"/>
      <c r="E294" s="448"/>
      <c r="F294" s="448"/>
      <c r="G294" s="448"/>
      <c r="H294" s="448"/>
      <c r="I294" s="448"/>
      <c r="J294" s="435"/>
      <c r="K294" s="435"/>
      <c r="L294" s="448"/>
      <c r="M294" s="448"/>
      <c r="N294" s="435"/>
      <c r="O294" s="435"/>
      <c r="P294" s="450"/>
      <c r="Q294" s="435"/>
      <c r="R294" s="449"/>
      <c r="S294" s="435"/>
      <c r="V294" s="448"/>
      <c r="W294" s="448"/>
      <c r="X294" s="448"/>
      <c r="Y294" s="447"/>
      <c r="Z294" s="447"/>
      <c r="AA294" s="447"/>
      <c r="AB294" s="453"/>
      <c r="AC294" s="452"/>
      <c r="AD294" s="451"/>
      <c r="AE294" s="451"/>
      <c r="AF294" s="451"/>
    </row>
    <row r="295" spans="3:32">
      <c r="C295" s="448"/>
      <c r="D295" s="448"/>
      <c r="E295" s="448"/>
      <c r="F295" s="448"/>
      <c r="G295" s="448"/>
      <c r="H295" s="448"/>
      <c r="I295" s="448"/>
      <c r="J295" s="435"/>
      <c r="K295" s="435"/>
      <c r="L295" s="448"/>
      <c r="M295" s="448"/>
      <c r="N295" s="435"/>
      <c r="O295" s="435"/>
      <c r="P295" s="450"/>
      <c r="Q295" s="435"/>
      <c r="R295" s="449"/>
      <c r="S295" s="435"/>
      <c r="V295" s="448"/>
      <c r="W295" s="448"/>
      <c r="X295" s="448"/>
      <c r="Y295" s="447"/>
      <c r="Z295" s="447"/>
      <c r="AA295" s="447"/>
      <c r="AB295" s="453"/>
      <c r="AC295" s="452"/>
      <c r="AD295" s="451"/>
      <c r="AE295" s="451"/>
      <c r="AF295" s="451"/>
    </row>
    <row r="296" spans="3:32">
      <c r="C296" s="448"/>
      <c r="D296" s="448"/>
      <c r="E296" s="448"/>
      <c r="F296" s="448"/>
      <c r="G296" s="448"/>
      <c r="H296" s="448"/>
      <c r="I296" s="448"/>
      <c r="J296" s="435"/>
      <c r="K296" s="435"/>
      <c r="L296" s="448"/>
      <c r="M296" s="448"/>
      <c r="N296" s="435"/>
      <c r="O296" s="435"/>
      <c r="P296" s="450"/>
      <c r="Q296" s="435"/>
      <c r="R296" s="449"/>
      <c r="S296" s="435"/>
      <c r="V296" s="448"/>
      <c r="W296" s="448"/>
      <c r="X296" s="448"/>
      <c r="Y296" s="447"/>
      <c r="Z296" s="447"/>
      <c r="AA296" s="447"/>
      <c r="AB296" s="453"/>
      <c r="AC296" s="452"/>
      <c r="AD296" s="451"/>
      <c r="AE296" s="451"/>
      <c r="AF296" s="451"/>
    </row>
    <row r="297" spans="3:32">
      <c r="C297" s="448"/>
      <c r="D297" s="448"/>
      <c r="E297" s="448"/>
      <c r="F297" s="448"/>
      <c r="G297" s="448"/>
      <c r="H297" s="448"/>
      <c r="I297" s="448"/>
      <c r="J297" s="435"/>
      <c r="K297" s="435"/>
      <c r="L297" s="448"/>
      <c r="M297" s="448"/>
      <c r="N297" s="435"/>
      <c r="O297" s="435"/>
      <c r="P297" s="450"/>
      <c r="Q297" s="435"/>
      <c r="R297" s="449"/>
      <c r="S297" s="435"/>
      <c r="V297" s="448"/>
      <c r="W297" s="448"/>
      <c r="X297" s="448"/>
      <c r="Y297" s="447"/>
      <c r="Z297" s="447"/>
      <c r="AA297" s="447"/>
    </row>
    <row r="298" spans="3:32">
      <c r="C298" s="448"/>
      <c r="D298" s="448"/>
      <c r="E298" s="448"/>
      <c r="F298" s="448"/>
      <c r="G298" s="448"/>
      <c r="H298" s="448"/>
      <c r="I298" s="448"/>
      <c r="J298" s="435"/>
      <c r="K298" s="435"/>
      <c r="L298" s="448"/>
      <c r="M298" s="448"/>
      <c r="N298" s="435"/>
      <c r="O298" s="435"/>
      <c r="P298" s="450"/>
      <c r="Q298" s="435"/>
      <c r="R298" s="449"/>
      <c r="S298" s="435"/>
      <c r="V298" s="448"/>
      <c r="W298" s="448"/>
      <c r="X298" s="448"/>
      <c r="Y298" s="447"/>
      <c r="Z298" s="447"/>
      <c r="AA298" s="447"/>
    </row>
    <row r="299" spans="3:32">
      <c r="C299" s="448"/>
      <c r="D299" s="448"/>
      <c r="E299" s="448"/>
      <c r="F299" s="448"/>
      <c r="G299" s="448"/>
      <c r="H299" s="448"/>
      <c r="I299" s="448"/>
      <c r="J299" s="435"/>
      <c r="K299" s="435"/>
      <c r="L299" s="448"/>
      <c r="M299" s="448"/>
      <c r="N299" s="435"/>
      <c r="O299" s="435"/>
      <c r="P299" s="450"/>
      <c r="Q299" s="435"/>
      <c r="R299" s="449"/>
      <c r="S299" s="435"/>
      <c r="V299" s="448"/>
      <c r="W299" s="448"/>
      <c r="X299" s="448"/>
      <c r="Y299" s="447"/>
      <c r="Z299" s="447"/>
      <c r="AA299" s="447"/>
    </row>
    <row r="300" spans="3:32">
      <c r="C300" s="448"/>
      <c r="D300" s="448"/>
      <c r="E300" s="448"/>
      <c r="F300" s="448"/>
      <c r="G300" s="448"/>
      <c r="H300" s="448"/>
      <c r="I300" s="448"/>
      <c r="J300" s="435"/>
      <c r="K300" s="435"/>
      <c r="L300" s="448"/>
      <c r="M300" s="448"/>
      <c r="N300" s="435"/>
      <c r="O300" s="435"/>
      <c r="P300" s="450"/>
      <c r="Q300" s="435"/>
      <c r="R300" s="449"/>
      <c r="S300" s="435"/>
      <c r="V300" s="448"/>
      <c r="W300" s="448"/>
      <c r="X300" s="448"/>
      <c r="Y300" s="447"/>
      <c r="Z300" s="447"/>
      <c r="AA300" s="447"/>
    </row>
    <row r="301" spans="3:32">
      <c r="C301" s="448"/>
      <c r="D301" s="448"/>
      <c r="E301" s="448"/>
      <c r="F301" s="448"/>
      <c r="G301" s="448"/>
      <c r="H301" s="448"/>
      <c r="I301" s="448"/>
      <c r="J301" s="435"/>
      <c r="K301" s="435"/>
      <c r="L301" s="448"/>
      <c r="M301" s="448"/>
      <c r="N301" s="435"/>
      <c r="O301" s="435"/>
      <c r="P301" s="450"/>
      <c r="Q301" s="435"/>
      <c r="R301" s="449"/>
      <c r="S301" s="435"/>
      <c r="V301" s="448"/>
      <c r="W301" s="448"/>
      <c r="X301" s="448"/>
      <c r="Y301" s="447"/>
      <c r="Z301" s="447"/>
      <c r="AA301" s="447"/>
    </row>
    <row r="302" spans="3:32">
      <c r="C302" s="448"/>
      <c r="D302" s="448"/>
      <c r="E302" s="448"/>
      <c r="F302" s="448"/>
      <c r="G302" s="448"/>
      <c r="H302" s="448"/>
      <c r="I302" s="448"/>
      <c r="J302" s="435"/>
      <c r="K302" s="435"/>
      <c r="L302" s="448"/>
      <c r="M302" s="448"/>
      <c r="N302" s="435"/>
      <c r="O302" s="435"/>
      <c r="P302" s="450"/>
      <c r="Q302" s="435"/>
      <c r="R302" s="449"/>
      <c r="S302" s="435"/>
      <c r="V302" s="448"/>
      <c r="W302" s="448"/>
      <c r="X302" s="448"/>
      <c r="Y302" s="447"/>
      <c r="Z302" s="447"/>
      <c r="AA302" s="447"/>
    </row>
    <row r="303" spans="3:32">
      <c r="C303" s="448"/>
      <c r="D303" s="448"/>
      <c r="E303" s="448"/>
      <c r="F303" s="448"/>
      <c r="G303" s="448"/>
      <c r="H303" s="448"/>
      <c r="I303" s="448"/>
      <c r="J303" s="435"/>
      <c r="K303" s="435"/>
      <c r="L303" s="448"/>
      <c r="M303" s="448"/>
      <c r="N303" s="435"/>
      <c r="O303" s="435"/>
      <c r="P303" s="450"/>
      <c r="Q303" s="435"/>
      <c r="R303" s="449"/>
      <c r="S303" s="435"/>
      <c r="V303" s="448"/>
      <c r="W303" s="448"/>
      <c r="X303" s="448"/>
      <c r="Y303" s="447"/>
      <c r="Z303" s="447"/>
      <c r="AA303" s="447"/>
    </row>
    <row r="304" spans="3:32">
      <c r="C304" s="448"/>
      <c r="D304" s="448"/>
      <c r="E304" s="448"/>
      <c r="F304" s="448"/>
      <c r="G304" s="448"/>
      <c r="H304" s="448"/>
      <c r="I304" s="448"/>
      <c r="J304" s="435"/>
      <c r="K304" s="435"/>
      <c r="L304" s="448"/>
      <c r="M304" s="448"/>
      <c r="N304" s="435"/>
      <c r="O304" s="435"/>
      <c r="P304" s="450"/>
      <c r="Q304" s="435"/>
      <c r="R304" s="449"/>
      <c r="S304" s="435"/>
      <c r="V304" s="448"/>
      <c r="W304" s="448"/>
      <c r="X304" s="448"/>
      <c r="Y304" s="447"/>
      <c r="Z304" s="447"/>
      <c r="AA304" s="447"/>
    </row>
    <row r="305" spans="1:32">
      <c r="C305" s="448"/>
      <c r="D305" s="448"/>
      <c r="E305" s="448"/>
      <c r="F305" s="448"/>
      <c r="G305" s="448"/>
      <c r="H305" s="448"/>
      <c r="I305" s="448"/>
      <c r="J305" s="435"/>
      <c r="K305" s="435"/>
      <c r="L305" s="448"/>
      <c r="M305" s="448"/>
      <c r="N305" s="435"/>
      <c r="O305" s="435"/>
      <c r="P305" s="450"/>
      <c r="Q305" s="435"/>
      <c r="R305" s="449"/>
      <c r="S305" s="435"/>
      <c r="V305" s="448"/>
      <c r="W305" s="448"/>
      <c r="X305" s="448"/>
      <c r="Y305" s="447"/>
      <c r="Z305" s="447"/>
      <c r="AA305" s="447"/>
    </row>
    <row r="306" spans="1:32">
      <c r="C306" s="448"/>
      <c r="D306" s="448"/>
      <c r="E306" s="448"/>
      <c r="F306" s="448"/>
      <c r="G306" s="448"/>
      <c r="H306" s="448"/>
      <c r="I306" s="448"/>
      <c r="J306" s="435"/>
      <c r="K306" s="435"/>
      <c r="L306" s="448"/>
      <c r="M306" s="448"/>
      <c r="N306" s="435"/>
      <c r="O306" s="435"/>
      <c r="P306" s="450"/>
      <c r="Q306" s="435"/>
      <c r="R306" s="449"/>
      <c r="S306" s="435"/>
      <c r="V306" s="448"/>
      <c r="W306" s="448"/>
      <c r="X306" s="448"/>
      <c r="Y306" s="447"/>
      <c r="Z306" s="447"/>
      <c r="AA306" s="447"/>
    </row>
    <row r="307" spans="1:32">
      <c r="C307" s="448"/>
      <c r="D307" s="448"/>
      <c r="E307" s="448"/>
      <c r="F307" s="448"/>
      <c r="G307" s="448"/>
      <c r="H307" s="448"/>
      <c r="I307" s="448"/>
      <c r="J307" s="435"/>
      <c r="K307" s="435"/>
      <c r="L307" s="448"/>
      <c r="M307" s="448"/>
      <c r="N307" s="435"/>
      <c r="O307" s="435"/>
      <c r="P307" s="450"/>
      <c r="Q307" s="435"/>
      <c r="R307" s="449"/>
      <c r="S307" s="435"/>
      <c r="V307" s="448"/>
      <c r="W307" s="448"/>
      <c r="X307" s="448"/>
      <c r="Y307" s="447"/>
      <c r="Z307" s="447"/>
      <c r="AA307" s="447"/>
    </row>
    <row r="308" spans="1:32">
      <c r="C308" s="448"/>
      <c r="D308" s="448"/>
      <c r="E308" s="448"/>
      <c r="F308" s="448"/>
      <c r="G308" s="448"/>
      <c r="H308" s="448"/>
      <c r="I308" s="448"/>
      <c r="J308" s="435"/>
      <c r="K308" s="435"/>
      <c r="L308" s="448"/>
      <c r="M308" s="448"/>
      <c r="N308" s="435"/>
      <c r="O308" s="435"/>
      <c r="P308" s="450"/>
      <c r="Q308" s="435"/>
      <c r="R308" s="449"/>
      <c r="S308" s="435"/>
      <c r="V308" s="448"/>
      <c r="W308" s="448"/>
      <c r="X308" s="448"/>
      <c r="Y308" s="447"/>
      <c r="Z308" s="447"/>
      <c r="AA308" s="447"/>
    </row>
    <row r="309" spans="1:32" s="446" customFormat="1">
      <c r="A309" s="445"/>
      <c r="B309" s="444"/>
      <c r="C309" s="448"/>
      <c r="D309" s="448"/>
      <c r="E309" s="448"/>
      <c r="F309" s="448"/>
      <c r="G309" s="448"/>
      <c r="H309" s="448"/>
      <c r="I309" s="448"/>
      <c r="J309" s="435"/>
      <c r="K309" s="435"/>
      <c r="L309" s="448"/>
      <c r="M309" s="448"/>
      <c r="N309" s="435"/>
      <c r="O309" s="435"/>
      <c r="P309" s="450"/>
      <c r="Q309" s="435"/>
      <c r="R309" s="449"/>
      <c r="S309" s="435"/>
      <c r="T309" s="440"/>
      <c r="U309" s="440"/>
      <c r="V309" s="448"/>
      <c r="W309" s="448"/>
      <c r="X309" s="448"/>
      <c r="Y309" s="447"/>
      <c r="Z309" s="447"/>
      <c r="AA309" s="447"/>
      <c r="AB309" s="437"/>
      <c r="AC309" s="436"/>
      <c r="AD309" s="435"/>
      <c r="AE309" s="435"/>
      <c r="AF309" s="435"/>
    </row>
    <row r="310" spans="1:32" s="446" customFormat="1">
      <c r="A310" s="445"/>
      <c r="B310" s="444"/>
      <c r="C310" s="448"/>
      <c r="D310" s="448"/>
      <c r="E310" s="448"/>
      <c r="F310" s="448"/>
      <c r="G310" s="448"/>
      <c r="H310" s="448"/>
      <c r="I310" s="448"/>
      <c r="J310" s="435"/>
      <c r="K310" s="435"/>
      <c r="L310" s="448"/>
      <c r="M310" s="448"/>
      <c r="N310" s="435"/>
      <c r="O310" s="435"/>
      <c r="P310" s="450"/>
      <c r="Q310" s="435"/>
      <c r="R310" s="449"/>
      <c r="S310" s="435"/>
      <c r="T310" s="440"/>
      <c r="U310" s="440"/>
      <c r="V310" s="448"/>
      <c r="W310" s="448"/>
      <c r="X310" s="448"/>
      <c r="Y310" s="447"/>
      <c r="Z310" s="447"/>
      <c r="AA310" s="447"/>
      <c r="AB310" s="437"/>
      <c r="AC310" s="436"/>
      <c r="AD310" s="435"/>
      <c r="AE310" s="435"/>
      <c r="AF310" s="435"/>
    </row>
    <row r="311" spans="1:32" s="446" customFormat="1">
      <c r="A311" s="445"/>
      <c r="B311" s="444"/>
      <c r="C311" s="448"/>
      <c r="D311" s="448"/>
      <c r="E311" s="448"/>
      <c r="F311" s="448"/>
      <c r="G311" s="448"/>
      <c r="H311" s="448"/>
      <c r="I311" s="448"/>
      <c r="J311" s="435"/>
      <c r="K311" s="435"/>
      <c r="L311" s="448"/>
      <c r="M311" s="448"/>
      <c r="N311" s="435"/>
      <c r="O311" s="435"/>
      <c r="P311" s="450"/>
      <c r="Q311" s="435"/>
      <c r="R311" s="449"/>
      <c r="S311" s="435"/>
      <c r="T311" s="440"/>
      <c r="U311" s="440"/>
      <c r="V311" s="448"/>
      <c r="W311" s="448"/>
      <c r="X311" s="448"/>
      <c r="Y311" s="447"/>
      <c r="Z311" s="447"/>
      <c r="AA311" s="447"/>
      <c r="AB311" s="437"/>
      <c r="AC311" s="436"/>
      <c r="AD311" s="435"/>
      <c r="AE311" s="435"/>
      <c r="AF311" s="435"/>
    </row>
    <row r="312" spans="1:32" s="446" customFormat="1">
      <c r="A312" s="445"/>
      <c r="B312" s="444"/>
      <c r="C312" s="448"/>
      <c r="D312" s="448"/>
      <c r="E312" s="448"/>
      <c r="F312" s="448"/>
      <c r="G312" s="448"/>
      <c r="H312" s="448"/>
      <c r="I312" s="448"/>
      <c r="J312" s="435"/>
      <c r="K312" s="435"/>
      <c r="L312" s="448"/>
      <c r="M312" s="448"/>
      <c r="N312" s="435"/>
      <c r="O312" s="435"/>
      <c r="P312" s="450"/>
      <c r="Q312" s="435"/>
      <c r="R312" s="449"/>
      <c r="S312" s="435"/>
      <c r="T312" s="440"/>
      <c r="U312" s="440"/>
      <c r="V312" s="448"/>
      <c r="W312" s="448"/>
      <c r="X312" s="448"/>
      <c r="Y312" s="447"/>
      <c r="Z312" s="447"/>
      <c r="AA312" s="447"/>
      <c r="AB312" s="437"/>
      <c r="AC312" s="436"/>
      <c r="AD312" s="435"/>
      <c r="AE312" s="435"/>
      <c r="AF312" s="435"/>
    </row>
    <row r="313" spans="1:32" s="446" customFormat="1">
      <c r="A313" s="445"/>
      <c r="B313" s="444"/>
      <c r="C313" s="448"/>
      <c r="D313" s="448"/>
      <c r="E313" s="448"/>
      <c r="F313" s="448"/>
      <c r="G313" s="448"/>
      <c r="H313" s="448"/>
      <c r="I313" s="448"/>
      <c r="J313" s="435"/>
      <c r="K313" s="435"/>
      <c r="L313" s="448"/>
      <c r="M313" s="448"/>
      <c r="N313" s="435"/>
      <c r="O313" s="435"/>
      <c r="P313" s="450"/>
      <c r="Q313" s="435"/>
      <c r="R313" s="449"/>
      <c r="S313" s="435"/>
      <c r="T313" s="440"/>
      <c r="U313" s="440"/>
      <c r="V313" s="448"/>
      <c r="W313" s="448"/>
      <c r="X313" s="448"/>
      <c r="Y313" s="447"/>
      <c r="Z313" s="447"/>
      <c r="AA313" s="447"/>
      <c r="AB313" s="437"/>
      <c r="AC313" s="436"/>
      <c r="AD313" s="435"/>
      <c r="AE313" s="435"/>
      <c r="AF313" s="435"/>
    </row>
    <row r="314" spans="1:32" s="446" customFormat="1">
      <c r="A314" s="445"/>
      <c r="B314" s="444"/>
      <c r="C314" s="448"/>
      <c r="D314" s="448"/>
      <c r="E314" s="448"/>
      <c r="F314" s="448"/>
      <c r="G314" s="448"/>
      <c r="H314" s="448"/>
      <c r="I314" s="448"/>
      <c r="J314" s="435"/>
      <c r="K314" s="435"/>
      <c r="L314" s="448"/>
      <c r="M314" s="448"/>
      <c r="N314" s="435"/>
      <c r="O314" s="435"/>
      <c r="P314" s="450"/>
      <c r="Q314" s="435"/>
      <c r="R314" s="449"/>
      <c r="S314" s="435"/>
      <c r="T314" s="440"/>
      <c r="U314" s="440"/>
      <c r="V314" s="448"/>
      <c r="W314" s="448"/>
      <c r="X314" s="448"/>
      <c r="Y314" s="447"/>
      <c r="Z314" s="447"/>
      <c r="AA314" s="447"/>
      <c r="AB314" s="437"/>
      <c r="AC314" s="436"/>
      <c r="AD314" s="435"/>
      <c r="AE314" s="435"/>
      <c r="AF314" s="435"/>
    </row>
    <row r="315" spans="1:32" s="446" customFormat="1">
      <c r="A315" s="445"/>
      <c r="B315" s="444"/>
      <c r="C315" s="448"/>
      <c r="D315" s="448"/>
      <c r="E315" s="448"/>
      <c r="F315" s="448"/>
      <c r="G315" s="448"/>
      <c r="H315" s="448"/>
      <c r="I315" s="448"/>
      <c r="J315" s="435"/>
      <c r="K315" s="435"/>
      <c r="L315" s="448"/>
      <c r="M315" s="448"/>
      <c r="N315" s="435"/>
      <c r="O315" s="435"/>
      <c r="P315" s="450"/>
      <c r="Q315" s="435"/>
      <c r="R315" s="449"/>
      <c r="S315" s="435"/>
      <c r="T315" s="440"/>
      <c r="U315" s="440"/>
      <c r="V315" s="448"/>
      <c r="W315" s="448"/>
      <c r="X315" s="448"/>
      <c r="Y315" s="447"/>
      <c r="Z315" s="447"/>
      <c r="AA315" s="447"/>
      <c r="AB315" s="437"/>
      <c r="AC315" s="436"/>
      <c r="AD315" s="435"/>
      <c r="AE315" s="435"/>
      <c r="AF315" s="435"/>
    </row>
    <row r="316" spans="1:32" s="446" customFormat="1">
      <c r="A316" s="445"/>
      <c r="B316" s="444"/>
      <c r="C316" s="448"/>
      <c r="D316" s="448"/>
      <c r="E316" s="448"/>
      <c r="F316" s="448"/>
      <c r="G316" s="448"/>
      <c r="H316" s="448"/>
      <c r="I316" s="448"/>
      <c r="J316" s="435"/>
      <c r="K316" s="435"/>
      <c r="L316" s="448"/>
      <c r="M316" s="448"/>
      <c r="N316" s="435"/>
      <c r="O316" s="435"/>
      <c r="P316" s="450"/>
      <c r="Q316" s="435"/>
      <c r="R316" s="449"/>
      <c r="S316" s="435"/>
      <c r="T316" s="440"/>
      <c r="U316" s="440"/>
      <c r="V316" s="448"/>
      <c r="W316" s="448"/>
      <c r="X316" s="448"/>
      <c r="Y316" s="447"/>
      <c r="Z316" s="447"/>
      <c r="AA316" s="447"/>
      <c r="AB316" s="437"/>
      <c r="AC316" s="436"/>
      <c r="AD316" s="435"/>
      <c r="AE316" s="435"/>
      <c r="AF316" s="435"/>
    </row>
    <row r="317" spans="1:32" s="446" customFormat="1">
      <c r="A317" s="445"/>
      <c r="B317" s="444"/>
      <c r="C317" s="448"/>
      <c r="D317" s="448"/>
      <c r="E317" s="448"/>
      <c r="F317" s="448"/>
      <c r="G317" s="448"/>
      <c r="H317" s="448"/>
      <c r="I317" s="448"/>
      <c r="J317" s="435"/>
      <c r="K317" s="435"/>
      <c r="L317" s="448"/>
      <c r="M317" s="448"/>
      <c r="N317" s="435"/>
      <c r="O317" s="435"/>
      <c r="P317" s="450"/>
      <c r="Q317" s="435"/>
      <c r="R317" s="449"/>
      <c r="S317" s="435"/>
      <c r="T317" s="440"/>
      <c r="U317" s="440"/>
      <c r="V317" s="448"/>
      <c r="W317" s="448"/>
      <c r="X317" s="448"/>
      <c r="Y317" s="447"/>
      <c r="Z317" s="447"/>
      <c r="AA317" s="447"/>
      <c r="AB317" s="437"/>
      <c r="AC317" s="436"/>
      <c r="AD317" s="435"/>
      <c r="AE317" s="435"/>
      <c r="AF317" s="435"/>
    </row>
    <row r="318" spans="1:32" s="446" customFormat="1">
      <c r="A318" s="445"/>
      <c r="B318" s="444"/>
      <c r="C318" s="448"/>
      <c r="D318" s="448"/>
      <c r="E318" s="448"/>
      <c r="F318" s="448"/>
      <c r="G318" s="448"/>
      <c r="H318" s="448"/>
      <c r="I318" s="448"/>
      <c r="J318" s="435"/>
      <c r="K318" s="435"/>
      <c r="L318" s="448"/>
      <c r="M318" s="448"/>
      <c r="N318" s="435"/>
      <c r="O318" s="435"/>
      <c r="P318" s="450"/>
      <c r="Q318" s="435"/>
      <c r="R318" s="449"/>
      <c r="S318" s="435"/>
      <c r="T318" s="440"/>
      <c r="U318" s="440"/>
      <c r="V318" s="448"/>
      <c r="W318" s="448"/>
      <c r="X318" s="448"/>
      <c r="Y318" s="447"/>
      <c r="Z318" s="447"/>
      <c r="AA318" s="447"/>
      <c r="AB318" s="437"/>
      <c r="AC318" s="436"/>
      <c r="AD318" s="435"/>
      <c r="AE318" s="435"/>
      <c r="AF318" s="435"/>
    </row>
    <row r="319" spans="1:32" s="446" customFormat="1">
      <c r="A319" s="445"/>
      <c r="B319" s="444"/>
      <c r="C319" s="448"/>
      <c r="D319" s="448"/>
      <c r="E319" s="448"/>
      <c r="F319" s="448"/>
      <c r="G319" s="448"/>
      <c r="H319" s="448"/>
      <c r="I319" s="448"/>
      <c r="J319" s="435"/>
      <c r="K319" s="435"/>
      <c r="L319" s="448"/>
      <c r="M319" s="448"/>
      <c r="N319" s="435"/>
      <c r="O319" s="435"/>
      <c r="P319" s="450"/>
      <c r="Q319" s="435"/>
      <c r="R319" s="449"/>
      <c r="S319" s="435"/>
      <c r="T319" s="440"/>
      <c r="U319" s="440"/>
      <c r="V319" s="448"/>
      <c r="W319" s="448"/>
      <c r="X319" s="448"/>
      <c r="Y319" s="447"/>
      <c r="Z319" s="447"/>
      <c r="AA319" s="447"/>
      <c r="AB319" s="437"/>
      <c r="AC319" s="436"/>
      <c r="AD319" s="435"/>
      <c r="AE319" s="435"/>
      <c r="AF319" s="435"/>
    </row>
    <row r="320" spans="1:32" s="446" customFormat="1">
      <c r="A320" s="445"/>
      <c r="B320" s="444"/>
      <c r="C320" s="448"/>
      <c r="D320" s="448"/>
      <c r="E320" s="448"/>
      <c r="F320" s="448"/>
      <c r="G320" s="448"/>
      <c r="H320" s="448"/>
      <c r="I320" s="448"/>
      <c r="J320" s="435"/>
      <c r="K320" s="435"/>
      <c r="L320" s="448"/>
      <c r="M320" s="448"/>
      <c r="N320" s="435"/>
      <c r="O320" s="435"/>
      <c r="P320" s="450"/>
      <c r="Q320" s="435"/>
      <c r="R320" s="449"/>
      <c r="S320" s="435"/>
      <c r="T320" s="440"/>
      <c r="U320" s="440"/>
      <c r="V320" s="448"/>
      <c r="W320" s="448"/>
      <c r="X320" s="448"/>
      <c r="Y320" s="447"/>
      <c r="Z320" s="447"/>
      <c r="AA320" s="447"/>
      <c r="AB320" s="437"/>
      <c r="AC320" s="436"/>
      <c r="AD320" s="435"/>
      <c r="AE320" s="435"/>
      <c r="AF320" s="435"/>
    </row>
    <row r="321" spans="1:32" s="446" customFormat="1">
      <c r="A321" s="445"/>
      <c r="B321" s="444"/>
      <c r="C321" s="448"/>
      <c r="D321" s="448"/>
      <c r="E321" s="448"/>
      <c r="F321" s="448"/>
      <c r="G321" s="448"/>
      <c r="H321" s="448"/>
      <c r="I321" s="448"/>
      <c r="J321" s="435"/>
      <c r="K321" s="435"/>
      <c r="L321" s="448"/>
      <c r="M321" s="448"/>
      <c r="N321" s="435"/>
      <c r="O321" s="435"/>
      <c r="P321" s="450"/>
      <c r="Q321" s="435"/>
      <c r="R321" s="449"/>
      <c r="S321" s="435"/>
      <c r="T321" s="440"/>
      <c r="U321" s="440"/>
      <c r="V321" s="448"/>
      <c r="W321" s="448"/>
      <c r="X321" s="448"/>
      <c r="Y321" s="447"/>
      <c r="Z321" s="447"/>
      <c r="AA321" s="447"/>
      <c r="AB321" s="437"/>
      <c r="AC321" s="436"/>
      <c r="AD321" s="435"/>
      <c r="AE321" s="435"/>
      <c r="AF321" s="435"/>
    </row>
    <row r="322" spans="1:32" s="446" customFormat="1">
      <c r="A322" s="445"/>
      <c r="B322" s="444"/>
      <c r="C322" s="448"/>
      <c r="D322" s="448"/>
      <c r="E322" s="448"/>
      <c r="F322" s="448"/>
      <c r="G322" s="448"/>
      <c r="H322" s="448"/>
      <c r="I322" s="448"/>
      <c r="J322" s="435"/>
      <c r="K322" s="435"/>
      <c r="L322" s="448"/>
      <c r="M322" s="448"/>
      <c r="N322" s="435"/>
      <c r="O322" s="435"/>
      <c r="P322" s="450"/>
      <c r="Q322" s="435"/>
      <c r="R322" s="449"/>
      <c r="S322" s="435"/>
      <c r="T322" s="440"/>
      <c r="U322" s="440"/>
      <c r="V322" s="448"/>
      <c r="W322" s="448"/>
      <c r="X322" s="448"/>
      <c r="Y322" s="447"/>
      <c r="Z322" s="447"/>
      <c r="AA322" s="447"/>
      <c r="AB322" s="437"/>
      <c r="AC322" s="436"/>
      <c r="AD322" s="435"/>
      <c r="AE322" s="435"/>
      <c r="AF322" s="435"/>
    </row>
    <row r="323" spans="1:32" s="446" customFormat="1">
      <c r="A323" s="445"/>
      <c r="B323" s="444"/>
      <c r="C323" s="448"/>
      <c r="D323" s="448"/>
      <c r="E323" s="448"/>
      <c r="F323" s="448"/>
      <c r="G323" s="448"/>
      <c r="H323" s="448"/>
      <c r="I323" s="448"/>
      <c r="J323" s="435"/>
      <c r="K323" s="435"/>
      <c r="L323" s="448"/>
      <c r="M323" s="448"/>
      <c r="N323" s="435"/>
      <c r="O323" s="435"/>
      <c r="P323" s="450"/>
      <c r="Q323" s="435"/>
      <c r="R323" s="449"/>
      <c r="S323" s="435"/>
      <c r="T323" s="440"/>
      <c r="U323" s="440"/>
      <c r="V323" s="448"/>
      <c r="W323" s="448"/>
      <c r="X323" s="448"/>
      <c r="Y323" s="447"/>
      <c r="Z323" s="447"/>
      <c r="AA323" s="447"/>
      <c r="AB323" s="437"/>
      <c r="AC323" s="436"/>
      <c r="AD323" s="435"/>
      <c r="AE323" s="435"/>
      <c r="AF323" s="435"/>
    </row>
    <row r="324" spans="1:32" s="446" customFormat="1">
      <c r="A324" s="445"/>
      <c r="B324" s="444"/>
      <c r="C324" s="448"/>
      <c r="D324" s="448"/>
      <c r="E324" s="448"/>
      <c r="F324" s="448"/>
      <c r="G324" s="448"/>
      <c r="H324" s="448"/>
      <c r="I324" s="448"/>
      <c r="J324" s="435"/>
      <c r="K324" s="435"/>
      <c r="L324" s="448"/>
      <c r="M324" s="448"/>
      <c r="N324" s="435"/>
      <c r="O324" s="435"/>
      <c r="P324" s="450"/>
      <c r="Q324" s="435"/>
      <c r="R324" s="449"/>
      <c r="S324" s="435"/>
      <c r="T324" s="440"/>
      <c r="U324" s="440"/>
      <c r="V324" s="448"/>
      <c r="W324" s="448"/>
      <c r="X324" s="448"/>
      <c r="Y324" s="447"/>
      <c r="Z324" s="447"/>
      <c r="AA324" s="447"/>
      <c r="AB324" s="437"/>
      <c r="AC324" s="436"/>
      <c r="AD324" s="435"/>
      <c r="AE324" s="435"/>
      <c r="AF324" s="435"/>
    </row>
    <row r="325" spans="1:32" s="446" customFormat="1">
      <c r="A325" s="445"/>
      <c r="B325" s="444"/>
      <c r="C325" s="448"/>
      <c r="D325" s="448"/>
      <c r="E325" s="448"/>
      <c r="F325" s="448"/>
      <c r="G325" s="448"/>
      <c r="H325" s="448"/>
      <c r="I325" s="448"/>
      <c r="J325" s="435"/>
      <c r="K325" s="435"/>
      <c r="L325" s="448"/>
      <c r="M325" s="448"/>
      <c r="N325" s="435"/>
      <c r="O325" s="435"/>
      <c r="P325" s="450"/>
      <c r="Q325" s="435"/>
      <c r="R325" s="449"/>
      <c r="S325" s="435"/>
      <c r="T325" s="440"/>
      <c r="U325" s="440"/>
      <c r="V325" s="448"/>
      <c r="W325" s="448"/>
      <c r="X325" s="448"/>
      <c r="Y325" s="447"/>
      <c r="Z325" s="447"/>
      <c r="AA325" s="447"/>
      <c r="AB325" s="437"/>
      <c r="AC325" s="436"/>
      <c r="AD325" s="435"/>
      <c r="AE325" s="435"/>
      <c r="AF325" s="435"/>
    </row>
    <row r="326" spans="1:32" s="446" customFormat="1">
      <c r="A326" s="445"/>
      <c r="B326" s="444"/>
      <c r="C326" s="448"/>
      <c r="D326" s="448"/>
      <c r="E326" s="448"/>
      <c r="F326" s="448"/>
      <c r="G326" s="448"/>
      <c r="H326" s="448"/>
      <c r="I326" s="448"/>
      <c r="J326" s="435"/>
      <c r="K326" s="435"/>
      <c r="L326" s="448"/>
      <c r="M326" s="448"/>
      <c r="N326" s="435"/>
      <c r="O326" s="435"/>
      <c r="P326" s="450"/>
      <c r="Q326" s="435"/>
      <c r="R326" s="449"/>
      <c r="S326" s="435"/>
      <c r="T326" s="440"/>
      <c r="U326" s="440"/>
      <c r="V326" s="448"/>
      <c r="W326" s="448"/>
      <c r="X326" s="448"/>
      <c r="Y326" s="447"/>
      <c r="Z326" s="447"/>
      <c r="AA326" s="447"/>
      <c r="AB326" s="437"/>
      <c r="AC326" s="436"/>
      <c r="AD326" s="435"/>
      <c r="AE326" s="435"/>
      <c r="AF326" s="435"/>
    </row>
    <row r="327" spans="1:32" s="446" customFormat="1">
      <c r="A327" s="445"/>
      <c r="B327" s="444"/>
      <c r="C327" s="448"/>
      <c r="D327" s="448"/>
      <c r="E327" s="448"/>
      <c r="F327" s="448"/>
      <c r="G327" s="448"/>
      <c r="H327" s="448"/>
      <c r="I327" s="448"/>
      <c r="J327" s="435"/>
      <c r="K327" s="435"/>
      <c r="L327" s="448"/>
      <c r="M327" s="448"/>
      <c r="N327" s="435"/>
      <c r="O327" s="435"/>
      <c r="P327" s="450"/>
      <c r="Q327" s="435"/>
      <c r="R327" s="449"/>
      <c r="S327" s="435"/>
      <c r="T327" s="440"/>
      <c r="U327" s="440"/>
      <c r="V327" s="448"/>
      <c r="W327" s="448"/>
      <c r="X327" s="448"/>
      <c r="Y327" s="447"/>
      <c r="Z327" s="447"/>
      <c r="AA327" s="447"/>
      <c r="AB327" s="437"/>
      <c r="AC327" s="436"/>
      <c r="AD327" s="435"/>
      <c r="AE327" s="435"/>
      <c r="AF327" s="435"/>
    </row>
    <row r="328" spans="1:32" s="446" customFormat="1">
      <c r="A328" s="445"/>
      <c r="B328" s="444"/>
      <c r="C328" s="448"/>
      <c r="D328" s="448"/>
      <c r="E328" s="448"/>
      <c r="F328" s="448"/>
      <c r="G328" s="448"/>
      <c r="H328" s="448"/>
      <c r="I328" s="448"/>
      <c r="J328" s="435"/>
      <c r="K328" s="435"/>
      <c r="L328" s="448"/>
      <c r="M328" s="448"/>
      <c r="N328" s="435"/>
      <c r="O328" s="435"/>
      <c r="P328" s="450"/>
      <c r="Q328" s="435"/>
      <c r="R328" s="449"/>
      <c r="S328" s="435"/>
      <c r="T328" s="440"/>
      <c r="U328" s="440"/>
      <c r="V328" s="448"/>
      <c r="W328" s="448"/>
      <c r="X328" s="448"/>
      <c r="Y328" s="447"/>
      <c r="Z328" s="447"/>
      <c r="AA328" s="447"/>
      <c r="AB328" s="437"/>
      <c r="AC328" s="436"/>
      <c r="AD328" s="435"/>
      <c r="AE328" s="435"/>
      <c r="AF328" s="435"/>
    </row>
    <row r="329" spans="1:32" s="446" customFormat="1">
      <c r="A329" s="445"/>
      <c r="B329" s="444"/>
      <c r="C329" s="448"/>
      <c r="D329" s="448"/>
      <c r="E329" s="448"/>
      <c r="F329" s="448"/>
      <c r="G329" s="448"/>
      <c r="H329" s="448"/>
      <c r="I329" s="448"/>
      <c r="J329" s="435"/>
      <c r="K329" s="435"/>
      <c r="L329" s="448"/>
      <c r="M329" s="448"/>
      <c r="N329" s="435"/>
      <c r="O329" s="435"/>
      <c r="P329" s="450"/>
      <c r="Q329" s="435"/>
      <c r="R329" s="449"/>
      <c r="S329" s="435"/>
      <c r="T329" s="440"/>
      <c r="U329" s="440"/>
      <c r="V329" s="448"/>
      <c r="W329" s="448"/>
      <c r="X329" s="448"/>
      <c r="Y329" s="447"/>
      <c r="Z329" s="447"/>
      <c r="AA329" s="447"/>
      <c r="AB329" s="437"/>
      <c r="AC329" s="436"/>
      <c r="AD329" s="435"/>
      <c r="AE329" s="435"/>
      <c r="AF329" s="435"/>
    </row>
    <row r="330" spans="1:32" s="446" customFormat="1">
      <c r="A330" s="445"/>
      <c r="B330" s="444"/>
      <c r="C330" s="448"/>
      <c r="D330" s="448"/>
      <c r="E330" s="448"/>
      <c r="F330" s="448"/>
      <c r="G330" s="448"/>
      <c r="H330" s="448"/>
      <c r="I330" s="448"/>
      <c r="J330" s="435"/>
      <c r="K330" s="435"/>
      <c r="L330" s="448"/>
      <c r="M330" s="448"/>
      <c r="N330" s="435"/>
      <c r="O330" s="435"/>
      <c r="P330" s="450"/>
      <c r="Q330" s="435"/>
      <c r="R330" s="449"/>
      <c r="S330" s="435"/>
      <c r="T330" s="440"/>
      <c r="U330" s="440"/>
      <c r="V330" s="448"/>
      <c r="W330" s="448"/>
      <c r="X330" s="448"/>
      <c r="Y330" s="447"/>
      <c r="Z330" s="447"/>
      <c r="AA330" s="447"/>
      <c r="AB330" s="437"/>
      <c r="AC330" s="436"/>
      <c r="AD330" s="435"/>
      <c r="AE330" s="435"/>
      <c r="AF330" s="435"/>
    </row>
    <row r="331" spans="1:32" s="446" customFormat="1">
      <c r="A331" s="445"/>
      <c r="B331" s="444"/>
      <c r="C331" s="448"/>
      <c r="D331" s="448"/>
      <c r="E331" s="448"/>
      <c r="F331" s="448"/>
      <c r="G331" s="448"/>
      <c r="H331" s="448"/>
      <c r="I331" s="448"/>
      <c r="J331" s="435"/>
      <c r="K331" s="435"/>
      <c r="L331" s="448"/>
      <c r="M331" s="448"/>
      <c r="N331" s="435"/>
      <c r="O331" s="435"/>
      <c r="P331" s="450"/>
      <c r="Q331" s="435"/>
      <c r="R331" s="449"/>
      <c r="S331" s="435"/>
      <c r="T331" s="440"/>
      <c r="U331" s="440"/>
      <c r="V331" s="448"/>
      <c r="W331" s="448"/>
      <c r="X331" s="448"/>
      <c r="Y331" s="447"/>
      <c r="Z331" s="447"/>
      <c r="AA331" s="447"/>
      <c r="AB331" s="437"/>
      <c r="AC331" s="436"/>
      <c r="AD331" s="435"/>
      <c r="AE331" s="435"/>
      <c r="AF331" s="435"/>
    </row>
    <row r="332" spans="1:32" s="446" customFormat="1">
      <c r="A332" s="445"/>
      <c r="B332" s="444"/>
      <c r="C332" s="448"/>
      <c r="D332" s="448"/>
      <c r="E332" s="448"/>
      <c r="F332" s="448"/>
      <c r="G332" s="448"/>
      <c r="H332" s="448"/>
      <c r="I332" s="448"/>
      <c r="J332" s="435"/>
      <c r="K332" s="435"/>
      <c r="L332" s="448"/>
      <c r="M332" s="448"/>
      <c r="N332" s="435"/>
      <c r="O332" s="435"/>
      <c r="P332" s="450"/>
      <c r="Q332" s="435"/>
      <c r="R332" s="449"/>
      <c r="S332" s="435"/>
      <c r="T332" s="440"/>
      <c r="U332" s="440"/>
      <c r="V332" s="448"/>
      <c r="W332" s="448"/>
      <c r="X332" s="448"/>
      <c r="Y332" s="447"/>
      <c r="Z332" s="447"/>
      <c r="AA332" s="447"/>
      <c r="AB332" s="437"/>
      <c r="AC332" s="436"/>
      <c r="AD332" s="435"/>
      <c r="AE332" s="435"/>
      <c r="AF332" s="435"/>
    </row>
    <row r="333" spans="1:32" s="446" customFormat="1">
      <c r="A333" s="445"/>
      <c r="B333" s="444"/>
      <c r="C333" s="448"/>
      <c r="D333" s="448"/>
      <c r="E333" s="448"/>
      <c r="F333" s="448"/>
      <c r="G333" s="448"/>
      <c r="H333" s="448"/>
      <c r="I333" s="448"/>
      <c r="J333" s="435"/>
      <c r="K333" s="435"/>
      <c r="L333" s="448"/>
      <c r="M333" s="448"/>
      <c r="N333" s="435"/>
      <c r="O333" s="435"/>
      <c r="P333" s="450"/>
      <c r="Q333" s="435"/>
      <c r="R333" s="449"/>
      <c r="S333" s="435"/>
      <c r="T333" s="440"/>
      <c r="U333" s="440"/>
      <c r="V333" s="448"/>
      <c r="W333" s="448"/>
      <c r="X333" s="448"/>
      <c r="Y333" s="447"/>
      <c r="Z333" s="447"/>
      <c r="AA333" s="447"/>
      <c r="AB333" s="437"/>
      <c r="AC333" s="436"/>
      <c r="AD333" s="435"/>
      <c r="AE333" s="435"/>
      <c r="AF333" s="435"/>
    </row>
    <row r="334" spans="1:32" s="446" customFormat="1">
      <c r="A334" s="445"/>
      <c r="B334" s="444"/>
      <c r="C334" s="448"/>
      <c r="D334" s="448"/>
      <c r="E334" s="448"/>
      <c r="F334" s="448"/>
      <c r="G334" s="448"/>
      <c r="H334" s="448"/>
      <c r="I334" s="448"/>
      <c r="J334" s="435"/>
      <c r="K334" s="435"/>
      <c r="L334" s="448"/>
      <c r="M334" s="448"/>
      <c r="N334" s="435"/>
      <c r="O334" s="435"/>
      <c r="P334" s="450"/>
      <c r="Q334" s="435"/>
      <c r="R334" s="449"/>
      <c r="S334" s="435"/>
      <c r="T334" s="440"/>
      <c r="U334" s="440"/>
      <c r="V334" s="448"/>
      <c r="W334" s="448"/>
      <c r="X334" s="448"/>
      <c r="Y334" s="447"/>
      <c r="Z334" s="447"/>
      <c r="AA334" s="447"/>
      <c r="AB334" s="437"/>
      <c r="AC334" s="436"/>
      <c r="AD334" s="435"/>
      <c r="AE334" s="435"/>
      <c r="AF334" s="435"/>
    </row>
    <row r="335" spans="1:32" s="446" customFormat="1">
      <c r="A335" s="445"/>
      <c r="B335" s="444"/>
      <c r="C335" s="448"/>
      <c r="D335" s="448"/>
      <c r="E335" s="448"/>
      <c r="F335" s="448"/>
      <c r="G335" s="448"/>
      <c r="H335" s="448"/>
      <c r="I335" s="448"/>
      <c r="J335" s="435"/>
      <c r="K335" s="435"/>
      <c r="L335" s="448"/>
      <c r="M335" s="448"/>
      <c r="N335" s="435"/>
      <c r="O335" s="435"/>
      <c r="P335" s="450"/>
      <c r="Q335" s="435"/>
      <c r="R335" s="449"/>
      <c r="S335" s="435"/>
      <c r="T335" s="440"/>
      <c r="U335" s="440"/>
      <c r="V335" s="448"/>
      <c r="W335" s="448"/>
      <c r="X335" s="448"/>
      <c r="Y335" s="447"/>
      <c r="Z335" s="447"/>
      <c r="AA335" s="447"/>
      <c r="AB335" s="437"/>
      <c r="AC335" s="436"/>
      <c r="AD335" s="435"/>
      <c r="AE335" s="435"/>
      <c r="AF335" s="435"/>
    </row>
    <row r="336" spans="1:32" s="446" customFormat="1">
      <c r="A336" s="445"/>
      <c r="B336" s="444"/>
      <c r="C336" s="448"/>
      <c r="D336" s="448"/>
      <c r="E336" s="448"/>
      <c r="F336" s="448"/>
      <c r="G336" s="448"/>
      <c r="H336" s="448"/>
      <c r="I336" s="448"/>
      <c r="J336" s="435"/>
      <c r="K336" s="435"/>
      <c r="L336" s="448"/>
      <c r="M336" s="448"/>
      <c r="N336" s="435"/>
      <c r="O336" s="435"/>
      <c r="P336" s="450"/>
      <c r="Q336" s="435"/>
      <c r="R336" s="449"/>
      <c r="S336" s="435"/>
      <c r="T336" s="440"/>
      <c r="U336" s="440"/>
      <c r="V336" s="448"/>
      <c r="W336" s="448"/>
      <c r="X336" s="448"/>
      <c r="Y336" s="447"/>
      <c r="Z336" s="447"/>
      <c r="AA336" s="447"/>
      <c r="AB336" s="437"/>
      <c r="AC336" s="436"/>
      <c r="AD336" s="435"/>
      <c r="AE336" s="435"/>
      <c r="AF336" s="435"/>
    </row>
    <row r="337" spans="1:32" s="446" customFormat="1">
      <c r="A337" s="445"/>
      <c r="B337" s="444"/>
      <c r="C337" s="448"/>
      <c r="D337" s="448"/>
      <c r="E337" s="448"/>
      <c r="F337" s="448"/>
      <c r="G337" s="448"/>
      <c r="H337" s="448"/>
      <c r="I337" s="448"/>
      <c r="J337" s="435"/>
      <c r="K337" s="435"/>
      <c r="L337" s="448"/>
      <c r="M337" s="448"/>
      <c r="N337" s="435"/>
      <c r="O337" s="435"/>
      <c r="P337" s="450"/>
      <c r="Q337" s="435"/>
      <c r="R337" s="449"/>
      <c r="S337" s="435"/>
      <c r="T337" s="440"/>
      <c r="U337" s="440"/>
      <c r="V337" s="448"/>
      <c r="W337" s="448"/>
      <c r="X337" s="448"/>
      <c r="Y337" s="447"/>
      <c r="Z337" s="447"/>
      <c r="AA337" s="447"/>
      <c r="AB337" s="437"/>
      <c r="AC337" s="436"/>
      <c r="AD337" s="435"/>
      <c r="AE337" s="435"/>
      <c r="AF337" s="435"/>
    </row>
    <row r="338" spans="1:32" s="446" customFormat="1">
      <c r="A338" s="445"/>
      <c r="B338" s="444"/>
      <c r="C338" s="448"/>
      <c r="D338" s="448"/>
      <c r="E338" s="448"/>
      <c r="F338" s="448"/>
      <c r="G338" s="448"/>
      <c r="H338" s="448"/>
      <c r="I338" s="448"/>
      <c r="J338" s="435"/>
      <c r="K338" s="435"/>
      <c r="L338" s="448"/>
      <c r="M338" s="448"/>
      <c r="N338" s="435"/>
      <c r="O338" s="435"/>
      <c r="P338" s="450"/>
      <c r="Q338" s="435"/>
      <c r="R338" s="449"/>
      <c r="S338" s="435"/>
      <c r="T338" s="440"/>
      <c r="U338" s="440"/>
      <c r="V338" s="448"/>
      <c r="W338" s="448"/>
      <c r="X338" s="448"/>
      <c r="Y338" s="447"/>
      <c r="Z338" s="447"/>
      <c r="AA338" s="447"/>
      <c r="AB338" s="437"/>
      <c r="AC338" s="436"/>
      <c r="AD338" s="435"/>
      <c r="AE338" s="435"/>
      <c r="AF338" s="435"/>
    </row>
    <row r="339" spans="1:32" s="446" customFormat="1">
      <c r="A339" s="445"/>
      <c r="B339" s="444"/>
      <c r="C339" s="448"/>
      <c r="D339" s="448"/>
      <c r="E339" s="448"/>
      <c r="F339" s="448"/>
      <c r="G339" s="448"/>
      <c r="H339" s="448"/>
      <c r="I339" s="448"/>
      <c r="J339" s="435"/>
      <c r="K339" s="435"/>
      <c r="L339" s="448"/>
      <c r="M339" s="448"/>
      <c r="N339" s="435"/>
      <c r="O339" s="435"/>
      <c r="P339" s="450"/>
      <c r="Q339" s="435"/>
      <c r="R339" s="449"/>
      <c r="S339" s="435"/>
      <c r="T339" s="440"/>
      <c r="U339" s="440"/>
      <c r="V339" s="448"/>
      <c r="W339" s="448"/>
      <c r="X339" s="448"/>
      <c r="Y339" s="447"/>
      <c r="Z339" s="447"/>
      <c r="AA339" s="447"/>
      <c r="AB339" s="437"/>
      <c r="AC339" s="436"/>
      <c r="AD339" s="435"/>
      <c r="AE339" s="435"/>
      <c r="AF339" s="435"/>
    </row>
    <row r="340" spans="1:32" s="446" customFormat="1">
      <c r="A340" s="445"/>
      <c r="B340" s="444"/>
      <c r="C340" s="448"/>
      <c r="D340" s="448"/>
      <c r="E340" s="448"/>
      <c r="F340" s="448"/>
      <c r="G340" s="448"/>
      <c r="H340" s="448"/>
      <c r="I340" s="448"/>
      <c r="J340" s="435"/>
      <c r="K340" s="435"/>
      <c r="L340" s="448"/>
      <c r="M340" s="448"/>
      <c r="N340" s="435"/>
      <c r="O340" s="435"/>
      <c r="P340" s="450"/>
      <c r="Q340" s="435"/>
      <c r="R340" s="449"/>
      <c r="S340" s="435"/>
      <c r="T340" s="440"/>
      <c r="U340" s="440"/>
      <c r="V340" s="448"/>
      <c r="W340" s="448"/>
      <c r="X340" s="448"/>
      <c r="Y340" s="447"/>
      <c r="Z340" s="447"/>
      <c r="AA340" s="447"/>
      <c r="AB340" s="437"/>
      <c r="AC340" s="436"/>
      <c r="AD340" s="435"/>
      <c r="AE340" s="435"/>
      <c r="AF340" s="435"/>
    </row>
    <row r="341" spans="1:32" s="446" customFormat="1">
      <c r="A341" s="445"/>
      <c r="B341" s="444"/>
      <c r="C341" s="448"/>
      <c r="D341" s="448"/>
      <c r="E341" s="448"/>
      <c r="F341" s="448"/>
      <c r="G341" s="448"/>
      <c r="H341" s="448"/>
      <c r="I341" s="448"/>
      <c r="J341" s="435"/>
      <c r="K341" s="435"/>
      <c r="L341" s="448"/>
      <c r="M341" s="448"/>
      <c r="N341" s="435"/>
      <c r="O341" s="435"/>
      <c r="P341" s="450"/>
      <c r="Q341" s="435"/>
      <c r="R341" s="449"/>
      <c r="S341" s="435"/>
      <c r="T341" s="440"/>
      <c r="U341" s="440"/>
      <c r="V341" s="448"/>
      <c r="W341" s="448"/>
      <c r="X341" s="448"/>
      <c r="Y341" s="447"/>
      <c r="Z341" s="447"/>
      <c r="AA341" s="447"/>
      <c r="AB341" s="437"/>
      <c r="AC341" s="436"/>
      <c r="AD341" s="435"/>
      <c r="AE341" s="435"/>
      <c r="AF341" s="435"/>
    </row>
    <row r="342" spans="1:32" s="446" customFormat="1">
      <c r="A342" s="445"/>
      <c r="B342" s="444"/>
      <c r="C342" s="448"/>
      <c r="D342" s="448"/>
      <c r="E342" s="448"/>
      <c r="F342" s="448"/>
      <c r="G342" s="448"/>
      <c r="H342" s="448"/>
      <c r="I342" s="448"/>
      <c r="J342" s="435"/>
      <c r="K342" s="435"/>
      <c r="L342" s="448"/>
      <c r="M342" s="448"/>
      <c r="N342" s="435"/>
      <c r="O342" s="435"/>
      <c r="P342" s="450"/>
      <c r="Q342" s="435"/>
      <c r="R342" s="449"/>
      <c r="S342" s="435"/>
      <c r="T342" s="440"/>
      <c r="U342" s="440"/>
      <c r="V342" s="448"/>
      <c r="W342" s="448"/>
      <c r="X342" s="448"/>
      <c r="Y342" s="447"/>
      <c r="Z342" s="447"/>
      <c r="AA342" s="447"/>
      <c r="AB342" s="437"/>
      <c r="AC342" s="436"/>
      <c r="AD342" s="435"/>
      <c r="AE342" s="435"/>
      <c r="AF342" s="435"/>
    </row>
    <row r="343" spans="1:32" s="446" customFormat="1">
      <c r="A343" s="445"/>
      <c r="B343" s="444"/>
      <c r="C343" s="448"/>
      <c r="D343" s="448"/>
      <c r="E343" s="448"/>
      <c r="F343" s="448"/>
      <c r="G343" s="448"/>
      <c r="H343" s="448"/>
      <c r="I343" s="448"/>
      <c r="J343" s="435"/>
      <c r="K343" s="435"/>
      <c r="L343" s="448"/>
      <c r="M343" s="448"/>
      <c r="N343" s="435"/>
      <c r="O343" s="435"/>
      <c r="P343" s="450"/>
      <c r="Q343" s="435"/>
      <c r="R343" s="449"/>
      <c r="S343" s="435"/>
      <c r="T343" s="440"/>
      <c r="U343" s="440"/>
      <c r="V343" s="448"/>
      <c r="W343" s="448"/>
      <c r="X343" s="448"/>
      <c r="Y343" s="447"/>
      <c r="Z343" s="447"/>
      <c r="AA343" s="447"/>
      <c r="AB343" s="437"/>
      <c r="AC343" s="436"/>
      <c r="AD343" s="435"/>
      <c r="AE343" s="435"/>
      <c r="AF343" s="435"/>
    </row>
    <row r="344" spans="1:32" s="446" customFormat="1">
      <c r="A344" s="445"/>
      <c r="B344" s="444"/>
      <c r="C344" s="448"/>
      <c r="D344" s="448"/>
      <c r="E344" s="448"/>
      <c r="F344" s="448"/>
      <c r="G344" s="448"/>
      <c r="H344" s="448"/>
      <c r="I344" s="448"/>
      <c r="J344" s="435"/>
      <c r="K344" s="435"/>
      <c r="L344" s="448"/>
      <c r="M344" s="448"/>
      <c r="N344" s="435"/>
      <c r="O344" s="435"/>
      <c r="P344" s="450"/>
      <c r="Q344" s="435"/>
      <c r="R344" s="449"/>
      <c r="S344" s="435"/>
      <c r="T344" s="440"/>
      <c r="U344" s="440"/>
      <c r="V344" s="448"/>
      <c r="W344" s="448"/>
      <c r="X344" s="448"/>
      <c r="Y344" s="447"/>
      <c r="Z344" s="447"/>
      <c r="AA344" s="447"/>
      <c r="AB344" s="437"/>
      <c r="AC344" s="436"/>
      <c r="AD344" s="435"/>
      <c r="AE344" s="435"/>
      <c r="AF344" s="435"/>
    </row>
    <row r="345" spans="1:32" s="446" customFormat="1">
      <c r="A345" s="445"/>
      <c r="B345" s="444"/>
      <c r="C345" s="448"/>
      <c r="D345" s="448"/>
      <c r="E345" s="448"/>
      <c r="F345" s="448"/>
      <c r="G345" s="448"/>
      <c r="H345" s="448"/>
      <c r="I345" s="448"/>
      <c r="J345" s="435"/>
      <c r="K345" s="435"/>
      <c r="L345" s="448"/>
      <c r="M345" s="448"/>
      <c r="N345" s="435"/>
      <c r="O345" s="435"/>
      <c r="P345" s="450"/>
      <c r="Q345" s="435"/>
      <c r="R345" s="449"/>
      <c r="S345" s="435"/>
      <c r="T345" s="440"/>
      <c r="U345" s="440"/>
      <c r="V345" s="448"/>
      <c r="W345" s="448"/>
      <c r="X345" s="448"/>
      <c r="Y345" s="447"/>
      <c r="Z345" s="447"/>
      <c r="AA345" s="447"/>
      <c r="AB345" s="437"/>
      <c r="AC345" s="436"/>
      <c r="AD345" s="435"/>
      <c r="AE345" s="435"/>
      <c r="AF345" s="435"/>
    </row>
    <row r="346" spans="1:32" s="446" customFormat="1">
      <c r="A346" s="445"/>
      <c r="B346" s="444"/>
      <c r="C346" s="448"/>
      <c r="D346" s="448"/>
      <c r="E346" s="448"/>
      <c r="F346" s="448"/>
      <c r="G346" s="448"/>
      <c r="H346" s="448"/>
      <c r="I346" s="448"/>
      <c r="J346" s="435"/>
      <c r="K346" s="435"/>
      <c r="L346" s="448"/>
      <c r="M346" s="448"/>
      <c r="N346" s="435"/>
      <c r="O346" s="435"/>
      <c r="P346" s="450"/>
      <c r="Q346" s="435"/>
      <c r="R346" s="449"/>
      <c r="S346" s="435"/>
      <c r="T346" s="440"/>
      <c r="U346" s="440"/>
      <c r="V346" s="448"/>
      <c r="W346" s="448"/>
      <c r="X346" s="448"/>
      <c r="Y346" s="447"/>
      <c r="Z346" s="447"/>
      <c r="AA346" s="447"/>
      <c r="AB346" s="437"/>
      <c r="AC346" s="436"/>
      <c r="AD346" s="435"/>
      <c r="AE346" s="435"/>
      <c r="AF346" s="435"/>
    </row>
    <row r="347" spans="1:32" s="446" customFormat="1">
      <c r="A347" s="445"/>
      <c r="B347" s="444"/>
      <c r="C347" s="448"/>
      <c r="D347" s="448"/>
      <c r="E347" s="448"/>
      <c r="F347" s="448"/>
      <c r="G347" s="448"/>
      <c r="H347" s="448"/>
      <c r="I347" s="448"/>
      <c r="J347" s="435"/>
      <c r="K347" s="435"/>
      <c r="L347" s="448"/>
      <c r="M347" s="448"/>
      <c r="N347" s="435"/>
      <c r="O347" s="435"/>
      <c r="P347" s="450"/>
      <c r="Q347" s="435"/>
      <c r="R347" s="449"/>
      <c r="S347" s="435"/>
      <c r="T347" s="440"/>
      <c r="U347" s="440"/>
      <c r="V347" s="448"/>
      <c r="W347" s="448"/>
      <c r="X347" s="448"/>
      <c r="Y347" s="447"/>
      <c r="Z347" s="447"/>
      <c r="AA347" s="447"/>
      <c r="AB347" s="437"/>
      <c r="AC347" s="436"/>
      <c r="AD347" s="435"/>
      <c r="AE347" s="435"/>
      <c r="AF347" s="435"/>
    </row>
    <row r="348" spans="1:32" s="446" customFormat="1">
      <c r="A348" s="445"/>
      <c r="B348" s="444"/>
      <c r="C348" s="448"/>
      <c r="D348" s="448"/>
      <c r="E348" s="448"/>
      <c r="F348" s="448"/>
      <c r="G348" s="448"/>
      <c r="H348" s="448"/>
      <c r="I348" s="448"/>
      <c r="J348" s="435"/>
      <c r="K348" s="435"/>
      <c r="L348" s="448"/>
      <c r="M348" s="448"/>
      <c r="N348" s="435"/>
      <c r="O348" s="435"/>
      <c r="P348" s="450"/>
      <c r="Q348" s="435"/>
      <c r="R348" s="449"/>
      <c r="S348" s="435"/>
      <c r="T348" s="440"/>
      <c r="U348" s="440"/>
      <c r="V348" s="448"/>
      <c r="W348" s="448"/>
      <c r="X348" s="448"/>
      <c r="Y348" s="447"/>
      <c r="Z348" s="447"/>
      <c r="AA348" s="447"/>
      <c r="AB348" s="437"/>
      <c r="AC348" s="436"/>
      <c r="AD348" s="435"/>
      <c r="AE348" s="435"/>
      <c r="AF348" s="435"/>
    </row>
    <row r="349" spans="1:32" s="446" customFormat="1">
      <c r="A349" s="445"/>
      <c r="B349" s="444"/>
      <c r="C349" s="448"/>
      <c r="D349" s="448"/>
      <c r="E349" s="448"/>
      <c r="F349" s="448"/>
      <c r="G349" s="448"/>
      <c r="H349" s="448"/>
      <c r="I349" s="448"/>
      <c r="J349" s="435"/>
      <c r="K349" s="435"/>
      <c r="L349" s="448"/>
      <c r="M349" s="448"/>
      <c r="N349" s="435"/>
      <c r="O349" s="435"/>
      <c r="P349" s="450"/>
      <c r="Q349" s="435"/>
      <c r="R349" s="449"/>
      <c r="S349" s="435"/>
      <c r="T349" s="440"/>
      <c r="U349" s="440"/>
      <c r="V349" s="448"/>
      <c r="W349" s="448"/>
      <c r="X349" s="448"/>
      <c r="Y349" s="447"/>
      <c r="Z349" s="447"/>
      <c r="AA349" s="447"/>
      <c r="AB349" s="437"/>
      <c r="AC349" s="436"/>
      <c r="AD349" s="435"/>
      <c r="AE349" s="435"/>
      <c r="AF349" s="435"/>
    </row>
    <row r="350" spans="1:32" s="446" customFormat="1">
      <c r="A350" s="445"/>
      <c r="B350" s="444"/>
      <c r="C350" s="448"/>
      <c r="D350" s="448"/>
      <c r="E350" s="448"/>
      <c r="F350" s="448"/>
      <c r="G350" s="448"/>
      <c r="H350" s="448"/>
      <c r="I350" s="448"/>
      <c r="J350" s="435"/>
      <c r="K350" s="435"/>
      <c r="L350" s="448"/>
      <c r="M350" s="448"/>
      <c r="N350" s="435"/>
      <c r="O350" s="435"/>
      <c r="P350" s="450"/>
      <c r="Q350" s="435"/>
      <c r="R350" s="449"/>
      <c r="S350" s="435"/>
      <c r="T350" s="440"/>
      <c r="U350" s="440"/>
      <c r="V350" s="448"/>
      <c r="W350" s="448"/>
      <c r="X350" s="448"/>
      <c r="Y350" s="447"/>
      <c r="Z350" s="447"/>
      <c r="AA350" s="447"/>
      <c r="AB350" s="437"/>
      <c r="AC350" s="436"/>
      <c r="AD350" s="435"/>
      <c r="AE350" s="435"/>
      <c r="AF350" s="435"/>
    </row>
    <row r="351" spans="1:32" s="446" customFormat="1">
      <c r="A351" s="445"/>
      <c r="B351" s="444"/>
      <c r="C351" s="448"/>
      <c r="D351" s="448"/>
      <c r="E351" s="448"/>
      <c r="F351" s="448"/>
      <c r="G351" s="448"/>
      <c r="H351" s="448"/>
      <c r="I351" s="448"/>
      <c r="J351" s="435"/>
      <c r="K351" s="435"/>
      <c r="L351" s="448"/>
      <c r="M351" s="448"/>
      <c r="N351" s="435"/>
      <c r="O351" s="435"/>
      <c r="P351" s="450"/>
      <c r="Q351" s="435"/>
      <c r="R351" s="449"/>
      <c r="S351" s="435"/>
      <c r="T351" s="440"/>
      <c r="U351" s="440"/>
      <c r="V351" s="448"/>
      <c r="W351" s="448"/>
      <c r="X351" s="448"/>
      <c r="Y351" s="447"/>
      <c r="Z351" s="447"/>
      <c r="AA351" s="447"/>
      <c r="AB351" s="437"/>
      <c r="AC351" s="436"/>
      <c r="AD351" s="435"/>
      <c r="AE351" s="435"/>
      <c r="AF351" s="435"/>
    </row>
    <row r="352" spans="1:32" s="446" customFormat="1">
      <c r="A352" s="445"/>
      <c r="B352" s="444"/>
      <c r="C352" s="448"/>
      <c r="D352" s="448"/>
      <c r="E352" s="448"/>
      <c r="F352" s="448"/>
      <c r="G352" s="448"/>
      <c r="H352" s="448"/>
      <c r="I352" s="448"/>
      <c r="J352" s="435"/>
      <c r="K352" s="435"/>
      <c r="L352" s="448"/>
      <c r="M352" s="448"/>
      <c r="N352" s="435"/>
      <c r="O352" s="435"/>
      <c r="P352" s="450"/>
      <c r="Q352" s="435"/>
      <c r="R352" s="449"/>
      <c r="S352" s="435"/>
      <c r="T352" s="440"/>
      <c r="U352" s="440"/>
      <c r="V352" s="448"/>
      <c r="W352" s="448"/>
      <c r="X352" s="448"/>
      <c r="Y352" s="447"/>
      <c r="Z352" s="447"/>
      <c r="AA352" s="447"/>
      <c r="AB352" s="437"/>
      <c r="AC352" s="436"/>
      <c r="AD352" s="435"/>
      <c r="AE352" s="435"/>
      <c r="AF352" s="435"/>
    </row>
    <row r="353" spans="1:32" s="446" customFormat="1">
      <c r="A353" s="445"/>
      <c r="B353" s="444"/>
      <c r="C353" s="448"/>
      <c r="D353" s="448"/>
      <c r="E353" s="448"/>
      <c r="F353" s="448"/>
      <c r="G353" s="448"/>
      <c r="H353" s="448"/>
      <c r="I353" s="448"/>
      <c r="J353" s="435"/>
      <c r="K353" s="435"/>
      <c r="L353" s="448"/>
      <c r="M353" s="448"/>
      <c r="N353" s="435"/>
      <c r="O353" s="435"/>
      <c r="P353" s="450"/>
      <c r="Q353" s="435"/>
      <c r="R353" s="449"/>
      <c r="S353" s="435"/>
      <c r="T353" s="440"/>
      <c r="U353" s="440"/>
      <c r="V353" s="448"/>
      <c r="W353" s="448"/>
      <c r="X353" s="448"/>
      <c r="Y353" s="447"/>
      <c r="Z353" s="447"/>
      <c r="AA353" s="447"/>
      <c r="AB353" s="437"/>
      <c r="AC353" s="436"/>
      <c r="AD353" s="435"/>
      <c r="AE353" s="435"/>
      <c r="AF353" s="435"/>
    </row>
    <row r="354" spans="1:32" s="446" customFormat="1">
      <c r="A354" s="445"/>
      <c r="B354" s="444"/>
      <c r="C354" s="448"/>
      <c r="D354" s="448"/>
      <c r="E354" s="448"/>
      <c r="F354" s="448"/>
      <c r="G354" s="448"/>
      <c r="H354" s="448"/>
      <c r="I354" s="448"/>
      <c r="J354" s="435"/>
      <c r="K354" s="435"/>
      <c r="L354" s="448"/>
      <c r="M354" s="448"/>
      <c r="N354" s="435"/>
      <c r="O354" s="435"/>
      <c r="P354" s="450"/>
      <c r="Q354" s="435"/>
      <c r="R354" s="449"/>
      <c r="S354" s="435"/>
      <c r="T354" s="440"/>
      <c r="U354" s="440"/>
      <c r="V354" s="448"/>
      <c r="W354" s="448"/>
      <c r="X354" s="448"/>
      <c r="Y354" s="447"/>
      <c r="Z354" s="447"/>
      <c r="AA354" s="447"/>
      <c r="AB354" s="437"/>
      <c r="AC354" s="436"/>
      <c r="AD354" s="435"/>
      <c r="AE354" s="435"/>
      <c r="AF354" s="435"/>
    </row>
    <row r="355" spans="1:32" s="446" customFormat="1">
      <c r="A355" s="445"/>
      <c r="B355" s="444"/>
      <c r="C355" s="448"/>
      <c r="D355" s="448"/>
      <c r="E355" s="448"/>
      <c r="F355" s="448"/>
      <c r="G355" s="448"/>
      <c r="H355" s="448"/>
      <c r="I355" s="448"/>
      <c r="J355" s="435"/>
      <c r="K355" s="435"/>
      <c r="L355" s="448"/>
      <c r="M355" s="448"/>
      <c r="N355" s="435"/>
      <c r="O355" s="435"/>
      <c r="P355" s="450"/>
      <c r="Q355" s="435"/>
      <c r="R355" s="449"/>
      <c r="S355" s="435"/>
      <c r="T355" s="440"/>
      <c r="U355" s="440"/>
      <c r="V355" s="448"/>
      <c r="W355" s="448"/>
      <c r="X355" s="448"/>
      <c r="Y355" s="447"/>
      <c r="Z355" s="447"/>
      <c r="AA355" s="447"/>
      <c r="AB355" s="437"/>
      <c r="AC355" s="436"/>
      <c r="AD355" s="435"/>
      <c r="AE355" s="435"/>
      <c r="AF355" s="435"/>
    </row>
    <row r="356" spans="1:32" s="446" customFormat="1">
      <c r="A356" s="445"/>
      <c r="B356" s="444"/>
      <c r="C356" s="448"/>
      <c r="D356" s="448"/>
      <c r="E356" s="448"/>
      <c r="F356" s="448"/>
      <c r="G356" s="448"/>
      <c r="H356" s="448"/>
      <c r="I356" s="448"/>
      <c r="J356" s="435"/>
      <c r="K356" s="435"/>
      <c r="L356" s="448"/>
      <c r="M356" s="448"/>
      <c r="N356" s="435"/>
      <c r="O356" s="435"/>
      <c r="P356" s="450"/>
      <c r="Q356" s="435"/>
      <c r="R356" s="449"/>
      <c r="S356" s="435"/>
      <c r="T356" s="440"/>
      <c r="U356" s="440"/>
      <c r="V356" s="448"/>
      <c r="W356" s="448"/>
      <c r="X356" s="448"/>
      <c r="Y356" s="447"/>
      <c r="Z356" s="447"/>
      <c r="AA356" s="447"/>
      <c r="AB356" s="437"/>
      <c r="AC356" s="436"/>
      <c r="AD356" s="435"/>
      <c r="AE356" s="435"/>
      <c r="AF356" s="435"/>
    </row>
    <row r="357" spans="1:32" s="446" customFormat="1">
      <c r="A357" s="445"/>
      <c r="B357" s="444"/>
      <c r="C357" s="448"/>
      <c r="D357" s="448"/>
      <c r="E357" s="448"/>
      <c r="F357" s="448"/>
      <c r="G357" s="448"/>
      <c r="H357" s="448"/>
      <c r="I357" s="448"/>
      <c r="J357" s="435"/>
      <c r="K357" s="435"/>
      <c r="L357" s="448"/>
      <c r="M357" s="448"/>
      <c r="N357" s="435"/>
      <c r="O357" s="435"/>
      <c r="P357" s="450"/>
      <c r="Q357" s="435"/>
      <c r="R357" s="449"/>
      <c r="S357" s="435"/>
      <c r="T357" s="440"/>
      <c r="U357" s="440"/>
      <c r="V357" s="448"/>
      <c r="W357" s="448"/>
      <c r="X357" s="448"/>
      <c r="Y357" s="447"/>
      <c r="Z357" s="447"/>
      <c r="AA357" s="447"/>
      <c r="AB357" s="437"/>
      <c r="AC357" s="436"/>
      <c r="AD357" s="435"/>
      <c r="AE357" s="435"/>
      <c r="AF357" s="435"/>
    </row>
    <row r="358" spans="1:32" s="446" customFormat="1">
      <c r="A358" s="445"/>
      <c r="B358" s="444"/>
      <c r="C358" s="448"/>
      <c r="D358" s="448"/>
      <c r="E358" s="448"/>
      <c r="F358" s="448"/>
      <c r="G358" s="448"/>
      <c r="H358" s="448"/>
      <c r="I358" s="448"/>
      <c r="J358" s="435"/>
      <c r="K358" s="435"/>
      <c r="L358" s="448"/>
      <c r="M358" s="448"/>
      <c r="N358" s="435"/>
      <c r="O358" s="435"/>
      <c r="P358" s="450"/>
      <c r="Q358" s="435"/>
      <c r="R358" s="449"/>
      <c r="S358" s="435"/>
      <c r="T358" s="440"/>
      <c r="U358" s="440"/>
      <c r="V358" s="448"/>
      <c r="W358" s="448"/>
      <c r="X358" s="448"/>
      <c r="Y358" s="447"/>
      <c r="Z358" s="447"/>
      <c r="AA358" s="447"/>
      <c r="AB358" s="437"/>
      <c r="AC358" s="436"/>
      <c r="AD358" s="435"/>
      <c r="AE358" s="435"/>
      <c r="AF358" s="435"/>
    </row>
    <row r="359" spans="1:32" s="446" customFormat="1">
      <c r="A359" s="445"/>
      <c r="B359" s="444"/>
      <c r="C359" s="448"/>
      <c r="D359" s="448"/>
      <c r="E359" s="448"/>
      <c r="F359" s="448"/>
      <c r="G359" s="448"/>
      <c r="H359" s="448"/>
      <c r="I359" s="448"/>
      <c r="J359" s="435"/>
      <c r="K359" s="435"/>
      <c r="L359" s="448"/>
      <c r="M359" s="448"/>
      <c r="N359" s="435"/>
      <c r="O359" s="435"/>
      <c r="P359" s="450"/>
      <c r="Q359" s="435"/>
      <c r="R359" s="449"/>
      <c r="S359" s="435"/>
      <c r="T359" s="440"/>
      <c r="U359" s="440"/>
      <c r="V359" s="448"/>
      <c r="W359" s="448"/>
      <c r="X359" s="448"/>
      <c r="Y359" s="447"/>
      <c r="Z359" s="447"/>
      <c r="AA359" s="447"/>
      <c r="AB359" s="437"/>
      <c r="AC359" s="436"/>
      <c r="AD359" s="435"/>
      <c r="AE359" s="435"/>
      <c r="AF359" s="435"/>
    </row>
    <row r="360" spans="1:32" s="446" customFormat="1">
      <c r="A360" s="445"/>
      <c r="B360" s="444"/>
      <c r="C360" s="448"/>
      <c r="D360" s="448"/>
      <c r="E360" s="448"/>
      <c r="F360" s="448"/>
      <c r="G360" s="448"/>
      <c r="H360" s="448"/>
      <c r="I360" s="448"/>
      <c r="J360" s="435"/>
      <c r="K360" s="435"/>
      <c r="L360" s="448"/>
      <c r="M360" s="448"/>
      <c r="N360" s="435"/>
      <c r="O360" s="435"/>
      <c r="P360" s="450"/>
      <c r="Q360" s="435"/>
      <c r="R360" s="449"/>
      <c r="S360" s="435"/>
      <c r="T360" s="440"/>
      <c r="U360" s="440"/>
      <c r="V360" s="448"/>
      <c r="W360" s="448"/>
      <c r="X360" s="448"/>
      <c r="Y360" s="447"/>
      <c r="Z360" s="447"/>
      <c r="AA360" s="447"/>
      <c r="AB360" s="437"/>
      <c r="AC360" s="436"/>
      <c r="AD360" s="435"/>
      <c r="AE360" s="435"/>
      <c r="AF360" s="435"/>
    </row>
    <row r="361" spans="1:32" s="446" customFormat="1">
      <c r="A361" s="445"/>
      <c r="B361" s="444"/>
      <c r="C361" s="448"/>
      <c r="D361" s="448"/>
      <c r="E361" s="448"/>
      <c r="F361" s="448"/>
      <c r="G361" s="448"/>
      <c r="H361" s="448"/>
      <c r="I361" s="448"/>
      <c r="J361" s="435"/>
      <c r="K361" s="435"/>
      <c r="L361" s="448"/>
      <c r="M361" s="448"/>
      <c r="N361" s="435"/>
      <c r="O361" s="435"/>
      <c r="P361" s="450"/>
      <c r="Q361" s="435"/>
      <c r="R361" s="449"/>
      <c r="S361" s="435"/>
      <c r="T361" s="440"/>
      <c r="U361" s="440"/>
      <c r="V361" s="448"/>
      <c r="W361" s="448"/>
      <c r="X361" s="448"/>
      <c r="Y361" s="447"/>
      <c r="Z361" s="447"/>
      <c r="AA361" s="447"/>
      <c r="AB361" s="437"/>
      <c r="AC361" s="436"/>
      <c r="AD361" s="435"/>
      <c r="AE361" s="435"/>
      <c r="AF361" s="435"/>
    </row>
    <row r="362" spans="1:32" s="446" customFormat="1">
      <c r="A362" s="445"/>
      <c r="B362" s="444"/>
      <c r="C362" s="448"/>
      <c r="D362" s="448"/>
      <c r="E362" s="448"/>
      <c r="F362" s="448"/>
      <c r="G362" s="448"/>
      <c r="H362" s="448"/>
      <c r="I362" s="448"/>
      <c r="J362" s="435"/>
      <c r="K362" s="435"/>
      <c r="L362" s="448"/>
      <c r="M362" s="448"/>
      <c r="N362" s="435"/>
      <c r="O362" s="435"/>
      <c r="P362" s="450"/>
      <c r="Q362" s="435"/>
      <c r="R362" s="449"/>
      <c r="S362" s="435"/>
      <c r="T362" s="440"/>
      <c r="U362" s="440"/>
      <c r="V362" s="448"/>
      <c r="W362" s="448"/>
      <c r="X362" s="448"/>
      <c r="Y362" s="447"/>
      <c r="Z362" s="447"/>
      <c r="AA362" s="447"/>
      <c r="AB362" s="437"/>
      <c r="AC362" s="436"/>
      <c r="AD362" s="435"/>
      <c r="AE362" s="435"/>
      <c r="AF362" s="435"/>
    </row>
    <row r="363" spans="1:32" s="446" customFormat="1">
      <c r="A363" s="445"/>
      <c r="B363" s="444"/>
      <c r="C363" s="448"/>
      <c r="D363" s="448"/>
      <c r="E363" s="448"/>
      <c r="F363" s="448"/>
      <c r="G363" s="448"/>
      <c r="H363" s="448"/>
      <c r="I363" s="448"/>
      <c r="J363" s="435"/>
      <c r="K363" s="435"/>
      <c r="L363" s="448"/>
      <c r="M363" s="448"/>
      <c r="N363" s="435"/>
      <c r="O363" s="435"/>
      <c r="P363" s="450"/>
      <c r="Q363" s="435"/>
      <c r="R363" s="449"/>
      <c r="S363" s="435"/>
      <c r="T363" s="440"/>
      <c r="U363" s="440"/>
      <c r="V363" s="448"/>
      <c r="W363" s="448"/>
      <c r="X363" s="448"/>
      <c r="Y363" s="447"/>
      <c r="Z363" s="447"/>
      <c r="AA363" s="447"/>
      <c r="AB363" s="437"/>
      <c r="AC363" s="436"/>
      <c r="AD363" s="435"/>
      <c r="AE363" s="435"/>
      <c r="AF363" s="435"/>
    </row>
    <row r="364" spans="1:32" s="446" customFormat="1">
      <c r="A364" s="445"/>
      <c r="B364" s="444"/>
      <c r="C364" s="448"/>
      <c r="D364" s="448"/>
      <c r="E364" s="448"/>
      <c r="F364" s="448"/>
      <c r="G364" s="448"/>
      <c r="H364" s="448"/>
      <c r="I364" s="448"/>
      <c r="J364" s="435"/>
      <c r="K364" s="435"/>
      <c r="L364" s="448"/>
      <c r="M364" s="448"/>
      <c r="N364" s="435"/>
      <c r="O364" s="435"/>
      <c r="P364" s="450"/>
      <c r="Q364" s="435"/>
      <c r="R364" s="449"/>
      <c r="S364" s="435"/>
      <c r="T364" s="440"/>
      <c r="U364" s="440"/>
      <c r="V364" s="448"/>
      <c r="W364" s="448"/>
      <c r="X364" s="448"/>
      <c r="Y364" s="447"/>
      <c r="Z364" s="447"/>
      <c r="AA364" s="447"/>
      <c r="AB364" s="437"/>
      <c r="AC364" s="436"/>
      <c r="AD364" s="435"/>
      <c r="AE364" s="435"/>
      <c r="AF364" s="435"/>
    </row>
    <row r="365" spans="1:32" s="446" customFormat="1">
      <c r="A365" s="445"/>
      <c r="B365" s="444"/>
      <c r="C365" s="448"/>
      <c r="D365" s="448"/>
      <c r="E365" s="448"/>
      <c r="F365" s="448"/>
      <c r="G365" s="448"/>
      <c r="H365" s="448"/>
      <c r="I365" s="448"/>
      <c r="J365" s="435"/>
      <c r="K365" s="435"/>
      <c r="L365" s="448"/>
      <c r="M365" s="448"/>
      <c r="N365" s="435"/>
      <c r="O365" s="435"/>
      <c r="P365" s="450"/>
      <c r="Q365" s="435"/>
      <c r="R365" s="449"/>
      <c r="S365" s="435"/>
      <c r="T365" s="440"/>
      <c r="U365" s="440"/>
      <c r="V365" s="448"/>
      <c r="W365" s="448"/>
      <c r="X365" s="448"/>
      <c r="Y365" s="447"/>
      <c r="Z365" s="447"/>
      <c r="AA365" s="447"/>
      <c r="AB365" s="437"/>
      <c r="AC365" s="436"/>
      <c r="AD365" s="435"/>
      <c r="AE365" s="435"/>
      <c r="AF365" s="435"/>
    </row>
    <row r="366" spans="1:32" s="446" customFormat="1">
      <c r="A366" s="445"/>
      <c r="B366" s="444"/>
      <c r="C366" s="448"/>
      <c r="D366" s="448"/>
      <c r="E366" s="448"/>
      <c r="F366" s="448"/>
      <c r="G366" s="448"/>
      <c r="H366" s="448"/>
      <c r="I366" s="448"/>
      <c r="J366" s="435"/>
      <c r="K366" s="435"/>
      <c r="L366" s="448"/>
      <c r="M366" s="448"/>
      <c r="N366" s="435"/>
      <c r="O366" s="435"/>
      <c r="P366" s="450"/>
      <c r="Q366" s="435"/>
      <c r="R366" s="449"/>
      <c r="S366" s="435"/>
      <c r="T366" s="440"/>
      <c r="U366" s="440"/>
      <c r="V366" s="448"/>
      <c r="W366" s="448"/>
      <c r="X366" s="448"/>
      <c r="Y366" s="447"/>
      <c r="Z366" s="447"/>
      <c r="AA366" s="447"/>
      <c r="AB366" s="437"/>
      <c r="AC366" s="436"/>
      <c r="AD366" s="435"/>
      <c r="AE366" s="435"/>
      <c r="AF366" s="435"/>
    </row>
    <row r="367" spans="1:32" s="446" customFormat="1">
      <c r="A367" s="445"/>
      <c r="B367" s="444"/>
      <c r="C367" s="448"/>
      <c r="D367" s="448"/>
      <c r="E367" s="448"/>
      <c r="F367" s="448"/>
      <c r="G367" s="448"/>
      <c r="H367" s="448"/>
      <c r="I367" s="448"/>
      <c r="J367" s="435"/>
      <c r="K367" s="435"/>
      <c r="L367" s="448"/>
      <c r="M367" s="448"/>
      <c r="N367" s="435"/>
      <c r="O367" s="435"/>
      <c r="P367" s="450"/>
      <c r="Q367" s="435"/>
      <c r="R367" s="449"/>
      <c r="S367" s="435"/>
      <c r="T367" s="440"/>
      <c r="U367" s="440"/>
      <c r="V367" s="448"/>
      <c r="W367" s="448"/>
      <c r="X367" s="448"/>
      <c r="Y367" s="447"/>
      <c r="Z367" s="447"/>
      <c r="AA367" s="447"/>
      <c r="AB367" s="437"/>
      <c r="AC367" s="436"/>
      <c r="AD367" s="435"/>
      <c r="AE367" s="435"/>
      <c r="AF367" s="435"/>
    </row>
    <row r="368" spans="1:32" s="446" customFormat="1">
      <c r="A368" s="445"/>
      <c r="B368" s="444"/>
      <c r="C368" s="448"/>
      <c r="D368" s="448"/>
      <c r="E368" s="448"/>
      <c r="F368" s="448"/>
      <c r="G368" s="448"/>
      <c r="H368" s="448"/>
      <c r="I368" s="448"/>
      <c r="J368" s="435"/>
      <c r="K368" s="435"/>
      <c r="L368" s="448"/>
      <c r="M368" s="448"/>
      <c r="N368" s="435"/>
      <c r="O368" s="435"/>
      <c r="P368" s="450"/>
      <c r="Q368" s="435"/>
      <c r="R368" s="449"/>
      <c r="S368" s="435"/>
      <c r="T368" s="440"/>
      <c r="U368" s="440"/>
      <c r="V368" s="448"/>
      <c r="W368" s="448"/>
      <c r="X368" s="448"/>
      <c r="Y368" s="447"/>
      <c r="Z368" s="447"/>
      <c r="AA368" s="447"/>
      <c r="AB368" s="437"/>
      <c r="AC368" s="436"/>
      <c r="AD368" s="435"/>
      <c r="AE368" s="435"/>
      <c r="AF368" s="435"/>
    </row>
    <row r="369" spans="1:32" s="446" customFormat="1">
      <c r="A369" s="445"/>
      <c r="B369" s="444"/>
      <c r="C369" s="448"/>
      <c r="D369" s="448"/>
      <c r="E369" s="448"/>
      <c r="F369" s="448"/>
      <c r="G369" s="448"/>
      <c r="H369" s="448"/>
      <c r="I369" s="448"/>
      <c r="J369" s="435"/>
      <c r="K369" s="435"/>
      <c r="L369" s="448"/>
      <c r="M369" s="448"/>
      <c r="N369" s="435"/>
      <c r="O369" s="435"/>
      <c r="P369" s="450"/>
      <c r="Q369" s="435"/>
      <c r="R369" s="449"/>
      <c r="S369" s="435"/>
      <c r="T369" s="440"/>
      <c r="U369" s="440"/>
      <c r="V369" s="448"/>
      <c r="W369" s="448"/>
      <c r="X369" s="448"/>
      <c r="Y369" s="447"/>
      <c r="Z369" s="447"/>
      <c r="AA369" s="447"/>
      <c r="AB369" s="437"/>
      <c r="AC369" s="436"/>
      <c r="AD369" s="435"/>
      <c r="AE369" s="435"/>
      <c r="AF369" s="435"/>
    </row>
    <row r="370" spans="1:32" s="446" customFormat="1">
      <c r="A370" s="445"/>
      <c r="B370" s="444"/>
      <c r="C370" s="448"/>
      <c r="D370" s="448"/>
      <c r="E370" s="448"/>
      <c r="F370" s="448"/>
      <c r="G370" s="448"/>
      <c r="H370" s="448"/>
      <c r="I370" s="448"/>
      <c r="J370" s="435"/>
      <c r="K370" s="435"/>
      <c r="L370" s="448"/>
      <c r="M370" s="448"/>
      <c r="N370" s="435"/>
      <c r="O370" s="435"/>
      <c r="P370" s="450"/>
      <c r="Q370" s="435"/>
      <c r="R370" s="449"/>
      <c r="S370" s="435"/>
      <c r="T370" s="440"/>
      <c r="U370" s="440"/>
      <c r="V370" s="448"/>
      <c r="W370" s="448"/>
      <c r="X370" s="448"/>
      <c r="Y370" s="447"/>
      <c r="Z370" s="447"/>
      <c r="AA370" s="447"/>
      <c r="AB370" s="437"/>
      <c r="AC370" s="436"/>
      <c r="AD370" s="435"/>
      <c r="AE370" s="435"/>
      <c r="AF370" s="435"/>
    </row>
    <row r="371" spans="1:32" s="446" customFormat="1">
      <c r="A371" s="445"/>
      <c r="B371" s="444"/>
      <c r="C371" s="448"/>
      <c r="D371" s="448"/>
      <c r="E371" s="448"/>
      <c r="F371" s="448"/>
      <c r="G371" s="448"/>
      <c r="H371" s="448"/>
      <c r="I371" s="448"/>
      <c r="J371" s="435"/>
      <c r="K371" s="435"/>
      <c r="L371" s="448"/>
      <c r="M371" s="448"/>
      <c r="N371" s="435"/>
      <c r="O371" s="435"/>
      <c r="P371" s="450"/>
      <c r="Q371" s="435"/>
      <c r="R371" s="449"/>
      <c r="S371" s="435"/>
      <c r="T371" s="440"/>
      <c r="U371" s="440"/>
      <c r="V371" s="448"/>
      <c r="W371" s="448"/>
      <c r="X371" s="448"/>
      <c r="Y371" s="447"/>
      <c r="Z371" s="447"/>
      <c r="AA371" s="447"/>
      <c r="AB371" s="437"/>
      <c r="AC371" s="436"/>
      <c r="AD371" s="435"/>
      <c r="AE371" s="435"/>
      <c r="AF371" s="435"/>
    </row>
    <row r="372" spans="1:32" s="446" customFormat="1">
      <c r="A372" s="445"/>
      <c r="B372" s="444"/>
      <c r="C372" s="448"/>
      <c r="D372" s="448"/>
      <c r="E372" s="448"/>
      <c r="F372" s="448"/>
      <c r="G372" s="448"/>
      <c r="H372" s="448"/>
      <c r="I372" s="448"/>
      <c r="J372" s="435"/>
      <c r="K372" s="435"/>
      <c r="L372" s="448"/>
      <c r="M372" s="448"/>
      <c r="N372" s="435"/>
      <c r="O372" s="435"/>
      <c r="P372" s="450"/>
      <c r="Q372" s="435"/>
      <c r="R372" s="449"/>
      <c r="S372" s="435"/>
      <c r="T372" s="440"/>
      <c r="U372" s="440"/>
      <c r="V372" s="448"/>
      <c r="W372" s="448"/>
      <c r="X372" s="448"/>
      <c r="Y372" s="447"/>
      <c r="Z372" s="447"/>
      <c r="AA372" s="447"/>
      <c r="AB372" s="437"/>
      <c r="AC372" s="436"/>
      <c r="AD372" s="435"/>
      <c r="AE372" s="435"/>
      <c r="AF372" s="435"/>
    </row>
    <row r="373" spans="1:32" s="446" customFormat="1">
      <c r="A373" s="445"/>
      <c r="B373" s="444"/>
      <c r="C373" s="448"/>
      <c r="D373" s="448"/>
      <c r="E373" s="448"/>
      <c r="F373" s="448"/>
      <c r="G373" s="448"/>
      <c r="H373" s="448"/>
      <c r="I373" s="448"/>
      <c r="J373" s="435"/>
      <c r="K373" s="435"/>
      <c r="L373" s="448"/>
      <c r="M373" s="448"/>
      <c r="N373" s="435"/>
      <c r="O373" s="435"/>
      <c r="P373" s="450"/>
      <c r="Q373" s="435"/>
      <c r="R373" s="449"/>
      <c r="S373" s="435"/>
      <c r="T373" s="440"/>
      <c r="U373" s="440"/>
      <c r="V373" s="448"/>
      <c r="W373" s="448"/>
      <c r="X373" s="448"/>
      <c r="Y373" s="447"/>
      <c r="Z373" s="447"/>
      <c r="AA373" s="447"/>
      <c r="AB373" s="437"/>
      <c r="AC373" s="436"/>
      <c r="AD373" s="435"/>
      <c r="AE373" s="435"/>
      <c r="AF373" s="435"/>
    </row>
    <row r="374" spans="1:32" s="446" customFormat="1">
      <c r="A374" s="445"/>
      <c r="B374" s="444"/>
      <c r="C374" s="448"/>
      <c r="D374" s="448"/>
      <c r="E374" s="448"/>
      <c r="F374" s="448"/>
      <c r="G374" s="448"/>
      <c r="H374" s="448"/>
      <c r="I374" s="448"/>
      <c r="J374" s="435"/>
      <c r="K374" s="435"/>
      <c r="L374" s="448"/>
      <c r="M374" s="448"/>
      <c r="N374" s="435"/>
      <c r="O374" s="435"/>
      <c r="P374" s="450"/>
      <c r="Q374" s="435"/>
      <c r="R374" s="449"/>
      <c r="S374" s="435"/>
      <c r="T374" s="440"/>
      <c r="U374" s="440"/>
      <c r="V374" s="448"/>
      <c r="W374" s="448"/>
      <c r="X374" s="448"/>
      <c r="Y374" s="447"/>
      <c r="Z374" s="447"/>
      <c r="AA374" s="447"/>
      <c r="AB374" s="437"/>
      <c r="AC374" s="436"/>
      <c r="AD374" s="435"/>
      <c r="AE374" s="435"/>
      <c r="AF374" s="435"/>
    </row>
    <row r="375" spans="1:32" s="446" customFormat="1">
      <c r="A375" s="445"/>
      <c r="B375" s="444"/>
      <c r="C375" s="448"/>
      <c r="D375" s="448"/>
      <c r="E375" s="448"/>
      <c r="F375" s="448"/>
      <c r="G375" s="448"/>
      <c r="H375" s="448"/>
      <c r="I375" s="448"/>
      <c r="J375" s="435"/>
      <c r="K375" s="435"/>
      <c r="L375" s="448"/>
      <c r="M375" s="448"/>
      <c r="N375" s="435"/>
      <c r="O375" s="435"/>
      <c r="P375" s="450"/>
      <c r="Q375" s="435"/>
      <c r="R375" s="449"/>
      <c r="S375" s="435"/>
      <c r="T375" s="440"/>
      <c r="U375" s="440"/>
      <c r="V375" s="448"/>
      <c r="W375" s="448"/>
      <c r="X375" s="448"/>
      <c r="Y375" s="447"/>
      <c r="Z375" s="447"/>
      <c r="AA375" s="447"/>
      <c r="AB375" s="437"/>
      <c r="AC375" s="436"/>
      <c r="AD375" s="435"/>
      <c r="AE375" s="435"/>
      <c r="AF375" s="435"/>
    </row>
    <row r="376" spans="1:32" s="446" customFormat="1">
      <c r="A376" s="445"/>
      <c r="B376" s="444"/>
      <c r="C376" s="448"/>
      <c r="D376" s="448"/>
      <c r="E376" s="448"/>
      <c r="F376" s="448"/>
      <c r="G376" s="448"/>
      <c r="H376" s="448"/>
      <c r="I376" s="448"/>
      <c r="J376" s="435"/>
      <c r="K376" s="435"/>
      <c r="L376" s="448"/>
      <c r="M376" s="448"/>
      <c r="N376" s="435"/>
      <c r="O376" s="435"/>
      <c r="P376" s="450"/>
      <c r="Q376" s="435"/>
      <c r="R376" s="449"/>
      <c r="S376" s="435"/>
      <c r="T376" s="440"/>
      <c r="U376" s="440"/>
      <c r="V376" s="448"/>
      <c r="W376" s="448"/>
      <c r="X376" s="448"/>
      <c r="Y376" s="447"/>
      <c r="Z376" s="447"/>
      <c r="AA376" s="447"/>
      <c r="AB376" s="437"/>
      <c r="AC376" s="436"/>
      <c r="AD376" s="435"/>
      <c r="AE376" s="435"/>
      <c r="AF376" s="435"/>
    </row>
    <row r="377" spans="1:32" s="446" customFormat="1">
      <c r="A377" s="445"/>
      <c r="B377" s="444"/>
      <c r="C377" s="448"/>
      <c r="D377" s="448"/>
      <c r="E377" s="448"/>
      <c r="F377" s="448"/>
      <c r="G377" s="448"/>
      <c r="H377" s="448"/>
      <c r="I377" s="448"/>
      <c r="J377" s="435"/>
      <c r="K377" s="435"/>
      <c r="L377" s="448"/>
      <c r="M377" s="448"/>
      <c r="N377" s="435"/>
      <c r="O377" s="435"/>
      <c r="P377" s="450"/>
      <c r="Q377" s="435"/>
      <c r="R377" s="449"/>
      <c r="S377" s="435"/>
      <c r="T377" s="440"/>
      <c r="U377" s="440"/>
      <c r="V377" s="448"/>
      <c r="W377" s="448"/>
      <c r="X377" s="448"/>
      <c r="Y377" s="447"/>
      <c r="Z377" s="447"/>
      <c r="AA377" s="447"/>
      <c r="AB377" s="437"/>
      <c r="AC377" s="436"/>
      <c r="AD377" s="435"/>
      <c r="AE377" s="435"/>
      <c r="AF377" s="435"/>
    </row>
    <row r="378" spans="1:32" s="446" customFormat="1">
      <c r="A378" s="445"/>
      <c r="B378" s="444"/>
      <c r="C378" s="448"/>
      <c r="D378" s="448"/>
      <c r="E378" s="448"/>
      <c r="F378" s="448"/>
      <c r="G378" s="448"/>
      <c r="H378" s="448"/>
      <c r="I378" s="448"/>
      <c r="J378" s="435"/>
      <c r="K378" s="435"/>
      <c r="L378" s="448"/>
      <c r="M378" s="448"/>
      <c r="N378" s="435"/>
      <c r="O378" s="435"/>
      <c r="P378" s="450"/>
      <c r="Q378" s="435"/>
      <c r="R378" s="449"/>
      <c r="S378" s="435"/>
      <c r="T378" s="440"/>
      <c r="U378" s="440"/>
      <c r="V378" s="448"/>
      <c r="W378" s="448"/>
      <c r="X378" s="448"/>
      <c r="Y378" s="447"/>
      <c r="Z378" s="447"/>
      <c r="AA378" s="447"/>
      <c r="AB378" s="437"/>
      <c r="AC378" s="436"/>
      <c r="AD378" s="435"/>
      <c r="AE378" s="435"/>
      <c r="AF378" s="435"/>
    </row>
    <row r="379" spans="1:32" s="446" customFormat="1">
      <c r="A379" s="445"/>
      <c r="B379" s="444"/>
      <c r="C379" s="448"/>
      <c r="D379" s="448"/>
      <c r="E379" s="448"/>
      <c r="F379" s="448"/>
      <c r="G379" s="448"/>
      <c r="H379" s="448"/>
      <c r="I379" s="448"/>
      <c r="J379" s="435"/>
      <c r="K379" s="435"/>
      <c r="L379" s="448"/>
      <c r="M379" s="448"/>
      <c r="N379" s="435"/>
      <c r="O379" s="435"/>
      <c r="P379" s="450"/>
      <c r="Q379" s="435"/>
      <c r="R379" s="449"/>
      <c r="S379" s="435"/>
      <c r="T379" s="440"/>
      <c r="U379" s="440"/>
      <c r="V379" s="448"/>
      <c r="W379" s="448"/>
      <c r="X379" s="448"/>
      <c r="Y379" s="447"/>
      <c r="Z379" s="447"/>
      <c r="AA379" s="447"/>
      <c r="AB379" s="437"/>
      <c r="AC379" s="436"/>
      <c r="AD379" s="435"/>
      <c r="AE379" s="435"/>
      <c r="AF379" s="435"/>
    </row>
    <row r="380" spans="1:32" s="446" customFormat="1">
      <c r="A380" s="445"/>
      <c r="B380" s="444"/>
      <c r="C380" s="448"/>
      <c r="D380" s="448"/>
      <c r="E380" s="448"/>
      <c r="F380" s="448"/>
      <c r="G380" s="448"/>
      <c r="H380" s="448"/>
      <c r="I380" s="448"/>
      <c r="J380" s="435"/>
      <c r="K380" s="435"/>
      <c r="L380" s="448"/>
      <c r="M380" s="448"/>
      <c r="N380" s="435"/>
      <c r="O380" s="435"/>
      <c r="P380" s="450"/>
      <c r="Q380" s="435"/>
      <c r="R380" s="449"/>
      <c r="S380" s="435"/>
      <c r="T380" s="440"/>
      <c r="U380" s="440"/>
      <c r="V380" s="448"/>
      <c r="W380" s="448"/>
      <c r="X380" s="448"/>
      <c r="Y380" s="447"/>
      <c r="Z380" s="447"/>
      <c r="AA380" s="447"/>
      <c r="AB380" s="437"/>
      <c r="AC380" s="436"/>
      <c r="AD380" s="435"/>
      <c r="AE380" s="435"/>
      <c r="AF380" s="435"/>
    </row>
    <row r="381" spans="1:32" s="446" customFormat="1">
      <c r="A381" s="445"/>
      <c r="B381" s="444"/>
      <c r="C381" s="448"/>
      <c r="D381" s="448"/>
      <c r="E381" s="448"/>
      <c r="F381" s="448"/>
      <c r="G381" s="448"/>
      <c r="H381" s="448"/>
      <c r="I381" s="448"/>
      <c r="J381" s="435"/>
      <c r="K381" s="435"/>
      <c r="L381" s="448"/>
      <c r="M381" s="448"/>
      <c r="N381" s="435"/>
      <c r="O381" s="435"/>
      <c r="P381" s="450"/>
      <c r="Q381" s="435"/>
      <c r="R381" s="449"/>
      <c r="S381" s="435"/>
      <c r="T381" s="440"/>
      <c r="U381" s="440"/>
      <c r="V381" s="448"/>
      <c r="W381" s="448"/>
      <c r="X381" s="448"/>
      <c r="Y381" s="447"/>
      <c r="Z381" s="447"/>
      <c r="AA381" s="447"/>
      <c r="AB381" s="437"/>
      <c r="AC381" s="436"/>
      <c r="AD381" s="435"/>
      <c r="AE381" s="435"/>
      <c r="AF381" s="435"/>
    </row>
    <row r="382" spans="1:32" s="446" customFormat="1">
      <c r="A382" s="445"/>
      <c r="B382" s="444"/>
      <c r="C382" s="448"/>
      <c r="D382" s="448"/>
      <c r="E382" s="448"/>
      <c r="F382" s="448"/>
      <c r="G382" s="448"/>
      <c r="H382" s="448"/>
      <c r="I382" s="448"/>
      <c r="J382" s="435"/>
      <c r="K382" s="435"/>
      <c r="L382" s="448"/>
      <c r="M382" s="448"/>
      <c r="N382" s="435"/>
      <c r="O382" s="435"/>
      <c r="P382" s="450"/>
      <c r="Q382" s="435"/>
      <c r="R382" s="449"/>
      <c r="S382" s="435"/>
      <c r="T382" s="440"/>
      <c r="U382" s="440"/>
      <c r="V382" s="448"/>
      <c r="W382" s="448"/>
      <c r="X382" s="448"/>
      <c r="Y382" s="447"/>
      <c r="Z382" s="447"/>
      <c r="AA382" s="447"/>
      <c r="AB382" s="437"/>
      <c r="AC382" s="436"/>
      <c r="AD382" s="435"/>
      <c r="AE382" s="435"/>
      <c r="AF382" s="435"/>
    </row>
    <row r="383" spans="1:32" s="446" customFormat="1">
      <c r="A383" s="445"/>
      <c r="B383" s="444"/>
      <c r="C383" s="448"/>
      <c r="D383" s="448"/>
      <c r="E383" s="448"/>
      <c r="F383" s="448"/>
      <c r="G383" s="448"/>
      <c r="H383" s="448"/>
      <c r="I383" s="448"/>
      <c r="J383" s="435"/>
      <c r="K383" s="435"/>
      <c r="L383" s="448"/>
      <c r="M383" s="448"/>
      <c r="N383" s="435"/>
      <c r="O383" s="435"/>
      <c r="P383" s="450"/>
      <c r="Q383" s="435"/>
      <c r="R383" s="449"/>
      <c r="S383" s="435"/>
      <c r="T383" s="440"/>
      <c r="U383" s="440"/>
      <c r="V383" s="448"/>
      <c r="W383" s="448"/>
      <c r="X383" s="448"/>
      <c r="Y383" s="447"/>
      <c r="Z383" s="447"/>
      <c r="AA383" s="447"/>
      <c r="AB383" s="437"/>
      <c r="AC383" s="436"/>
      <c r="AD383" s="435"/>
      <c r="AE383" s="435"/>
      <c r="AF383" s="435"/>
    </row>
    <row r="384" spans="1:32" s="446" customFormat="1">
      <c r="A384" s="445"/>
      <c r="B384" s="444"/>
      <c r="C384" s="448"/>
      <c r="D384" s="448"/>
      <c r="E384" s="448"/>
      <c r="F384" s="448"/>
      <c r="G384" s="448"/>
      <c r="H384" s="448"/>
      <c r="I384" s="448"/>
      <c r="J384" s="435"/>
      <c r="K384" s="435"/>
      <c r="L384" s="448"/>
      <c r="M384" s="448"/>
      <c r="N384" s="435"/>
      <c r="O384" s="435"/>
      <c r="P384" s="450"/>
      <c r="Q384" s="435"/>
      <c r="R384" s="449"/>
      <c r="S384" s="435"/>
      <c r="T384" s="440"/>
      <c r="U384" s="440"/>
      <c r="V384" s="448"/>
      <c r="W384" s="448"/>
      <c r="X384" s="448"/>
      <c r="Y384" s="447"/>
      <c r="Z384" s="447"/>
      <c r="AA384" s="447"/>
      <c r="AB384" s="437"/>
      <c r="AC384" s="436"/>
      <c r="AD384" s="435"/>
      <c r="AE384" s="435"/>
      <c r="AF384" s="435"/>
    </row>
    <row r="385" spans="1:32" s="446" customFormat="1">
      <c r="A385" s="445"/>
      <c r="B385" s="444"/>
      <c r="C385" s="448"/>
      <c r="D385" s="448"/>
      <c r="E385" s="448"/>
      <c r="F385" s="448"/>
      <c r="G385" s="448"/>
      <c r="H385" s="448"/>
      <c r="I385" s="448"/>
      <c r="J385" s="435"/>
      <c r="K385" s="435"/>
      <c r="L385" s="448"/>
      <c r="M385" s="448"/>
      <c r="N385" s="435"/>
      <c r="O385" s="435"/>
      <c r="P385" s="450"/>
      <c r="Q385" s="435"/>
      <c r="R385" s="449"/>
      <c r="S385" s="435"/>
      <c r="T385" s="440"/>
      <c r="U385" s="440"/>
      <c r="V385" s="448"/>
      <c r="W385" s="448"/>
      <c r="X385" s="448"/>
      <c r="Y385" s="447"/>
      <c r="Z385" s="447"/>
      <c r="AA385" s="447"/>
      <c r="AB385" s="437"/>
      <c r="AC385" s="436"/>
      <c r="AD385" s="435"/>
      <c r="AE385" s="435"/>
      <c r="AF385" s="435"/>
    </row>
    <row r="386" spans="1:32" s="446" customFormat="1">
      <c r="A386" s="445"/>
      <c r="B386" s="444"/>
      <c r="C386" s="448"/>
      <c r="D386" s="448"/>
      <c r="E386" s="448"/>
      <c r="F386" s="448"/>
      <c r="G386" s="448"/>
      <c r="H386" s="448"/>
      <c r="I386" s="448"/>
      <c r="J386" s="435"/>
      <c r="K386" s="435"/>
      <c r="L386" s="448"/>
      <c r="M386" s="448"/>
      <c r="N386" s="435"/>
      <c r="O386" s="435"/>
      <c r="P386" s="450"/>
      <c r="Q386" s="435"/>
      <c r="R386" s="449"/>
      <c r="S386" s="435"/>
      <c r="T386" s="440"/>
      <c r="U386" s="440"/>
      <c r="V386" s="448"/>
      <c r="W386" s="448"/>
      <c r="X386" s="448"/>
      <c r="Y386" s="447"/>
      <c r="Z386" s="447"/>
      <c r="AA386" s="447"/>
      <c r="AB386" s="437"/>
      <c r="AC386" s="436"/>
      <c r="AD386" s="435"/>
      <c r="AE386" s="435"/>
      <c r="AF386" s="435"/>
    </row>
    <row r="387" spans="1:32" s="446" customFormat="1">
      <c r="A387" s="445"/>
      <c r="B387" s="444"/>
      <c r="C387" s="448"/>
      <c r="D387" s="448"/>
      <c r="E387" s="448"/>
      <c r="F387" s="448"/>
      <c r="G387" s="448"/>
      <c r="H387" s="448"/>
      <c r="I387" s="448"/>
      <c r="J387" s="435"/>
      <c r="K387" s="435"/>
      <c r="L387" s="448"/>
      <c r="M387" s="448"/>
      <c r="N387" s="435"/>
      <c r="O387" s="435"/>
      <c r="P387" s="450"/>
      <c r="Q387" s="435"/>
      <c r="R387" s="449"/>
      <c r="S387" s="435"/>
      <c r="T387" s="440"/>
      <c r="U387" s="440"/>
      <c r="V387" s="448"/>
      <c r="W387" s="448"/>
      <c r="X387" s="448"/>
      <c r="Y387" s="447"/>
      <c r="Z387" s="447"/>
      <c r="AA387" s="447"/>
      <c r="AB387" s="437"/>
      <c r="AC387" s="436"/>
      <c r="AD387" s="435"/>
      <c r="AE387" s="435"/>
      <c r="AF387" s="435"/>
    </row>
    <row r="388" spans="1:32" s="446" customFormat="1">
      <c r="A388" s="445"/>
      <c r="B388" s="444"/>
      <c r="C388" s="448"/>
      <c r="D388" s="448"/>
      <c r="E388" s="448"/>
      <c r="F388" s="448"/>
      <c r="G388" s="448"/>
      <c r="H388" s="448"/>
      <c r="I388" s="448"/>
      <c r="J388" s="435"/>
      <c r="K388" s="435"/>
      <c r="L388" s="448"/>
      <c r="M388" s="448"/>
      <c r="N388" s="435"/>
      <c r="O388" s="435"/>
      <c r="P388" s="450"/>
      <c r="Q388" s="435"/>
      <c r="R388" s="449"/>
      <c r="S388" s="435"/>
      <c r="T388" s="440"/>
      <c r="U388" s="440"/>
      <c r="V388" s="448"/>
      <c r="W388" s="448"/>
      <c r="X388" s="448"/>
      <c r="Y388" s="447"/>
      <c r="Z388" s="447"/>
      <c r="AA388" s="447"/>
      <c r="AB388" s="437"/>
      <c r="AC388" s="436"/>
      <c r="AD388" s="435"/>
      <c r="AE388" s="435"/>
      <c r="AF388" s="435"/>
    </row>
    <row r="389" spans="1:32" s="446" customFormat="1">
      <c r="A389" s="445"/>
      <c r="B389" s="444"/>
      <c r="C389" s="448"/>
      <c r="D389" s="448"/>
      <c r="E389" s="448"/>
      <c r="F389" s="448"/>
      <c r="G389" s="448"/>
      <c r="H389" s="448"/>
      <c r="I389" s="448"/>
      <c r="J389" s="435"/>
      <c r="K389" s="435"/>
      <c r="L389" s="448"/>
      <c r="M389" s="448"/>
      <c r="N389" s="435"/>
      <c r="O389" s="435"/>
      <c r="P389" s="450"/>
      <c r="Q389" s="435"/>
      <c r="R389" s="449"/>
      <c r="S389" s="435"/>
      <c r="T389" s="440"/>
      <c r="U389" s="440"/>
      <c r="V389" s="448"/>
      <c r="W389" s="448"/>
      <c r="X389" s="448"/>
      <c r="Y389" s="447"/>
      <c r="Z389" s="447"/>
      <c r="AA389" s="447"/>
      <c r="AB389" s="437"/>
      <c r="AC389" s="436"/>
      <c r="AD389" s="435"/>
      <c r="AE389" s="435"/>
      <c r="AF389" s="435"/>
    </row>
    <row r="390" spans="1:32" s="446" customFormat="1">
      <c r="A390" s="445"/>
      <c r="B390" s="444"/>
      <c r="C390" s="448"/>
      <c r="D390" s="448"/>
      <c r="E390" s="448"/>
      <c r="F390" s="448"/>
      <c r="G390" s="448"/>
      <c r="H390" s="448"/>
      <c r="I390" s="448"/>
      <c r="J390" s="435"/>
      <c r="K390" s="435"/>
      <c r="L390" s="448"/>
      <c r="M390" s="448"/>
      <c r="N390" s="435"/>
      <c r="O390" s="435"/>
      <c r="P390" s="450"/>
      <c r="Q390" s="435"/>
      <c r="R390" s="449"/>
      <c r="S390" s="435"/>
      <c r="T390" s="440"/>
      <c r="U390" s="440"/>
      <c r="V390" s="448"/>
      <c r="W390" s="448"/>
      <c r="X390" s="448"/>
      <c r="Y390" s="447"/>
      <c r="Z390" s="447"/>
      <c r="AA390" s="447"/>
      <c r="AB390" s="437"/>
      <c r="AC390" s="436"/>
      <c r="AD390" s="435"/>
      <c r="AE390" s="435"/>
      <c r="AF390" s="435"/>
    </row>
    <row r="391" spans="1:32" s="446" customFormat="1">
      <c r="A391" s="445"/>
      <c r="B391" s="444"/>
      <c r="C391" s="448"/>
      <c r="D391" s="448"/>
      <c r="E391" s="448"/>
      <c r="F391" s="448"/>
      <c r="G391" s="448"/>
      <c r="H391" s="448"/>
      <c r="I391" s="448"/>
      <c r="J391" s="435"/>
      <c r="K391" s="435"/>
      <c r="L391" s="448"/>
      <c r="M391" s="448"/>
      <c r="N391" s="435"/>
      <c r="O391" s="435"/>
      <c r="P391" s="450"/>
      <c r="Q391" s="435"/>
      <c r="R391" s="449"/>
      <c r="S391" s="435"/>
      <c r="T391" s="440"/>
      <c r="U391" s="440"/>
      <c r="V391" s="448"/>
      <c r="W391" s="448"/>
      <c r="X391" s="448"/>
      <c r="Y391" s="447"/>
      <c r="Z391" s="447"/>
      <c r="AA391" s="447"/>
      <c r="AB391" s="437"/>
      <c r="AC391" s="436"/>
      <c r="AD391" s="435"/>
      <c r="AE391" s="435"/>
      <c r="AF391" s="435"/>
    </row>
    <row r="392" spans="1:32" s="446" customFormat="1">
      <c r="A392" s="445"/>
      <c r="B392" s="444"/>
      <c r="C392" s="448"/>
      <c r="D392" s="448"/>
      <c r="E392" s="448"/>
      <c r="F392" s="448"/>
      <c r="G392" s="448"/>
      <c r="H392" s="448"/>
      <c r="I392" s="448"/>
      <c r="J392" s="435"/>
      <c r="K392" s="435"/>
      <c r="L392" s="448"/>
      <c r="M392" s="448"/>
      <c r="N392" s="435"/>
      <c r="O392" s="435"/>
      <c r="P392" s="450"/>
      <c r="Q392" s="435"/>
      <c r="R392" s="449"/>
      <c r="S392" s="435"/>
      <c r="T392" s="440"/>
      <c r="U392" s="440"/>
      <c r="V392" s="448"/>
      <c r="W392" s="448"/>
      <c r="X392" s="448"/>
      <c r="Y392" s="447"/>
      <c r="Z392" s="447"/>
      <c r="AA392" s="447"/>
      <c r="AB392" s="437"/>
      <c r="AC392" s="436"/>
      <c r="AD392" s="435"/>
      <c r="AE392" s="435"/>
      <c r="AF392" s="435"/>
    </row>
    <row r="393" spans="1:32" s="446" customFormat="1">
      <c r="A393" s="445"/>
      <c r="B393" s="444"/>
      <c r="C393" s="448"/>
      <c r="D393" s="448"/>
      <c r="E393" s="448"/>
      <c r="F393" s="448"/>
      <c r="G393" s="448"/>
      <c r="H393" s="448"/>
      <c r="I393" s="448"/>
      <c r="J393" s="435"/>
      <c r="K393" s="435"/>
      <c r="L393" s="448"/>
      <c r="M393" s="448"/>
      <c r="N393" s="435"/>
      <c r="O393" s="435"/>
      <c r="P393" s="450"/>
      <c r="Q393" s="435"/>
      <c r="R393" s="449"/>
      <c r="S393" s="435"/>
      <c r="T393" s="440"/>
      <c r="U393" s="440"/>
      <c r="V393" s="448"/>
      <c r="W393" s="448"/>
      <c r="X393" s="448"/>
      <c r="Y393" s="447"/>
      <c r="Z393" s="447"/>
      <c r="AA393" s="447"/>
      <c r="AB393" s="437"/>
      <c r="AC393" s="436"/>
      <c r="AD393" s="435"/>
      <c r="AE393" s="435"/>
      <c r="AF393" s="435"/>
    </row>
    <row r="394" spans="1:32" s="446" customFormat="1">
      <c r="A394" s="445"/>
      <c r="B394" s="444"/>
      <c r="C394" s="448"/>
      <c r="D394" s="448"/>
      <c r="E394" s="448"/>
      <c r="F394" s="448"/>
      <c r="G394" s="448"/>
      <c r="H394" s="448"/>
      <c r="I394" s="448"/>
      <c r="J394" s="435"/>
      <c r="K394" s="435"/>
      <c r="L394" s="448"/>
      <c r="M394" s="448"/>
      <c r="N394" s="435"/>
      <c r="O394" s="435"/>
      <c r="P394" s="450"/>
      <c r="Q394" s="435"/>
      <c r="R394" s="449"/>
      <c r="S394" s="435"/>
      <c r="T394" s="440"/>
      <c r="U394" s="440"/>
      <c r="V394" s="448"/>
      <c r="W394" s="448"/>
      <c r="X394" s="448"/>
      <c r="Y394" s="447"/>
      <c r="Z394" s="447"/>
      <c r="AA394" s="447"/>
      <c r="AB394" s="437"/>
      <c r="AC394" s="436"/>
      <c r="AD394" s="435"/>
      <c r="AE394" s="435"/>
      <c r="AF394" s="435"/>
    </row>
    <row r="395" spans="1:32" s="446" customFormat="1">
      <c r="A395" s="445"/>
      <c r="B395" s="444"/>
      <c r="C395" s="448"/>
      <c r="D395" s="448"/>
      <c r="E395" s="448"/>
      <c r="F395" s="448"/>
      <c r="G395" s="448"/>
      <c r="H395" s="448"/>
      <c r="I395" s="448"/>
      <c r="J395" s="435"/>
      <c r="K395" s="435"/>
      <c r="L395" s="448"/>
      <c r="M395" s="448"/>
      <c r="N395" s="435"/>
      <c r="O395" s="435"/>
      <c r="P395" s="450"/>
      <c r="Q395" s="435"/>
      <c r="R395" s="449"/>
      <c r="S395" s="435"/>
      <c r="T395" s="440"/>
      <c r="U395" s="440"/>
      <c r="V395" s="448"/>
      <c r="W395" s="448"/>
      <c r="X395" s="448"/>
      <c r="Y395" s="447"/>
      <c r="Z395" s="447"/>
      <c r="AA395" s="447"/>
      <c r="AB395" s="437"/>
      <c r="AC395" s="436"/>
      <c r="AD395" s="435"/>
      <c r="AE395" s="435"/>
      <c r="AF395" s="435"/>
    </row>
    <row r="396" spans="1:32" s="446" customFormat="1">
      <c r="A396" s="445"/>
      <c r="B396" s="444"/>
      <c r="C396" s="448"/>
      <c r="D396" s="448"/>
      <c r="E396" s="448"/>
      <c r="F396" s="448"/>
      <c r="G396" s="448"/>
      <c r="H396" s="448"/>
      <c r="I396" s="448"/>
      <c r="J396" s="435"/>
      <c r="K396" s="435"/>
      <c r="L396" s="448"/>
      <c r="M396" s="448"/>
      <c r="N396" s="435"/>
      <c r="O396" s="435"/>
      <c r="P396" s="450"/>
      <c r="Q396" s="435"/>
      <c r="R396" s="449"/>
      <c r="S396" s="435"/>
      <c r="T396" s="440"/>
      <c r="U396" s="440"/>
      <c r="V396" s="448"/>
      <c r="W396" s="448"/>
      <c r="X396" s="448"/>
      <c r="Y396" s="447"/>
      <c r="Z396" s="447"/>
      <c r="AA396" s="447"/>
      <c r="AB396" s="437"/>
      <c r="AC396" s="436"/>
      <c r="AD396" s="435"/>
      <c r="AE396" s="435"/>
      <c r="AF396" s="435"/>
    </row>
    <row r="397" spans="1:32" s="446" customFormat="1">
      <c r="A397" s="445"/>
      <c r="B397" s="444"/>
      <c r="C397" s="448"/>
      <c r="D397" s="448"/>
      <c r="E397" s="448"/>
      <c r="F397" s="448"/>
      <c r="G397" s="448"/>
      <c r="H397" s="448"/>
      <c r="I397" s="448"/>
      <c r="J397" s="435"/>
      <c r="K397" s="435"/>
      <c r="L397" s="448"/>
      <c r="M397" s="448"/>
      <c r="N397" s="435"/>
      <c r="O397" s="435"/>
      <c r="P397" s="450"/>
      <c r="Q397" s="435"/>
      <c r="R397" s="449"/>
      <c r="S397" s="435"/>
      <c r="T397" s="440"/>
      <c r="U397" s="440"/>
      <c r="V397" s="448"/>
      <c r="W397" s="448"/>
      <c r="X397" s="448"/>
      <c r="Y397" s="447"/>
      <c r="Z397" s="447"/>
      <c r="AA397" s="447"/>
      <c r="AB397" s="437"/>
      <c r="AC397" s="436"/>
      <c r="AD397" s="435"/>
      <c r="AE397" s="435"/>
      <c r="AF397" s="435"/>
    </row>
    <row r="398" spans="1:32" s="446" customFormat="1">
      <c r="A398" s="445"/>
      <c r="B398" s="444"/>
      <c r="C398" s="448"/>
      <c r="D398" s="448"/>
      <c r="E398" s="448"/>
      <c r="F398" s="448"/>
      <c r="G398" s="448"/>
      <c r="H398" s="448"/>
      <c r="I398" s="448"/>
      <c r="J398" s="435"/>
      <c r="K398" s="435"/>
      <c r="L398" s="448"/>
      <c r="M398" s="448"/>
      <c r="N398" s="435"/>
      <c r="O398" s="435"/>
      <c r="P398" s="450"/>
      <c r="Q398" s="435"/>
      <c r="R398" s="449"/>
      <c r="S398" s="435"/>
      <c r="T398" s="440"/>
      <c r="U398" s="440"/>
      <c r="V398" s="448"/>
      <c r="W398" s="448"/>
      <c r="X398" s="448"/>
      <c r="Y398" s="447"/>
      <c r="Z398" s="447"/>
      <c r="AA398" s="447"/>
      <c r="AB398" s="437"/>
      <c r="AC398" s="436"/>
      <c r="AD398" s="435"/>
      <c r="AE398" s="435"/>
      <c r="AF398" s="435"/>
    </row>
    <row r="399" spans="1:32" s="446" customFormat="1">
      <c r="A399" s="445"/>
      <c r="B399" s="444"/>
      <c r="C399" s="448"/>
      <c r="D399" s="448"/>
      <c r="E399" s="448"/>
      <c r="F399" s="448"/>
      <c r="G399" s="448"/>
      <c r="H399" s="448"/>
      <c r="I399" s="448"/>
      <c r="J399" s="435"/>
      <c r="K399" s="435"/>
      <c r="L399" s="448"/>
      <c r="M399" s="448"/>
      <c r="N399" s="435"/>
      <c r="O399" s="435"/>
      <c r="P399" s="450"/>
      <c r="Q399" s="435"/>
      <c r="R399" s="449"/>
      <c r="S399" s="435"/>
      <c r="T399" s="440"/>
      <c r="U399" s="440"/>
      <c r="V399" s="448"/>
      <c r="W399" s="448"/>
      <c r="X399" s="448"/>
      <c r="Y399" s="447"/>
      <c r="Z399" s="447"/>
      <c r="AA399" s="447"/>
      <c r="AB399" s="437"/>
      <c r="AC399" s="436"/>
      <c r="AD399" s="435"/>
      <c r="AE399" s="435"/>
      <c r="AF399" s="435"/>
    </row>
    <row r="400" spans="1:32" s="446" customFormat="1">
      <c r="A400" s="445"/>
      <c r="B400" s="444"/>
      <c r="C400" s="448"/>
      <c r="D400" s="448"/>
      <c r="E400" s="448"/>
      <c r="F400" s="448"/>
      <c r="G400" s="448"/>
      <c r="H400" s="448"/>
      <c r="I400" s="448"/>
      <c r="J400" s="435"/>
      <c r="K400" s="435"/>
      <c r="L400" s="448"/>
      <c r="M400" s="448"/>
      <c r="N400" s="435"/>
      <c r="O400" s="435"/>
      <c r="P400" s="450"/>
      <c r="Q400" s="435"/>
      <c r="R400" s="449"/>
      <c r="S400" s="435"/>
      <c r="T400" s="440"/>
      <c r="U400" s="440"/>
      <c r="V400" s="448"/>
      <c r="W400" s="448"/>
      <c r="X400" s="448"/>
      <c r="Y400" s="447"/>
      <c r="Z400" s="447"/>
      <c r="AA400" s="447"/>
      <c r="AB400" s="437"/>
      <c r="AC400" s="436"/>
      <c r="AD400" s="435"/>
      <c r="AE400" s="435"/>
      <c r="AF400" s="435"/>
    </row>
    <row r="401" spans="1:32" s="446" customFormat="1">
      <c r="A401" s="445"/>
      <c r="B401" s="444"/>
      <c r="C401" s="448"/>
      <c r="D401" s="448"/>
      <c r="E401" s="448"/>
      <c r="F401" s="448"/>
      <c r="G401" s="448"/>
      <c r="H401" s="448"/>
      <c r="I401" s="448"/>
      <c r="J401" s="435"/>
      <c r="K401" s="435"/>
      <c r="L401" s="448"/>
      <c r="M401" s="448"/>
      <c r="N401" s="435"/>
      <c r="O401" s="435"/>
      <c r="P401" s="450"/>
      <c r="Q401" s="435"/>
      <c r="R401" s="449"/>
      <c r="S401" s="435"/>
      <c r="T401" s="440"/>
      <c r="U401" s="440"/>
      <c r="V401" s="448"/>
      <c r="W401" s="448"/>
      <c r="X401" s="448"/>
      <c r="Y401" s="447"/>
      <c r="Z401" s="447"/>
      <c r="AA401" s="447"/>
      <c r="AB401" s="437"/>
      <c r="AC401" s="436"/>
      <c r="AD401" s="435"/>
      <c r="AE401" s="435"/>
      <c r="AF401" s="435"/>
    </row>
    <row r="402" spans="1:32" s="446" customFormat="1">
      <c r="A402" s="445"/>
      <c r="B402" s="444"/>
      <c r="C402" s="448"/>
      <c r="D402" s="448"/>
      <c r="E402" s="448"/>
      <c r="F402" s="448"/>
      <c r="G402" s="448"/>
      <c r="H402" s="448"/>
      <c r="I402" s="448"/>
      <c r="J402" s="435"/>
      <c r="K402" s="435"/>
      <c r="L402" s="448"/>
      <c r="M402" s="448"/>
      <c r="N402" s="435"/>
      <c r="O402" s="435"/>
      <c r="P402" s="450"/>
      <c r="Q402" s="435"/>
      <c r="R402" s="449"/>
      <c r="S402" s="435"/>
      <c r="T402" s="440"/>
      <c r="U402" s="440"/>
      <c r="V402" s="448"/>
      <c r="W402" s="448"/>
      <c r="X402" s="448"/>
      <c r="Y402" s="447"/>
      <c r="Z402" s="447"/>
      <c r="AA402" s="447"/>
      <c r="AB402" s="437"/>
      <c r="AC402" s="436"/>
      <c r="AD402" s="435"/>
      <c r="AE402" s="435"/>
      <c r="AF402" s="435"/>
    </row>
    <row r="403" spans="1:32" s="446" customFormat="1">
      <c r="A403" s="445"/>
      <c r="B403" s="444"/>
      <c r="C403" s="448"/>
      <c r="D403" s="448"/>
      <c r="E403" s="448"/>
      <c r="F403" s="448"/>
      <c r="G403" s="448"/>
      <c r="H403" s="448"/>
      <c r="I403" s="448"/>
      <c r="J403" s="435"/>
      <c r="K403" s="435"/>
      <c r="L403" s="448"/>
      <c r="M403" s="448"/>
      <c r="N403" s="435"/>
      <c r="O403" s="435"/>
      <c r="P403" s="450"/>
      <c r="Q403" s="435"/>
      <c r="R403" s="449"/>
      <c r="S403" s="435"/>
      <c r="T403" s="440"/>
      <c r="U403" s="440"/>
      <c r="V403" s="448"/>
      <c r="W403" s="448"/>
      <c r="X403" s="448"/>
      <c r="Y403" s="447"/>
      <c r="Z403" s="447"/>
      <c r="AA403" s="447"/>
      <c r="AB403" s="437"/>
      <c r="AC403" s="436"/>
      <c r="AD403" s="435"/>
      <c r="AE403" s="435"/>
      <c r="AF403" s="435"/>
    </row>
    <row r="404" spans="1:32" s="446" customFormat="1">
      <c r="A404" s="445"/>
      <c r="B404" s="444"/>
      <c r="C404" s="448"/>
      <c r="D404" s="448"/>
      <c r="E404" s="448"/>
      <c r="F404" s="448"/>
      <c r="G404" s="448"/>
      <c r="H404" s="448"/>
      <c r="I404" s="448"/>
      <c r="J404" s="435"/>
      <c r="K404" s="435"/>
      <c r="L404" s="448"/>
      <c r="M404" s="448"/>
      <c r="N404" s="435"/>
      <c r="O404" s="435"/>
      <c r="P404" s="450"/>
      <c r="Q404" s="435"/>
      <c r="R404" s="449"/>
      <c r="S404" s="435"/>
      <c r="T404" s="440"/>
      <c r="U404" s="440"/>
      <c r="V404" s="448"/>
      <c r="W404" s="448"/>
      <c r="X404" s="448"/>
      <c r="Y404" s="447"/>
      <c r="Z404" s="447"/>
      <c r="AA404" s="447"/>
      <c r="AB404" s="437"/>
      <c r="AC404" s="436"/>
      <c r="AD404" s="435"/>
      <c r="AE404" s="435"/>
      <c r="AF404" s="435"/>
    </row>
    <row r="405" spans="1:32" s="446" customFormat="1">
      <c r="A405" s="445"/>
      <c r="B405" s="444"/>
      <c r="C405" s="448"/>
      <c r="D405" s="448"/>
      <c r="E405" s="448"/>
      <c r="F405" s="448"/>
      <c r="G405" s="448"/>
      <c r="H405" s="448"/>
      <c r="I405" s="448"/>
      <c r="J405" s="435"/>
      <c r="K405" s="435"/>
      <c r="L405" s="448"/>
      <c r="M405" s="448"/>
      <c r="N405" s="435"/>
      <c r="O405" s="435"/>
      <c r="P405" s="450"/>
      <c r="Q405" s="435"/>
      <c r="R405" s="449"/>
      <c r="S405" s="435"/>
      <c r="T405" s="440"/>
      <c r="U405" s="440"/>
      <c r="V405" s="448"/>
      <c r="W405" s="448"/>
      <c r="X405" s="448"/>
      <c r="Y405" s="447"/>
      <c r="Z405" s="447"/>
      <c r="AA405" s="447"/>
      <c r="AB405" s="437"/>
      <c r="AC405" s="436"/>
      <c r="AD405" s="435"/>
      <c r="AE405" s="435"/>
      <c r="AF405" s="435"/>
    </row>
    <row r="406" spans="1:32" s="446" customFormat="1">
      <c r="A406" s="445"/>
      <c r="B406" s="444"/>
      <c r="C406" s="448"/>
      <c r="D406" s="448"/>
      <c r="E406" s="448"/>
      <c r="F406" s="448"/>
      <c r="G406" s="448"/>
      <c r="H406" s="448"/>
      <c r="I406" s="448"/>
      <c r="J406" s="435"/>
      <c r="K406" s="435"/>
      <c r="L406" s="448"/>
      <c r="M406" s="448"/>
      <c r="N406" s="435"/>
      <c r="O406" s="435"/>
      <c r="P406" s="450"/>
      <c r="Q406" s="435"/>
      <c r="R406" s="449"/>
      <c r="S406" s="435"/>
      <c r="T406" s="440"/>
      <c r="U406" s="440"/>
      <c r="V406" s="448"/>
      <c r="W406" s="448"/>
      <c r="X406" s="448"/>
      <c r="Y406" s="447"/>
      <c r="Z406" s="447"/>
      <c r="AA406" s="447"/>
      <c r="AB406" s="437"/>
      <c r="AC406" s="436"/>
      <c r="AD406" s="435"/>
      <c r="AE406" s="435"/>
      <c r="AF406" s="435"/>
    </row>
    <row r="407" spans="1:32" s="446" customFormat="1">
      <c r="A407" s="445"/>
      <c r="B407" s="444"/>
      <c r="C407" s="448"/>
      <c r="D407" s="448"/>
      <c r="E407" s="448"/>
      <c r="F407" s="448"/>
      <c r="G407" s="448"/>
      <c r="H407" s="448"/>
      <c r="I407" s="448"/>
      <c r="J407" s="435"/>
      <c r="K407" s="435"/>
      <c r="L407" s="448"/>
      <c r="M407" s="448"/>
      <c r="N407" s="435"/>
      <c r="O407" s="435"/>
      <c r="P407" s="450"/>
      <c r="Q407" s="435"/>
      <c r="R407" s="449"/>
      <c r="S407" s="435"/>
      <c r="T407" s="440"/>
      <c r="U407" s="440"/>
      <c r="V407" s="448"/>
      <c r="W407" s="448"/>
      <c r="X407" s="448"/>
      <c r="Y407" s="447"/>
      <c r="Z407" s="447"/>
      <c r="AA407" s="447"/>
      <c r="AB407" s="437"/>
      <c r="AC407" s="436"/>
      <c r="AD407" s="435"/>
      <c r="AE407" s="435"/>
      <c r="AF407" s="435"/>
    </row>
    <row r="408" spans="1:32" s="446" customFormat="1">
      <c r="A408" s="445"/>
      <c r="B408" s="444"/>
      <c r="C408" s="448"/>
      <c r="D408" s="448"/>
      <c r="E408" s="448"/>
      <c r="F408" s="448"/>
      <c r="G408" s="448"/>
      <c r="H408" s="448"/>
      <c r="I408" s="448"/>
      <c r="J408" s="435"/>
      <c r="K408" s="435"/>
      <c r="L408" s="448"/>
      <c r="M408" s="448"/>
      <c r="N408" s="435"/>
      <c r="O408" s="435"/>
      <c r="P408" s="450"/>
      <c r="Q408" s="435"/>
      <c r="R408" s="449"/>
      <c r="S408" s="435"/>
      <c r="T408" s="440"/>
      <c r="U408" s="440"/>
      <c r="V408" s="448"/>
      <c r="W408" s="448"/>
      <c r="X408" s="448"/>
      <c r="Y408" s="447"/>
      <c r="Z408" s="447"/>
      <c r="AA408" s="447"/>
      <c r="AB408" s="437"/>
      <c r="AC408" s="436"/>
      <c r="AD408" s="435"/>
      <c r="AE408" s="435"/>
      <c r="AF408" s="435"/>
    </row>
    <row r="409" spans="1:32" s="446" customFormat="1">
      <c r="A409" s="445"/>
      <c r="B409" s="444"/>
      <c r="C409" s="448"/>
      <c r="D409" s="448"/>
      <c r="E409" s="448"/>
      <c r="F409" s="448"/>
      <c r="G409" s="448"/>
      <c r="H409" s="448"/>
      <c r="I409" s="448"/>
      <c r="J409" s="435"/>
      <c r="K409" s="435"/>
      <c r="L409" s="448"/>
      <c r="M409" s="448"/>
      <c r="N409" s="435"/>
      <c r="O409" s="435"/>
      <c r="P409" s="450"/>
      <c r="Q409" s="435"/>
      <c r="R409" s="449"/>
      <c r="S409" s="435"/>
      <c r="T409" s="440"/>
      <c r="U409" s="440"/>
      <c r="V409" s="448"/>
      <c r="W409" s="448"/>
      <c r="X409" s="448"/>
      <c r="Y409" s="447"/>
      <c r="Z409" s="447"/>
      <c r="AA409" s="447"/>
      <c r="AB409" s="437"/>
      <c r="AC409" s="436"/>
      <c r="AD409" s="435"/>
      <c r="AE409" s="435"/>
      <c r="AF409" s="435"/>
    </row>
    <row r="410" spans="1:32" s="446" customFormat="1">
      <c r="A410" s="445"/>
      <c r="B410" s="444"/>
      <c r="C410" s="448"/>
      <c r="D410" s="448"/>
      <c r="E410" s="448"/>
      <c r="F410" s="448"/>
      <c r="G410" s="448"/>
      <c r="H410" s="448"/>
      <c r="I410" s="448"/>
      <c r="J410" s="435"/>
      <c r="K410" s="435"/>
      <c r="L410" s="448"/>
      <c r="M410" s="448"/>
      <c r="N410" s="435"/>
      <c r="O410" s="435"/>
      <c r="P410" s="450"/>
      <c r="Q410" s="435"/>
      <c r="R410" s="449"/>
      <c r="S410" s="435"/>
      <c r="T410" s="440"/>
      <c r="U410" s="440"/>
      <c r="V410" s="448"/>
      <c r="W410" s="448"/>
      <c r="X410" s="448"/>
      <c r="Y410" s="447"/>
      <c r="Z410" s="447"/>
      <c r="AA410" s="447"/>
      <c r="AB410" s="437"/>
      <c r="AC410" s="436"/>
      <c r="AD410" s="435"/>
      <c r="AE410" s="435"/>
      <c r="AF410" s="435"/>
    </row>
    <row r="411" spans="1:32" s="446" customFormat="1">
      <c r="A411" s="445"/>
      <c r="B411" s="444"/>
      <c r="C411" s="448"/>
      <c r="D411" s="448"/>
      <c r="E411" s="448"/>
      <c r="F411" s="448"/>
      <c r="G411" s="448"/>
      <c r="H411" s="448"/>
      <c r="I411" s="448"/>
      <c r="J411" s="435"/>
      <c r="K411" s="435"/>
      <c r="L411" s="448"/>
      <c r="M411" s="448"/>
      <c r="N411" s="435"/>
      <c r="O411" s="435"/>
      <c r="P411" s="450"/>
      <c r="Q411" s="435"/>
      <c r="R411" s="449"/>
      <c r="S411" s="435"/>
      <c r="T411" s="440"/>
      <c r="U411" s="440"/>
      <c r="V411" s="448"/>
      <c r="W411" s="448"/>
      <c r="X411" s="448"/>
      <c r="Y411" s="447"/>
      <c r="Z411" s="447"/>
      <c r="AA411" s="447"/>
      <c r="AB411" s="437"/>
      <c r="AC411" s="436"/>
      <c r="AD411" s="435"/>
      <c r="AE411" s="435"/>
      <c r="AF411" s="435"/>
    </row>
    <row r="412" spans="1:32" s="446" customFormat="1">
      <c r="A412" s="445"/>
      <c r="B412" s="444"/>
      <c r="C412" s="448"/>
      <c r="D412" s="448"/>
      <c r="E412" s="448"/>
      <c r="F412" s="448"/>
      <c r="G412" s="448"/>
      <c r="H412" s="448"/>
      <c r="I412" s="448"/>
      <c r="J412" s="435"/>
      <c r="K412" s="435"/>
      <c r="L412" s="448"/>
      <c r="M412" s="448"/>
      <c r="N412" s="435"/>
      <c r="O412" s="435"/>
      <c r="P412" s="450"/>
      <c r="Q412" s="435"/>
      <c r="R412" s="449"/>
      <c r="S412" s="435"/>
      <c r="T412" s="440"/>
      <c r="U412" s="440"/>
      <c r="V412" s="448"/>
      <c r="W412" s="448"/>
      <c r="X412" s="448"/>
      <c r="Y412" s="447"/>
      <c r="Z412" s="447"/>
      <c r="AA412" s="447"/>
      <c r="AB412" s="437"/>
      <c r="AC412" s="436"/>
      <c r="AD412" s="435"/>
      <c r="AE412" s="435"/>
      <c r="AF412" s="435"/>
    </row>
    <row r="413" spans="1:32" s="446" customFormat="1">
      <c r="A413" s="445"/>
      <c r="B413" s="444"/>
      <c r="C413" s="448"/>
      <c r="D413" s="448"/>
      <c r="E413" s="448"/>
      <c r="F413" s="448"/>
      <c r="G413" s="448"/>
      <c r="H413" s="448"/>
      <c r="I413" s="448"/>
      <c r="J413" s="435"/>
      <c r="K413" s="435"/>
      <c r="L413" s="448"/>
      <c r="M413" s="448"/>
      <c r="N413" s="435"/>
      <c r="O413" s="435"/>
      <c r="P413" s="450"/>
      <c r="Q413" s="435"/>
      <c r="R413" s="449"/>
      <c r="S413" s="435"/>
      <c r="T413" s="440"/>
      <c r="U413" s="440"/>
      <c r="V413" s="448"/>
      <c r="W413" s="448"/>
      <c r="X413" s="448"/>
      <c r="Y413" s="447"/>
      <c r="Z413" s="447"/>
      <c r="AA413" s="447"/>
      <c r="AB413" s="437"/>
      <c r="AC413" s="436"/>
      <c r="AD413" s="435"/>
      <c r="AE413" s="435"/>
      <c r="AF413" s="435"/>
    </row>
    <row r="414" spans="1:32" s="446" customFormat="1">
      <c r="A414" s="445"/>
      <c r="B414" s="444"/>
      <c r="C414" s="448"/>
      <c r="D414" s="448"/>
      <c r="E414" s="448"/>
      <c r="F414" s="448"/>
      <c r="G414" s="448"/>
      <c r="H414" s="448"/>
      <c r="I414" s="448"/>
      <c r="J414" s="435"/>
      <c r="K414" s="435"/>
      <c r="L414" s="448"/>
      <c r="M414" s="448"/>
      <c r="N414" s="435"/>
      <c r="O414" s="435"/>
      <c r="P414" s="450"/>
      <c r="Q414" s="435"/>
      <c r="R414" s="449"/>
      <c r="S414" s="435"/>
      <c r="T414" s="440"/>
      <c r="U414" s="440"/>
      <c r="V414" s="448"/>
      <c r="W414" s="448"/>
      <c r="X414" s="448"/>
      <c r="Y414" s="447"/>
      <c r="Z414" s="447"/>
      <c r="AA414" s="447"/>
      <c r="AB414" s="437"/>
      <c r="AC414" s="436"/>
      <c r="AD414" s="435"/>
      <c r="AE414" s="435"/>
      <c r="AF414" s="435"/>
    </row>
    <row r="415" spans="1:32" s="446" customFormat="1">
      <c r="A415" s="445"/>
      <c r="B415" s="444"/>
      <c r="C415" s="448"/>
      <c r="D415" s="448"/>
      <c r="E415" s="448"/>
      <c r="F415" s="448"/>
      <c r="G415" s="448"/>
      <c r="H415" s="448"/>
      <c r="I415" s="448"/>
      <c r="J415" s="435"/>
      <c r="K415" s="435"/>
      <c r="L415" s="448"/>
      <c r="M415" s="448"/>
      <c r="N415" s="435"/>
      <c r="O415" s="435"/>
      <c r="P415" s="450"/>
      <c r="Q415" s="435"/>
      <c r="R415" s="449"/>
      <c r="S415" s="435"/>
      <c r="T415" s="440"/>
      <c r="U415" s="440"/>
      <c r="V415" s="448"/>
      <c r="W415" s="448"/>
      <c r="X415" s="448"/>
      <c r="Y415" s="447"/>
      <c r="Z415" s="447"/>
      <c r="AA415" s="447"/>
      <c r="AB415" s="437"/>
      <c r="AC415" s="436"/>
      <c r="AD415" s="435"/>
      <c r="AE415" s="435"/>
      <c r="AF415" s="435"/>
    </row>
    <row r="416" spans="1:32" s="446" customFormat="1">
      <c r="A416" s="445"/>
      <c r="B416" s="444"/>
      <c r="C416" s="448"/>
      <c r="D416" s="448"/>
      <c r="E416" s="448"/>
      <c r="F416" s="448"/>
      <c r="G416" s="448"/>
      <c r="H416" s="448"/>
      <c r="I416" s="448"/>
      <c r="J416" s="435"/>
      <c r="K416" s="435"/>
      <c r="L416" s="448"/>
      <c r="M416" s="448"/>
      <c r="N416" s="435"/>
      <c r="O416" s="435"/>
      <c r="P416" s="450"/>
      <c r="Q416" s="435"/>
      <c r="R416" s="449"/>
      <c r="S416" s="435"/>
      <c r="T416" s="440"/>
      <c r="U416" s="440"/>
      <c r="V416" s="448"/>
      <c r="W416" s="448"/>
      <c r="X416" s="448"/>
      <c r="Y416" s="447"/>
      <c r="Z416" s="447"/>
      <c r="AA416" s="447"/>
      <c r="AB416" s="437"/>
      <c r="AC416" s="436"/>
      <c r="AD416" s="435"/>
      <c r="AE416" s="435"/>
      <c r="AF416" s="435"/>
    </row>
    <row r="417" spans="1:32" s="446" customFormat="1">
      <c r="A417" s="445"/>
      <c r="B417" s="444"/>
      <c r="C417" s="448"/>
      <c r="D417" s="448"/>
      <c r="E417" s="448"/>
      <c r="F417" s="448"/>
      <c r="G417" s="448"/>
      <c r="H417" s="448"/>
      <c r="I417" s="448"/>
      <c r="J417" s="435"/>
      <c r="K417" s="435"/>
      <c r="L417" s="448"/>
      <c r="M417" s="448"/>
      <c r="N417" s="435"/>
      <c r="O417" s="435"/>
      <c r="P417" s="450"/>
      <c r="Q417" s="435"/>
      <c r="R417" s="449"/>
      <c r="S417" s="435"/>
      <c r="T417" s="440"/>
      <c r="U417" s="440"/>
      <c r="V417" s="448"/>
      <c r="W417" s="448"/>
      <c r="X417" s="448"/>
      <c r="Y417" s="447"/>
      <c r="Z417" s="447"/>
      <c r="AA417" s="447"/>
      <c r="AB417" s="437"/>
      <c r="AC417" s="436"/>
      <c r="AD417" s="435"/>
      <c r="AE417" s="435"/>
      <c r="AF417" s="435"/>
    </row>
    <row r="418" spans="1:32" s="446" customFormat="1">
      <c r="A418" s="445"/>
      <c r="B418" s="444"/>
      <c r="C418" s="448"/>
      <c r="D418" s="448"/>
      <c r="E418" s="448"/>
      <c r="F418" s="448"/>
      <c r="G418" s="448"/>
      <c r="H418" s="448"/>
      <c r="I418" s="448"/>
      <c r="J418" s="435"/>
      <c r="K418" s="435"/>
      <c r="L418" s="448"/>
      <c r="M418" s="448"/>
      <c r="N418" s="435"/>
      <c r="O418" s="435"/>
      <c r="P418" s="450"/>
      <c r="Q418" s="435"/>
      <c r="R418" s="449"/>
      <c r="S418" s="435"/>
      <c r="T418" s="440"/>
      <c r="U418" s="440"/>
      <c r="V418" s="448"/>
      <c r="W418" s="448"/>
      <c r="X418" s="448"/>
      <c r="Y418" s="447"/>
      <c r="Z418" s="447"/>
      <c r="AA418" s="447"/>
      <c r="AB418" s="437"/>
      <c r="AC418" s="436"/>
      <c r="AD418" s="435"/>
      <c r="AE418" s="435"/>
      <c r="AF418" s="435"/>
    </row>
    <row r="419" spans="1:32" s="446" customFormat="1">
      <c r="A419" s="445"/>
      <c r="B419" s="444"/>
      <c r="C419" s="448"/>
      <c r="D419" s="448"/>
      <c r="E419" s="448"/>
      <c r="F419" s="448"/>
      <c r="G419" s="448"/>
      <c r="H419" s="448"/>
      <c r="I419" s="448"/>
      <c r="J419" s="435"/>
      <c r="K419" s="435"/>
      <c r="L419" s="448"/>
      <c r="M419" s="448"/>
      <c r="N419" s="435"/>
      <c r="O419" s="435"/>
      <c r="P419" s="450"/>
      <c r="Q419" s="435"/>
      <c r="R419" s="449"/>
      <c r="S419" s="435"/>
      <c r="T419" s="440"/>
      <c r="U419" s="440"/>
      <c r="V419" s="448"/>
      <c r="W419" s="448"/>
      <c r="X419" s="448"/>
      <c r="Y419" s="447"/>
      <c r="Z419" s="447"/>
      <c r="AA419" s="447"/>
      <c r="AB419" s="437"/>
      <c r="AC419" s="436"/>
      <c r="AD419" s="435"/>
      <c r="AE419" s="435"/>
      <c r="AF419" s="435"/>
    </row>
    <row r="420" spans="1:32" s="446" customFormat="1">
      <c r="A420" s="445"/>
      <c r="B420" s="444"/>
      <c r="C420" s="448"/>
      <c r="D420" s="448"/>
      <c r="E420" s="448"/>
      <c r="F420" s="448"/>
      <c r="G420" s="448"/>
      <c r="H420" s="448"/>
      <c r="I420" s="448"/>
      <c r="J420" s="435"/>
      <c r="K420" s="435"/>
      <c r="L420" s="448"/>
      <c r="M420" s="448"/>
      <c r="N420" s="435"/>
      <c r="O420" s="435"/>
      <c r="P420" s="450"/>
      <c r="Q420" s="435"/>
      <c r="R420" s="449"/>
      <c r="S420" s="435"/>
      <c r="T420" s="440"/>
      <c r="U420" s="440"/>
      <c r="V420" s="448"/>
      <c r="W420" s="448"/>
      <c r="X420" s="448"/>
      <c r="Y420" s="447"/>
      <c r="Z420" s="447"/>
      <c r="AA420" s="447"/>
      <c r="AB420" s="437"/>
      <c r="AC420" s="436"/>
      <c r="AD420" s="435"/>
      <c r="AE420" s="435"/>
      <c r="AF420" s="435"/>
    </row>
    <row r="421" spans="1:32" s="446" customFormat="1">
      <c r="A421" s="445"/>
      <c r="B421" s="444"/>
      <c r="C421" s="448"/>
      <c r="D421" s="448"/>
      <c r="E421" s="448"/>
      <c r="F421" s="448"/>
      <c r="G421" s="448"/>
      <c r="H421" s="448"/>
      <c r="I421" s="448"/>
      <c r="J421" s="435"/>
      <c r="K421" s="435"/>
      <c r="L421" s="448"/>
      <c r="M421" s="448"/>
      <c r="N421" s="435"/>
      <c r="O421" s="435"/>
      <c r="P421" s="450"/>
      <c r="Q421" s="435"/>
      <c r="R421" s="449"/>
      <c r="S421" s="435"/>
      <c r="T421" s="440"/>
      <c r="U421" s="440"/>
      <c r="V421" s="448"/>
      <c r="W421" s="448"/>
      <c r="X421" s="448"/>
      <c r="Y421" s="447"/>
      <c r="Z421" s="447"/>
      <c r="AA421" s="447"/>
      <c r="AB421" s="437"/>
      <c r="AC421" s="436"/>
      <c r="AD421" s="435"/>
      <c r="AE421" s="435"/>
      <c r="AF421" s="435"/>
    </row>
    <row r="422" spans="1:32" s="446" customFormat="1">
      <c r="A422" s="445"/>
      <c r="B422" s="444"/>
      <c r="C422" s="448"/>
      <c r="D422" s="448"/>
      <c r="E422" s="448"/>
      <c r="F422" s="448"/>
      <c r="G422" s="448"/>
      <c r="H422" s="448"/>
      <c r="I422" s="448"/>
      <c r="J422" s="435"/>
      <c r="K422" s="435"/>
      <c r="L422" s="448"/>
      <c r="M422" s="448"/>
      <c r="N422" s="435"/>
      <c r="O422" s="435"/>
      <c r="P422" s="450"/>
      <c r="Q422" s="435"/>
      <c r="R422" s="449"/>
      <c r="S422" s="435"/>
      <c r="T422" s="440"/>
      <c r="U422" s="440"/>
      <c r="V422" s="448"/>
      <c r="W422" s="448"/>
      <c r="X422" s="448"/>
      <c r="Y422" s="447"/>
      <c r="Z422" s="447"/>
      <c r="AA422" s="447"/>
      <c r="AB422" s="437"/>
      <c r="AC422" s="436"/>
      <c r="AD422" s="435"/>
      <c r="AE422" s="435"/>
      <c r="AF422" s="435"/>
    </row>
    <row r="423" spans="1:32" s="446" customFormat="1">
      <c r="A423" s="445"/>
      <c r="B423" s="444"/>
      <c r="C423" s="448"/>
      <c r="D423" s="448"/>
      <c r="E423" s="448"/>
      <c r="F423" s="448"/>
      <c r="G423" s="448"/>
      <c r="H423" s="448"/>
      <c r="I423" s="448"/>
      <c r="J423" s="435"/>
      <c r="K423" s="435"/>
      <c r="L423" s="448"/>
      <c r="M423" s="448"/>
      <c r="N423" s="435"/>
      <c r="O423" s="435"/>
      <c r="P423" s="450"/>
      <c r="Q423" s="435"/>
      <c r="R423" s="449"/>
      <c r="S423" s="435"/>
      <c r="T423" s="440"/>
      <c r="U423" s="440"/>
      <c r="V423" s="448"/>
      <c r="W423" s="448"/>
      <c r="X423" s="448"/>
      <c r="Y423" s="447"/>
      <c r="Z423" s="447"/>
      <c r="AA423" s="447"/>
      <c r="AB423" s="437"/>
      <c r="AC423" s="436"/>
      <c r="AD423" s="435"/>
      <c r="AE423" s="435"/>
      <c r="AF423" s="435"/>
    </row>
    <row r="424" spans="1:32" s="446" customFormat="1">
      <c r="A424" s="445"/>
      <c r="B424" s="444"/>
      <c r="C424" s="448"/>
      <c r="D424" s="448"/>
      <c r="E424" s="448"/>
      <c r="F424" s="448"/>
      <c r="G424" s="448"/>
      <c r="H424" s="448"/>
      <c r="I424" s="448"/>
      <c r="J424" s="435"/>
      <c r="K424" s="435"/>
      <c r="L424" s="448"/>
      <c r="M424" s="448"/>
      <c r="N424" s="435"/>
      <c r="O424" s="435"/>
      <c r="P424" s="450"/>
      <c r="Q424" s="435"/>
      <c r="R424" s="449"/>
      <c r="S424" s="435"/>
      <c r="T424" s="440"/>
      <c r="U424" s="440"/>
      <c r="V424" s="448"/>
      <c r="W424" s="448"/>
      <c r="X424" s="448"/>
      <c r="Y424" s="447"/>
      <c r="Z424" s="447"/>
      <c r="AA424" s="447"/>
      <c r="AB424" s="437"/>
      <c r="AC424" s="436"/>
      <c r="AD424" s="435"/>
      <c r="AE424" s="435"/>
      <c r="AF424" s="435"/>
    </row>
    <row r="425" spans="1:32" s="446" customFormat="1">
      <c r="A425" s="445"/>
      <c r="B425" s="444"/>
      <c r="C425" s="448"/>
      <c r="D425" s="448"/>
      <c r="E425" s="448"/>
      <c r="F425" s="448"/>
      <c r="G425" s="448"/>
      <c r="H425" s="448"/>
      <c r="I425" s="448"/>
      <c r="J425" s="435"/>
      <c r="K425" s="435"/>
      <c r="L425" s="448"/>
      <c r="M425" s="448"/>
      <c r="N425" s="435"/>
      <c r="O425" s="435"/>
      <c r="P425" s="450"/>
      <c r="Q425" s="435"/>
      <c r="R425" s="449"/>
      <c r="S425" s="435"/>
      <c r="T425" s="440"/>
      <c r="U425" s="440"/>
      <c r="V425" s="448"/>
      <c r="W425" s="448"/>
      <c r="X425" s="448"/>
      <c r="Y425" s="447"/>
      <c r="Z425" s="447"/>
      <c r="AA425" s="447"/>
      <c r="AB425" s="437"/>
      <c r="AC425" s="436"/>
      <c r="AD425" s="435"/>
      <c r="AE425" s="435"/>
      <c r="AF425" s="435"/>
    </row>
    <row r="426" spans="1:32" s="446" customFormat="1">
      <c r="A426" s="445"/>
      <c r="B426" s="444"/>
      <c r="C426" s="448"/>
      <c r="D426" s="448"/>
      <c r="E426" s="448"/>
      <c r="F426" s="448"/>
      <c r="G426" s="448"/>
      <c r="H426" s="448"/>
      <c r="I426" s="448"/>
      <c r="J426" s="435"/>
      <c r="K426" s="435"/>
      <c r="L426" s="448"/>
      <c r="M426" s="448"/>
      <c r="N426" s="435"/>
      <c r="O426" s="435"/>
      <c r="P426" s="450"/>
      <c r="Q426" s="435"/>
      <c r="R426" s="449"/>
      <c r="S426" s="435"/>
      <c r="T426" s="440"/>
      <c r="U426" s="440"/>
      <c r="V426" s="448"/>
      <c r="W426" s="448"/>
      <c r="X426" s="448"/>
      <c r="Y426" s="447"/>
      <c r="Z426" s="447"/>
      <c r="AA426" s="447"/>
      <c r="AB426" s="437"/>
      <c r="AC426" s="436"/>
      <c r="AD426" s="435"/>
      <c r="AE426" s="435"/>
      <c r="AF426" s="435"/>
    </row>
    <row r="427" spans="1:32" s="446" customFormat="1">
      <c r="A427" s="445"/>
      <c r="B427" s="444"/>
      <c r="C427" s="448"/>
      <c r="D427" s="448"/>
      <c r="E427" s="448"/>
      <c r="F427" s="448"/>
      <c r="G427" s="448"/>
      <c r="H427" s="448"/>
      <c r="I427" s="448"/>
      <c r="J427" s="435"/>
      <c r="K427" s="435"/>
      <c r="L427" s="448"/>
      <c r="M427" s="448"/>
      <c r="N427" s="435"/>
      <c r="O427" s="435"/>
      <c r="P427" s="450"/>
      <c r="Q427" s="435"/>
      <c r="R427" s="449"/>
      <c r="S427" s="435"/>
      <c r="T427" s="440"/>
      <c r="U427" s="440"/>
      <c r="V427" s="448"/>
      <c r="W427" s="448"/>
      <c r="X427" s="448"/>
      <c r="Y427" s="447"/>
      <c r="Z427" s="447"/>
      <c r="AA427" s="447"/>
      <c r="AB427" s="437"/>
      <c r="AC427" s="436"/>
      <c r="AD427" s="435"/>
      <c r="AE427" s="435"/>
      <c r="AF427" s="435"/>
    </row>
    <row r="428" spans="1:32" s="446" customFormat="1">
      <c r="A428" s="445"/>
      <c r="B428" s="444"/>
      <c r="C428" s="448"/>
      <c r="D428" s="448"/>
      <c r="E428" s="448"/>
      <c r="F428" s="448"/>
      <c r="G428" s="448"/>
      <c r="H428" s="448"/>
      <c r="I428" s="448"/>
      <c r="J428" s="435"/>
      <c r="K428" s="435"/>
      <c r="L428" s="448"/>
      <c r="M428" s="448"/>
      <c r="N428" s="435"/>
      <c r="O428" s="435"/>
      <c r="P428" s="450"/>
      <c r="Q428" s="435"/>
      <c r="R428" s="449"/>
      <c r="S428" s="435"/>
      <c r="T428" s="440"/>
      <c r="U428" s="440"/>
      <c r="V428" s="448"/>
      <c r="W428" s="448"/>
      <c r="X428" s="448"/>
      <c r="Y428" s="447"/>
      <c r="Z428" s="447"/>
      <c r="AA428" s="447"/>
      <c r="AB428" s="437"/>
      <c r="AC428" s="436"/>
      <c r="AD428" s="435"/>
      <c r="AE428" s="435"/>
      <c r="AF428" s="435"/>
    </row>
    <row r="429" spans="1:32" s="446" customFormat="1">
      <c r="A429" s="445"/>
      <c r="B429" s="444"/>
      <c r="C429" s="448"/>
      <c r="D429" s="448"/>
      <c r="E429" s="448"/>
      <c r="F429" s="448"/>
      <c r="G429" s="448"/>
      <c r="H429" s="448"/>
      <c r="I429" s="448"/>
      <c r="J429" s="435"/>
      <c r="K429" s="435"/>
      <c r="L429" s="448"/>
      <c r="M429" s="448"/>
      <c r="N429" s="435"/>
      <c r="O429" s="435"/>
      <c r="P429" s="450"/>
      <c r="Q429" s="435"/>
      <c r="R429" s="449"/>
      <c r="S429" s="435"/>
      <c r="T429" s="440"/>
      <c r="U429" s="440"/>
      <c r="V429" s="448"/>
      <c r="W429" s="448"/>
      <c r="X429" s="448"/>
      <c r="Y429" s="447"/>
      <c r="Z429" s="447"/>
      <c r="AA429" s="447"/>
      <c r="AB429" s="437"/>
      <c r="AC429" s="436"/>
      <c r="AD429" s="435"/>
      <c r="AE429" s="435"/>
      <c r="AF429" s="435"/>
    </row>
    <row r="430" spans="1:32" s="446" customFormat="1">
      <c r="A430" s="445"/>
      <c r="B430" s="444"/>
      <c r="C430" s="448"/>
      <c r="D430" s="448"/>
      <c r="E430" s="448"/>
      <c r="F430" s="448"/>
      <c r="G430" s="448"/>
      <c r="H430" s="448"/>
      <c r="I430" s="448"/>
      <c r="J430" s="435"/>
      <c r="K430" s="435"/>
      <c r="L430" s="448"/>
      <c r="M430" s="448"/>
      <c r="N430" s="435"/>
      <c r="O430" s="435"/>
      <c r="P430" s="450"/>
      <c r="Q430" s="435"/>
      <c r="R430" s="449"/>
      <c r="S430" s="435"/>
      <c r="T430" s="440"/>
      <c r="U430" s="440"/>
      <c r="V430" s="448"/>
      <c r="W430" s="448"/>
      <c r="X430" s="448"/>
      <c r="Y430" s="447"/>
      <c r="Z430" s="447"/>
      <c r="AA430" s="447"/>
      <c r="AB430" s="437"/>
      <c r="AC430" s="436"/>
      <c r="AD430" s="435"/>
      <c r="AE430" s="435"/>
      <c r="AF430" s="435"/>
    </row>
    <row r="431" spans="1:32" s="446" customFormat="1">
      <c r="A431" s="445"/>
      <c r="B431" s="444"/>
      <c r="C431" s="448"/>
      <c r="D431" s="448"/>
      <c r="E431" s="448"/>
      <c r="F431" s="448"/>
      <c r="G431" s="448"/>
      <c r="H431" s="448"/>
      <c r="I431" s="448"/>
      <c r="J431" s="435"/>
      <c r="K431" s="435"/>
      <c r="L431" s="448"/>
      <c r="M431" s="448"/>
      <c r="N431" s="435"/>
      <c r="O431" s="435"/>
      <c r="P431" s="450"/>
      <c r="Q431" s="435"/>
      <c r="R431" s="449"/>
      <c r="S431" s="435"/>
      <c r="T431" s="440"/>
      <c r="U431" s="440"/>
      <c r="V431" s="448"/>
      <c r="W431" s="448"/>
      <c r="X431" s="448"/>
      <c r="Y431" s="447"/>
      <c r="Z431" s="447"/>
      <c r="AA431" s="447"/>
      <c r="AB431" s="437"/>
      <c r="AC431" s="436"/>
      <c r="AD431" s="435"/>
      <c r="AE431" s="435"/>
      <c r="AF431" s="435"/>
    </row>
    <row r="432" spans="1:32" s="446" customFormat="1">
      <c r="A432" s="445"/>
      <c r="B432" s="444"/>
      <c r="C432" s="448"/>
      <c r="D432" s="448"/>
      <c r="E432" s="448"/>
      <c r="F432" s="448"/>
      <c r="G432" s="448"/>
      <c r="H432" s="448"/>
      <c r="I432" s="448"/>
      <c r="J432" s="435"/>
      <c r="K432" s="435"/>
      <c r="L432" s="448"/>
      <c r="M432" s="448"/>
      <c r="N432" s="435"/>
      <c r="O432" s="435"/>
      <c r="P432" s="450"/>
      <c r="Q432" s="435"/>
      <c r="R432" s="449"/>
      <c r="S432" s="435"/>
      <c r="T432" s="440"/>
      <c r="U432" s="440"/>
      <c r="V432" s="448"/>
      <c r="W432" s="448"/>
      <c r="X432" s="448"/>
      <c r="Y432" s="447"/>
      <c r="Z432" s="447"/>
      <c r="AA432" s="447"/>
      <c r="AB432" s="437"/>
      <c r="AC432" s="436"/>
      <c r="AD432" s="435"/>
      <c r="AE432" s="435"/>
      <c r="AF432" s="435"/>
    </row>
    <row r="433" spans="1:32" s="446" customFormat="1">
      <c r="A433" s="445"/>
      <c r="B433" s="444"/>
      <c r="C433" s="448"/>
      <c r="D433" s="448"/>
      <c r="E433" s="448"/>
      <c r="F433" s="448"/>
      <c r="G433" s="448"/>
      <c r="H433" s="448"/>
      <c r="I433" s="448"/>
      <c r="J433" s="435"/>
      <c r="K433" s="435"/>
      <c r="L433" s="448"/>
      <c r="M433" s="448"/>
      <c r="N433" s="435"/>
      <c r="O433" s="435"/>
      <c r="P433" s="450"/>
      <c r="Q433" s="435"/>
      <c r="R433" s="449"/>
      <c r="S433" s="435"/>
      <c r="T433" s="440"/>
      <c r="U433" s="440"/>
      <c r="V433" s="448"/>
      <c r="W433" s="448"/>
      <c r="X433" s="448"/>
      <c r="Y433" s="447"/>
      <c r="Z433" s="447"/>
      <c r="AA433" s="447"/>
      <c r="AB433" s="437"/>
      <c r="AC433" s="436"/>
      <c r="AD433" s="435"/>
      <c r="AE433" s="435"/>
      <c r="AF433" s="435"/>
    </row>
    <row r="434" spans="1:32" s="446" customFormat="1">
      <c r="A434" s="445"/>
      <c r="B434" s="444"/>
      <c r="C434" s="448"/>
      <c r="D434" s="448"/>
      <c r="E434" s="448"/>
      <c r="F434" s="448"/>
      <c r="G434" s="448"/>
      <c r="H434" s="448"/>
      <c r="I434" s="448"/>
      <c r="J434" s="435"/>
      <c r="K434" s="435"/>
      <c r="L434" s="448"/>
      <c r="M434" s="448"/>
      <c r="N434" s="435"/>
      <c r="O434" s="435"/>
      <c r="P434" s="450"/>
      <c r="Q434" s="435"/>
      <c r="R434" s="449"/>
      <c r="S434" s="435"/>
      <c r="T434" s="440"/>
      <c r="U434" s="440"/>
      <c r="V434" s="448"/>
      <c r="W434" s="448"/>
      <c r="X434" s="448"/>
      <c r="Y434" s="447"/>
      <c r="Z434" s="447"/>
      <c r="AA434" s="447"/>
      <c r="AB434" s="437"/>
      <c r="AC434" s="436"/>
      <c r="AD434" s="435"/>
      <c r="AE434" s="435"/>
      <c r="AF434" s="435"/>
    </row>
    <row r="435" spans="1:32" s="446" customFormat="1">
      <c r="A435" s="445"/>
      <c r="B435" s="444"/>
      <c r="C435" s="448"/>
      <c r="D435" s="448"/>
      <c r="E435" s="448"/>
      <c r="F435" s="448"/>
      <c r="G435" s="448"/>
      <c r="H435" s="448"/>
      <c r="I435" s="448"/>
      <c r="J435" s="435"/>
      <c r="K435" s="435"/>
      <c r="L435" s="448"/>
      <c r="M435" s="448"/>
      <c r="N435" s="435"/>
      <c r="O435" s="435"/>
      <c r="P435" s="450"/>
      <c r="Q435" s="435"/>
      <c r="R435" s="449"/>
      <c r="S435" s="435"/>
      <c r="T435" s="440"/>
      <c r="U435" s="440"/>
      <c r="V435" s="448"/>
      <c r="W435" s="448"/>
      <c r="X435" s="448"/>
      <c r="Y435" s="447"/>
      <c r="Z435" s="447"/>
      <c r="AA435" s="447"/>
      <c r="AB435" s="437"/>
      <c r="AC435" s="436"/>
      <c r="AD435" s="435"/>
      <c r="AE435" s="435"/>
      <c r="AF435" s="435"/>
    </row>
    <row r="436" spans="1:32" s="446" customFormat="1">
      <c r="A436" s="445"/>
      <c r="B436" s="444"/>
      <c r="C436" s="448"/>
      <c r="D436" s="448"/>
      <c r="E436" s="448"/>
      <c r="F436" s="448"/>
      <c r="G436" s="448"/>
      <c r="H436" s="448"/>
      <c r="I436" s="448"/>
      <c r="J436" s="435"/>
      <c r="K436" s="435"/>
      <c r="L436" s="448"/>
      <c r="M436" s="448"/>
      <c r="N436" s="435"/>
      <c r="O436" s="435"/>
      <c r="P436" s="450"/>
      <c r="Q436" s="435"/>
      <c r="R436" s="449"/>
      <c r="S436" s="435"/>
      <c r="T436" s="440"/>
      <c r="U436" s="440"/>
      <c r="V436" s="448"/>
      <c r="W436" s="448"/>
      <c r="X436" s="448"/>
      <c r="Y436" s="447"/>
      <c r="Z436" s="447"/>
      <c r="AA436" s="447"/>
      <c r="AB436" s="437"/>
      <c r="AC436" s="436"/>
      <c r="AD436" s="435"/>
      <c r="AE436" s="435"/>
      <c r="AF436" s="435"/>
    </row>
    <row r="437" spans="1:32" s="446" customFormat="1">
      <c r="A437" s="445"/>
      <c r="B437" s="444"/>
      <c r="C437" s="448"/>
      <c r="D437" s="448"/>
      <c r="E437" s="448"/>
      <c r="F437" s="448"/>
      <c r="G437" s="448"/>
      <c r="H437" s="448"/>
      <c r="I437" s="448"/>
      <c r="J437" s="435"/>
      <c r="K437" s="435"/>
      <c r="L437" s="448"/>
      <c r="M437" s="448"/>
      <c r="N437" s="435"/>
      <c r="O437" s="435"/>
      <c r="P437" s="450"/>
      <c r="Q437" s="435"/>
      <c r="R437" s="449"/>
      <c r="S437" s="435"/>
      <c r="T437" s="440"/>
      <c r="U437" s="440"/>
      <c r="V437" s="448"/>
      <c r="W437" s="448"/>
      <c r="X437" s="448"/>
      <c r="Y437" s="447"/>
      <c r="Z437" s="447"/>
      <c r="AA437" s="447"/>
      <c r="AB437" s="437"/>
      <c r="AC437" s="436"/>
      <c r="AD437" s="435"/>
      <c r="AE437" s="435"/>
      <c r="AF437" s="435"/>
    </row>
    <row r="438" spans="1:32" s="446" customFormat="1">
      <c r="A438" s="445"/>
      <c r="B438" s="444"/>
      <c r="C438" s="448"/>
      <c r="D438" s="448"/>
      <c r="E438" s="448"/>
      <c r="F438" s="448"/>
      <c r="G438" s="448"/>
      <c r="H438" s="448"/>
      <c r="I438" s="448"/>
      <c r="J438" s="435"/>
      <c r="K438" s="435"/>
      <c r="L438" s="448"/>
      <c r="M438" s="448"/>
      <c r="N438" s="435"/>
      <c r="O438" s="435"/>
      <c r="P438" s="450"/>
      <c r="Q438" s="435"/>
      <c r="R438" s="449"/>
      <c r="S438" s="435"/>
      <c r="T438" s="440"/>
      <c r="U438" s="440"/>
      <c r="V438" s="448"/>
      <c r="W438" s="448"/>
      <c r="X438" s="448"/>
      <c r="Y438" s="447"/>
      <c r="Z438" s="447"/>
      <c r="AA438" s="447"/>
      <c r="AB438" s="437"/>
      <c r="AC438" s="436"/>
      <c r="AD438" s="435"/>
      <c r="AE438" s="435"/>
      <c r="AF438" s="435"/>
    </row>
    <row r="439" spans="1:32" s="446" customFormat="1">
      <c r="A439" s="445"/>
      <c r="B439" s="444"/>
      <c r="C439" s="448"/>
      <c r="D439" s="448"/>
      <c r="E439" s="448"/>
      <c r="F439" s="448"/>
      <c r="G439" s="448"/>
      <c r="H439" s="448"/>
      <c r="I439" s="448"/>
      <c r="J439" s="435"/>
      <c r="K439" s="435"/>
      <c r="L439" s="448"/>
      <c r="M439" s="448"/>
      <c r="N439" s="435"/>
      <c r="O439" s="435"/>
      <c r="P439" s="450"/>
      <c r="Q439" s="435"/>
      <c r="R439" s="449"/>
      <c r="S439" s="435"/>
      <c r="T439" s="440"/>
      <c r="U439" s="440"/>
      <c r="V439" s="448"/>
      <c r="W439" s="448"/>
      <c r="X439" s="448"/>
      <c r="Y439" s="447"/>
      <c r="Z439" s="447"/>
      <c r="AA439" s="447"/>
      <c r="AB439" s="437"/>
      <c r="AC439" s="436"/>
      <c r="AD439" s="435"/>
      <c r="AE439" s="435"/>
      <c r="AF439" s="435"/>
    </row>
    <row r="440" spans="1:32" s="446" customFormat="1">
      <c r="A440" s="445"/>
      <c r="B440" s="444"/>
      <c r="C440" s="448"/>
      <c r="D440" s="448"/>
      <c r="E440" s="448"/>
      <c r="F440" s="448"/>
      <c r="G440" s="448"/>
      <c r="H440" s="448"/>
      <c r="I440" s="448"/>
      <c r="J440" s="435"/>
      <c r="K440" s="435"/>
      <c r="L440" s="448"/>
      <c r="M440" s="448"/>
      <c r="N440" s="435"/>
      <c r="O440" s="435"/>
      <c r="P440" s="450"/>
      <c r="Q440" s="435"/>
      <c r="R440" s="449"/>
      <c r="S440" s="435"/>
      <c r="T440" s="440"/>
      <c r="U440" s="440"/>
      <c r="V440" s="448"/>
      <c r="W440" s="448"/>
      <c r="X440" s="448"/>
      <c r="Y440" s="447"/>
      <c r="Z440" s="447"/>
      <c r="AA440" s="447"/>
      <c r="AB440" s="437"/>
      <c r="AC440" s="436"/>
      <c r="AD440" s="435"/>
      <c r="AE440" s="435"/>
      <c r="AF440" s="435"/>
    </row>
    <row r="441" spans="1:32" s="446" customFormat="1">
      <c r="A441" s="445"/>
      <c r="B441" s="444"/>
      <c r="C441" s="448"/>
      <c r="D441" s="448"/>
      <c r="E441" s="448"/>
      <c r="F441" s="448"/>
      <c r="G441" s="448"/>
      <c r="H441" s="448"/>
      <c r="I441" s="448"/>
      <c r="J441" s="435"/>
      <c r="K441" s="435"/>
      <c r="L441" s="448"/>
      <c r="M441" s="448"/>
      <c r="N441" s="435"/>
      <c r="O441" s="435"/>
      <c r="P441" s="450"/>
      <c r="Q441" s="435"/>
      <c r="R441" s="449"/>
      <c r="S441" s="435"/>
      <c r="T441" s="440"/>
      <c r="U441" s="440"/>
      <c r="V441" s="448"/>
      <c r="W441" s="448"/>
      <c r="X441" s="448"/>
      <c r="Y441" s="447"/>
      <c r="Z441" s="447"/>
      <c r="AA441" s="447"/>
      <c r="AB441" s="437"/>
      <c r="AC441" s="436"/>
      <c r="AD441" s="435"/>
      <c r="AE441" s="435"/>
      <c r="AF441" s="435"/>
    </row>
    <row r="442" spans="1:32" s="446" customFormat="1">
      <c r="A442" s="445"/>
      <c r="B442" s="444"/>
      <c r="C442" s="448"/>
      <c r="D442" s="448"/>
      <c r="E442" s="448"/>
      <c r="F442" s="448"/>
      <c r="G442" s="448"/>
      <c r="H442" s="448"/>
      <c r="I442" s="448"/>
      <c r="J442" s="435"/>
      <c r="K442" s="435"/>
      <c r="L442" s="448"/>
      <c r="M442" s="448"/>
      <c r="N442" s="435"/>
      <c r="O442" s="435"/>
      <c r="P442" s="450"/>
      <c r="Q442" s="435"/>
      <c r="R442" s="449"/>
      <c r="S442" s="435"/>
      <c r="T442" s="440"/>
      <c r="U442" s="440"/>
      <c r="V442" s="448"/>
      <c r="W442" s="448"/>
      <c r="X442" s="448"/>
      <c r="Y442" s="447"/>
      <c r="Z442" s="447"/>
      <c r="AA442" s="447"/>
      <c r="AB442" s="437"/>
      <c r="AC442" s="436"/>
      <c r="AD442" s="435"/>
      <c r="AE442" s="435"/>
      <c r="AF442" s="435"/>
    </row>
    <row r="443" spans="1:32" s="446" customFormat="1">
      <c r="A443" s="445"/>
      <c r="B443" s="444"/>
      <c r="C443" s="448"/>
      <c r="D443" s="448"/>
      <c r="E443" s="448"/>
      <c r="F443" s="448"/>
      <c r="G443" s="448"/>
      <c r="H443" s="448"/>
      <c r="I443" s="448"/>
      <c r="J443" s="435"/>
      <c r="K443" s="435"/>
      <c r="L443" s="448"/>
      <c r="M443" s="448"/>
      <c r="N443" s="435"/>
      <c r="O443" s="435"/>
      <c r="P443" s="450"/>
      <c r="Q443" s="435"/>
      <c r="R443" s="449"/>
      <c r="S443" s="435"/>
      <c r="T443" s="440"/>
      <c r="U443" s="440"/>
      <c r="V443" s="448"/>
      <c r="W443" s="448"/>
      <c r="X443" s="448"/>
      <c r="Y443" s="447"/>
      <c r="Z443" s="447"/>
      <c r="AA443" s="447"/>
      <c r="AB443" s="437"/>
      <c r="AC443" s="436"/>
      <c r="AD443" s="435"/>
      <c r="AE443" s="435"/>
      <c r="AF443" s="435"/>
    </row>
    <row r="444" spans="1:32" s="446" customFormat="1">
      <c r="A444" s="445"/>
      <c r="B444" s="444"/>
      <c r="C444" s="448"/>
      <c r="D444" s="448"/>
      <c r="E444" s="448"/>
      <c r="F444" s="448"/>
      <c r="G444" s="448"/>
      <c r="H444" s="448"/>
      <c r="I444" s="448"/>
      <c r="J444" s="435"/>
      <c r="K444" s="435"/>
      <c r="L444" s="448"/>
      <c r="M444" s="448"/>
      <c r="N444" s="435"/>
      <c r="O444" s="435"/>
      <c r="P444" s="450"/>
      <c r="Q444" s="435"/>
      <c r="R444" s="449"/>
      <c r="S444" s="435"/>
      <c r="T444" s="440"/>
      <c r="U444" s="440"/>
      <c r="V444" s="448"/>
      <c r="W444" s="448"/>
      <c r="X444" s="448"/>
      <c r="Y444" s="447"/>
      <c r="Z444" s="447"/>
      <c r="AA444" s="447"/>
      <c r="AB444" s="437"/>
      <c r="AC444" s="436"/>
      <c r="AD444" s="435"/>
      <c r="AE444" s="435"/>
      <c r="AF444" s="435"/>
    </row>
    <row r="445" spans="1:32" s="446" customFormat="1">
      <c r="A445" s="445"/>
      <c r="B445" s="444"/>
      <c r="C445" s="448"/>
      <c r="D445" s="448"/>
      <c r="E445" s="448"/>
      <c r="F445" s="448"/>
      <c r="G445" s="448"/>
      <c r="H445" s="448"/>
      <c r="I445" s="448"/>
      <c r="J445" s="435"/>
      <c r="K445" s="435"/>
      <c r="L445" s="448"/>
      <c r="M445" s="448"/>
      <c r="N445" s="435"/>
      <c r="O445" s="435"/>
      <c r="P445" s="450"/>
      <c r="Q445" s="435"/>
      <c r="R445" s="449"/>
      <c r="S445" s="435"/>
      <c r="T445" s="440"/>
      <c r="U445" s="440"/>
      <c r="V445" s="448"/>
      <c r="W445" s="448"/>
      <c r="X445" s="448"/>
      <c r="Y445" s="447"/>
      <c r="Z445" s="447"/>
      <c r="AA445" s="447"/>
      <c r="AB445" s="437"/>
      <c r="AC445" s="436"/>
      <c r="AD445" s="435"/>
      <c r="AE445" s="435"/>
      <c r="AF445" s="435"/>
    </row>
    <row r="446" spans="1:32" s="446" customFormat="1">
      <c r="A446" s="445"/>
      <c r="B446" s="444"/>
      <c r="C446" s="448"/>
      <c r="D446" s="448"/>
      <c r="E446" s="448"/>
      <c r="F446" s="448"/>
      <c r="G446" s="448"/>
      <c r="H446" s="448"/>
      <c r="I446" s="448"/>
      <c r="J446" s="435"/>
      <c r="K446" s="435"/>
      <c r="L446" s="448"/>
      <c r="M446" s="448"/>
      <c r="N446" s="435"/>
      <c r="O446" s="435"/>
      <c r="P446" s="450"/>
      <c r="Q446" s="435"/>
      <c r="R446" s="449"/>
      <c r="S446" s="435"/>
      <c r="T446" s="440"/>
      <c r="U446" s="440"/>
      <c r="V446" s="448"/>
      <c r="W446" s="448"/>
      <c r="X446" s="448"/>
      <c r="Y446" s="447"/>
      <c r="Z446" s="447"/>
      <c r="AA446" s="447"/>
      <c r="AB446" s="437"/>
      <c r="AC446" s="436"/>
      <c r="AD446" s="435"/>
      <c r="AE446" s="435"/>
      <c r="AF446" s="435"/>
    </row>
    <row r="447" spans="1:32" s="446" customFormat="1">
      <c r="A447" s="445"/>
      <c r="B447" s="444"/>
      <c r="C447" s="448"/>
      <c r="D447" s="448"/>
      <c r="E447" s="448"/>
      <c r="F447" s="448"/>
      <c r="G447" s="448"/>
      <c r="H447" s="448"/>
      <c r="I447" s="448"/>
      <c r="J447" s="435"/>
      <c r="K447" s="435"/>
      <c r="L447" s="448"/>
      <c r="M447" s="448"/>
      <c r="N447" s="435"/>
      <c r="O447" s="435"/>
      <c r="P447" s="450"/>
      <c r="Q447" s="435"/>
      <c r="R447" s="449"/>
      <c r="S447" s="435"/>
      <c r="T447" s="440"/>
      <c r="U447" s="440"/>
      <c r="V447" s="448"/>
      <c r="W447" s="448"/>
      <c r="X447" s="448"/>
      <c r="Y447" s="447"/>
      <c r="Z447" s="447"/>
      <c r="AA447" s="447"/>
      <c r="AB447" s="437"/>
      <c r="AC447" s="436"/>
      <c r="AD447" s="435"/>
      <c r="AE447" s="435"/>
      <c r="AF447" s="435"/>
    </row>
    <row r="448" spans="1:32" s="446" customFormat="1">
      <c r="A448" s="445"/>
      <c r="B448" s="444"/>
      <c r="C448" s="448"/>
      <c r="D448" s="448"/>
      <c r="E448" s="448"/>
      <c r="F448" s="448"/>
      <c r="G448" s="448"/>
      <c r="H448" s="448"/>
      <c r="I448" s="448"/>
      <c r="J448" s="435"/>
      <c r="K448" s="435"/>
      <c r="L448" s="448"/>
      <c r="M448" s="448"/>
      <c r="N448" s="435"/>
      <c r="O448" s="435"/>
      <c r="P448" s="450"/>
      <c r="Q448" s="435"/>
      <c r="R448" s="449"/>
      <c r="S448" s="435"/>
      <c r="T448" s="440"/>
      <c r="U448" s="440"/>
      <c r="V448" s="448"/>
      <c r="W448" s="448"/>
      <c r="X448" s="448"/>
      <c r="Y448" s="447"/>
      <c r="Z448" s="447"/>
      <c r="AA448" s="447"/>
      <c r="AB448" s="437"/>
      <c r="AC448" s="436"/>
      <c r="AD448" s="435"/>
      <c r="AE448" s="435"/>
      <c r="AF448" s="435"/>
    </row>
    <row r="449" spans="1:32" s="446" customFormat="1">
      <c r="A449" s="445"/>
      <c r="B449" s="444"/>
      <c r="C449" s="448"/>
      <c r="D449" s="448"/>
      <c r="E449" s="448"/>
      <c r="F449" s="448"/>
      <c r="G449" s="448"/>
      <c r="H449" s="448"/>
      <c r="I449" s="448"/>
      <c r="J449" s="435"/>
      <c r="K449" s="435"/>
      <c r="L449" s="448"/>
      <c r="M449" s="448"/>
      <c r="N449" s="435"/>
      <c r="O449" s="435"/>
      <c r="P449" s="450"/>
      <c r="Q449" s="435"/>
      <c r="R449" s="449"/>
      <c r="S449" s="435"/>
      <c r="T449" s="440"/>
      <c r="U449" s="440"/>
      <c r="V449" s="448"/>
      <c r="W449" s="448"/>
      <c r="X449" s="448"/>
      <c r="Y449" s="447"/>
      <c r="Z449" s="447"/>
      <c r="AA449" s="447"/>
      <c r="AB449" s="437"/>
      <c r="AC449" s="436"/>
      <c r="AD449" s="435"/>
      <c r="AE449" s="435"/>
      <c r="AF449" s="435"/>
    </row>
    <row r="450" spans="1:32" s="446" customFormat="1">
      <c r="A450" s="445"/>
      <c r="B450" s="444"/>
      <c r="C450" s="448"/>
      <c r="D450" s="448"/>
      <c r="E450" s="448"/>
      <c r="F450" s="448"/>
      <c r="G450" s="448"/>
      <c r="H450" s="448"/>
      <c r="I450" s="448"/>
      <c r="J450" s="435"/>
      <c r="K450" s="435"/>
      <c r="L450" s="448"/>
      <c r="M450" s="448"/>
      <c r="N450" s="435"/>
      <c r="O450" s="435"/>
      <c r="P450" s="450"/>
      <c r="Q450" s="435"/>
      <c r="R450" s="449"/>
      <c r="S450" s="435"/>
      <c r="T450" s="440"/>
      <c r="U450" s="440"/>
      <c r="V450" s="448"/>
      <c r="W450" s="448"/>
      <c r="X450" s="448"/>
      <c r="Y450" s="447"/>
      <c r="Z450" s="447"/>
      <c r="AA450" s="447"/>
      <c r="AB450" s="437"/>
      <c r="AC450" s="436"/>
      <c r="AD450" s="435"/>
      <c r="AE450" s="435"/>
      <c r="AF450" s="435"/>
    </row>
    <row r="451" spans="1:32" s="446" customFormat="1">
      <c r="A451" s="445"/>
      <c r="B451" s="444"/>
      <c r="C451" s="448"/>
      <c r="D451" s="448"/>
      <c r="E451" s="448"/>
      <c r="F451" s="448"/>
      <c r="G451" s="448"/>
      <c r="H451" s="448"/>
      <c r="I451" s="448"/>
      <c r="J451" s="435"/>
      <c r="K451" s="435"/>
      <c r="L451" s="448"/>
      <c r="M451" s="448"/>
      <c r="N451" s="435"/>
      <c r="O451" s="435"/>
      <c r="P451" s="450"/>
      <c r="Q451" s="435"/>
      <c r="R451" s="449"/>
      <c r="S451" s="435"/>
      <c r="T451" s="440"/>
      <c r="U451" s="440"/>
      <c r="V451" s="448"/>
      <c r="W451" s="448"/>
      <c r="X451" s="448"/>
      <c r="Y451" s="447"/>
      <c r="Z451" s="447"/>
      <c r="AA451" s="447"/>
      <c r="AB451" s="437"/>
      <c r="AC451" s="436"/>
      <c r="AD451" s="435"/>
      <c r="AE451" s="435"/>
      <c r="AF451" s="435"/>
    </row>
    <row r="452" spans="1:32" s="446" customFormat="1">
      <c r="A452" s="445"/>
      <c r="B452" s="444"/>
      <c r="C452" s="448"/>
      <c r="D452" s="448"/>
      <c r="E452" s="448"/>
      <c r="F452" s="448"/>
      <c r="G452" s="448"/>
      <c r="H452" s="448"/>
      <c r="I452" s="448"/>
      <c r="J452" s="435"/>
      <c r="K452" s="435"/>
      <c r="L452" s="448"/>
      <c r="M452" s="448"/>
      <c r="N452" s="435"/>
      <c r="O452" s="435"/>
      <c r="P452" s="450"/>
      <c r="Q452" s="435"/>
      <c r="R452" s="449"/>
      <c r="S452" s="435"/>
      <c r="T452" s="440"/>
      <c r="U452" s="440"/>
      <c r="V452" s="448"/>
      <c r="W452" s="448"/>
      <c r="X452" s="448"/>
      <c r="Y452" s="447"/>
      <c r="Z452" s="447"/>
      <c r="AA452" s="447"/>
      <c r="AB452" s="437"/>
      <c r="AC452" s="436"/>
      <c r="AD452" s="435"/>
      <c r="AE452" s="435"/>
      <c r="AF452" s="435"/>
    </row>
    <row r="453" spans="1:32" s="446" customFormat="1">
      <c r="A453" s="445"/>
      <c r="B453" s="444"/>
      <c r="C453" s="448"/>
      <c r="D453" s="448"/>
      <c r="E453" s="448"/>
      <c r="F453" s="448"/>
      <c r="G453" s="448"/>
      <c r="H453" s="448"/>
      <c r="I453" s="448"/>
      <c r="J453" s="435"/>
      <c r="K453" s="435"/>
      <c r="L453" s="448"/>
      <c r="M453" s="448"/>
      <c r="N453" s="435"/>
      <c r="O453" s="435"/>
      <c r="P453" s="450"/>
      <c r="Q453" s="435"/>
      <c r="R453" s="449"/>
      <c r="S453" s="435"/>
      <c r="T453" s="440"/>
      <c r="U453" s="440"/>
      <c r="V453" s="448"/>
      <c r="W453" s="448"/>
      <c r="X453" s="448"/>
      <c r="Y453" s="447"/>
      <c r="Z453" s="447"/>
      <c r="AA453" s="447"/>
      <c r="AB453" s="437"/>
      <c r="AC453" s="436"/>
      <c r="AD453" s="435"/>
      <c r="AE453" s="435"/>
      <c r="AF453" s="435"/>
    </row>
    <row r="454" spans="1:32" s="446" customFormat="1">
      <c r="A454" s="445"/>
      <c r="B454" s="444"/>
      <c r="C454" s="448"/>
      <c r="D454" s="448"/>
      <c r="E454" s="448"/>
      <c r="F454" s="448"/>
      <c r="G454" s="448"/>
      <c r="H454" s="448"/>
      <c r="I454" s="448"/>
      <c r="J454" s="435"/>
      <c r="K454" s="435"/>
      <c r="L454" s="448"/>
      <c r="M454" s="448"/>
      <c r="N454" s="435"/>
      <c r="O454" s="435"/>
      <c r="P454" s="450"/>
      <c r="Q454" s="435"/>
      <c r="R454" s="449"/>
      <c r="S454" s="435"/>
      <c r="T454" s="440"/>
      <c r="U454" s="440"/>
      <c r="V454" s="448"/>
      <c r="W454" s="448"/>
      <c r="X454" s="448"/>
      <c r="Y454" s="447"/>
      <c r="Z454" s="447"/>
      <c r="AA454" s="447"/>
      <c r="AB454" s="437"/>
      <c r="AC454" s="436"/>
      <c r="AD454" s="435"/>
      <c r="AE454" s="435"/>
      <c r="AF454" s="435"/>
    </row>
    <row r="455" spans="1:32" s="446" customFormat="1">
      <c r="A455" s="445"/>
      <c r="B455" s="444"/>
      <c r="C455" s="448"/>
      <c r="D455" s="448"/>
      <c r="E455" s="448"/>
      <c r="F455" s="448"/>
      <c r="G455" s="448"/>
      <c r="H455" s="448"/>
      <c r="I455" s="448"/>
      <c r="J455" s="435"/>
      <c r="K455" s="435"/>
      <c r="L455" s="448"/>
      <c r="M455" s="448"/>
      <c r="N455" s="435"/>
      <c r="O455" s="435"/>
      <c r="P455" s="450"/>
      <c r="Q455" s="435"/>
      <c r="R455" s="449"/>
      <c r="S455" s="435"/>
      <c r="T455" s="440"/>
      <c r="U455" s="440"/>
      <c r="V455" s="448"/>
      <c r="W455" s="448"/>
      <c r="X455" s="448"/>
      <c r="Y455" s="447"/>
      <c r="Z455" s="447"/>
      <c r="AA455" s="447"/>
      <c r="AB455" s="437"/>
      <c r="AC455" s="436"/>
      <c r="AD455" s="435"/>
      <c r="AE455" s="435"/>
      <c r="AF455" s="435"/>
    </row>
    <row r="456" spans="1:32" s="446" customFormat="1">
      <c r="A456" s="445"/>
      <c r="B456" s="444"/>
      <c r="C456" s="448"/>
      <c r="D456" s="448"/>
      <c r="E456" s="448"/>
      <c r="F456" s="448"/>
      <c r="G456" s="448"/>
      <c r="H456" s="448"/>
      <c r="I456" s="448"/>
      <c r="J456" s="435"/>
      <c r="K456" s="435"/>
      <c r="L456" s="448"/>
      <c r="M456" s="448"/>
      <c r="N456" s="435"/>
      <c r="O456" s="435"/>
      <c r="P456" s="450"/>
      <c r="Q456" s="435"/>
      <c r="R456" s="449"/>
      <c r="S456" s="435"/>
      <c r="T456" s="440"/>
      <c r="U456" s="440"/>
      <c r="V456" s="448"/>
      <c r="W456" s="448"/>
      <c r="X456" s="448"/>
      <c r="Y456" s="447"/>
      <c r="Z456" s="447"/>
      <c r="AA456" s="447"/>
      <c r="AB456" s="437"/>
      <c r="AC456" s="436"/>
      <c r="AD456" s="435"/>
      <c r="AE456" s="435"/>
      <c r="AF456" s="435"/>
    </row>
    <row r="457" spans="1:32" s="446" customFormat="1">
      <c r="A457" s="445"/>
      <c r="B457" s="444"/>
      <c r="C457" s="448"/>
      <c r="D457" s="448"/>
      <c r="E457" s="448"/>
      <c r="F457" s="448"/>
      <c r="G457" s="448"/>
      <c r="H457" s="448"/>
      <c r="I457" s="448"/>
      <c r="J457" s="435"/>
      <c r="K457" s="435"/>
      <c r="L457" s="448"/>
      <c r="M457" s="448"/>
      <c r="N457" s="435"/>
      <c r="O457" s="435"/>
      <c r="P457" s="450"/>
      <c r="Q457" s="435"/>
      <c r="R457" s="449"/>
      <c r="S457" s="435"/>
      <c r="T457" s="440"/>
      <c r="U457" s="440"/>
      <c r="V457" s="448"/>
      <c r="W457" s="448"/>
      <c r="X457" s="448"/>
      <c r="Y457" s="447"/>
      <c r="Z457" s="447"/>
      <c r="AA457" s="447"/>
      <c r="AB457" s="437"/>
      <c r="AC457" s="436"/>
      <c r="AD457" s="435"/>
      <c r="AE457" s="435"/>
      <c r="AF457" s="435"/>
    </row>
    <row r="458" spans="1:32" s="446" customFormat="1">
      <c r="A458" s="445"/>
      <c r="B458" s="444"/>
      <c r="C458" s="448"/>
      <c r="D458" s="448"/>
      <c r="E458" s="448"/>
      <c r="F458" s="448"/>
      <c r="G458" s="448"/>
      <c r="H458" s="448"/>
      <c r="I458" s="448"/>
      <c r="J458" s="435"/>
      <c r="K458" s="435"/>
      <c r="L458" s="448"/>
      <c r="M458" s="448"/>
      <c r="N458" s="435"/>
      <c r="O458" s="435"/>
      <c r="P458" s="450"/>
      <c r="Q458" s="435"/>
      <c r="R458" s="449"/>
      <c r="S458" s="435"/>
      <c r="T458" s="440"/>
      <c r="U458" s="440"/>
      <c r="V458" s="448"/>
      <c r="W458" s="448"/>
      <c r="X458" s="448"/>
      <c r="Y458" s="447"/>
      <c r="Z458" s="447"/>
      <c r="AA458" s="447"/>
      <c r="AB458" s="437"/>
      <c r="AC458" s="436"/>
      <c r="AD458" s="435"/>
      <c r="AE458" s="435"/>
      <c r="AF458" s="435"/>
    </row>
    <row r="459" spans="1:32" s="446" customFormat="1">
      <c r="A459" s="445"/>
      <c r="B459" s="444"/>
      <c r="C459" s="448"/>
      <c r="D459" s="448"/>
      <c r="E459" s="448"/>
      <c r="F459" s="448"/>
      <c r="G459" s="448"/>
      <c r="H459" s="448"/>
      <c r="I459" s="448"/>
      <c r="J459" s="435"/>
      <c r="K459" s="435"/>
      <c r="L459" s="448"/>
      <c r="M459" s="448"/>
      <c r="N459" s="435"/>
      <c r="O459" s="435"/>
      <c r="P459" s="450"/>
      <c r="Q459" s="435"/>
      <c r="R459" s="449"/>
      <c r="S459" s="435"/>
      <c r="T459" s="440"/>
      <c r="U459" s="440"/>
      <c r="V459" s="448"/>
      <c r="W459" s="448"/>
      <c r="X459" s="448"/>
      <c r="Y459" s="447"/>
      <c r="Z459" s="447"/>
      <c r="AA459" s="447"/>
      <c r="AB459" s="437"/>
      <c r="AC459" s="436"/>
      <c r="AD459" s="435"/>
      <c r="AE459" s="435"/>
      <c r="AF459" s="435"/>
    </row>
    <row r="460" spans="1:32" s="446" customFormat="1">
      <c r="A460" s="445"/>
      <c r="B460" s="444"/>
      <c r="C460" s="448"/>
      <c r="D460" s="448"/>
      <c r="E460" s="448"/>
      <c r="F460" s="448"/>
      <c r="G460" s="448"/>
      <c r="H460" s="448"/>
      <c r="I460" s="448"/>
      <c r="J460" s="435"/>
      <c r="K460" s="435"/>
      <c r="L460" s="448"/>
      <c r="M460" s="448"/>
      <c r="N460" s="435"/>
      <c r="O460" s="435"/>
      <c r="P460" s="450"/>
      <c r="Q460" s="435"/>
      <c r="R460" s="449"/>
      <c r="S460" s="435"/>
      <c r="T460" s="440"/>
      <c r="U460" s="440"/>
      <c r="V460" s="448"/>
      <c r="W460" s="448"/>
      <c r="X460" s="448"/>
      <c r="Y460" s="447"/>
      <c r="Z460" s="447"/>
      <c r="AA460" s="447"/>
      <c r="AB460" s="437"/>
      <c r="AC460" s="436"/>
      <c r="AD460" s="435"/>
      <c r="AE460" s="435"/>
      <c r="AF460" s="435"/>
    </row>
    <row r="461" spans="1:32" s="446" customFormat="1">
      <c r="A461" s="445"/>
      <c r="B461" s="444"/>
      <c r="C461" s="448"/>
      <c r="D461" s="448"/>
      <c r="E461" s="448"/>
      <c r="F461" s="448"/>
      <c r="G461" s="448"/>
      <c r="H461" s="448"/>
      <c r="I461" s="448"/>
      <c r="J461" s="435"/>
      <c r="K461" s="435"/>
      <c r="L461" s="448"/>
      <c r="M461" s="448"/>
      <c r="N461" s="435"/>
      <c r="O461" s="435"/>
      <c r="P461" s="450"/>
      <c r="Q461" s="435"/>
      <c r="R461" s="449"/>
      <c r="S461" s="435"/>
      <c r="T461" s="440"/>
      <c r="U461" s="440"/>
      <c r="V461" s="448"/>
      <c r="W461" s="448"/>
      <c r="X461" s="448"/>
      <c r="Y461" s="447"/>
      <c r="Z461" s="447"/>
      <c r="AA461" s="447"/>
      <c r="AB461" s="437"/>
      <c r="AC461" s="436"/>
      <c r="AD461" s="435"/>
      <c r="AE461" s="435"/>
      <c r="AF461" s="435"/>
    </row>
    <row r="462" spans="1:32" s="446" customFormat="1">
      <c r="A462" s="445"/>
      <c r="B462" s="444"/>
      <c r="C462" s="448"/>
      <c r="D462" s="448"/>
      <c r="E462" s="448"/>
      <c r="F462" s="448"/>
      <c r="G462" s="448"/>
      <c r="H462" s="448"/>
      <c r="I462" s="448"/>
      <c r="J462" s="435"/>
      <c r="K462" s="435"/>
      <c r="L462" s="448"/>
      <c r="M462" s="448"/>
      <c r="N462" s="435"/>
      <c r="O462" s="435"/>
      <c r="P462" s="450"/>
      <c r="Q462" s="435"/>
      <c r="R462" s="449"/>
      <c r="S462" s="435"/>
      <c r="T462" s="440"/>
      <c r="U462" s="440"/>
      <c r="V462" s="448"/>
      <c r="W462" s="448"/>
      <c r="X462" s="448"/>
      <c r="Y462" s="447"/>
      <c r="Z462" s="447"/>
      <c r="AA462" s="447"/>
      <c r="AB462" s="437"/>
      <c r="AC462" s="436"/>
      <c r="AD462" s="435"/>
      <c r="AE462" s="435"/>
      <c r="AF462" s="435"/>
    </row>
    <row r="463" spans="1:32" s="446" customFormat="1">
      <c r="A463" s="445"/>
      <c r="B463" s="444"/>
      <c r="C463" s="448"/>
      <c r="D463" s="448"/>
      <c r="E463" s="448"/>
      <c r="F463" s="448"/>
      <c r="G463" s="448"/>
      <c r="H463" s="448"/>
      <c r="I463" s="448"/>
      <c r="J463" s="435"/>
      <c r="K463" s="435"/>
      <c r="L463" s="448"/>
      <c r="M463" s="448"/>
      <c r="N463" s="435"/>
      <c r="O463" s="435"/>
      <c r="P463" s="450"/>
      <c r="Q463" s="435"/>
      <c r="R463" s="449"/>
      <c r="S463" s="435"/>
      <c r="T463" s="440"/>
      <c r="U463" s="440"/>
      <c r="V463" s="448"/>
      <c r="W463" s="448"/>
      <c r="X463" s="448"/>
      <c r="Y463" s="447"/>
      <c r="Z463" s="447"/>
      <c r="AA463" s="447"/>
      <c r="AB463" s="437"/>
      <c r="AC463" s="436"/>
      <c r="AD463" s="435"/>
      <c r="AE463" s="435"/>
      <c r="AF463" s="435"/>
    </row>
    <row r="464" spans="1:32" s="446" customFormat="1">
      <c r="A464" s="445"/>
      <c r="B464" s="444"/>
      <c r="C464" s="448"/>
      <c r="D464" s="448"/>
      <c r="E464" s="448"/>
      <c r="F464" s="448"/>
      <c r="G464" s="448"/>
      <c r="H464" s="448"/>
      <c r="I464" s="448"/>
      <c r="J464" s="435"/>
      <c r="K464" s="435"/>
      <c r="L464" s="448"/>
      <c r="M464" s="448"/>
      <c r="N464" s="435"/>
      <c r="O464" s="435"/>
      <c r="P464" s="450"/>
      <c r="Q464" s="435"/>
      <c r="R464" s="449"/>
      <c r="S464" s="435"/>
      <c r="T464" s="440"/>
      <c r="U464" s="440"/>
      <c r="V464" s="448"/>
      <c r="W464" s="448"/>
      <c r="X464" s="448"/>
      <c r="Y464" s="447"/>
      <c r="Z464" s="447"/>
      <c r="AA464" s="447"/>
      <c r="AB464" s="437"/>
      <c r="AC464" s="436"/>
      <c r="AD464" s="435"/>
      <c r="AE464" s="435"/>
      <c r="AF464" s="435"/>
    </row>
    <row r="465" spans="1:32" s="446" customFormat="1">
      <c r="A465" s="445"/>
      <c r="B465" s="444"/>
      <c r="C465" s="448"/>
      <c r="D465" s="448"/>
      <c r="E465" s="448"/>
      <c r="F465" s="448"/>
      <c r="G465" s="448"/>
      <c r="H465" s="448"/>
      <c r="I465" s="448"/>
      <c r="J465" s="435"/>
      <c r="K465" s="435"/>
      <c r="L465" s="448"/>
      <c r="M465" s="448"/>
      <c r="N465" s="435"/>
      <c r="O465" s="435"/>
      <c r="P465" s="450"/>
      <c r="Q465" s="435"/>
      <c r="R465" s="449"/>
      <c r="S465" s="435"/>
      <c r="T465" s="440"/>
      <c r="U465" s="440"/>
      <c r="V465" s="448"/>
      <c r="W465" s="448"/>
      <c r="X465" s="448"/>
      <c r="Y465" s="447"/>
      <c r="Z465" s="447"/>
      <c r="AA465" s="447"/>
      <c r="AB465" s="437"/>
      <c r="AC465" s="436"/>
      <c r="AD465" s="435"/>
      <c r="AE465" s="435"/>
      <c r="AF465" s="435"/>
    </row>
    <row r="466" spans="1:32" s="446" customFormat="1">
      <c r="A466" s="445"/>
      <c r="B466" s="444"/>
      <c r="C466" s="448"/>
      <c r="D466" s="448"/>
      <c r="E466" s="448"/>
      <c r="F466" s="448"/>
      <c r="G466" s="448"/>
      <c r="H466" s="448"/>
      <c r="I466" s="448"/>
      <c r="J466" s="435"/>
      <c r="K466" s="435"/>
      <c r="L466" s="448"/>
      <c r="M466" s="448"/>
      <c r="N466" s="435"/>
      <c r="O466" s="435"/>
      <c r="P466" s="450"/>
      <c r="Q466" s="435"/>
      <c r="R466" s="449"/>
      <c r="S466" s="435"/>
      <c r="T466" s="440"/>
      <c r="U466" s="440"/>
      <c r="V466" s="448"/>
      <c r="W466" s="448"/>
      <c r="X466" s="448"/>
      <c r="Y466" s="447"/>
      <c r="Z466" s="447"/>
      <c r="AA466" s="447"/>
      <c r="AB466" s="437"/>
      <c r="AC466" s="436"/>
      <c r="AD466" s="435"/>
      <c r="AE466" s="435"/>
      <c r="AF466" s="435"/>
    </row>
    <row r="467" spans="1:32" s="446" customFormat="1">
      <c r="A467" s="445"/>
      <c r="B467" s="444"/>
      <c r="C467" s="448"/>
      <c r="D467" s="448"/>
      <c r="E467" s="448"/>
      <c r="F467" s="448"/>
      <c r="G467" s="448"/>
      <c r="H467" s="448"/>
      <c r="I467" s="448"/>
      <c r="J467" s="435"/>
      <c r="K467" s="435"/>
      <c r="L467" s="448"/>
      <c r="M467" s="448"/>
      <c r="N467" s="435"/>
      <c r="O467" s="435"/>
      <c r="P467" s="450"/>
      <c r="Q467" s="435"/>
      <c r="R467" s="449"/>
      <c r="S467" s="435"/>
      <c r="T467" s="440"/>
      <c r="U467" s="440"/>
      <c r="V467" s="448"/>
      <c r="W467" s="448"/>
      <c r="X467" s="448"/>
      <c r="Y467" s="447"/>
      <c r="Z467" s="447"/>
      <c r="AA467" s="447"/>
      <c r="AB467" s="437"/>
      <c r="AC467" s="436"/>
      <c r="AD467" s="435"/>
      <c r="AE467" s="435"/>
      <c r="AF467" s="435"/>
    </row>
    <row r="468" spans="1:32" s="446" customFormat="1">
      <c r="A468" s="445"/>
      <c r="B468" s="444"/>
      <c r="C468" s="448"/>
      <c r="D468" s="448"/>
      <c r="E468" s="448"/>
      <c r="F468" s="448"/>
      <c r="G468" s="448"/>
      <c r="H468" s="448"/>
      <c r="I468" s="448"/>
      <c r="J468" s="435"/>
      <c r="K468" s="435"/>
      <c r="L468" s="448"/>
      <c r="M468" s="448"/>
      <c r="N468" s="435"/>
      <c r="O468" s="435"/>
      <c r="P468" s="450"/>
      <c r="Q468" s="435"/>
      <c r="R468" s="449"/>
      <c r="S468" s="435"/>
      <c r="T468" s="440"/>
      <c r="U468" s="440"/>
      <c r="V468" s="448"/>
      <c r="W468" s="448"/>
      <c r="X468" s="448"/>
      <c r="Y468" s="447"/>
      <c r="Z468" s="447"/>
      <c r="AA468" s="447"/>
      <c r="AB468" s="437"/>
      <c r="AC468" s="436"/>
      <c r="AD468" s="435"/>
      <c r="AE468" s="435"/>
      <c r="AF468" s="435"/>
    </row>
    <row r="469" spans="1:32" s="446" customFormat="1">
      <c r="A469" s="445"/>
      <c r="B469" s="444"/>
      <c r="C469" s="448"/>
      <c r="D469" s="448"/>
      <c r="E469" s="448"/>
      <c r="F469" s="448"/>
      <c r="G469" s="448"/>
      <c r="H469" s="448"/>
      <c r="I469" s="448"/>
      <c r="J469" s="435"/>
      <c r="K469" s="435"/>
      <c r="L469" s="448"/>
      <c r="M469" s="448"/>
      <c r="N469" s="435"/>
      <c r="O469" s="435"/>
      <c r="P469" s="450"/>
      <c r="Q469" s="435"/>
      <c r="R469" s="449"/>
      <c r="S469" s="435"/>
      <c r="T469" s="440"/>
      <c r="U469" s="440"/>
      <c r="V469" s="448"/>
      <c r="W469" s="448"/>
      <c r="X469" s="448"/>
      <c r="Y469" s="447"/>
      <c r="Z469" s="447"/>
      <c r="AA469" s="447"/>
      <c r="AB469" s="437"/>
      <c r="AC469" s="436"/>
      <c r="AD469" s="435"/>
      <c r="AE469" s="435"/>
      <c r="AF469" s="435"/>
    </row>
    <row r="470" spans="1:32" s="446" customFormat="1">
      <c r="A470" s="445"/>
      <c r="B470" s="444"/>
      <c r="C470" s="448"/>
      <c r="D470" s="448"/>
      <c r="E470" s="448"/>
      <c r="F470" s="448"/>
      <c r="G470" s="448"/>
      <c r="H470" s="448"/>
      <c r="I470" s="448"/>
      <c r="J470" s="435"/>
      <c r="K470" s="435"/>
      <c r="L470" s="448"/>
      <c r="M470" s="448"/>
      <c r="N470" s="435"/>
      <c r="O470" s="435"/>
      <c r="P470" s="450"/>
      <c r="Q470" s="435"/>
      <c r="R470" s="449"/>
      <c r="S470" s="435"/>
      <c r="T470" s="440"/>
      <c r="U470" s="440"/>
      <c r="V470" s="448"/>
      <c r="W470" s="448"/>
      <c r="X470" s="448"/>
      <c r="Y470" s="447"/>
      <c r="Z470" s="447"/>
      <c r="AA470" s="447"/>
      <c r="AB470" s="437"/>
      <c r="AC470" s="436"/>
      <c r="AD470" s="435"/>
      <c r="AE470" s="435"/>
      <c r="AF470" s="435"/>
    </row>
    <row r="471" spans="1:32" s="446" customFormat="1">
      <c r="A471" s="445"/>
      <c r="B471" s="444"/>
      <c r="C471" s="448"/>
      <c r="D471" s="448"/>
      <c r="E471" s="448"/>
      <c r="F471" s="448"/>
      <c r="G471" s="448"/>
      <c r="H471" s="448"/>
      <c r="I471" s="448"/>
      <c r="J471" s="435"/>
      <c r="K471" s="435"/>
      <c r="L471" s="448"/>
      <c r="M471" s="448"/>
      <c r="N471" s="435"/>
      <c r="O471" s="435"/>
      <c r="P471" s="450"/>
      <c r="Q471" s="435"/>
      <c r="R471" s="449"/>
      <c r="S471" s="435"/>
      <c r="T471" s="440"/>
      <c r="U471" s="440"/>
      <c r="V471" s="448"/>
      <c r="W471" s="448"/>
      <c r="X471" s="448"/>
      <c r="Y471" s="447"/>
      <c r="Z471" s="447"/>
      <c r="AA471" s="447"/>
      <c r="AB471" s="437"/>
      <c r="AC471" s="436"/>
      <c r="AD471" s="435"/>
      <c r="AE471" s="435"/>
      <c r="AF471" s="435"/>
    </row>
    <row r="472" spans="1:32" s="446" customFormat="1">
      <c r="A472" s="445"/>
      <c r="B472" s="444"/>
      <c r="C472" s="448"/>
      <c r="D472" s="448"/>
      <c r="E472" s="448"/>
      <c r="F472" s="448"/>
      <c r="G472" s="448"/>
      <c r="H472" s="448"/>
      <c r="I472" s="448"/>
      <c r="J472" s="435"/>
      <c r="K472" s="435"/>
      <c r="L472" s="448"/>
      <c r="M472" s="448"/>
      <c r="N472" s="435"/>
      <c r="O472" s="435"/>
      <c r="P472" s="450"/>
      <c r="Q472" s="435"/>
      <c r="R472" s="449"/>
      <c r="S472" s="435"/>
      <c r="T472" s="440"/>
      <c r="U472" s="440"/>
      <c r="V472" s="448"/>
      <c r="W472" s="448"/>
      <c r="X472" s="448"/>
      <c r="Y472" s="447"/>
      <c r="Z472" s="447"/>
      <c r="AA472" s="447"/>
      <c r="AB472" s="437"/>
      <c r="AC472" s="436"/>
      <c r="AD472" s="435"/>
      <c r="AE472" s="435"/>
      <c r="AF472" s="435"/>
    </row>
    <row r="473" spans="1:32" s="446" customFormat="1">
      <c r="A473" s="445"/>
      <c r="B473" s="444"/>
      <c r="C473" s="448"/>
      <c r="D473" s="448"/>
      <c r="E473" s="448"/>
      <c r="F473" s="448"/>
      <c r="G473" s="448"/>
      <c r="H473" s="448"/>
      <c r="I473" s="448"/>
      <c r="J473" s="435"/>
      <c r="K473" s="435"/>
      <c r="L473" s="448"/>
      <c r="M473" s="448"/>
      <c r="N473" s="435"/>
      <c r="O473" s="435"/>
      <c r="P473" s="450"/>
      <c r="Q473" s="435"/>
      <c r="R473" s="449"/>
      <c r="S473" s="435"/>
      <c r="T473" s="440"/>
      <c r="U473" s="440"/>
      <c r="V473" s="448"/>
      <c r="W473" s="448"/>
      <c r="X473" s="448"/>
      <c r="Y473" s="447"/>
      <c r="Z473" s="447"/>
      <c r="AA473" s="447"/>
      <c r="AB473" s="437"/>
      <c r="AC473" s="436"/>
      <c r="AD473" s="435"/>
      <c r="AE473" s="435"/>
      <c r="AF473" s="435"/>
    </row>
    <row r="474" spans="1:32" s="446" customFormat="1">
      <c r="A474" s="445"/>
      <c r="B474" s="444"/>
      <c r="C474" s="448"/>
      <c r="D474" s="448"/>
      <c r="E474" s="448"/>
      <c r="F474" s="448"/>
      <c r="G474" s="448"/>
      <c r="H474" s="448"/>
      <c r="I474" s="448"/>
      <c r="J474" s="435"/>
      <c r="K474" s="435"/>
      <c r="L474" s="448"/>
      <c r="M474" s="448"/>
      <c r="N474" s="435"/>
      <c r="O474" s="435"/>
      <c r="P474" s="450"/>
      <c r="Q474" s="435"/>
      <c r="R474" s="449"/>
      <c r="S474" s="435"/>
      <c r="T474" s="440"/>
      <c r="U474" s="440"/>
      <c r="V474" s="448"/>
      <c r="W474" s="448"/>
      <c r="X474" s="448"/>
      <c r="Y474" s="447"/>
      <c r="Z474" s="447"/>
      <c r="AA474" s="447"/>
      <c r="AB474" s="437"/>
      <c r="AC474" s="436"/>
      <c r="AD474" s="435"/>
      <c r="AE474" s="435"/>
      <c r="AF474" s="435"/>
    </row>
    <row r="475" spans="1:32" s="446" customFormat="1">
      <c r="A475" s="445"/>
      <c r="B475" s="444"/>
      <c r="C475" s="448"/>
      <c r="D475" s="448"/>
      <c r="E475" s="448"/>
      <c r="F475" s="448"/>
      <c r="G475" s="448"/>
      <c r="H475" s="448"/>
      <c r="I475" s="448"/>
      <c r="J475" s="435"/>
      <c r="K475" s="435"/>
      <c r="L475" s="448"/>
      <c r="M475" s="448"/>
      <c r="N475" s="435"/>
      <c r="O475" s="435"/>
      <c r="P475" s="450"/>
      <c r="Q475" s="435"/>
      <c r="R475" s="449"/>
      <c r="S475" s="435"/>
      <c r="T475" s="440"/>
      <c r="U475" s="440"/>
      <c r="V475" s="448"/>
      <c r="W475" s="448"/>
      <c r="X475" s="448"/>
      <c r="Y475" s="447"/>
      <c r="Z475" s="447"/>
      <c r="AA475" s="447"/>
      <c r="AB475" s="437"/>
      <c r="AC475" s="436"/>
      <c r="AD475" s="435"/>
      <c r="AE475" s="435"/>
      <c r="AF475" s="435"/>
    </row>
    <row r="476" spans="1:32" s="446" customFormat="1">
      <c r="A476" s="445"/>
      <c r="B476" s="444"/>
      <c r="C476" s="448"/>
      <c r="D476" s="448"/>
      <c r="E476" s="448"/>
      <c r="F476" s="448"/>
      <c r="G476" s="448"/>
      <c r="H476" s="448"/>
      <c r="I476" s="448"/>
      <c r="J476" s="435"/>
      <c r="K476" s="435"/>
      <c r="L476" s="448"/>
      <c r="M476" s="448"/>
      <c r="N476" s="435"/>
      <c r="O476" s="435"/>
      <c r="P476" s="450"/>
      <c r="Q476" s="435"/>
      <c r="R476" s="449"/>
      <c r="S476" s="435"/>
      <c r="T476" s="440"/>
      <c r="U476" s="440"/>
      <c r="V476" s="448"/>
      <c r="W476" s="448"/>
      <c r="X476" s="448"/>
      <c r="Y476" s="447"/>
      <c r="Z476" s="447"/>
      <c r="AA476" s="447"/>
      <c r="AB476" s="437"/>
      <c r="AC476" s="436"/>
      <c r="AD476" s="435"/>
      <c r="AE476" s="435"/>
      <c r="AF476" s="435"/>
    </row>
    <row r="477" spans="1:32" s="446" customFormat="1">
      <c r="A477" s="445"/>
      <c r="B477" s="444"/>
      <c r="C477" s="448"/>
      <c r="D477" s="448"/>
      <c r="E477" s="448"/>
      <c r="F477" s="448"/>
      <c r="G477" s="448"/>
      <c r="H477" s="448"/>
      <c r="I477" s="448"/>
      <c r="J477" s="435"/>
      <c r="K477" s="435"/>
      <c r="L477" s="448"/>
      <c r="M477" s="448"/>
      <c r="N477" s="435"/>
      <c r="O477" s="435"/>
      <c r="P477" s="450"/>
      <c r="Q477" s="435"/>
      <c r="R477" s="449"/>
      <c r="S477" s="435"/>
      <c r="T477" s="440"/>
      <c r="U477" s="440"/>
      <c r="V477" s="448"/>
      <c r="W477" s="448"/>
      <c r="X477" s="448"/>
      <c r="Y477" s="447"/>
      <c r="Z477" s="447"/>
      <c r="AA477" s="447"/>
      <c r="AB477" s="437"/>
      <c r="AC477" s="436"/>
      <c r="AD477" s="435"/>
      <c r="AE477" s="435"/>
      <c r="AF477" s="435"/>
    </row>
    <row r="478" spans="1:32" s="446" customFormat="1">
      <c r="A478" s="445"/>
      <c r="B478" s="444"/>
      <c r="C478" s="448"/>
      <c r="D478" s="448"/>
      <c r="E478" s="448"/>
      <c r="F478" s="448"/>
      <c r="G478" s="448"/>
      <c r="H478" s="448"/>
      <c r="I478" s="448"/>
      <c r="J478" s="435"/>
      <c r="K478" s="435"/>
      <c r="L478" s="448"/>
      <c r="M478" s="448"/>
      <c r="N478" s="435"/>
      <c r="O478" s="435"/>
      <c r="P478" s="450"/>
      <c r="Q478" s="435"/>
      <c r="R478" s="449"/>
      <c r="S478" s="435"/>
      <c r="T478" s="440"/>
      <c r="U478" s="440"/>
      <c r="V478" s="448"/>
      <c r="W478" s="448"/>
      <c r="X478" s="448"/>
      <c r="Y478" s="447"/>
      <c r="Z478" s="447"/>
      <c r="AA478" s="447"/>
      <c r="AB478" s="437"/>
      <c r="AC478" s="436"/>
      <c r="AD478" s="435"/>
      <c r="AE478" s="435"/>
      <c r="AF478" s="435"/>
    </row>
    <row r="479" spans="1:32" s="446" customFormat="1">
      <c r="A479" s="445"/>
      <c r="B479" s="444"/>
      <c r="C479" s="448"/>
      <c r="D479" s="448"/>
      <c r="E479" s="448"/>
      <c r="F479" s="448"/>
      <c r="G479" s="448"/>
      <c r="H479" s="448"/>
      <c r="I479" s="448"/>
      <c r="J479" s="435"/>
      <c r="K479" s="435"/>
      <c r="L479" s="448"/>
      <c r="M479" s="448"/>
      <c r="N479" s="435"/>
      <c r="O479" s="435"/>
      <c r="P479" s="450"/>
      <c r="Q479" s="435"/>
      <c r="R479" s="449"/>
      <c r="S479" s="435"/>
      <c r="T479" s="440"/>
      <c r="U479" s="440"/>
      <c r="V479" s="448"/>
      <c r="W479" s="448"/>
      <c r="X479" s="448"/>
      <c r="Y479" s="447"/>
      <c r="Z479" s="447"/>
      <c r="AA479" s="447"/>
      <c r="AB479" s="437"/>
      <c r="AC479" s="436"/>
      <c r="AD479" s="435"/>
      <c r="AE479" s="435"/>
      <c r="AF479" s="435"/>
    </row>
    <row r="480" spans="1:32" s="446" customFormat="1">
      <c r="A480" s="445"/>
      <c r="B480" s="444"/>
      <c r="C480" s="448"/>
      <c r="D480" s="448"/>
      <c r="E480" s="448"/>
      <c r="F480" s="448"/>
      <c r="G480" s="448"/>
      <c r="H480" s="448"/>
      <c r="I480" s="448"/>
      <c r="J480" s="435"/>
      <c r="K480" s="435"/>
      <c r="L480" s="448"/>
      <c r="M480" s="448"/>
      <c r="N480" s="435"/>
      <c r="O480" s="435"/>
      <c r="P480" s="450"/>
      <c r="Q480" s="435"/>
      <c r="R480" s="449"/>
      <c r="S480" s="435"/>
      <c r="T480" s="440"/>
      <c r="U480" s="440"/>
      <c r="V480" s="448"/>
      <c r="W480" s="448"/>
      <c r="X480" s="448"/>
      <c r="Y480" s="447"/>
      <c r="Z480" s="447"/>
      <c r="AA480" s="447"/>
      <c r="AB480" s="437"/>
      <c r="AC480" s="436"/>
      <c r="AD480" s="435"/>
      <c r="AE480" s="435"/>
      <c r="AF480" s="435"/>
    </row>
    <row r="481" spans="1:32" s="446" customFormat="1">
      <c r="A481" s="445"/>
      <c r="B481" s="444"/>
      <c r="C481" s="448"/>
      <c r="D481" s="448"/>
      <c r="E481" s="448"/>
      <c r="F481" s="448"/>
      <c r="G481" s="448"/>
      <c r="H481" s="448"/>
      <c r="I481" s="448"/>
      <c r="J481" s="435"/>
      <c r="K481" s="435"/>
      <c r="L481" s="448"/>
      <c r="M481" s="448"/>
      <c r="N481" s="435"/>
      <c r="O481" s="435"/>
      <c r="P481" s="450"/>
      <c r="Q481" s="435"/>
      <c r="R481" s="449"/>
      <c r="S481" s="435"/>
      <c r="T481" s="440"/>
      <c r="U481" s="440"/>
      <c r="V481" s="448"/>
      <c r="W481" s="448"/>
      <c r="X481" s="448"/>
      <c r="Y481" s="447"/>
      <c r="Z481" s="447"/>
      <c r="AA481" s="447"/>
      <c r="AB481" s="437"/>
      <c r="AC481" s="436"/>
      <c r="AD481" s="435"/>
      <c r="AE481" s="435"/>
      <c r="AF481" s="435"/>
    </row>
    <row r="482" spans="1:32" s="446" customFormat="1">
      <c r="A482" s="445"/>
      <c r="B482" s="444"/>
      <c r="C482" s="448"/>
      <c r="D482" s="448"/>
      <c r="E482" s="448"/>
      <c r="F482" s="448"/>
      <c r="G482" s="448"/>
      <c r="H482" s="448"/>
      <c r="I482" s="448"/>
      <c r="J482" s="435"/>
      <c r="K482" s="435"/>
      <c r="L482" s="448"/>
      <c r="M482" s="448"/>
      <c r="N482" s="435"/>
      <c r="O482" s="435"/>
      <c r="P482" s="450"/>
      <c r="Q482" s="435"/>
      <c r="R482" s="449"/>
      <c r="S482" s="435"/>
      <c r="T482" s="440"/>
      <c r="U482" s="440"/>
      <c r="V482" s="448"/>
      <c r="W482" s="448"/>
      <c r="X482" s="448"/>
      <c r="Y482" s="447"/>
      <c r="Z482" s="447"/>
      <c r="AA482" s="447"/>
      <c r="AB482" s="437"/>
      <c r="AC482" s="436"/>
      <c r="AD482" s="435"/>
      <c r="AE482" s="435"/>
      <c r="AF482" s="435"/>
    </row>
    <row r="483" spans="1:32" s="446" customFormat="1">
      <c r="A483" s="445"/>
      <c r="B483" s="444"/>
      <c r="C483" s="448"/>
      <c r="D483" s="448"/>
      <c r="E483" s="448"/>
      <c r="F483" s="448"/>
      <c r="G483" s="448"/>
      <c r="H483" s="448"/>
      <c r="I483" s="448"/>
      <c r="J483" s="435"/>
      <c r="K483" s="435"/>
      <c r="L483" s="448"/>
      <c r="M483" s="448"/>
      <c r="N483" s="435"/>
      <c r="O483" s="435"/>
      <c r="P483" s="450"/>
      <c r="Q483" s="435"/>
      <c r="R483" s="449"/>
      <c r="S483" s="435"/>
      <c r="T483" s="440"/>
      <c r="U483" s="440"/>
      <c r="V483" s="448"/>
      <c r="W483" s="448"/>
      <c r="X483" s="448"/>
      <c r="Y483" s="447"/>
      <c r="Z483" s="447"/>
      <c r="AA483" s="447"/>
      <c r="AB483" s="437"/>
      <c r="AC483" s="436"/>
      <c r="AD483" s="435"/>
      <c r="AE483" s="435"/>
      <c r="AF483" s="435"/>
    </row>
    <row r="484" spans="1:32" s="446" customFormat="1">
      <c r="A484" s="445"/>
      <c r="B484" s="444"/>
      <c r="C484" s="448"/>
      <c r="D484" s="448"/>
      <c r="E484" s="448"/>
      <c r="F484" s="448"/>
      <c r="G484" s="448"/>
      <c r="H484" s="448"/>
      <c r="I484" s="448"/>
      <c r="J484" s="435"/>
      <c r="K484" s="435"/>
      <c r="L484" s="448"/>
      <c r="M484" s="448"/>
      <c r="N484" s="435"/>
      <c r="O484" s="435"/>
      <c r="P484" s="450"/>
      <c r="Q484" s="435"/>
      <c r="R484" s="449"/>
      <c r="S484" s="435"/>
      <c r="T484" s="440"/>
      <c r="U484" s="440"/>
      <c r="V484" s="448"/>
      <c r="W484" s="448"/>
      <c r="X484" s="448"/>
      <c r="Y484" s="447"/>
      <c r="Z484" s="447"/>
      <c r="AA484" s="447"/>
      <c r="AB484" s="437"/>
      <c r="AC484" s="436"/>
      <c r="AD484" s="435"/>
      <c r="AE484" s="435"/>
      <c r="AF484" s="435"/>
    </row>
    <row r="485" spans="1:32" s="446" customFormat="1">
      <c r="A485" s="445"/>
      <c r="B485" s="444"/>
      <c r="C485" s="448"/>
      <c r="D485" s="448"/>
      <c r="E485" s="448"/>
      <c r="F485" s="448"/>
      <c r="G485" s="448"/>
      <c r="H485" s="448"/>
      <c r="I485" s="448"/>
      <c r="J485" s="435"/>
      <c r="K485" s="435"/>
      <c r="L485" s="448"/>
      <c r="M485" s="448"/>
      <c r="N485" s="435"/>
      <c r="O485" s="435"/>
      <c r="P485" s="450"/>
      <c r="Q485" s="435"/>
      <c r="R485" s="449"/>
      <c r="S485" s="435"/>
      <c r="T485" s="440"/>
      <c r="U485" s="440"/>
      <c r="V485" s="448"/>
      <c r="W485" s="448"/>
      <c r="X485" s="448"/>
      <c r="Y485" s="447"/>
      <c r="Z485" s="447"/>
      <c r="AA485" s="447"/>
      <c r="AB485" s="437"/>
      <c r="AC485" s="436"/>
      <c r="AD485" s="435"/>
      <c r="AE485" s="435"/>
      <c r="AF485" s="435"/>
    </row>
    <row r="486" spans="1:32" s="446" customFormat="1">
      <c r="A486" s="445"/>
      <c r="B486" s="444"/>
      <c r="C486" s="448"/>
      <c r="D486" s="448"/>
      <c r="E486" s="448"/>
      <c r="F486" s="448"/>
      <c r="G486" s="448"/>
      <c r="H486" s="448"/>
      <c r="I486" s="448"/>
      <c r="J486" s="435"/>
      <c r="K486" s="435"/>
      <c r="L486" s="448"/>
      <c r="M486" s="448"/>
      <c r="N486" s="435"/>
      <c r="O486" s="435"/>
      <c r="P486" s="450"/>
      <c r="Q486" s="435"/>
      <c r="R486" s="449"/>
      <c r="S486" s="435"/>
      <c r="T486" s="440"/>
      <c r="U486" s="440"/>
      <c r="V486" s="448"/>
      <c r="W486" s="448"/>
      <c r="X486" s="448"/>
      <c r="Y486" s="447"/>
      <c r="Z486" s="447"/>
      <c r="AA486" s="447"/>
      <c r="AB486" s="437"/>
      <c r="AC486" s="436"/>
      <c r="AD486" s="435"/>
      <c r="AE486" s="435"/>
      <c r="AF486" s="435"/>
    </row>
    <row r="487" spans="1:32" s="446" customFormat="1">
      <c r="A487" s="445"/>
      <c r="B487" s="444"/>
      <c r="C487" s="448"/>
      <c r="D487" s="448"/>
      <c r="E487" s="448"/>
      <c r="F487" s="448"/>
      <c r="G487" s="448"/>
      <c r="H487" s="448"/>
      <c r="I487" s="448"/>
      <c r="J487" s="435"/>
      <c r="K487" s="435"/>
      <c r="L487" s="448"/>
      <c r="M487" s="448"/>
      <c r="N487" s="435"/>
      <c r="O487" s="435"/>
      <c r="P487" s="450"/>
      <c r="Q487" s="435"/>
      <c r="R487" s="449"/>
      <c r="S487" s="435"/>
      <c r="T487" s="440"/>
      <c r="U487" s="440"/>
      <c r="V487" s="448"/>
      <c r="W487" s="448"/>
      <c r="X487" s="448"/>
      <c r="Y487" s="447"/>
      <c r="Z487" s="447"/>
      <c r="AA487" s="447"/>
      <c r="AB487" s="437"/>
      <c r="AC487" s="436"/>
      <c r="AD487" s="435"/>
      <c r="AE487" s="435"/>
      <c r="AF487" s="435"/>
    </row>
    <row r="488" spans="1:32" s="446" customFormat="1">
      <c r="A488" s="445"/>
      <c r="B488" s="444"/>
      <c r="C488" s="448"/>
      <c r="D488" s="448"/>
      <c r="E488" s="448"/>
      <c r="F488" s="448"/>
      <c r="G488" s="448"/>
      <c r="H488" s="448"/>
      <c r="I488" s="448"/>
      <c r="J488" s="435"/>
      <c r="K488" s="435"/>
      <c r="L488" s="448"/>
      <c r="M488" s="448"/>
      <c r="N488" s="435"/>
      <c r="O488" s="435"/>
      <c r="P488" s="450"/>
      <c r="Q488" s="435"/>
      <c r="R488" s="449"/>
      <c r="S488" s="435"/>
      <c r="T488" s="440"/>
      <c r="U488" s="440"/>
      <c r="V488" s="448"/>
      <c r="W488" s="448"/>
      <c r="X488" s="448"/>
      <c r="Y488" s="447"/>
      <c r="Z488" s="447"/>
      <c r="AA488" s="447"/>
      <c r="AB488" s="437"/>
      <c r="AC488" s="436"/>
      <c r="AD488" s="435"/>
      <c r="AE488" s="435"/>
      <c r="AF488" s="435"/>
    </row>
    <row r="489" spans="1:32" s="446" customFormat="1">
      <c r="A489" s="445"/>
      <c r="B489" s="444"/>
      <c r="C489" s="448"/>
      <c r="D489" s="448"/>
      <c r="E489" s="448"/>
      <c r="F489" s="448"/>
      <c r="G489" s="448"/>
      <c r="H489" s="448"/>
      <c r="I489" s="448"/>
      <c r="J489" s="435"/>
      <c r="K489" s="435"/>
      <c r="L489" s="448"/>
      <c r="M489" s="448"/>
      <c r="N489" s="435"/>
      <c r="O489" s="435"/>
      <c r="P489" s="450"/>
      <c r="Q489" s="435"/>
      <c r="R489" s="449"/>
      <c r="S489" s="435"/>
      <c r="T489" s="440"/>
      <c r="U489" s="440"/>
      <c r="V489" s="448"/>
      <c r="W489" s="448"/>
      <c r="X489" s="448"/>
      <c r="Y489" s="447"/>
      <c r="Z489" s="447"/>
      <c r="AA489" s="447"/>
      <c r="AB489" s="437"/>
      <c r="AC489" s="436"/>
      <c r="AD489" s="435"/>
      <c r="AE489" s="435"/>
      <c r="AF489" s="435"/>
    </row>
    <row r="490" spans="1:32" s="446" customFormat="1">
      <c r="A490" s="445"/>
      <c r="B490" s="444"/>
      <c r="C490" s="448"/>
      <c r="D490" s="448"/>
      <c r="E490" s="448"/>
      <c r="F490" s="448"/>
      <c r="G490" s="448"/>
      <c r="H490" s="448"/>
      <c r="I490" s="448"/>
      <c r="J490" s="435"/>
      <c r="K490" s="435"/>
      <c r="L490" s="448"/>
      <c r="M490" s="448"/>
      <c r="N490" s="435"/>
      <c r="O490" s="435"/>
      <c r="P490" s="450"/>
      <c r="Q490" s="435"/>
      <c r="R490" s="449"/>
      <c r="S490" s="435"/>
      <c r="T490" s="440"/>
      <c r="U490" s="440"/>
      <c r="V490" s="448"/>
      <c r="W490" s="448"/>
      <c r="X490" s="448"/>
      <c r="Y490" s="447"/>
      <c r="Z490" s="447"/>
      <c r="AA490" s="447"/>
      <c r="AB490" s="437"/>
      <c r="AC490" s="436"/>
      <c r="AD490" s="435"/>
      <c r="AE490" s="435"/>
      <c r="AF490" s="435"/>
    </row>
    <row r="491" spans="1:32" s="446" customFormat="1">
      <c r="A491" s="445"/>
      <c r="B491" s="444"/>
      <c r="C491" s="448"/>
      <c r="D491" s="448"/>
      <c r="E491" s="448"/>
      <c r="F491" s="448"/>
      <c r="G491" s="448"/>
      <c r="H491" s="448"/>
      <c r="I491" s="448"/>
      <c r="J491" s="435"/>
      <c r="K491" s="435"/>
      <c r="L491" s="448"/>
      <c r="M491" s="448"/>
      <c r="N491" s="435"/>
      <c r="O491" s="435"/>
      <c r="P491" s="450"/>
      <c r="Q491" s="435"/>
      <c r="R491" s="449"/>
      <c r="S491" s="435"/>
      <c r="T491" s="440"/>
      <c r="U491" s="440"/>
      <c r="V491" s="448"/>
      <c r="W491" s="448"/>
      <c r="X491" s="448"/>
      <c r="Y491" s="447"/>
      <c r="Z491" s="447"/>
      <c r="AA491" s="447"/>
      <c r="AB491" s="437"/>
      <c r="AC491" s="436"/>
      <c r="AD491" s="435"/>
      <c r="AE491" s="435"/>
      <c r="AF491" s="435"/>
    </row>
    <row r="492" spans="1:32" s="446" customFormat="1">
      <c r="A492" s="445"/>
      <c r="B492" s="444"/>
      <c r="C492" s="448"/>
      <c r="D492" s="448"/>
      <c r="E492" s="448"/>
      <c r="F492" s="448"/>
      <c r="G492" s="448"/>
      <c r="H492" s="448"/>
      <c r="I492" s="448"/>
      <c r="J492" s="435"/>
      <c r="K492" s="435"/>
      <c r="L492" s="448"/>
      <c r="M492" s="448"/>
      <c r="N492" s="435"/>
      <c r="O492" s="435"/>
      <c r="P492" s="450"/>
      <c r="Q492" s="435"/>
      <c r="R492" s="449"/>
      <c r="S492" s="435"/>
      <c r="T492" s="440"/>
      <c r="U492" s="440"/>
      <c r="V492" s="448"/>
      <c r="W492" s="448"/>
      <c r="X492" s="448"/>
      <c r="Y492" s="447"/>
      <c r="Z492" s="447"/>
      <c r="AA492" s="447"/>
      <c r="AB492" s="437"/>
      <c r="AC492" s="436"/>
      <c r="AD492" s="435"/>
      <c r="AE492" s="435"/>
      <c r="AF492" s="435"/>
    </row>
    <row r="493" spans="1:32" s="446" customFormat="1">
      <c r="A493" s="445"/>
      <c r="B493" s="444"/>
      <c r="C493" s="448"/>
      <c r="D493" s="448"/>
      <c r="E493" s="448"/>
      <c r="F493" s="448"/>
      <c r="G493" s="448"/>
      <c r="H493" s="448"/>
      <c r="I493" s="448"/>
      <c r="J493" s="435"/>
      <c r="K493" s="435"/>
      <c r="L493" s="448"/>
      <c r="M493" s="448"/>
      <c r="N493" s="435"/>
      <c r="O493" s="435"/>
      <c r="P493" s="450"/>
      <c r="Q493" s="435"/>
      <c r="R493" s="449"/>
      <c r="S493" s="435"/>
      <c r="T493" s="440"/>
      <c r="U493" s="440"/>
      <c r="V493" s="448"/>
      <c r="W493" s="448"/>
      <c r="X493" s="448"/>
      <c r="Y493" s="447"/>
      <c r="Z493" s="447"/>
      <c r="AA493" s="447"/>
      <c r="AB493" s="437"/>
      <c r="AC493" s="436"/>
      <c r="AD493" s="435"/>
      <c r="AE493" s="435"/>
      <c r="AF493" s="435"/>
    </row>
    <row r="494" spans="1:32" s="446" customFormat="1">
      <c r="A494" s="445"/>
      <c r="B494" s="444"/>
      <c r="C494" s="448"/>
      <c r="D494" s="448"/>
      <c r="E494" s="448"/>
      <c r="F494" s="448"/>
      <c r="G494" s="448"/>
      <c r="H494" s="448"/>
      <c r="I494" s="448"/>
      <c r="J494" s="435"/>
      <c r="K494" s="435"/>
      <c r="L494" s="448"/>
      <c r="M494" s="448"/>
      <c r="N494" s="435"/>
      <c r="O494" s="435"/>
      <c r="P494" s="450"/>
      <c r="Q494" s="435"/>
      <c r="R494" s="449"/>
      <c r="S494" s="435"/>
      <c r="T494" s="440"/>
      <c r="U494" s="440"/>
      <c r="V494" s="448"/>
      <c r="W494" s="448"/>
      <c r="X494" s="448"/>
      <c r="Y494" s="447"/>
      <c r="Z494" s="447"/>
      <c r="AA494" s="447"/>
      <c r="AB494" s="437"/>
      <c r="AC494" s="436"/>
      <c r="AD494" s="435"/>
      <c r="AE494" s="435"/>
      <c r="AF494" s="435"/>
    </row>
    <row r="495" spans="1:32" s="446" customFormat="1">
      <c r="A495" s="445"/>
      <c r="B495" s="444"/>
      <c r="C495" s="448"/>
      <c r="D495" s="448"/>
      <c r="E495" s="448"/>
      <c r="F495" s="448"/>
      <c r="G495" s="448"/>
      <c r="H495" s="448"/>
      <c r="I495" s="448"/>
      <c r="J495" s="435"/>
      <c r="K495" s="435"/>
      <c r="L495" s="448"/>
      <c r="M495" s="448"/>
      <c r="N495" s="435"/>
      <c r="O495" s="435"/>
      <c r="P495" s="450"/>
      <c r="Q495" s="435"/>
      <c r="R495" s="449"/>
      <c r="S495" s="435"/>
      <c r="T495" s="440"/>
      <c r="U495" s="440"/>
      <c r="V495" s="448"/>
      <c r="W495" s="448"/>
      <c r="X495" s="448"/>
      <c r="Y495" s="447"/>
      <c r="Z495" s="447"/>
      <c r="AA495" s="447"/>
      <c r="AB495" s="437"/>
      <c r="AC495" s="436"/>
      <c r="AD495" s="435"/>
      <c r="AE495" s="435"/>
      <c r="AF495" s="435"/>
    </row>
    <row r="496" spans="1:32" s="446" customFormat="1">
      <c r="A496" s="445"/>
      <c r="B496" s="444"/>
      <c r="C496" s="448"/>
      <c r="D496" s="448"/>
      <c r="E496" s="448"/>
      <c r="F496" s="448"/>
      <c r="G496" s="448"/>
      <c r="H496" s="448"/>
      <c r="I496" s="448"/>
      <c r="J496" s="435"/>
      <c r="K496" s="435"/>
      <c r="L496" s="448"/>
      <c r="M496" s="448"/>
      <c r="N496" s="435"/>
      <c r="O496" s="435"/>
      <c r="P496" s="450"/>
      <c r="Q496" s="435"/>
      <c r="R496" s="449"/>
      <c r="S496" s="435"/>
      <c r="T496" s="440"/>
      <c r="U496" s="440"/>
      <c r="V496" s="448"/>
      <c r="W496" s="448"/>
      <c r="X496" s="448"/>
      <c r="Y496" s="447"/>
      <c r="Z496" s="447"/>
      <c r="AA496" s="447"/>
      <c r="AB496" s="437"/>
      <c r="AC496" s="436"/>
      <c r="AD496" s="435"/>
      <c r="AE496" s="435"/>
      <c r="AF496" s="435"/>
    </row>
    <row r="497" spans="1:32" s="446" customFormat="1">
      <c r="A497" s="445"/>
      <c r="B497" s="444"/>
      <c r="C497" s="448"/>
      <c r="D497" s="448"/>
      <c r="E497" s="448"/>
      <c r="F497" s="448"/>
      <c r="G497" s="448"/>
      <c r="H497" s="448"/>
      <c r="I497" s="448"/>
      <c r="J497" s="435"/>
      <c r="K497" s="435"/>
      <c r="L497" s="448"/>
      <c r="M497" s="448"/>
      <c r="N497" s="435"/>
      <c r="O497" s="435"/>
      <c r="P497" s="450"/>
      <c r="Q497" s="435"/>
      <c r="R497" s="449"/>
      <c r="S497" s="435"/>
      <c r="T497" s="440"/>
      <c r="U497" s="440"/>
      <c r="V497" s="448"/>
      <c r="W497" s="448"/>
      <c r="X497" s="448"/>
      <c r="Y497" s="447"/>
      <c r="Z497" s="447"/>
      <c r="AA497" s="447"/>
      <c r="AB497" s="437"/>
      <c r="AC497" s="436"/>
      <c r="AD497" s="435"/>
      <c r="AE497" s="435"/>
      <c r="AF497" s="435"/>
    </row>
    <row r="498" spans="1:32" s="446" customFormat="1">
      <c r="A498" s="445"/>
      <c r="B498" s="444"/>
      <c r="C498" s="448"/>
      <c r="D498" s="448"/>
      <c r="E498" s="448"/>
      <c r="F498" s="448"/>
      <c r="G498" s="448"/>
      <c r="H498" s="448"/>
      <c r="I498" s="448"/>
      <c r="J498" s="435"/>
      <c r="K498" s="435"/>
      <c r="L498" s="448"/>
      <c r="M498" s="448"/>
      <c r="N498" s="435"/>
      <c r="O498" s="435"/>
      <c r="P498" s="450"/>
      <c r="Q498" s="435"/>
      <c r="R498" s="449"/>
      <c r="S498" s="435"/>
      <c r="T498" s="440"/>
      <c r="U498" s="440"/>
      <c r="V498" s="448"/>
      <c r="W498" s="448"/>
      <c r="X498" s="448"/>
      <c r="Y498" s="447"/>
      <c r="Z498" s="447"/>
      <c r="AA498" s="447"/>
      <c r="AB498" s="437"/>
      <c r="AC498" s="436"/>
      <c r="AD498" s="435"/>
      <c r="AE498" s="435"/>
      <c r="AF498" s="435"/>
    </row>
    <row r="499" spans="1:32" s="446" customFormat="1">
      <c r="A499" s="445"/>
      <c r="B499" s="444"/>
      <c r="C499" s="448"/>
      <c r="D499" s="448"/>
      <c r="E499" s="448"/>
      <c r="F499" s="448"/>
      <c r="G499" s="448"/>
      <c r="H499" s="448"/>
      <c r="I499" s="448"/>
      <c r="J499" s="435"/>
      <c r="K499" s="435"/>
      <c r="L499" s="448"/>
      <c r="M499" s="448"/>
      <c r="N499" s="435"/>
      <c r="O499" s="435"/>
      <c r="P499" s="450"/>
      <c r="Q499" s="435"/>
      <c r="R499" s="449"/>
      <c r="S499" s="435"/>
      <c r="T499" s="440"/>
      <c r="U499" s="440"/>
      <c r="V499" s="448"/>
      <c r="W499" s="448"/>
      <c r="X499" s="448"/>
      <c r="Y499" s="447"/>
      <c r="Z499" s="447"/>
      <c r="AA499" s="447"/>
      <c r="AB499" s="437"/>
      <c r="AC499" s="436"/>
      <c r="AD499" s="435"/>
      <c r="AE499" s="435"/>
      <c r="AF499" s="435"/>
    </row>
    <row r="500" spans="1:32" s="446" customFormat="1">
      <c r="A500" s="445"/>
      <c r="B500" s="444"/>
      <c r="C500" s="448"/>
      <c r="D500" s="448"/>
      <c r="E500" s="448"/>
      <c r="F500" s="448"/>
      <c r="G500" s="448"/>
      <c r="H500" s="448"/>
      <c r="I500" s="448"/>
      <c r="J500" s="435"/>
      <c r="K500" s="435"/>
      <c r="L500" s="448"/>
      <c r="M500" s="448"/>
      <c r="N500" s="435"/>
      <c r="O500" s="435"/>
      <c r="P500" s="450"/>
      <c r="Q500" s="435"/>
      <c r="R500" s="449"/>
      <c r="S500" s="435"/>
      <c r="T500" s="440"/>
      <c r="U500" s="440"/>
      <c r="V500" s="448"/>
      <c r="W500" s="448"/>
      <c r="X500" s="448"/>
      <c r="Y500" s="447"/>
      <c r="Z500" s="447"/>
      <c r="AA500" s="447"/>
      <c r="AB500" s="437"/>
      <c r="AC500" s="436"/>
      <c r="AD500" s="435"/>
      <c r="AE500" s="435"/>
      <c r="AF500" s="435"/>
    </row>
    <row r="501" spans="1:32" s="446" customFormat="1">
      <c r="A501" s="445"/>
      <c r="B501" s="444"/>
      <c r="C501" s="448"/>
      <c r="D501" s="448"/>
      <c r="E501" s="448"/>
      <c r="F501" s="448"/>
      <c r="G501" s="448"/>
      <c r="H501" s="448"/>
      <c r="I501" s="448"/>
      <c r="J501" s="435"/>
      <c r="K501" s="435"/>
      <c r="L501" s="448"/>
      <c r="M501" s="448"/>
      <c r="N501" s="435"/>
      <c r="O501" s="435"/>
      <c r="P501" s="450"/>
      <c r="Q501" s="435"/>
      <c r="R501" s="449"/>
      <c r="S501" s="435"/>
      <c r="T501" s="440"/>
      <c r="U501" s="440"/>
      <c r="V501" s="448"/>
      <c r="W501" s="448"/>
      <c r="X501" s="448"/>
      <c r="Y501" s="447"/>
      <c r="Z501" s="447"/>
      <c r="AA501" s="447"/>
      <c r="AB501" s="437"/>
      <c r="AC501" s="436"/>
      <c r="AD501" s="435"/>
      <c r="AE501" s="435"/>
      <c r="AF501" s="435"/>
    </row>
    <row r="502" spans="1:32" s="446" customFormat="1">
      <c r="A502" s="445"/>
      <c r="B502" s="444"/>
      <c r="C502" s="448"/>
      <c r="D502" s="448"/>
      <c r="E502" s="448"/>
      <c r="F502" s="448"/>
      <c r="G502" s="448"/>
      <c r="H502" s="448"/>
      <c r="I502" s="448"/>
      <c r="J502" s="435"/>
      <c r="K502" s="435"/>
      <c r="L502" s="448"/>
      <c r="M502" s="448"/>
      <c r="N502" s="435"/>
      <c r="O502" s="435"/>
      <c r="P502" s="450"/>
      <c r="Q502" s="435"/>
      <c r="R502" s="449"/>
      <c r="S502" s="435"/>
      <c r="T502" s="440"/>
      <c r="U502" s="440"/>
      <c r="V502" s="448"/>
      <c r="W502" s="448"/>
      <c r="X502" s="448"/>
      <c r="Y502" s="447"/>
      <c r="Z502" s="447"/>
      <c r="AA502" s="447"/>
      <c r="AB502" s="437"/>
      <c r="AC502" s="436"/>
      <c r="AD502" s="435"/>
      <c r="AE502" s="435"/>
      <c r="AF502" s="435"/>
    </row>
    <row r="503" spans="1:32" s="446" customFormat="1">
      <c r="A503" s="445"/>
      <c r="B503" s="444"/>
      <c r="C503" s="448"/>
      <c r="D503" s="448"/>
      <c r="E503" s="448"/>
      <c r="F503" s="448"/>
      <c r="G503" s="448"/>
      <c r="H503" s="448"/>
      <c r="I503" s="448"/>
      <c r="J503" s="435"/>
      <c r="K503" s="435"/>
      <c r="L503" s="448"/>
      <c r="M503" s="448"/>
      <c r="N503" s="435"/>
      <c r="O503" s="435"/>
      <c r="P503" s="450"/>
      <c r="Q503" s="435"/>
      <c r="R503" s="449"/>
      <c r="S503" s="435"/>
      <c r="T503" s="440"/>
      <c r="U503" s="440"/>
      <c r="V503" s="448"/>
      <c r="W503" s="448"/>
      <c r="X503" s="448"/>
      <c r="Y503" s="447"/>
      <c r="Z503" s="447"/>
      <c r="AA503" s="447"/>
      <c r="AB503" s="437"/>
      <c r="AC503" s="436"/>
      <c r="AD503" s="435"/>
      <c r="AE503" s="435"/>
      <c r="AF503" s="435"/>
    </row>
    <row r="504" spans="1:32" s="446" customFormat="1">
      <c r="A504" s="445"/>
      <c r="B504" s="444"/>
      <c r="C504" s="448"/>
      <c r="D504" s="448"/>
      <c r="E504" s="448"/>
      <c r="F504" s="448"/>
      <c r="G504" s="448"/>
      <c r="H504" s="448"/>
      <c r="I504" s="448"/>
      <c r="J504" s="435"/>
      <c r="K504" s="435"/>
      <c r="L504" s="448"/>
      <c r="M504" s="448"/>
      <c r="N504" s="435"/>
      <c r="O504" s="435"/>
      <c r="P504" s="450"/>
      <c r="Q504" s="435"/>
      <c r="R504" s="449"/>
      <c r="S504" s="435"/>
      <c r="T504" s="440"/>
      <c r="U504" s="440"/>
      <c r="V504" s="448"/>
      <c r="W504" s="448"/>
      <c r="X504" s="448"/>
      <c r="Y504" s="447"/>
      <c r="Z504" s="447"/>
      <c r="AA504" s="447"/>
      <c r="AB504" s="437"/>
      <c r="AC504" s="436"/>
      <c r="AD504" s="435"/>
      <c r="AE504" s="435"/>
      <c r="AF504" s="435"/>
    </row>
    <row r="505" spans="1:32" s="446" customFormat="1">
      <c r="A505" s="445"/>
      <c r="B505" s="444"/>
      <c r="C505" s="448"/>
      <c r="D505" s="448"/>
      <c r="E505" s="448"/>
      <c r="F505" s="448"/>
      <c r="G505" s="448"/>
      <c r="H505" s="448"/>
      <c r="I505" s="448"/>
      <c r="J505" s="435"/>
      <c r="K505" s="435"/>
      <c r="L505" s="448"/>
      <c r="M505" s="448"/>
      <c r="N505" s="435"/>
      <c r="O505" s="435"/>
      <c r="P505" s="450"/>
      <c r="Q505" s="435"/>
      <c r="R505" s="449"/>
      <c r="S505" s="435"/>
      <c r="T505" s="440"/>
      <c r="U505" s="440"/>
      <c r="V505" s="448"/>
      <c r="W505" s="448"/>
      <c r="X505" s="448"/>
      <c r="Y505" s="447"/>
      <c r="Z505" s="447"/>
      <c r="AA505" s="447"/>
      <c r="AB505" s="437"/>
      <c r="AC505" s="436"/>
      <c r="AD505" s="435"/>
      <c r="AE505" s="435"/>
      <c r="AF505" s="435"/>
    </row>
    <row r="506" spans="1:32" s="446" customFormat="1">
      <c r="A506" s="445"/>
      <c r="B506" s="444"/>
      <c r="C506" s="448"/>
      <c r="D506" s="448"/>
      <c r="E506" s="448"/>
      <c r="F506" s="448"/>
      <c r="G506" s="448"/>
      <c r="H506" s="448"/>
      <c r="I506" s="448"/>
      <c r="J506" s="435"/>
      <c r="K506" s="435"/>
      <c r="L506" s="448"/>
      <c r="M506" s="448"/>
      <c r="N506" s="435"/>
      <c r="O506" s="435"/>
      <c r="P506" s="450"/>
      <c r="Q506" s="435"/>
      <c r="R506" s="449"/>
      <c r="S506" s="435"/>
      <c r="T506" s="440"/>
      <c r="U506" s="440"/>
      <c r="V506" s="448"/>
      <c r="W506" s="448"/>
      <c r="X506" s="448"/>
      <c r="Y506" s="447"/>
      <c r="Z506" s="447"/>
      <c r="AA506" s="447"/>
      <c r="AB506" s="437"/>
      <c r="AC506" s="436"/>
      <c r="AD506" s="435"/>
      <c r="AE506" s="435"/>
      <c r="AF506" s="435"/>
    </row>
    <row r="507" spans="1:32" s="446" customFormat="1">
      <c r="A507" s="445"/>
      <c r="B507" s="444"/>
      <c r="C507" s="448"/>
      <c r="D507" s="448"/>
      <c r="E507" s="448"/>
      <c r="F507" s="448"/>
      <c r="G507" s="448"/>
      <c r="H507" s="448"/>
      <c r="I507" s="448"/>
      <c r="J507" s="435"/>
      <c r="K507" s="435"/>
      <c r="L507" s="448"/>
      <c r="M507" s="448"/>
      <c r="N507" s="435"/>
      <c r="O507" s="435"/>
      <c r="P507" s="450"/>
      <c r="Q507" s="435"/>
      <c r="R507" s="449"/>
      <c r="S507" s="435"/>
      <c r="T507" s="440"/>
      <c r="U507" s="440"/>
      <c r="V507" s="448"/>
      <c r="W507" s="448"/>
      <c r="X507" s="448"/>
      <c r="Y507" s="447"/>
      <c r="Z507" s="447"/>
      <c r="AA507" s="447"/>
      <c r="AB507" s="437"/>
      <c r="AC507" s="436"/>
      <c r="AD507" s="435"/>
      <c r="AE507" s="435"/>
      <c r="AF507" s="435"/>
    </row>
    <row r="508" spans="1:32" s="446" customFormat="1">
      <c r="A508" s="445"/>
      <c r="B508" s="444"/>
      <c r="C508" s="448"/>
      <c r="D508" s="448"/>
      <c r="E508" s="448"/>
      <c r="F508" s="448"/>
      <c r="G508" s="448"/>
      <c r="H508" s="448"/>
      <c r="I508" s="448"/>
      <c r="J508" s="435"/>
      <c r="K508" s="435"/>
      <c r="L508" s="448"/>
      <c r="M508" s="448"/>
      <c r="N508" s="435"/>
      <c r="O508" s="435"/>
      <c r="P508" s="450"/>
      <c r="Q508" s="435"/>
      <c r="R508" s="449"/>
      <c r="S508" s="435"/>
      <c r="T508" s="440"/>
      <c r="U508" s="440"/>
      <c r="V508" s="448"/>
      <c r="W508" s="448"/>
      <c r="X508" s="448"/>
      <c r="Y508" s="447"/>
      <c r="Z508" s="447"/>
      <c r="AA508" s="447"/>
      <c r="AB508" s="437"/>
      <c r="AC508" s="436"/>
      <c r="AD508" s="435"/>
      <c r="AE508" s="435"/>
      <c r="AF508" s="435"/>
    </row>
    <row r="509" spans="1:32" s="446" customFormat="1">
      <c r="A509" s="445"/>
      <c r="B509" s="444"/>
      <c r="C509" s="448"/>
      <c r="D509" s="448"/>
      <c r="E509" s="448"/>
      <c r="F509" s="448"/>
      <c r="G509" s="448"/>
      <c r="H509" s="448"/>
      <c r="I509" s="448"/>
      <c r="J509" s="435"/>
      <c r="K509" s="435"/>
      <c r="L509" s="448"/>
      <c r="M509" s="448"/>
      <c r="N509" s="435"/>
      <c r="O509" s="435"/>
      <c r="P509" s="450"/>
      <c r="Q509" s="435"/>
      <c r="R509" s="449"/>
      <c r="S509" s="435"/>
      <c r="T509" s="440"/>
      <c r="U509" s="440"/>
      <c r="V509" s="448"/>
      <c r="W509" s="448"/>
      <c r="X509" s="448"/>
      <c r="Y509" s="447"/>
      <c r="Z509" s="447"/>
      <c r="AA509" s="447"/>
      <c r="AB509" s="437"/>
      <c r="AC509" s="436"/>
      <c r="AD509" s="435"/>
      <c r="AE509" s="435"/>
      <c r="AF509" s="435"/>
    </row>
    <row r="510" spans="1:32" s="446" customFormat="1">
      <c r="A510" s="445"/>
      <c r="B510" s="444"/>
      <c r="C510" s="448"/>
      <c r="D510" s="448"/>
      <c r="E510" s="448"/>
      <c r="F510" s="448"/>
      <c r="G510" s="448"/>
      <c r="H510" s="448"/>
      <c r="I510" s="448"/>
      <c r="J510" s="435"/>
      <c r="K510" s="435"/>
      <c r="L510" s="448"/>
      <c r="M510" s="448"/>
      <c r="N510" s="435"/>
      <c r="O510" s="435"/>
      <c r="P510" s="450"/>
      <c r="Q510" s="435"/>
      <c r="R510" s="449"/>
      <c r="S510" s="435"/>
      <c r="T510" s="440"/>
      <c r="U510" s="440"/>
      <c r="V510" s="448"/>
      <c r="W510" s="448"/>
      <c r="X510" s="448"/>
      <c r="Y510" s="447"/>
      <c r="Z510" s="447"/>
      <c r="AA510" s="447"/>
      <c r="AB510" s="437"/>
      <c r="AC510" s="436"/>
      <c r="AD510" s="435"/>
      <c r="AE510" s="435"/>
      <c r="AF510" s="435"/>
    </row>
    <row r="511" spans="1:32" s="446" customFormat="1">
      <c r="A511" s="445"/>
      <c r="B511" s="444"/>
      <c r="C511" s="448"/>
      <c r="D511" s="448"/>
      <c r="E511" s="448"/>
      <c r="F511" s="448"/>
      <c r="G511" s="448"/>
      <c r="H511" s="448"/>
      <c r="I511" s="448"/>
      <c r="J511" s="435"/>
      <c r="K511" s="435"/>
      <c r="L511" s="448"/>
      <c r="M511" s="448"/>
      <c r="N511" s="435"/>
      <c r="O511" s="435"/>
      <c r="P511" s="450"/>
      <c r="Q511" s="435"/>
      <c r="R511" s="449"/>
      <c r="S511" s="435"/>
      <c r="T511" s="440"/>
      <c r="U511" s="440"/>
      <c r="V511" s="448"/>
      <c r="W511" s="448"/>
      <c r="X511" s="448"/>
      <c r="Y511" s="447"/>
      <c r="Z511" s="447"/>
      <c r="AA511" s="447"/>
      <c r="AB511" s="437"/>
      <c r="AC511" s="436"/>
      <c r="AD511" s="435"/>
      <c r="AE511" s="435"/>
      <c r="AF511" s="435"/>
    </row>
    <row r="512" spans="1:32" s="446" customFormat="1">
      <c r="A512" s="445"/>
      <c r="B512" s="444"/>
      <c r="C512" s="448"/>
      <c r="D512" s="448"/>
      <c r="E512" s="448"/>
      <c r="F512" s="448"/>
      <c r="G512" s="448"/>
      <c r="H512" s="448"/>
      <c r="I512" s="448"/>
      <c r="J512" s="435"/>
      <c r="K512" s="435"/>
      <c r="L512" s="448"/>
      <c r="M512" s="448"/>
      <c r="N512" s="435"/>
      <c r="O512" s="435"/>
      <c r="P512" s="450"/>
      <c r="Q512" s="435"/>
      <c r="R512" s="449"/>
      <c r="S512" s="435"/>
      <c r="T512" s="440"/>
      <c r="U512" s="440"/>
      <c r="V512" s="448"/>
      <c r="W512" s="448"/>
      <c r="X512" s="448"/>
      <c r="Y512" s="447"/>
      <c r="Z512" s="447"/>
      <c r="AA512" s="447"/>
      <c r="AB512" s="437"/>
      <c r="AC512" s="436"/>
      <c r="AD512" s="435"/>
      <c r="AE512" s="435"/>
      <c r="AF512" s="435"/>
    </row>
    <row r="513" spans="1:32" s="446" customFormat="1">
      <c r="A513" s="445"/>
      <c r="B513" s="444"/>
      <c r="C513" s="448"/>
      <c r="D513" s="448"/>
      <c r="E513" s="448"/>
      <c r="F513" s="448"/>
      <c r="G513" s="448"/>
      <c r="H513" s="448"/>
      <c r="I513" s="448"/>
      <c r="J513" s="435"/>
      <c r="K513" s="435"/>
      <c r="L513" s="448"/>
      <c r="M513" s="448"/>
      <c r="N513" s="435"/>
      <c r="O513" s="435"/>
      <c r="P513" s="450"/>
      <c r="Q513" s="435"/>
      <c r="R513" s="449"/>
      <c r="S513" s="435"/>
      <c r="T513" s="440"/>
      <c r="U513" s="440"/>
      <c r="V513" s="448"/>
      <c r="W513" s="448"/>
      <c r="X513" s="448"/>
      <c r="Y513" s="447"/>
      <c r="Z513" s="447"/>
      <c r="AA513" s="447"/>
      <c r="AB513" s="437"/>
      <c r="AC513" s="436"/>
      <c r="AD513" s="435"/>
      <c r="AE513" s="435"/>
      <c r="AF513" s="435"/>
    </row>
    <row r="514" spans="1:32" s="446" customFormat="1">
      <c r="A514" s="445"/>
      <c r="B514" s="444"/>
      <c r="C514" s="448"/>
      <c r="D514" s="448"/>
      <c r="E514" s="448"/>
      <c r="F514" s="448"/>
      <c r="G514" s="448"/>
      <c r="H514" s="448"/>
      <c r="I514" s="448"/>
      <c r="J514" s="435"/>
      <c r="K514" s="435"/>
      <c r="L514" s="448"/>
      <c r="M514" s="448"/>
      <c r="N514" s="435"/>
      <c r="O514" s="435"/>
      <c r="P514" s="450"/>
      <c r="Q514" s="435"/>
      <c r="R514" s="449"/>
      <c r="S514" s="435"/>
      <c r="T514" s="440"/>
      <c r="U514" s="440"/>
      <c r="V514" s="448"/>
      <c r="W514" s="448"/>
      <c r="X514" s="448"/>
      <c r="Y514" s="447"/>
      <c r="Z514" s="447"/>
      <c r="AA514" s="447"/>
      <c r="AB514" s="437"/>
      <c r="AC514" s="436"/>
      <c r="AD514" s="435"/>
      <c r="AE514" s="435"/>
      <c r="AF514" s="435"/>
    </row>
    <row r="515" spans="1:32" s="446" customFormat="1">
      <c r="A515" s="445"/>
      <c r="B515" s="444"/>
      <c r="C515" s="448"/>
      <c r="D515" s="448"/>
      <c r="E515" s="448"/>
      <c r="F515" s="448"/>
      <c r="G515" s="448"/>
      <c r="H515" s="448"/>
      <c r="I515" s="448"/>
      <c r="J515" s="435"/>
      <c r="K515" s="435"/>
      <c r="L515" s="448"/>
      <c r="M515" s="448"/>
      <c r="N515" s="435"/>
      <c r="O515" s="435"/>
      <c r="P515" s="450"/>
      <c r="Q515" s="435"/>
      <c r="R515" s="449"/>
      <c r="S515" s="435"/>
      <c r="T515" s="440"/>
      <c r="U515" s="440"/>
      <c r="V515" s="448"/>
      <c r="W515" s="448"/>
      <c r="X515" s="448"/>
      <c r="Y515" s="447"/>
      <c r="Z515" s="447"/>
      <c r="AA515" s="447"/>
      <c r="AB515" s="437"/>
      <c r="AC515" s="436"/>
      <c r="AD515" s="435"/>
      <c r="AE515" s="435"/>
      <c r="AF515" s="435"/>
    </row>
    <row r="516" spans="1:32" s="446" customFormat="1">
      <c r="A516" s="445"/>
      <c r="B516" s="444"/>
      <c r="C516" s="448"/>
      <c r="D516" s="448"/>
      <c r="E516" s="448"/>
      <c r="F516" s="448"/>
      <c r="G516" s="448"/>
      <c r="H516" s="448"/>
      <c r="I516" s="448"/>
      <c r="J516" s="435"/>
      <c r="K516" s="435"/>
      <c r="L516" s="448"/>
      <c r="M516" s="448"/>
      <c r="N516" s="435"/>
      <c r="O516" s="435"/>
      <c r="P516" s="450"/>
      <c r="Q516" s="435"/>
      <c r="R516" s="449"/>
      <c r="S516" s="435"/>
      <c r="T516" s="440"/>
      <c r="U516" s="440"/>
      <c r="V516" s="448"/>
      <c r="W516" s="448"/>
      <c r="X516" s="448"/>
      <c r="Y516" s="447"/>
      <c r="Z516" s="447"/>
      <c r="AA516" s="447"/>
      <c r="AB516" s="437"/>
      <c r="AC516" s="436"/>
      <c r="AD516" s="435"/>
      <c r="AE516" s="435"/>
      <c r="AF516" s="435"/>
    </row>
    <row r="517" spans="1:32" s="446" customFormat="1">
      <c r="A517" s="445"/>
      <c r="B517" s="444"/>
      <c r="C517" s="448"/>
      <c r="D517" s="448"/>
      <c r="E517" s="448"/>
      <c r="F517" s="448"/>
      <c r="G517" s="448"/>
      <c r="H517" s="448"/>
      <c r="I517" s="448"/>
      <c r="J517" s="435"/>
      <c r="K517" s="435"/>
      <c r="L517" s="448"/>
      <c r="M517" s="448"/>
      <c r="N517" s="435"/>
      <c r="O517" s="435"/>
      <c r="P517" s="450"/>
      <c r="Q517" s="435"/>
      <c r="R517" s="449"/>
      <c r="S517" s="435"/>
      <c r="T517" s="440"/>
      <c r="U517" s="440"/>
      <c r="V517" s="448"/>
      <c r="W517" s="448"/>
      <c r="X517" s="448"/>
      <c r="Y517" s="447"/>
      <c r="Z517" s="447"/>
      <c r="AA517" s="447"/>
      <c r="AB517" s="437"/>
      <c r="AC517" s="436"/>
      <c r="AD517" s="435"/>
      <c r="AE517" s="435"/>
      <c r="AF517" s="435"/>
    </row>
    <row r="518" spans="1:32" s="446" customFormat="1">
      <c r="A518" s="445"/>
      <c r="B518" s="444"/>
      <c r="C518" s="448"/>
      <c r="D518" s="448"/>
      <c r="E518" s="448"/>
      <c r="F518" s="448"/>
      <c r="G518" s="448"/>
      <c r="H518" s="448"/>
      <c r="I518" s="448"/>
      <c r="J518" s="435"/>
      <c r="K518" s="435"/>
      <c r="L518" s="448"/>
      <c r="M518" s="448"/>
      <c r="N518" s="435"/>
      <c r="O518" s="435"/>
      <c r="P518" s="450"/>
      <c r="Q518" s="435"/>
      <c r="R518" s="449"/>
      <c r="S518" s="435"/>
      <c r="T518" s="440"/>
      <c r="U518" s="440"/>
      <c r="V518" s="448"/>
      <c r="W518" s="448"/>
      <c r="X518" s="448"/>
      <c r="Y518" s="447"/>
      <c r="Z518" s="447"/>
      <c r="AA518" s="447"/>
      <c r="AB518" s="437"/>
      <c r="AC518" s="436"/>
      <c r="AD518" s="435"/>
      <c r="AE518" s="435"/>
      <c r="AF518" s="435"/>
    </row>
    <row r="519" spans="1:32" s="446" customFormat="1">
      <c r="A519" s="445"/>
      <c r="B519" s="444"/>
      <c r="C519" s="448"/>
      <c r="D519" s="448"/>
      <c r="E519" s="448"/>
      <c r="F519" s="448"/>
      <c r="G519" s="448"/>
      <c r="H519" s="448"/>
      <c r="I519" s="448"/>
      <c r="J519" s="435"/>
      <c r="K519" s="435"/>
      <c r="L519" s="448"/>
      <c r="M519" s="448"/>
      <c r="N519" s="435"/>
      <c r="O519" s="435"/>
      <c r="P519" s="450"/>
      <c r="Q519" s="435"/>
      <c r="R519" s="449"/>
      <c r="S519" s="435"/>
      <c r="T519" s="440"/>
      <c r="U519" s="440"/>
      <c r="V519" s="448"/>
      <c r="W519" s="448"/>
      <c r="X519" s="448"/>
      <c r="Y519" s="447"/>
      <c r="Z519" s="447"/>
      <c r="AA519" s="447"/>
      <c r="AB519" s="437"/>
      <c r="AC519" s="436"/>
      <c r="AD519" s="435"/>
      <c r="AE519" s="435"/>
      <c r="AF519" s="435"/>
    </row>
    <row r="520" spans="1:32" s="446" customFormat="1">
      <c r="A520" s="445"/>
      <c r="B520" s="444"/>
      <c r="C520" s="448"/>
      <c r="D520" s="448"/>
      <c r="E520" s="448"/>
      <c r="F520" s="448"/>
      <c r="G520" s="448"/>
      <c r="H520" s="448"/>
      <c r="I520" s="448"/>
      <c r="J520" s="435"/>
      <c r="K520" s="435"/>
      <c r="L520" s="448"/>
      <c r="M520" s="448"/>
      <c r="N520" s="435"/>
      <c r="O520" s="435"/>
      <c r="P520" s="450"/>
      <c r="Q520" s="435"/>
      <c r="R520" s="449"/>
      <c r="S520" s="435"/>
      <c r="T520" s="440"/>
      <c r="U520" s="440"/>
      <c r="V520" s="448"/>
      <c r="W520" s="448"/>
      <c r="X520" s="448"/>
      <c r="Y520" s="447"/>
      <c r="Z520" s="447"/>
      <c r="AA520" s="447"/>
      <c r="AB520" s="437"/>
      <c r="AC520" s="436"/>
      <c r="AD520" s="435"/>
      <c r="AE520" s="435"/>
      <c r="AF520" s="435"/>
    </row>
    <row r="521" spans="1:32" s="446" customFormat="1">
      <c r="A521" s="445"/>
      <c r="B521" s="444"/>
      <c r="C521" s="448"/>
      <c r="D521" s="448"/>
      <c r="E521" s="448"/>
      <c r="F521" s="448"/>
      <c r="G521" s="448"/>
      <c r="H521" s="448"/>
      <c r="I521" s="448"/>
      <c r="J521" s="435"/>
      <c r="K521" s="435"/>
      <c r="L521" s="448"/>
      <c r="M521" s="448"/>
      <c r="N521" s="435"/>
      <c r="O521" s="435"/>
      <c r="P521" s="450"/>
      <c r="Q521" s="435"/>
      <c r="R521" s="449"/>
      <c r="S521" s="435"/>
      <c r="T521" s="440"/>
      <c r="U521" s="440"/>
      <c r="V521" s="448"/>
      <c r="W521" s="448"/>
      <c r="X521" s="448"/>
      <c r="Y521" s="447"/>
      <c r="Z521" s="447"/>
      <c r="AA521" s="447"/>
      <c r="AB521" s="437"/>
      <c r="AC521" s="436"/>
      <c r="AD521" s="435"/>
      <c r="AE521" s="435"/>
      <c r="AF521" s="435"/>
    </row>
    <row r="522" spans="1:32" s="446" customFormat="1">
      <c r="A522" s="445"/>
      <c r="B522" s="444"/>
      <c r="C522" s="448"/>
      <c r="D522" s="448"/>
      <c r="E522" s="448"/>
      <c r="F522" s="448"/>
      <c r="G522" s="448"/>
      <c r="H522" s="448"/>
      <c r="I522" s="448"/>
      <c r="J522" s="435"/>
      <c r="K522" s="435"/>
      <c r="L522" s="448"/>
      <c r="M522" s="448"/>
      <c r="N522" s="435"/>
      <c r="O522" s="435"/>
      <c r="P522" s="450"/>
      <c r="Q522" s="435"/>
      <c r="R522" s="449"/>
      <c r="S522" s="435"/>
      <c r="T522" s="440"/>
      <c r="U522" s="440"/>
      <c r="V522" s="448"/>
      <c r="W522" s="448"/>
      <c r="X522" s="448"/>
      <c r="Y522" s="447"/>
      <c r="Z522" s="447"/>
      <c r="AA522" s="447"/>
      <c r="AB522" s="437"/>
      <c r="AC522" s="436"/>
      <c r="AD522" s="435"/>
      <c r="AE522" s="435"/>
      <c r="AF522" s="435"/>
    </row>
    <row r="523" spans="1:32" s="446" customFormat="1">
      <c r="A523" s="445"/>
      <c r="B523" s="444"/>
      <c r="C523" s="448"/>
      <c r="D523" s="448"/>
      <c r="E523" s="448"/>
      <c r="F523" s="448"/>
      <c r="G523" s="448"/>
      <c r="H523" s="448"/>
      <c r="I523" s="448"/>
      <c r="J523" s="435"/>
      <c r="K523" s="435"/>
      <c r="L523" s="448"/>
      <c r="M523" s="448"/>
      <c r="N523" s="435"/>
      <c r="O523" s="435"/>
      <c r="P523" s="450"/>
      <c r="Q523" s="435"/>
      <c r="R523" s="449"/>
      <c r="S523" s="435"/>
      <c r="T523" s="440"/>
      <c r="U523" s="440"/>
      <c r="V523" s="448"/>
      <c r="W523" s="448"/>
      <c r="X523" s="448"/>
      <c r="Y523" s="447"/>
      <c r="Z523" s="447"/>
      <c r="AA523" s="447"/>
      <c r="AB523" s="437"/>
      <c r="AC523" s="436"/>
      <c r="AD523" s="435"/>
      <c r="AE523" s="435"/>
      <c r="AF523" s="435"/>
    </row>
    <row r="524" spans="1:32" s="446" customFormat="1">
      <c r="A524" s="445"/>
      <c r="B524" s="444"/>
      <c r="C524" s="448"/>
      <c r="D524" s="448"/>
      <c r="E524" s="448"/>
      <c r="F524" s="448"/>
      <c r="G524" s="448"/>
      <c r="H524" s="448"/>
      <c r="I524" s="448"/>
      <c r="J524" s="435"/>
      <c r="K524" s="435"/>
      <c r="L524" s="448"/>
      <c r="M524" s="448"/>
      <c r="N524" s="435"/>
      <c r="O524" s="435"/>
      <c r="P524" s="450"/>
      <c r="Q524" s="435"/>
      <c r="R524" s="449"/>
      <c r="S524" s="435"/>
      <c r="T524" s="440"/>
      <c r="U524" s="440"/>
      <c r="V524" s="448"/>
      <c r="W524" s="448"/>
      <c r="X524" s="448"/>
      <c r="Y524" s="447"/>
      <c r="Z524" s="447"/>
      <c r="AA524" s="447"/>
      <c r="AB524" s="437"/>
      <c r="AC524" s="436"/>
      <c r="AD524" s="435"/>
      <c r="AE524" s="435"/>
      <c r="AF524" s="435"/>
    </row>
    <row r="525" spans="1:32" s="446" customFormat="1">
      <c r="A525" s="445"/>
      <c r="B525" s="444"/>
      <c r="C525" s="448"/>
      <c r="D525" s="448"/>
      <c r="E525" s="448"/>
      <c r="F525" s="448"/>
      <c r="G525" s="448"/>
      <c r="H525" s="448"/>
      <c r="I525" s="448"/>
      <c r="J525" s="435"/>
      <c r="K525" s="435"/>
      <c r="L525" s="448"/>
      <c r="M525" s="448"/>
      <c r="N525" s="435"/>
      <c r="O525" s="435"/>
      <c r="P525" s="450"/>
      <c r="Q525" s="435"/>
      <c r="R525" s="449"/>
      <c r="S525" s="435"/>
      <c r="T525" s="440"/>
      <c r="U525" s="440"/>
      <c r="V525" s="448"/>
      <c r="W525" s="448"/>
      <c r="X525" s="448"/>
      <c r="Y525" s="447"/>
      <c r="Z525" s="447"/>
      <c r="AA525" s="447"/>
      <c r="AB525" s="437"/>
      <c r="AC525" s="436"/>
      <c r="AD525" s="435"/>
      <c r="AE525" s="435"/>
      <c r="AF525" s="435"/>
    </row>
    <row r="526" spans="1:32" s="446" customFormat="1">
      <c r="A526" s="445"/>
      <c r="B526" s="444"/>
      <c r="C526" s="448"/>
      <c r="D526" s="448"/>
      <c r="E526" s="448"/>
      <c r="F526" s="448"/>
      <c r="G526" s="448"/>
      <c r="H526" s="448"/>
      <c r="I526" s="448"/>
      <c r="J526" s="435"/>
      <c r="K526" s="435"/>
      <c r="L526" s="448"/>
      <c r="M526" s="448"/>
      <c r="N526" s="435"/>
      <c r="O526" s="435"/>
      <c r="P526" s="450"/>
      <c r="Q526" s="435"/>
      <c r="R526" s="449"/>
      <c r="S526" s="435"/>
      <c r="T526" s="440"/>
      <c r="U526" s="440"/>
      <c r="V526" s="448"/>
      <c r="W526" s="448"/>
      <c r="X526" s="448"/>
      <c r="Y526" s="447"/>
      <c r="Z526" s="447"/>
      <c r="AA526" s="447"/>
      <c r="AB526" s="437"/>
      <c r="AC526" s="436"/>
      <c r="AD526" s="435"/>
      <c r="AE526" s="435"/>
      <c r="AF526" s="435"/>
    </row>
    <row r="527" spans="1:32" s="446" customFormat="1">
      <c r="A527" s="445"/>
      <c r="B527" s="444"/>
      <c r="C527" s="448"/>
      <c r="D527" s="448"/>
      <c r="E527" s="448"/>
      <c r="F527" s="448"/>
      <c r="G527" s="448"/>
      <c r="H527" s="448"/>
      <c r="I527" s="448"/>
      <c r="J527" s="435"/>
      <c r="K527" s="435"/>
      <c r="L527" s="448"/>
      <c r="M527" s="448"/>
      <c r="N527" s="435"/>
      <c r="O527" s="435"/>
      <c r="P527" s="450"/>
      <c r="Q527" s="435"/>
      <c r="R527" s="449"/>
      <c r="S527" s="435"/>
      <c r="T527" s="440"/>
      <c r="U527" s="440"/>
      <c r="V527" s="448"/>
      <c r="W527" s="448"/>
      <c r="X527" s="448"/>
      <c r="Y527" s="447"/>
      <c r="Z527" s="447"/>
      <c r="AA527" s="447"/>
      <c r="AB527" s="437"/>
      <c r="AC527" s="436"/>
      <c r="AD527" s="435"/>
      <c r="AE527" s="435"/>
      <c r="AF527" s="435"/>
    </row>
    <row r="528" spans="1:32" s="446" customFormat="1">
      <c r="A528" s="445"/>
      <c r="B528" s="444"/>
      <c r="C528" s="448"/>
      <c r="D528" s="448"/>
      <c r="E528" s="448"/>
      <c r="F528" s="448"/>
      <c r="G528" s="448"/>
      <c r="H528" s="448"/>
      <c r="I528" s="448"/>
      <c r="J528" s="435"/>
      <c r="K528" s="435"/>
      <c r="L528" s="448"/>
      <c r="M528" s="448"/>
      <c r="N528" s="435"/>
      <c r="O528" s="435"/>
      <c r="P528" s="450"/>
      <c r="Q528" s="435"/>
      <c r="R528" s="449"/>
      <c r="S528" s="435"/>
      <c r="T528" s="440"/>
      <c r="U528" s="440"/>
      <c r="V528" s="448"/>
      <c r="W528" s="448"/>
      <c r="X528" s="448"/>
      <c r="Y528" s="447"/>
      <c r="Z528" s="447"/>
      <c r="AA528" s="447"/>
      <c r="AB528" s="437"/>
      <c r="AC528" s="436"/>
      <c r="AD528" s="435"/>
      <c r="AE528" s="435"/>
      <c r="AF528" s="435"/>
    </row>
    <row r="529" spans="1:32" s="446" customFormat="1">
      <c r="A529" s="445"/>
      <c r="B529" s="444"/>
      <c r="C529" s="448"/>
      <c r="D529" s="448"/>
      <c r="E529" s="448"/>
      <c r="F529" s="448"/>
      <c r="G529" s="448"/>
      <c r="H529" s="448"/>
      <c r="I529" s="448"/>
      <c r="J529" s="435"/>
      <c r="K529" s="435"/>
      <c r="L529" s="448"/>
      <c r="M529" s="448"/>
      <c r="N529" s="435"/>
      <c r="O529" s="435"/>
      <c r="P529" s="450"/>
      <c r="Q529" s="435"/>
      <c r="R529" s="449"/>
      <c r="S529" s="435"/>
      <c r="T529" s="440"/>
      <c r="U529" s="440"/>
      <c r="V529" s="448"/>
      <c r="W529" s="448"/>
      <c r="X529" s="448"/>
      <c r="Y529" s="447"/>
      <c r="Z529" s="447"/>
      <c r="AA529" s="447"/>
      <c r="AB529" s="437"/>
      <c r="AC529" s="436"/>
      <c r="AD529" s="435"/>
      <c r="AE529" s="435"/>
      <c r="AF529" s="435"/>
    </row>
    <row r="530" spans="1:32" s="446" customFormat="1">
      <c r="A530" s="445"/>
      <c r="B530" s="444"/>
      <c r="C530" s="448"/>
      <c r="D530" s="448"/>
      <c r="E530" s="448"/>
      <c r="F530" s="448"/>
      <c r="G530" s="448"/>
      <c r="H530" s="448"/>
      <c r="I530" s="448"/>
      <c r="J530" s="435"/>
      <c r="K530" s="435"/>
      <c r="L530" s="448"/>
      <c r="M530" s="448"/>
      <c r="N530" s="435"/>
      <c r="O530" s="435"/>
      <c r="P530" s="450"/>
      <c r="Q530" s="435"/>
      <c r="R530" s="449"/>
      <c r="S530" s="435"/>
      <c r="T530" s="440"/>
      <c r="U530" s="440"/>
      <c r="V530" s="448"/>
      <c r="W530" s="448"/>
      <c r="X530" s="448"/>
      <c r="Y530" s="447"/>
      <c r="Z530" s="447"/>
      <c r="AA530" s="447"/>
      <c r="AB530" s="437"/>
      <c r="AC530" s="436"/>
      <c r="AD530" s="435"/>
      <c r="AE530" s="435"/>
      <c r="AF530" s="435"/>
    </row>
    <row r="531" spans="1:32" s="446" customFormat="1">
      <c r="A531" s="445"/>
      <c r="B531" s="444"/>
      <c r="C531" s="448"/>
      <c r="D531" s="448"/>
      <c r="E531" s="448"/>
      <c r="F531" s="448"/>
      <c r="G531" s="448"/>
      <c r="H531" s="448"/>
      <c r="I531" s="448"/>
      <c r="J531" s="435"/>
      <c r="K531" s="435"/>
      <c r="L531" s="448"/>
      <c r="M531" s="448"/>
      <c r="N531" s="435"/>
      <c r="O531" s="435"/>
      <c r="P531" s="450"/>
      <c r="Q531" s="435"/>
      <c r="R531" s="449"/>
      <c r="S531" s="435"/>
      <c r="T531" s="440"/>
      <c r="U531" s="440"/>
      <c r="V531" s="448"/>
      <c r="W531" s="448"/>
      <c r="X531" s="448"/>
      <c r="Y531" s="447"/>
      <c r="Z531" s="447"/>
      <c r="AA531" s="447"/>
      <c r="AB531" s="437"/>
      <c r="AC531" s="436"/>
      <c r="AD531" s="435"/>
      <c r="AE531" s="435"/>
      <c r="AF531" s="435"/>
    </row>
    <row r="532" spans="1:32" s="446" customFormat="1">
      <c r="A532" s="445"/>
      <c r="B532" s="444"/>
      <c r="C532" s="448"/>
      <c r="D532" s="448"/>
      <c r="E532" s="448"/>
      <c r="F532" s="448"/>
      <c r="G532" s="448"/>
      <c r="H532" s="448"/>
      <c r="I532" s="448"/>
      <c r="J532" s="435"/>
      <c r="K532" s="435"/>
      <c r="L532" s="448"/>
      <c r="M532" s="448"/>
      <c r="N532" s="435"/>
      <c r="O532" s="435"/>
      <c r="P532" s="450"/>
      <c r="Q532" s="435"/>
      <c r="R532" s="449"/>
      <c r="S532" s="435"/>
      <c r="T532" s="440"/>
      <c r="U532" s="440"/>
      <c r="V532" s="448"/>
      <c r="W532" s="448"/>
      <c r="X532" s="448"/>
      <c r="Y532" s="447"/>
      <c r="Z532" s="447"/>
      <c r="AA532" s="447"/>
      <c r="AB532" s="437"/>
      <c r="AC532" s="436"/>
      <c r="AD532" s="435"/>
      <c r="AE532" s="435"/>
      <c r="AF532" s="435"/>
    </row>
    <row r="533" spans="1:32" s="446" customFormat="1">
      <c r="A533" s="445"/>
      <c r="B533" s="444"/>
      <c r="C533" s="448"/>
      <c r="D533" s="448"/>
      <c r="E533" s="448"/>
      <c r="F533" s="448"/>
      <c r="G533" s="448"/>
      <c r="H533" s="448"/>
      <c r="I533" s="448"/>
      <c r="J533" s="435"/>
      <c r="K533" s="435"/>
      <c r="L533" s="448"/>
      <c r="M533" s="448"/>
      <c r="N533" s="435"/>
      <c r="O533" s="435"/>
      <c r="P533" s="450"/>
      <c r="Q533" s="435"/>
      <c r="R533" s="449"/>
      <c r="S533" s="435"/>
      <c r="T533" s="440"/>
      <c r="U533" s="440"/>
      <c r="V533" s="448"/>
      <c r="W533" s="448"/>
      <c r="X533" s="448"/>
      <c r="Y533" s="447"/>
      <c r="Z533" s="447"/>
      <c r="AA533" s="447"/>
      <c r="AB533" s="437"/>
      <c r="AC533" s="436"/>
      <c r="AD533" s="435"/>
      <c r="AE533" s="435"/>
      <c r="AF533" s="435"/>
    </row>
    <row r="534" spans="1:32" s="446" customFormat="1">
      <c r="A534" s="445"/>
      <c r="B534" s="444"/>
      <c r="C534" s="448"/>
      <c r="D534" s="448"/>
      <c r="E534" s="448"/>
      <c r="F534" s="448"/>
      <c r="G534" s="448"/>
      <c r="H534" s="448"/>
      <c r="I534" s="448"/>
      <c r="J534" s="435"/>
      <c r="K534" s="435"/>
      <c r="L534" s="448"/>
      <c r="M534" s="448"/>
      <c r="N534" s="435"/>
      <c r="O534" s="435"/>
      <c r="P534" s="450"/>
      <c r="Q534" s="435"/>
      <c r="R534" s="449"/>
      <c r="S534" s="435"/>
      <c r="T534" s="440"/>
      <c r="U534" s="440"/>
      <c r="V534" s="448"/>
      <c r="W534" s="448"/>
      <c r="X534" s="448"/>
      <c r="Y534" s="447"/>
      <c r="Z534" s="447"/>
      <c r="AA534" s="447"/>
      <c r="AB534" s="437"/>
      <c r="AC534" s="436"/>
      <c r="AD534" s="435"/>
      <c r="AE534" s="435"/>
      <c r="AF534" s="435"/>
    </row>
    <row r="535" spans="1:32" s="446" customFormat="1">
      <c r="A535" s="445"/>
      <c r="B535" s="444"/>
      <c r="C535" s="448"/>
      <c r="D535" s="448"/>
      <c r="E535" s="448"/>
      <c r="F535" s="448"/>
      <c r="G535" s="448"/>
      <c r="H535" s="448"/>
      <c r="I535" s="448"/>
      <c r="J535" s="435"/>
      <c r="K535" s="435"/>
      <c r="L535" s="448"/>
      <c r="M535" s="448"/>
      <c r="N535" s="435"/>
      <c r="O535" s="435"/>
      <c r="P535" s="450"/>
      <c r="Q535" s="435"/>
      <c r="R535" s="449"/>
      <c r="S535" s="435"/>
      <c r="T535" s="440"/>
      <c r="U535" s="440"/>
      <c r="V535" s="448"/>
      <c r="W535" s="448"/>
      <c r="X535" s="448"/>
      <c r="Y535" s="447"/>
      <c r="Z535" s="447"/>
      <c r="AA535" s="447"/>
      <c r="AB535" s="437"/>
      <c r="AC535" s="436"/>
      <c r="AD535" s="435"/>
      <c r="AE535" s="435"/>
      <c r="AF535" s="435"/>
    </row>
    <row r="536" spans="1:32" s="446" customFormat="1">
      <c r="A536" s="445"/>
      <c r="B536" s="444"/>
      <c r="C536" s="448"/>
      <c r="D536" s="448"/>
      <c r="E536" s="448"/>
      <c r="F536" s="448"/>
      <c r="G536" s="448"/>
      <c r="H536" s="448"/>
      <c r="I536" s="448"/>
      <c r="J536" s="435"/>
      <c r="K536" s="435"/>
      <c r="L536" s="448"/>
      <c r="M536" s="448"/>
      <c r="N536" s="435"/>
      <c r="O536" s="435"/>
      <c r="P536" s="450"/>
      <c r="Q536" s="435"/>
      <c r="R536" s="449"/>
      <c r="S536" s="435"/>
      <c r="T536" s="440"/>
      <c r="U536" s="440"/>
      <c r="V536" s="448"/>
      <c r="W536" s="448"/>
      <c r="X536" s="448"/>
      <c r="Y536" s="447"/>
      <c r="Z536" s="447"/>
      <c r="AA536" s="447"/>
      <c r="AB536" s="437"/>
      <c r="AC536" s="436"/>
      <c r="AD536" s="435"/>
      <c r="AE536" s="435"/>
      <c r="AF536" s="435"/>
    </row>
    <row r="537" spans="1:32" s="446" customFormat="1">
      <c r="A537" s="445"/>
      <c r="B537" s="444"/>
      <c r="C537" s="448"/>
      <c r="D537" s="448"/>
      <c r="E537" s="448"/>
      <c r="F537" s="448"/>
      <c r="G537" s="448"/>
      <c r="H537" s="448"/>
      <c r="I537" s="448"/>
      <c r="J537" s="435"/>
      <c r="K537" s="435"/>
      <c r="L537" s="448"/>
      <c r="M537" s="448"/>
      <c r="N537" s="435"/>
      <c r="O537" s="435"/>
      <c r="P537" s="450"/>
      <c r="Q537" s="435"/>
      <c r="R537" s="449"/>
      <c r="S537" s="435"/>
      <c r="T537" s="440"/>
      <c r="U537" s="440"/>
      <c r="V537" s="448"/>
      <c r="W537" s="448"/>
      <c r="X537" s="448"/>
      <c r="Y537" s="447"/>
      <c r="Z537" s="447"/>
      <c r="AA537" s="447"/>
      <c r="AB537" s="437"/>
      <c r="AC537" s="436"/>
      <c r="AD537" s="435"/>
      <c r="AE537" s="435"/>
      <c r="AF537" s="435"/>
    </row>
    <row r="538" spans="1:32" s="446" customFormat="1">
      <c r="A538" s="445"/>
      <c r="B538" s="444"/>
      <c r="C538" s="448"/>
      <c r="D538" s="448"/>
      <c r="E538" s="448"/>
      <c r="F538" s="448"/>
      <c r="G538" s="448"/>
      <c r="H538" s="448"/>
      <c r="I538" s="448"/>
      <c r="J538" s="435"/>
      <c r="K538" s="435"/>
      <c r="L538" s="448"/>
      <c r="M538" s="448"/>
      <c r="N538" s="435"/>
      <c r="O538" s="435"/>
      <c r="P538" s="450"/>
      <c r="Q538" s="435"/>
      <c r="R538" s="449"/>
      <c r="S538" s="435"/>
      <c r="T538" s="440"/>
      <c r="U538" s="440"/>
      <c r="V538" s="448"/>
      <c r="W538" s="448"/>
      <c r="X538" s="448"/>
      <c r="Y538" s="447"/>
      <c r="Z538" s="447"/>
      <c r="AA538" s="447"/>
      <c r="AB538" s="437"/>
      <c r="AC538" s="436"/>
      <c r="AD538" s="435"/>
      <c r="AE538" s="435"/>
      <c r="AF538" s="435"/>
    </row>
    <row r="539" spans="1:32" s="446" customFormat="1">
      <c r="A539" s="445"/>
      <c r="B539" s="444"/>
      <c r="C539" s="448"/>
      <c r="D539" s="448"/>
      <c r="E539" s="448"/>
      <c r="F539" s="448"/>
      <c r="G539" s="448"/>
      <c r="H539" s="448"/>
      <c r="I539" s="448"/>
      <c r="J539" s="435"/>
      <c r="K539" s="435"/>
      <c r="L539" s="448"/>
      <c r="M539" s="448"/>
      <c r="N539" s="435"/>
      <c r="O539" s="435"/>
      <c r="P539" s="450"/>
      <c r="Q539" s="435"/>
      <c r="R539" s="449"/>
      <c r="S539" s="435"/>
      <c r="T539" s="440"/>
      <c r="U539" s="440"/>
      <c r="V539" s="448"/>
      <c r="W539" s="448"/>
      <c r="X539" s="448"/>
      <c r="Y539" s="447"/>
      <c r="Z539" s="447"/>
      <c r="AA539" s="447"/>
      <c r="AB539" s="437"/>
      <c r="AC539" s="436"/>
      <c r="AD539" s="435"/>
      <c r="AE539" s="435"/>
      <c r="AF539" s="435"/>
    </row>
    <row r="540" spans="1:32" s="446" customFormat="1">
      <c r="A540" s="445"/>
      <c r="B540" s="444"/>
      <c r="C540" s="448"/>
      <c r="D540" s="448"/>
      <c r="E540" s="448"/>
      <c r="F540" s="448"/>
      <c r="G540" s="448"/>
      <c r="H540" s="448"/>
      <c r="I540" s="448"/>
      <c r="J540" s="435"/>
      <c r="K540" s="435"/>
      <c r="L540" s="448"/>
      <c r="M540" s="448"/>
      <c r="N540" s="435"/>
      <c r="O540" s="435"/>
      <c r="P540" s="450"/>
      <c r="Q540" s="435"/>
      <c r="R540" s="449"/>
      <c r="S540" s="435"/>
      <c r="T540" s="440"/>
      <c r="U540" s="440"/>
      <c r="V540" s="448"/>
      <c r="W540" s="448"/>
      <c r="X540" s="448"/>
      <c r="Y540" s="447"/>
      <c r="Z540" s="447"/>
      <c r="AA540" s="447"/>
      <c r="AB540" s="437"/>
      <c r="AC540" s="436"/>
      <c r="AD540" s="435"/>
      <c r="AE540" s="435"/>
      <c r="AF540" s="435"/>
    </row>
    <row r="541" spans="1:32" s="446" customFormat="1">
      <c r="A541" s="445"/>
      <c r="B541" s="444"/>
      <c r="C541" s="448"/>
      <c r="D541" s="448"/>
      <c r="E541" s="448"/>
      <c r="F541" s="448"/>
      <c r="G541" s="448"/>
      <c r="H541" s="448"/>
      <c r="I541" s="448"/>
      <c r="J541" s="435"/>
      <c r="K541" s="435"/>
      <c r="L541" s="448"/>
      <c r="M541" s="448"/>
      <c r="N541" s="435"/>
      <c r="O541" s="435"/>
      <c r="P541" s="450"/>
      <c r="Q541" s="435"/>
      <c r="R541" s="449"/>
      <c r="S541" s="435"/>
      <c r="T541" s="440"/>
      <c r="U541" s="440"/>
      <c r="V541" s="448"/>
      <c r="W541" s="448"/>
      <c r="X541" s="448"/>
      <c r="Y541" s="447"/>
      <c r="Z541" s="447"/>
      <c r="AA541" s="447"/>
      <c r="AB541" s="437"/>
      <c r="AC541" s="436"/>
      <c r="AD541" s="435"/>
      <c r="AE541" s="435"/>
      <c r="AF541" s="435"/>
    </row>
    <row r="542" spans="1:32" s="446" customFormat="1">
      <c r="A542" s="445"/>
      <c r="B542" s="444"/>
      <c r="C542" s="448"/>
      <c r="D542" s="448"/>
      <c r="E542" s="448"/>
      <c r="F542" s="448"/>
      <c r="G542" s="448"/>
      <c r="H542" s="448"/>
      <c r="I542" s="448"/>
      <c r="J542" s="435"/>
      <c r="K542" s="435"/>
      <c r="L542" s="448"/>
      <c r="M542" s="448"/>
      <c r="N542" s="435"/>
      <c r="O542" s="435"/>
      <c r="P542" s="450"/>
      <c r="Q542" s="435"/>
      <c r="R542" s="449"/>
      <c r="S542" s="435"/>
      <c r="T542" s="440"/>
      <c r="U542" s="440"/>
      <c r="V542" s="448"/>
      <c r="W542" s="448"/>
      <c r="X542" s="448"/>
      <c r="Y542" s="447"/>
      <c r="Z542" s="447"/>
      <c r="AA542" s="447"/>
      <c r="AB542" s="437"/>
      <c r="AC542" s="436"/>
      <c r="AD542" s="435"/>
      <c r="AE542" s="435"/>
      <c r="AF542" s="435"/>
    </row>
    <row r="543" spans="1:32" s="446" customFormat="1">
      <c r="A543" s="445"/>
      <c r="B543" s="444"/>
      <c r="C543" s="448"/>
      <c r="D543" s="448"/>
      <c r="E543" s="448"/>
      <c r="F543" s="448"/>
      <c r="G543" s="448"/>
      <c r="H543" s="448"/>
      <c r="I543" s="448"/>
      <c r="J543" s="435"/>
      <c r="K543" s="435"/>
      <c r="L543" s="448"/>
      <c r="M543" s="448"/>
      <c r="N543" s="435"/>
      <c r="O543" s="435"/>
      <c r="P543" s="450"/>
      <c r="Q543" s="435"/>
      <c r="R543" s="449"/>
      <c r="S543" s="435"/>
      <c r="T543" s="440"/>
      <c r="U543" s="440"/>
      <c r="V543" s="448"/>
      <c r="W543" s="448"/>
      <c r="X543" s="448"/>
      <c r="Y543" s="447"/>
      <c r="Z543" s="447"/>
      <c r="AA543" s="447"/>
      <c r="AB543" s="437"/>
      <c r="AC543" s="436"/>
      <c r="AD543" s="435"/>
      <c r="AE543" s="435"/>
      <c r="AF543" s="435"/>
    </row>
    <row r="544" spans="1:32" s="446" customFormat="1">
      <c r="A544" s="445"/>
      <c r="B544" s="444"/>
      <c r="C544" s="448"/>
      <c r="D544" s="448"/>
      <c r="E544" s="448"/>
      <c r="F544" s="448"/>
      <c r="G544" s="448"/>
      <c r="H544" s="448"/>
      <c r="I544" s="448"/>
      <c r="J544" s="435"/>
      <c r="K544" s="435"/>
      <c r="L544" s="448"/>
      <c r="M544" s="448"/>
      <c r="N544" s="435"/>
      <c r="O544" s="435"/>
      <c r="P544" s="450"/>
      <c r="Q544" s="435"/>
      <c r="R544" s="449"/>
      <c r="S544" s="435"/>
      <c r="T544" s="440"/>
      <c r="U544" s="440"/>
      <c r="V544" s="448"/>
      <c r="W544" s="448"/>
      <c r="X544" s="448"/>
      <c r="Y544" s="447"/>
      <c r="Z544" s="447"/>
      <c r="AA544" s="447"/>
      <c r="AB544" s="437"/>
      <c r="AC544" s="436"/>
      <c r="AD544" s="435"/>
      <c r="AE544" s="435"/>
      <c r="AF544" s="435"/>
    </row>
    <row r="545" spans="1:32" s="446" customFormat="1">
      <c r="A545" s="445"/>
      <c r="B545" s="444"/>
      <c r="C545" s="448"/>
      <c r="D545" s="448"/>
      <c r="E545" s="448"/>
      <c r="F545" s="448"/>
      <c r="G545" s="448"/>
      <c r="H545" s="448"/>
      <c r="I545" s="448"/>
      <c r="J545" s="435"/>
      <c r="K545" s="435"/>
      <c r="L545" s="448"/>
      <c r="M545" s="448"/>
      <c r="N545" s="435"/>
      <c r="O545" s="435"/>
      <c r="P545" s="450"/>
      <c r="Q545" s="435"/>
      <c r="R545" s="449"/>
      <c r="S545" s="435"/>
      <c r="T545" s="440"/>
      <c r="U545" s="440"/>
      <c r="V545" s="448"/>
      <c r="W545" s="448"/>
      <c r="X545" s="448"/>
      <c r="Y545" s="447"/>
      <c r="Z545" s="447"/>
      <c r="AA545" s="447"/>
      <c r="AB545" s="437"/>
      <c r="AC545" s="436"/>
      <c r="AD545" s="435"/>
      <c r="AE545" s="435"/>
      <c r="AF545" s="435"/>
    </row>
    <row r="546" spans="1:32" s="446" customFormat="1">
      <c r="A546" s="445"/>
      <c r="B546" s="444"/>
      <c r="C546" s="448"/>
      <c r="D546" s="448"/>
      <c r="E546" s="448"/>
      <c r="F546" s="448"/>
      <c r="G546" s="448"/>
      <c r="H546" s="448"/>
      <c r="I546" s="448"/>
      <c r="J546" s="435"/>
      <c r="K546" s="435"/>
      <c r="L546" s="448"/>
      <c r="M546" s="448"/>
      <c r="N546" s="435"/>
      <c r="O546" s="435"/>
      <c r="P546" s="450"/>
      <c r="Q546" s="435"/>
      <c r="R546" s="449"/>
      <c r="S546" s="435"/>
      <c r="T546" s="440"/>
      <c r="U546" s="440"/>
      <c r="V546" s="448"/>
      <c r="W546" s="448"/>
      <c r="X546" s="448"/>
      <c r="Y546" s="447"/>
      <c r="Z546" s="447"/>
      <c r="AA546" s="447"/>
      <c r="AB546" s="437"/>
      <c r="AC546" s="436"/>
      <c r="AD546" s="435"/>
      <c r="AE546" s="435"/>
      <c r="AF546" s="435"/>
    </row>
    <row r="547" spans="1:32" s="446" customFormat="1">
      <c r="A547" s="445"/>
      <c r="B547" s="444"/>
      <c r="C547" s="448"/>
      <c r="D547" s="448"/>
      <c r="E547" s="448"/>
      <c r="F547" s="448"/>
      <c r="G547" s="448"/>
      <c r="H547" s="448"/>
      <c r="I547" s="448"/>
      <c r="J547" s="435"/>
      <c r="K547" s="435"/>
      <c r="L547" s="448"/>
      <c r="M547" s="448"/>
      <c r="N547" s="435"/>
      <c r="O547" s="435"/>
      <c r="P547" s="450"/>
      <c r="Q547" s="435"/>
      <c r="R547" s="449"/>
      <c r="S547" s="435"/>
      <c r="T547" s="440"/>
      <c r="U547" s="440"/>
      <c r="V547" s="448"/>
      <c r="W547" s="448"/>
      <c r="X547" s="448"/>
      <c r="Y547" s="447"/>
      <c r="Z547" s="447"/>
      <c r="AA547" s="447"/>
      <c r="AB547" s="437"/>
      <c r="AC547" s="436"/>
      <c r="AD547" s="435"/>
      <c r="AE547" s="435"/>
      <c r="AF547" s="435"/>
    </row>
    <row r="548" spans="1:32" s="446" customFormat="1">
      <c r="A548" s="445"/>
      <c r="B548" s="444"/>
      <c r="C548" s="448"/>
      <c r="D548" s="448"/>
      <c r="E548" s="448"/>
      <c r="F548" s="448"/>
      <c r="G548" s="448"/>
      <c r="H548" s="448"/>
      <c r="I548" s="448"/>
      <c r="J548" s="435"/>
      <c r="K548" s="435"/>
      <c r="L548" s="448"/>
      <c r="M548" s="448"/>
      <c r="N548" s="435"/>
      <c r="O548" s="435"/>
      <c r="P548" s="450"/>
      <c r="Q548" s="435"/>
      <c r="R548" s="449"/>
      <c r="S548" s="435"/>
      <c r="T548" s="440"/>
      <c r="U548" s="440"/>
      <c r="V548" s="448"/>
      <c r="W548" s="448"/>
      <c r="X548" s="448"/>
      <c r="Y548" s="447"/>
      <c r="Z548" s="447"/>
      <c r="AA548" s="447"/>
      <c r="AB548" s="437"/>
      <c r="AC548" s="436"/>
      <c r="AD548" s="435"/>
      <c r="AE548" s="435"/>
      <c r="AF548" s="435"/>
    </row>
    <row r="549" spans="1:32" s="446" customFormat="1">
      <c r="A549" s="445"/>
      <c r="B549" s="444"/>
      <c r="C549" s="448"/>
      <c r="D549" s="448"/>
      <c r="E549" s="448"/>
      <c r="F549" s="448"/>
      <c r="G549" s="448"/>
      <c r="H549" s="448"/>
      <c r="I549" s="448"/>
      <c r="J549" s="435"/>
      <c r="K549" s="435"/>
      <c r="L549" s="448"/>
      <c r="M549" s="448"/>
      <c r="N549" s="435"/>
      <c r="O549" s="435"/>
      <c r="P549" s="450"/>
      <c r="Q549" s="435"/>
      <c r="R549" s="449"/>
      <c r="S549" s="435"/>
      <c r="T549" s="440"/>
      <c r="U549" s="440"/>
      <c r="V549" s="448"/>
      <c r="W549" s="448"/>
      <c r="X549" s="448"/>
      <c r="Y549" s="447"/>
      <c r="Z549" s="447"/>
      <c r="AA549" s="447"/>
      <c r="AB549" s="437"/>
      <c r="AC549" s="436"/>
      <c r="AD549" s="435"/>
      <c r="AE549" s="435"/>
      <c r="AF549" s="435"/>
    </row>
    <row r="550" spans="1:32" s="446" customFormat="1">
      <c r="A550" s="445"/>
      <c r="B550" s="444"/>
      <c r="C550" s="448"/>
      <c r="D550" s="448"/>
      <c r="E550" s="448"/>
      <c r="F550" s="448"/>
      <c r="G550" s="448"/>
      <c r="H550" s="448"/>
      <c r="I550" s="448"/>
      <c r="J550" s="435"/>
      <c r="K550" s="435"/>
      <c r="L550" s="448"/>
      <c r="M550" s="448"/>
      <c r="N550" s="435"/>
      <c r="O550" s="435"/>
      <c r="P550" s="450"/>
      <c r="Q550" s="435"/>
      <c r="R550" s="449"/>
      <c r="S550" s="435"/>
      <c r="T550" s="440"/>
      <c r="U550" s="440"/>
      <c r="V550" s="448"/>
      <c r="W550" s="448"/>
      <c r="X550" s="448"/>
      <c r="Y550" s="447"/>
      <c r="Z550" s="447"/>
      <c r="AA550" s="447"/>
      <c r="AB550" s="437"/>
      <c r="AC550" s="436"/>
      <c r="AD550" s="435"/>
      <c r="AE550" s="435"/>
      <c r="AF550" s="435"/>
    </row>
    <row r="551" spans="1:32" s="446" customFormat="1">
      <c r="A551" s="445"/>
      <c r="B551" s="444"/>
      <c r="C551" s="448"/>
      <c r="D551" s="448"/>
      <c r="E551" s="448"/>
      <c r="F551" s="448"/>
      <c r="G551" s="448"/>
      <c r="H551" s="448"/>
      <c r="I551" s="448"/>
      <c r="J551" s="435"/>
      <c r="K551" s="435"/>
      <c r="L551" s="448"/>
      <c r="M551" s="448"/>
      <c r="N551" s="435"/>
      <c r="O551" s="435"/>
      <c r="P551" s="450"/>
      <c r="Q551" s="435"/>
      <c r="R551" s="449"/>
      <c r="S551" s="435"/>
      <c r="T551" s="440"/>
      <c r="U551" s="440"/>
      <c r="V551" s="448"/>
      <c r="W551" s="448"/>
      <c r="X551" s="448"/>
      <c r="Y551" s="447"/>
      <c r="Z551" s="447"/>
      <c r="AA551" s="447"/>
      <c r="AB551" s="437"/>
      <c r="AC551" s="436"/>
      <c r="AD551" s="435"/>
      <c r="AE551" s="435"/>
      <c r="AF551" s="435"/>
    </row>
    <row r="552" spans="1:32" s="446" customFormat="1">
      <c r="A552" s="445"/>
      <c r="B552" s="444"/>
      <c r="C552" s="448"/>
      <c r="D552" s="448"/>
      <c r="E552" s="448"/>
      <c r="F552" s="448"/>
      <c r="G552" s="448"/>
      <c r="H552" s="448"/>
      <c r="I552" s="448"/>
      <c r="J552" s="435"/>
      <c r="K552" s="435"/>
      <c r="L552" s="448"/>
      <c r="M552" s="448"/>
      <c r="N552" s="435"/>
      <c r="O552" s="435"/>
      <c r="P552" s="450"/>
      <c r="Q552" s="435"/>
      <c r="R552" s="449"/>
      <c r="S552" s="435"/>
      <c r="T552" s="440"/>
      <c r="U552" s="440"/>
      <c r="V552" s="448"/>
      <c r="W552" s="448"/>
      <c r="X552" s="448"/>
      <c r="Y552" s="447"/>
      <c r="Z552" s="447"/>
      <c r="AA552" s="447"/>
      <c r="AB552" s="437"/>
      <c r="AC552" s="436"/>
      <c r="AD552" s="435"/>
      <c r="AE552" s="435"/>
      <c r="AF552" s="435"/>
    </row>
    <row r="553" spans="1:32" s="446" customFormat="1">
      <c r="A553" s="445"/>
      <c r="B553" s="444"/>
      <c r="C553" s="448"/>
      <c r="D553" s="448"/>
      <c r="E553" s="448"/>
      <c r="F553" s="448"/>
      <c r="G553" s="448"/>
      <c r="H553" s="448"/>
      <c r="I553" s="448"/>
      <c r="J553" s="435"/>
      <c r="K553" s="435"/>
      <c r="L553" s="448"/>
      <c r="M553" s="448"/>
      <c r="N553" s="435"/>
      <c r="O553" s="435"/>
      <c r="P553" s="450"/>
      <c r="Q553" s="435"/>
      <c r="R553" s="449"/>
      <c r="S553" s="435"/>
      <c r="T553" s="440"/>
      <c r="U553" s="440"/>
      <c r="V553" s="448"/>
      <c r="W553" s="448"/>
      <c r="X553" s="448"/>
      <c r="Y553" s="447"/>
      <c r="Z553" s="447"/>
      <c r="AA553" s="447"/>
      <c r="AB553" s="437"/>
      <c r="AC553" s="436"/>
      <c r="AD553" s="435"/>
      <c r="AE553" s="435"/>
      <c r="AF553" s="435"/>
    </row>
    <row r="554" spans="1:32" s="446" customFormat="1">
      <c r="A554" s="445"/>
      <c r="B554" s="444"/>
      <c r="C554" s="448"/>
      <c r="D554" s="448"/>
      <c r="E554" s="448"/>
      <c r="F554" s="448"/>
      <c r="G554" s="448"/>
      <c r="H554" s="448"/>
      <c r="I554" s="448"/>
      <c r="J554" s="435"/>
      <c r="K554" s="435"/>
      <c r="L554" s="448"/>
      <c r="M554" s="448"/>
      <c r="N554" s="435"/>
      <c r="O554" s="435"/>
      <c r="P554" s="450"/>
      <c r="Q554" s="435"/>
      <c r="R554" s="449"/>
      <c r="S554" s="435"/>
      <c r="T554" s="440"/>
      <c r="U554" s="440"/>
      <c r="V554" s="448"/>
      <c r="W554" s="448"/>
      <c r="X554" s="448"/>
      <c r="Y554" s="447"/>
      <c r="Z554" s="447"/>
      <c r="AA554" s="447"/>
      <c r="AB554" s="437"/>
      <c r="AC554" s="436"/>
      <c r="AD554" s="435"/>
      <c r="AE554" s="435"/>
      <c r="AF554" s="435"/>
    </row>
    <row r="555" spans="1:32" s="446" customFormat="1">
      <c r="A555" s="445"/>
      <c r="B555" s="444"/>
      <c r="C555" s="448"/>
      <c r="D555" s="448"/>
      <c r="E555" s="448"/>
      <c r="F555" s="448"/>
      <c r="G555" s="448"/>
      <c r="H555" s="448"/>
      <c r="I555" s="448"/>
      <c r="J555" s="435"/>
      <c r="K555" s="435"/>
      <c r="L555" s="448"/>
      <c r="M555" s="448"/>
      <c r="N555" s="435"/>
      <c r="O555" s="435"/>
      <c r="P555" s="450"/>
      <c r="Q555" s="435"/>
      <c r="R555" s="449"/>
      <c r="S555" s="435"/>
      <c r="T555" s="440"/>
      <c r="U555" s="440"/>
      <c r="V555" s="448"/>
      <c r="W555" s="448"/>
      <c r="X555" s="448"/>
      <c r="Y555" s="447"/>
      <c r="Z555" s="447"/>
      <c r="AA555" s="447"/>
      <c r="AB555" s="437"/>
      <c r="AC555" s="436"/>
      <c r="AD555" s="435"/>
      <c r="AE555" s="435"/>
      <c r="AF555" s="435"/>
    </row>
    <row r="556" spans="1:32" s="446" customFormat="1">
      <c r="A556" s="445"/>
      <c r="B556" s="444"/>
      <c r="C556" s="448"/>
      <c r="D556" s="448"/>
      <c r="E556" s="448"/>
      <c r="F556" s="448"/>
      <c r="G556" s="448"/>
      <c r="H556" s="448"/>
      <c r="I556" s="448"/>
      <c r="J556" s="435"/>
      <c r="K556" s="435"/>
      <c r="L556" s="448"/>
      <c r="M556" s="448"/>
      <c r="N556" s="435"/>
      <c r="O556" s="435"/>
      <c r="P556" s="450"/>
      <c r="Q556" s="435"/>
      <c r="R556" s="449"/>
      <c r="S556" s="435"/>
      <c r="T556" s="440"/>
      <c r="U556" s="440"/>
      <c r="V556" s="448"/>
      <c r="W556" s="448"/>
      <c r="X556" s="448"/>
      <c r="Y556" s="447"/>
      <c r="Z556" s="447"/>
      <c r="AA556" s="447"/>
      <c r="AB556" s="437"/>
      <c r="AC556" s="436"/>
      <c r="AD556" s="435"/>
      <c r="AE556" s="435"/>
      <c r="AF556" s="435"/>
    </row>
    <row r="557" spans="1:32" s="446" customFormat="1">
      <c r="A557" s="445"/>
      <c r="B557" s="444"/>
      <c r="C557" s="448"/>
      <c r="D557" s="448"/>
      <c r="E557" s="448"/>
      <c r="F557" s="448"/>
      <c r="G557" s="448"/>
      <c r="H557" s="448"/>
      <c r="I557" s="448"/>
      <c r="J557" s="435"/>
      <c r="K557" s="435"/>
      <c r="L557" s="448"/>
      <c r="M557" s="448"/>
      <c r="N557" s="435"/>
      <c r="O557" s="435"/>
      <c r="P557" s="450"/>
      <c r="Q557" s="435"/>
      <c r="R557" s="449"/>
      <c r="S557" s="435"/>
      <c r="T557" s="440"/>
      <c r="U557" s="440"/>
      <c r="V557" s="448"/>
      <c r="W557" s="448"/>
      <c r="X557" s="448"/>
      <c r="Y557" s="447"/>
      <c r="Z557" s="447"/>
      <c r="AA557" s="447"/>
      <c r="AB557" s="437"/>
      <c r="AC557" s="436"/>
      <c r="AD557" s="435"/>
      <c r="AE557" s="435"/>
      <c r="AF557" s="435"/>
    </row>
    <row r="558" spans="1:32" s="446" customFormat="1">
      <c r="A558" s="445"/>
      <c r="B558" s="444"/>
      <c r="C558" s="448"/>
      <c r="D558" s="448"/>
      <c r="E558" s="448"/>
      <c r="F558" s="448"/>
      <c r="G558" s="448"/>
      <c r="H558" s="448"/>
      <c r="I558" s="448"/>
      <c r="J558" s="435"/>
      <c r="K558" s="435"/>
      <c r="L558" s="448"/>
      <c r="M558" s="448"/>
      <c r="N558" s="435"/>
      <c r="O558" s="435"/>
      <c r="P558" s="450"/>
      <c r="Q558" s="435"/>
      <c r="R558" s="449"/>
      <c r="S558" s="435"/>
      <c r="T558" s="440"/>
      <c r="U558" s="440"/>
      <c r="V558" s="448"/>
      <c r="W558" s="448"/>
      <c r="X558" s="448"/>
      <c r="Y558" s="447"/>
      <c r="Z558" s="447"/>
      <c r="AA558" s="447"/>
      <c r="AB558" s="437"/>
      <c r="AC558" s="436"/>
      <c r="AD558" s="435"/>
      <c r="AE558" s="435"/>
      <c r="AF558" s="435"/>
    </row>
    <row r="559" spans="1:32" s="446" customFormat="1">
      <c r="A559" s="445"/>
      <c r="B559" s="444"/>
      <c r="C559" s="448"/>
      <c r="D559" s="448"/>
      <c r="E559" s="448"/>
      <c r="F559" s="448"/>
      <c r="G559" s="448"/>
      <c r="H559" s="448"/>
      <c r="I559" s="448"/>
      <c r="J559" s="435"/>
      <c r="K559" s="435"/>
      <c r="L559" s="448"/>
      <c r="M559" s="448"/>
      <c r="N559" s="435"/>
      <c r="O559" s="435"/>
      <c r="P559" s="450"/>
      <c r="Q559" s="435"/>
      <c r="R559" s="449"/>
      <c r="S559" s="435"/>
      <c r="T559" s="440"/>
      <c r="U559" s="440"/>
      <c r="V559" s="448"/>
      <c r="W559" s="448"/>
      <c r="X559" s="448"/>
      <c r="Y559" s="447"/>
      <c r="Z559" s="447"/>
      <c r="AA559" s="447"/>
      <c r="AB559" s="437"/>
      <c r="AC559" s="436"/>
      <c r="AD559" s="435"/>
      <c r="AE559" s="435"/>
      <c r="AF559" s="435"/>
    </row>
    <row r="560" spans="1:32" s="446" customFormat="1">
      <c r="A560" s="445"/>
      <c r="B560" s="444"/>
      <c r="C560" s="448"/>
      <c r="D560" s="448"/>
      <c r="E560" s="448"/>
      <c r="F560" s="448"/>
      <c r="G560" s="448"/>
      <c r="H560" s="448"/>
      <c r="I560" s="448"/>
      <c r="J560" s="435"/>
      <c r="K560" s="435"/>
      <c r="L560" s="448"/>
      <c r="M560" s="448"/>
      <c r="N560" s="435"/>
      <c r="O560" s="435"/>
      <c r="P560" s="450"/>
      <c r="Q560" s="435"/>
      <c r="R560" s="449"/>
      <c r="S560" s="435"/>
      <c r="T560" s="440"/>
      <c r="U560" s="440"/>
      <c r="V560" s="448"/>
      <c r="W560" s="448"/>
      <c r="X560" s="448"/>
      <c r="Y560" s="447"/>
      <c r="Z560" s="447"/>
      <c r="AA560" s="447"/>
      <c r="AB560" s="437"/>
      <c r="AC560" s="436"/>
      <c r="AD560" s="435"/>
      <c r="AE560" s="435"/>
      <c r="AF560" s="435"/>
    </row>
    <row r="561" spans="1:32" s="446" customFormat="1">
      <c r="A561" s="445"/>
      <c r="B561" s="444"/>
      <c r="C561" s="448"/>
      <c r="D561" s="448"/>
      <c r="E561" s="448"/>
      <c r="F561" s="448"/>
      <c r="G561" s="448"/>
      <c r="H561" s="448"/>
      <c r="I561" s="448"/>
      <c r="J561" s="435"/>
      <c r="K561" s="435"/>
      <c r="L561" s="448"/>
      <c r="M561" s="448"/>
      <c r="N561" s="435"/>
      <c r="O561" s="435"/>
      <c r="P561" s="450"/>
      <c r="Q561" s="435"/>
      <c r="R561" s="449"/>
      <c r="S561" s="435"/>
      <c r="T561" s="440"/>
      <c r="U561" s="440"/>
      <c r="V561" s="448"/>
      <c r="W561" s="448"/>
      <c r="X561" s="448"/>
      <c r="Y561" s="447"/>
      <c r="Z561" s="447"/>
      <c r="AA561" s="447"/>
      <c r="AB561" s="437"/>
      <c r="AC561" s="436"/>
      <c r="AD561" s="435"/>
      <c r="AE561" s="435"/>
      <c r="AF561" s="435"/>
    </row>
    <row r="562" spans="1:32" s="446" customFormat="1">
      <c r="A562" s="445"/>
      <c r="B562" s="444"/>
      <c r="C562" s="448"/>
      <c r="D562" s="448"/>
      <c r="E562" s="448"/>
      <c r="F562" s="448"/>
      <c r="G562" s="448"/>
      <c r="H562" s="448"/>
      <c r="I562" s="448"/>
      <c r="J562" s="435"/>
      <c r="K562" s="435"/>
      <c r="L562" s="448"/>
      <c r="M562" s="448"/>
      <c r="N562" s="435"/>
      <c r="O562" s="435"/>
      <c r="P562" s="450"/>
      <c r="Q562" s="435"/>
      <c r="R562" s="449"/>
      <c r="S562" s="435"/>
      <c r="T562" s="440"/>
      <c r="U562" s="440"/>
      <c r="V562" s="448"/>
      <c r="W562" s="448"/>
      <c r="X562" s="448"/>
      <c r="Y562" s="447"/>
      <c r="Z562" s="447"/>
      <c r="AA562" s="447"/>
      <c r="AB562" s="437"/>
      <c r="AC562" s="436"/>
      <c r="AD562" s="435"/>
      <c r="AE562" s="435"/>
      <c r="AF562" s="435"/>
    </row>
    <row r="563" spans="1:32" s="446" customFormat="1">
      <c r="A563" s="445"/>
      <c r="B563" s="444"/>
      <c r="C563" s="448"/>
      <c r="D563" s="448"/>
      <c r="E563" s="448"/>
      <c r="F563" s="448"/>
      <c r="G563" s="448"/>
      <c r="H563" s="448"/>
      <c r="I563" s="448"/>
      <c r="J563" s="435"/>
      <c r="K563" s="435"/>
      <c r="L563" s="448"/>
      <c r="M563" s="448"/>
      <c r="N563" s="435"/>
      <c r="O563" s="435"/>
      <c r="P563" s="450"/>
      <c r="Q563" s="435"/>
      <c r="R563" s="449"/>
      <c r="S563" s="435"/>
      <c r="T563" s="440"/>
      <c r="U563" s="440"/>
      <c r="V563" s="448"/>
      <c r="W563" s="448"/>
      <c r="X563" s="448"/>
      <c r="Y563" s="447"/>
      <c r="Z563" s="447"/>
      <c r="AA563" s="447"/>
      <c r="AB563" s="437"/>
      <c r="AC563" s="436"/>
      <c r="AD563" s="435"/>
      <c r="AE563" s="435"/>
      <c r="AF563" s="435"/>
    </row>
    <row r="564" spans="1:32" s="446" customFormat="1">
      <c r="A564" s="445"/>
      <c r="B564" s="444"/>
      <c r="C564" s="448"/>
      <c r="D564" s="448"/>
      <c r="E564" s="448"/>
      <c r="F564" s="448"/>
      <c r="G564" s="448"/>
      <c r="H564" s="448"/>
      <c r="I564" s="448"/>
      <c r="J564" s="435"/>
      <c r="K564" s="435"/>
      <c r="L564" s="448"/>
      <c r="M564" s="448"/>
      <c r="N564" s="435"/>
      <c r="O564" s="435"/>
      <c r="P564" s="450"/>
      <c r="Q564" s="435"/>
      <c r="R564" s="449"/>
      <c r="S564" s="435"/>
      <c r="T564" s="440"/>
      <c r="U564" s="440"/>
      <c r="V564" s="448"/>
      <c r="W564" s="448"/>
      <c r="X564" s="448"/>
      <c r="Y564" s="447"/>
      <c r="Z564" s="447"/>
      <c r="AA564" s="447"/>
      <c r="AB564" s="437"/>
      <c r="AC564" s="436"/>
      <c r="AD564" s="435"/>
      <c r="AE564" s="435"/>
      <c r="AF564" s="435"/>
    </row>
    <row r="565" spans="1:32" s="446" customFormat="1">
      <c r="A565" s="445"/>
      <c r="B565" s="444"/>
      <c r="C565" s="448"/>
      <c r="D565" s="448"/>
      <c r="E565" s="448"/>
      <c r="F565" s="448"/>
      <c r="G565" s="448"/>
      <c r="H565" s="448"/>
      <c r="I565" s="448"/>
      <c r="J565" s="435"/>
      <c r="K565" s="435"/>
      <c r="L565" s="448"/>
      <c r="M565" s="448"/>
      <c r="N565" s="435"/>
      <c r="O565" s="435"/>
      <c r="P565" s="450"/>
      <c r="Q565" s="435"/>
      <c r="R565" s="449"/>
      <c r="S565" s="435"/>
      <c r="T565" s="440"/>
      <c r="U565" s="440"/>
      <c r="V565" s="448"/>
      <c r="W565" s="448"/>
      <c r="X565" s="448"/>
      <c r="Y565" s="447"/>
      <c r="Z565" s="447"/>
      <c r="AA565" s="447"/>
      <c r="AB565" s="437"/>
      <c r="AC565" s="436"/>
      <c r="AD565" s="435"/>
      <c r="AE565" s="435"/>
      <c r="AF565" s="435"/>
    </row>
    <row r="566" spans="1:32" s="446" customFormat="1">
      <c r="A566" s="445"/>
      <c r="B566" s="444"/>
      <c r="C566" s="448"/>
      <c r="D566" s="448"/>
      <c r="E566" s="448"/>
      <c r="F566" s="448"/>
      <c r="G566" s="448"/>
      <c r="H566" s="448"/>
      <c r="I566" s="448"/>
      <c r="J566" s="435"/>
      <c r="K566" s="435"/>
      <c r="L566" s="448"/>
      <c r="M566" s="448"/>
      <c r="N566" s="435"/>
      <c r="O566" s="435"/>
      <c r="P566" s="450"/>
      <c r="Q566" s="435"/>
      <c r="R566" s="449"/>
      <c r="S566" s="435"/>
      <c r="T566" s="440"/>
      <c r="U566" s="440"/>
      <c r="V566" s="448"/>
      <c r="W566" s="448"/>
      <c r="X566" s="448"/>
      <c r="Y566" s="447"/>
      <c r="Z566" s="447"/>
      <c r="AA566" s="447"/>
      <c r="AB566" s="437"/>
      <c r="AC566" s="436"/>
      <c r="AD566" s="435"/>
      <c r="AE566" s="435"/>
      <c r="AF566" s="435"/>
    </row>
    <row r="567" spans="1:32" s="446" customFormat="1">
      <c r="A567" s="445"/>
      <c r="B567" s="444"/>
      <c r="C567" s="448"/>
      <c r="D567" s="448"/>
      <c r="E567" s="448"/>
      <c r="F567" s="448"/>
      <c r="G567" s="448"/>
      <c r="H567" s="448"/>
      <c r="I567" s="448"/>
      <c r="J567" s="435"/>
      <c r="K567" s="435"/>
      <c r="L567" s="448"/>
      <c r="M567" s="448"/>
      <c r="N567" s="435"/>
      <c r="O567" s="435"/>
      <c r="P567" s="450"/>
      <c r="Q567" s="435"/>
      <c r="R567" s="449"/>
      <c r="S567" s="435"/>
      <c r="T567" s="440"/>
      <c r="U567" s="440"/>
      <c r="V567" s="448"/>
      <c r="W567" s="448"/>
      <c r="X567" s="448"/>
      <c r="Y567" s="447"/>
      <c r="Z567" s="447"/>
      <c r="AA567" s="447"/>
      <c r="AB567" s="437"/>
      <c r="AC567" s="436"/>
      <c r="AD567" s="435"/>
      <c r="AE567" s="435"/>
      <c r="AF567" s="435"/>
    </row>
    <row r="568" spans="1:32" s="446" customFormat="1">
      <c r="A568" s="445"/>
      <c r="B568" s="444"/>
      <c r="C568" s="448"/>
      <c r="D568" s="448"/>
      <c r="E568" s="448"/>
      <c r="F568" s="448"/>
      <c r="G568" s="448"/>
      <c r="H568" s="448"/>
      <c r="I568" s="448"/>
      <c r="J568" s="435"/>
      <c r="K568" s="435"/>
      <c r="L568" s="448"/>
      <c r="M568" s="448"/>
      <c r="N568" s="435"/>
      <c r="O568" s="435"/>
      <c r="P568" s="450"/>
      <c r="Q568" s="435"/>
      <c r="R568" s="449"/>
      <c r="S568" s="435"/>
      <c r="T568" s="440"/>
      <c r="U568" s="440"/>
      <c r="V568" s="448"/>
      <c r="W568" s="448"/>
      <c r="X568" s="448"/>
      <c r="Y568" s="447"/>
      <c r="Z568" s="447"/>
      <c r="AA568" s="447"/>
      <c r="AB568" s="437"/>
      <c r="AC568" s="436"/>
      <c r="AD568" s="435"/>
      <c r="AE568" s="435"/>
      <c r="AF568" s="435"/>
    </row>
    <row r="569" spans="1:32" s="446" customFormat="1">
      <c r="A569" s="445"/>
      <c r="B569" s="444"/>
      <c r="C569" s="448"/>
      <c r="D569" s="448"/>
      <c r="E569" s="448"/>
      <c r="F569" s="448"/>
      <c r="G569" s="448"/>
      <c r="H569" s="448"/>
      <c r="I569" s="448"/>
      <c r="J569" s="435"/>
      <c r="K569" s="435"/>
      <c r="L569" s="448"/>
      <c r="M569" s="448"/>
      <c r="N569" s="435"/>
      <c r="O569" s="435"/>
      <c r="P569" s="450"/>
      <c r="Q569" s="435"/>
      <c r="R569" s="449"/>
      <c r="S569" s="435"/>
      <c r="T569" s="440"/>
      <c r="U569" s="440"/>
      <c r="V569" s="448"/>
      <c r="W569" s="448"/>
      <c r="X569" s="448"/>
      <c r="Y569" s="447"/>
      <c r="Z569" s="447"/>
      <c r="AA569" s="447"/>
      <c r="AB569" s="437"/>
      <c r="AC569" s="436"/>
      <c r="AD569" s="435"/>
      <c r="AE569" s="435"/>
      <c r="AF569" s="435"/>
    </row>
    <row r="570" spans="1:32" s="446" customFormat="1">
      <c r="A570" s="445"/>
      <c r="B570" s="444"/>
      <c r="C570" s="448"/>
      <c r="D570" s="448"/>
      <c r="E570" s="448"/>
      <c r="F570" s="448"/>
      <c r="G570" s="448"/>
      <c r="H570" s="448"/>
      <c r="I570" s="448"/>
      <c r="J570" s="435"/>
      <c r="K570" s="435"/>
      <c r="L570" s="448"/>
      <c r="M570" s="448"/>
      <c r="N570" s="435"/>
      <c r="O570" s="435"/>
      <c r="P570" s="450"/>
      <c r="Q570" s="435"/>
      <c r="R570" s="449"/>
      <c r="S570" s="435"/>
      <c r="T570" s="440"/>
      <c r="U570" s="440"/>
      <c r="V570" s="448"/>
      <c r="W570" s="448"/>
      <c r="X570" s="448"/>
      <c r="Y570" s="447"/>
      <c r="Z570" s="447"/>
      <c r="AA570" s="447"/>
      <c r="AB570" s="437"/>
      <c r="AC570" s="436"/>
      <c r="AD570" s="435"/>
      <c r="AE570" s="435"/>
      <c r="AF570" s="435"/>
    </row>
    <row r="571" spans="1:32" s="446" customFormat="1">
      <c r="A571" s="445"/>
      <c r="B571" s="444"/>
      <c r="C571" s="448"/>
      <c r="D571" s="448"/>
      <c r="E571" s="448"/>
      <c r="F571" s="448"/>
      <c r="G571" s="448"/>
      <c r="H571" s="448"/>
      <c r="I571" s="448"/>
      <c r="J571" s="435"/>
      <c r="K571" s="435"/>
      <c r="L571" s="448"/>
      <c r="M571" s="448"/>
      <c r="N571" s="435"/>
      <c r="O571" s="435"/>
      <c r="P571" s="450"/>
      <c r="Q571" s="435"/>
      <c r="R571" s="449"/>
      <c r="S571" s="435"/>
      <c r="T571" s="440"/>
      <c r="U571" s="440"/>
      <c r="V571" s="448"/>
      <c r="W571" s="448"/>
      <c r="X571" s="448"/>
      <c r="Y571" s="447"/>
      <c r="Z571" s="447"/>
      <c r="AA571" s="447"/>
      <c r="AB571" s="437"/>
      <c r="AC571" s="436"/>
      <c r="AD571" s="435"/>
      <c r="AE571" s="435"/>
      <c r="AF571" s="435"/>
    </row>
    <row r="572" spans="1:32" s="446" customFormat="1">
      <c r="A572" s="445"/>
      <c r="B572" s="444"/>
      <c r="C572" s="448"/>
      <c r="D572" s="448"/>
      <c r="E572" s="448"/>
      <c r="F572" s="448"/>
      <c r="G572" s="448"/>
      <c r="H572" s="448"/>
      <c r="I572" s="448"/>
      <c r="J572" s="435"/>
      <c r="K572" s="435"/>
      <c r="L572" s="448"/>
      <c r="M572" s="448"/>
      <c r="N572" s="435"/>
      <c r="O572" s="435"/>
      <c r="P572" s="450"/>
      <c r="Q572" s="435"/>
      <c r="R572" s="449"/>
      <c r="S572" s="435"/>
      <c r="T572" s="440"/>
      <c r="U572" s="440"/>
      <c r="V572" s="448"/>
      <c r="W572" s="448"/>
      <c r="X572" s="448"/>
      <c r="Y572" s="447"/>
      <c r="Z572" s="447"/>
      <c r="AA572" s="447"/>
      <c r="AB572" s="437"/>
      <c r="AC572" s="436"/>
      <c r="AD572" s="435"/>
      <c r="AE572" s="435"/>
      <c r="AF572" s="435"/>
    </row>
    <row r="573" spans="1:32" s="446" customFormat="1">
      <c r="A573" s="445"/>
      <c r="B573" s="444"/>
      <c r="C573" s="448"/>
      <c r="D573" s="448"/>
      <c r="E573" s="448"/>
      <c r="F573" s="448"/>
      <c r="G573" s="448"/>
      <c r="H573" s="448"/>
      <c r="I573" s="448"/>
      <c r="J573" s="435"/>
      <c r="K573" s="435"/>
      <c r="L573" s="448"/>
      <c r="M573" s="448"/>
      <c r="N573" s="435"/>
      <c r="O573" s="435"/>
      <c r="P573" s="450"/>
      <c r="Q573" s="435"/>
      <c r="R573" s="449"/>
      <c r="S573" s="435"/>
      <c r="T573" s="440"/>
      <c r="U573" s="440"/>
      <c r="V573" s="448"/>
      <c r="W573" s="448"/>
      <c r="X573" s="448"/>
      <c r="Y573" s="447"/>
      <c r="Z573" s="447"/>
      <c r="AA573" s="447"/>
      <c r="AB573" s="437"/>
      <c r="AC573" s="436"/>
      <c r="AD573" s="435"/>
      <c r="AE573" s="435"/>
      <c r="AF573" s="435"/>
    </row>
    <row r="574" spans="1:32" s="446" customFormat="1">
      <c r="A574" s="445"/>
      <c r="B574" s="444"/>
      <c r="C574" s="448"/>
      <c r="D574" s="448"/>
      <c r="E574" s="448"/>
      <c r="F574" s="448"/>
      <c r="G574" s="448"/>
      <c r="H574" s="448"/>
      <c r="I574" s="448"/>
      <c r="J574" s="435"/>
      <c r="K574" s="435"/>
      <c r="L574" s="448"/>
      <c r="M574" s="448"/>
      <c r="N574" s="435"/>
      <c r="O574" s="435"/>
      <c r="P574" s="450"/>
      <c r="Q574" s="435"/>
      <c r="R574" s="449"/>
      <c r="S574" s="435"/>
      <c r="T574" s="440"/>
      <c r="U574" s="440"/>
      <c r="V574" s="448"/>
      <c r="W574" s="448"/>
      <c r="X574" s="448"/>
      <c r="Y574" s="447"/>
      <c r="Z574" s="447"/>
      <c r="AA574" s="447"/>
      <c r="AB574" s="437"/>
      <c r="AC574" s="436"/>
      <c r="AD574" s="435"/>
      <c r="AE574" s="435"/>
      <c r="AF574" s="435"/>
    </row>
    <row r="575" spans="1:32" s="446" customFormat="1">
      <c r="A575" s="445"/>
      <c r="B575" s="444"/>
      <c r="C575" s="448"/>
      <c r="D575" s="448"/>
      <c r="E575" s="448"/>
      <c r="F575" s="448"/>
      <c r="G575" s="448"/>
      <c r="H575" s="448"/>
      <c r="I575" s="448"/>
      <c r="J575" s="435"/>
      <c r="K575" s="435"/>
      <c r="L575" s="448"/>
      <c r="M575" s="448"/>
      <c r="N575" s="435"/>
      <c r="O575" s="435"/>
      <c r="P575" s="450"/>
      <c r="Q575" s="435"/>
      <c r="R575" s="449"/>
      <c r="S575" s="435"/>
      <c r="T575" s="440"/>
      <c r="U575" s="440"/>
      <c r="V575" s="448"/>
      <c r="W575" s="448"/>
      <c r="X575" s="448"/>
      <c r="Y575" s="447"/>
      <c r="Z575" s="447"/>
      <c r="AA575" s="447"/>
      <c r="AB575" s="437"/>
      <c r="AC575" s="436"/>
      <c r="AD575" s="435"/>
      <c r="AE575" s="435"/>
      <c r="AF575" s="435"/>
    </row>
    <row r="576" spans="1:32" s="446" customFormat="1">
      <c r="A576" s="445"/>
      <c r="B576" s="444"/>
      <c r="C576" s="448"/>
      <c r="D576" s="448"/>
      <c r="E576" s="448"/>
      <c r="F576" s="448"/>
      <c r="G576" s="448"/>
      <c r="H576" s="448"/>
      <c r="I576" s="448"/>
      <c r="J576" s="435"/>
      <c r="K576" s="435"/>
      <c r="L576" s="448"/>
      <c r="M576" s="448"/>
      <c r="N576" s="435"/>
      <c r="O576" s="435"/>
      <c r="P576" s="450"/>
      <c r="Q576" s="435"/>
      <c r="R576" s="449"/>
      <c r="S576" s="435"/>
      <c r="T576" s="440"/>
      <c r="U576" s="440"/>
      <c r="V576" s="448"/>
      <c r="W576" s="448"/>
      <c r="X576" s="448"/>
      <c r="Y576" s="447"/>
      <c r="Z576" s="447"/>
      <c r="AA576" s="447"/>
      <c r="AB576" s="437"/>
      <c r="AC576" s="436"/>
      <c r="AD576" s="435"/>
      <c r="AE576" s="435"/>
      <c r="AF576" s="435"/>
    </row>
    <row r="577" spans="1:32" s="446" customFormat="1">
      <c r="A577" s="445"/>
      <c r="B577" s="444"/>
      <c r="C577" s="448"/>
      <c r="D577" s="448"/>
      <c r="E577" s="448"/>
      <c r="F577" s="448"/>
      <c r="G577" s="448"/>
      <c r="H577" s="448"/>
      <c r="I577" s="448"/>
      <c r="J577" s="435"/>
      <c r="K577" s="435"/>
      <c r="L577" s="448"/>
      <c r="M577" s="448"/>
      <c r="N577" s="435"/>
      <c r="O577" s="435"/>
      <c r="P577" s="450"/>
      <c r="Q577" s="435"/>
      <c r="R577" s="449"/>
      <c r="S577" s="435"/>
      <c r="T577" s="440"/>
      <c r="U577" s="440"/>
      <c r="V577" s="448"/>
      <c r="W577" s="448"/>
      <c r="X577" s="448"/>
      <c r="Y577" s="447"/>
      <c r="Z577" s="447"/>
      <c r="AA577" s="447"/>
      <c r="AB577" s="437"/>
      <c r="AC577" s="436"/>
      <c r="AD577" s="435"/>
      <c r="AE577" s="435"/>
      <c r="AF577" s="435"/>
    </row>
    <row r="578" spans="1:32" s="446" customFormat="1">
      <c r="A578" s="445"/>
      <c r="B578" s="444"/>
      <c r="C578" s="448"/>
      <c r="D578" s="448"/>
      <c r="E578" s="448"/>
      <c r="F578" s="448"/>
      <c r="G578" s="448"/>
      <c r="H578" s="448"/>
      <c r="I578" s="448"/>
      <c r="J578" s="435"/>
      <c r="K578" s="435"/>
      <c r="L578" s="448"/>
      <c r="M578" s="448"/>
      <c r="N578" s="435"/>
      <c r="O578" s="435"/>
      <c r="P578" s="450"/>
      <c r="Q578" s="435"/>
      <c r="R578" s="449"/>
      <c r="S578" s="435"/>
      <c r="T578" s="440"/>
      <c r="U578" s="440"/>
      <c r="V578" s="448"/>
      <c r="W578" s="448"/>
      <c r="X578" s="448"/>
      <c r="Y578" s="447"/>
      <c r="Z578" s="447"/>
      <c r="AA578" s="447"/>
      <c r="AB578" s="437"/>
      <c r="AC578" s="436"/>
      <c r="AD578" s="435"/>
      <c r="AE578" s="435"/>
      <c r="AF578" s="435"/>
    </row>
    <row r="579" spans="1:32" s="446" customFormat="1">
      <c r="A579" s="445"/>
      <c r="B579" s="444"/>
      <c r="C579" s="448"/>
      <c r="D579" s="448"/>
      <c r="E579" s="448"/>
      <c r="F579" s="448"/>
      <c r="G579" s="448"/>
      <c r="H579" s="448"/>
      <c r="I579" s="448"/>
      <c r="J579" s="435"/>
      <c r="K579" s="435"/>
      <c r="L579" s="448"/>
      <c r="M579" s="448"/>
      <c r="N579" s="435"/>
      <c r="O579" s="435"/>
      <c r="P579" s="450"/>
      <c r="Q579" s="435"/>
      <c r="R579" s="449"/>
      <c r="S579" s="435"/>
      <c r="T579" s="440"/>
      <c r="U579" s="440"/>
      <c r="V579" s="448"/>
      <c r="W579" s="448"/>
      <c r="X579" s="448"/>
      <c r="Y579" s="447"/>
      <c r="Z579" s="447"/>
      <c r="AA579" s="447"/>
      <c r="AB579" s="437"/>
      <c r="AC579" s="436"/>
      <c r="AD579" s="435"/>
      <c r="AE579" s="435"/>
      <c r="AF579" s="435"/>
    </row>
    <row r="580" spans="1:32" s="446" customFormat="1">
      <c r="A580" s="445"/>
      <c r="B580" s="444"/>
      <c r="C580" s="448"/>
      <c r="D580" s="448"/>
      <c r="E580" s="448"/>
      <c r="F580" s="448"/>
      <c r="G580" s="448"/>
      <c r="H580" s="448"/>
      <c r="I580" s="448"/>
      <c r="J580" s="435"/>
      <c r="K580" s="435"/>
      <c r="L580" s="448"/>
      <c r="M580" s="448"/>
      <c r="N580" s="435"/>
      <c r="O580" s="435"/>
      <c r="P580" s="450"/>
      <c r="Q580" s="435"/>
      <c r="R580" s="449"/>
      <c r="S580" s="435"/>
      <c r="T580" s="440"/>
      <c r="U580" s="440"/>
      <c r="V580" s="448"/>
      <c r="W580" s="448"/>
      <c r="X580" s="448"/>
      <c r="Y580" s="447"/>
      <c r="Z580" s="447"/>
      <c r="AA580" s="447"/>
      <c r="AB580" s="437"/>
      <c r="AC580" s="436"/>
      <c r="AD580" s="435"/>
      <c r="AE580" s="435"/>
      <c r="AF580" s="435"/>
    </row>
    <row r="581" spans="1:32" s="446" customFormat="1">
      <c r="A581" s="445"/>
      <c r="B581" s="444"/>
      <c r="C581" s="448"/>
      <c r="D581" s="448"/>
      <c r="E581" s="448"/>
      <c r="F581" s="448"/>
      <c r="G581" s="448"/>
      <c r="H581" s="448"/>
      <c r="I581" s="448"/>
      <c r="J581" s="435"/>
      <c r="K581" s="435"/>
      <c r="L581" s="448"/>
      <c r="M581" s="448"/>
      <c r="N581" s="435"/>
      <c r="O581" s="435"/>
      <c r="P581" s="450"/>
      <c r="Q581" s="435"/>
      <c r="R581" s="449"/>
      <c r="S581" s="435"/>
      <c r="T581" s="440"/>
      <c r="U581" s="440"/>
      <c r="V581" s="448"/>
      <c r="W581" s="448"/>
      <c r="X581" s="448"/>
      <c r="Y581" s="447"/>
      <c r="Z581" s="447"/>
      <c r="AA581" s="447"/>
      <c r="AB581" s="437"/>
      <c r="AC581" s="436"/>
      <c r="AD581" s="435"/>
      <c r="AE581" s="435"/>
      <c r="AF581" s="435"/>
    </row>
    <row r="582" spans="1:32" s="446" customFormat="1">
      <c r="A582" s="445"/>
      <c r="B582" s="444"/>
      <c r="C582" s="448"/>
      <c r="D582" s="448"/>
      <c r="E582" s="448"/>
      <c r="F582" s="448"/>
      <c r="G582" s="448"/>
      <c r="H582" s="448"/>
      <c r="I582" s="448"/>
      <c r="J582" s="435"/>
      <c r="K582" s="435"/>
      <c r="L582" s="448"/>
      <c r="M582" s="448"/>
      <c r="N582" s="435"/>
      <c r="O582" s="435"/>
      <c r="P582" s="450"/>
      <c r="Q582" s="435"/>
      <c r="R582" s="449"/>
      <c r="S582" s="435"/>
      <c r="T582" s="440"/>
      <c r="U582" s="440"/>
      <c r="V582" s="448"/>
      <c r="W582" s="448"/>
      <c r="X582" s="448"/>
      <c r="Y582" s="447"/>
      <c r="Z582" s="447"/>
      <c r="AA582" s="447"/>
      <c r="AB582" s="437"/>
      <c r="AC582" s="436"/>
      <c r="AD582" s="435"/>
      <c r="AE582" s="435"/>
      <c r="AF582" s="435"/>
    </row>
    <row r="583" spans="1:32" s="446" customFormat="1">
      <c r="A583" s="445"/>
      <c r="B583" s="444"/>
      <c r="C583" s="448"/>
      <c r="D583" s="448"/>
      <c r="E583" s="448"/>
      <c r="F583" s="448"/>
      <c r="G583" s="448"/>
      <c r="H583" s="448"/>
      <c r="I583" s="448"/>
      <c r="J583" s="435"/>
      <c r="K583" s="435"/>
      <c r="L583" s="448"/>
      <c r="M583" s="448"/>
      <c r="N583" s="435"/>
      <c r="O583" s="435"/>
      <c r="P583" s="450"/>
      <c r="Q583" s="435"/>
      <c r="R583" s="449"/>
      <c r="S583" s="435"/>
      <c r="T583" s="440"/>
      <c r="U583" s="440"/>
      <c r="V583" s="448"/>
      <c r="W583" s="448"/>
      <c r="X583" s="448"/>
      <c r="Y583" s="447"/>
      <c r="Z583" s="447"/>
      <c r="AA583" s="447"/>
      <c r="AB583" s="437"/>
      <c r="AC583" s="436"/>
      <c r="AD583" s="435"/>
      <c r="AE583" s="435"/>
      <c r="AF583" s="435"/>
    </row>
    <row r="584" spans="1:32" s="446" customFormat="1">
      <c r="A584" s="445"/>
      <c r="B584" s="444"/>
      <c r="C584" s="448"/>
      <c r="D584" s="448"/>
      <c r="E584" s="448"/>
      <c r="F584" s="448"/>
      <c r="G584" s="448"/>
      <c r="H584" s="448"/>
      <c r="I584" s="448"/>
      <c r="J584" s="435"/>
      <c r="K584" s="435"/>
      <c r="L584" s="448"/>
      <c r="M584" s="448"/>
      <c r="N584" s="435"/>
      <c r="O584" s="435"/>
      <c r="P584" s="450"/>
      <c r="Q584" s="435"/>
      <c r="R584" s="449"/>
      <c r="S584" s="435"/>
      <c r="T584" s="440"/>
      <c r="U584" s="440"/>
      <c r="V584" s="448"/>
      <c r="W584" s="448"/>
      <c r="X584" s="448"/>
      <c r="Y584" s="447"/>
      <c r="Z584" s="447"/>
      <c r="AA584" s="447"/>
      <c r="AB584" s="437"/>
      <c r="AC584" s="436"/>
      <c r="AD584" s="435"/>
      <c r="AE584" s="435"/>
      <c r="AF584" s="435"/>
    </row>
    <row r="585" spans="1:32" s="446" customFormat="1">
      <c r="A585" s="445"/>
      <c r="B585" s="444"/>
      <c r="C585" s="448"/>
      <c r="D585" s="448"/>
      <c r="E585" s="448"/>
      <c r="F585" s="448"/>
      <c r="G585" s="448"/>
      <c r="H585" s="448"/>
      <c r="I585" s="448"/>
      <c r="J585" s="435"/>
      <c r="K585" s="435"/>
      <c r="L585" s="448"/>
      <c r="M585" s="448"/>
      <c r="N585" s="435"/>
      <c r="O585" s="435"/>
      <c r="P585" s="450"/>
      <c r="Q585" s="435"/>
      <c r="R585" s="449"/>
      <c r="S585" s="435"/>
      <c r="T585" s="440"/>
      <c r="U585" s="440"/>
      <c r="V585" s="448"/>
      <c r="W585" s="448"/>
      <c r="X585" s="448"/>
      <c r="Y585" s="447"/>
      <c r="Z585" s="447"/>
      <c r="AA585" s="447"/>
      <c r="AB585" s="437"/>
      <c r="AC585" s="436"/>
      <c r="AD585" s="435"/>
      <c r="AE585" s="435"/>
      <c r="AF585" s="435"/>
    </row>
    <row r="586" spans="1:32" s="446" customFormat="1">
      <c r="A586" s="445"/>
      <c r="B586" s="444"/>
      <c r="C586" s="448"/>
      <c r="D586" s="448"/>
      <c r="E586" s="448"/>
      <c r="F586" s="448"/>
      <c r="G586" s="448"/>
      <c r="H586" s="448"/>
      <c r="I586" s="448"/>
      <c r="J586" s="435"/>
      <c r="K586" s="435"/>
      <c r="L586" s="448"/>
      <c r="M586" s="448"/>
      <c r="N586" s="435"/>
      <c r="O586" s="435"/>
      <c r="P586" s="450"/>
      <c r="Q586" s="435"/>
      <c r="R586" s="449"/>
      <c r="S586" s="435"/>
      <c r="T586" s="440"/>
      <c r="U586" s="440"/>
      <c r="V586" s="448"/>
      <c r="W586" s="448"/>
      <c r="X586" s="448"/>
      <c r="Y586" s="447"/>
      <c r="Z586" s="447"/>
      <c r="AA586" s="447"/>
      <c r="AB586" s="437"/>
      <c r="AC586" s="436"/>
      <c r="AD586" s="435"/>
      <c r="AE586" s="435"/>
      <c r="AF586" s="435"/>
    </row>
    <row r="587" spans="1:32" s="446" customFormat="1">
      <c r="A587" s="445"/>
      <c r="B587" s="444"/>
      <c r="C587" s="448"/>
      <c r="D587" s="448"/>
      <c r="E587" s="448"/>
      <c r="F587" s="448"/>
      <c r="G587" s="448"/>
      <c r="H587" s="448"/>
      <c r="I587" s="448"/>
      <c r="J587" s="435"/>
      <c r="K587" s="435"/>
      <c r="L587" s="448"/>
      <c r="M587" s="448"/>
      <c r="N587" s="435"/>
      <c r="O587" s="435"/>
      <c r="P587" s="450"/>
      <c r="Q587" s="435"/>
      <c r="R587" s="449"/>
      <c r="S587" s="435"/>
      <c r="T587" s="440"/>
      <c r="U587" s="440"/>
      <c r="V587" s="448"/>
      <c r="W587" s="448"/>
      <c r="X587" s="448"/>
      <c r="Y587" s="447"/>
      <c r="Z587" s="447"/>
      <c r="AA587" s="447"/>
      <c r="AB587" s="437"/>
      <c r="AC587" s="436"/>
      <c r="AD587" s="435"/>
      <c r="AE587" s="435"/>
      <c r="AF587" s="435"/>
    </row>
    <row r="588" spans="1:32" s="446" customFormat="1">
      <c r="A588" s="445"/>
      <c r="B588" s="444"/>
      <c r="C588" s="448"/>
      <c r="D588" s="448"/>
      <c r="E588" s="448"/>
      <c r="F588" s="448"/>
      <c r="G588" s="448"/>
      <c r="H588" s="448"/>
      <c r="I588" s="448"/>
      <c r="J588" s="435"/>
      <c r="K588" s="435"/>
      <c r="L588" s="448"/>
      <c r="M588" s="448"/>
      <c r="N588" s="435"/>
      <c r="O588" s="435"/>
      <c r="P588" s="450"/>
      <c r="Q588" s="435"/>
      <c r="R588" s="449"/>
      <c r="S588" s="435"/>
      <c r="T588" s="440"/>
      <c r="U588" s="440"/>
      <c r="V588" s="448"/>
      <c r="W588" s="448"/>
      <c r="X588" s="448"/>
      <c r="Y588" s="447"/>
      <c r="Z588" s="447"/>
      <c r="AA588" s="447"/>
      <c r="AB588" s="437"/>
      <c r="AC588" s="436"/>
      <c r="AD588" s="435"/>
      <c r="AE588" s="435"/>
      <c r="AF588" s="435"/>
    </row>
  </sheetData>
  <mergeCells count="14">
    <mergeCell ref="A1:AB1"/>
    <mergeCell ref="A2:AB2"/>
    <mergeCell ref="A3:AB3"/>
    <mergeCell ref="A5:A6"/>
    <mergeCell ref="B5:B6"/>
    <mergeCell ref="E5:E6"/>
    <mergeCell ref="F5:G5"/>
    <mergeCell ref="I5:Q5"/>
    <mergeCell ref="R5:U5"/>
    <mergeCell ref="V5:V6"/>
    <mergeCell ref="W5:X5"/>
    <mergeCell ref="Y5:Y6"/>
    <mergeCell ref="Z5:Z6"/>
    <mergeCell ref="AB5:AB6"/>
  </mergeCells>
  <pageMargins left="0" right="0" top="0.5" bottom="0.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VHXH</vt:lpstr>
      <vt:lpstr>KT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MT-0934466369</dc:creator>
  <cp:lastModifiedBy>MT-0934466369</cp:lastModifiedBy>
  <cp:lastPrinted>2018-06-21T10:14:53Z</cp:lastPrinted>
  <dcterms:created xsi:type="dcterms:W3CDTF">2018-06-21T10:10:08Z</dcterms:created>
  <dcterms:modified xsi:type="dcterms:W3CDTF">2018-06-21T10:17:15Z</dcterms:modified>
</cp:coreProperties>
</file>