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KHSDĐ 2024\Hồ sơ KH2024\Hồ sơ KH\HS KHSDD 2024 HUYEN SA THAY\"/>
    </mc:Choice>
  </mc:AlternateContent>
  <bookViews>
    <workbookView xWindow="0" yWindow="0" windowWidth="10215" windowHeight="7575" firstSheet="9" activeTab="19"/>
  </bookViews>
  <sheets>
    <sheet name="B10QH" sheetId="86" state="hidden" r:id="rId1"/>
    <sheet name="B3" sheetId="85" state="hidden" r:id="rId2"/>
    <sheet name="ss QH 2021-2030" sheetId="71" state="hidden" r:id="rId3"/>
    <sheet name="B1 (2)" sheetId="83" state="hidden" r:id="rId4"/>
    <sheet name="Cộng giảm HT" sheetId="82" state="hidden" r:id="rId5"/>
    <sheet name="CÔng TăngHT" sheetId="81" state="hidden" r:id="rId6"/>
    <sheet name="SS (2)" sheetId="72" state="hidden" r:id="rId7"/>
    <sheet name="Sheet3" sheetId="46" state="hidden" r:id="rId8"/>
    <sheet name="Đã thực hiện" sheetId="96" state="hidden" r:id="rId9"/>
    <sheet name="B1" sheetId="27" r:id="rId10"/>
    <sheet name="B2" sheetId="9" r:id="rId11"/>
    <sheet name="B6" sheetId="1" r:id="rId12"/>
    <sheet name="B7" sheetId="2" r:id="rId13"/>
    <sheet name="B8" sheetId="66" r:id="rId14"/>
    <sheet name="B9" sheetId="3" r:id="rId15"/>
    <sheet name="tạm thời bỏ" sheetId="91" state="hidden" r:id="rId16"/>
    <sheet name="B10 IN" sheetId="98" r:id="rId17"/>
    <sheet name="B10 2024" sheetId="65" state="hidden" r:id="rId18"/>
    <sheet name="SS" sheetId="45" state="hidden" r:id="rId19"/>
    <sheet name="B13" sheetId="62" r:id="rId20"/>
    <sheet name="CÔng Tăng" sheetId="47" state="hidden" r:id="rId21"/>
    <sheet name="Cộng giảm" sheetId="48" state="hidden" r:id="rId22"/>
    <sheet name="thu chi" sheetId="49" state="hidden" r:id="rId23"/>
  </sheets>
  <externalReferences>
    <externalReference r:id="rId24"/>
  </externalReferences>
  <definedNames>
    <definedName name="_xlnm._FilterDatabase" localSheetId="9" hidden="1">'B1'!$D$1:$D$64</definedName>
    <definedName name="_xlnm._FilterDatabase" localSheetId="3" hidden="1">'B1 (2)'!$D$1:$D$64</definedName>
    <definedName name="_xlnm._FilterDatabase" localSheetId="17" hidden="1">'B10 2024'!$A$9:$AA$169</definedName>
    <definedName name="_xlnm._FilterDatabase" localSheetId="16" hidden="1">'B10 IN'!$A$9:$X$150</definedName>
    <definedName name="_xlnm._FilterDatabase" localSheetId="0" hidden="1">B10QH!$A$7:$AA$463</definedName>
    <definedName name="_xlnm._FilterDatabase" localSheetId="10" hidden="1">'B2'!$A$8:$G$59</definedName>
    <definedName name="_xlnm._FilterDatabase" localSheetId="8" hidden="1">'Đã thực hiện'!$A$9:$Y$97</definedName>
    <definedName name="_xlnm._FilterDatabase" localSheetId="15" hidden="1">'tạm thời bỏ'!$A$9:$W$81</definedName>
    <definedName name="OLE_LINK1" localSheetId="19">'B13'!$A$4</definedName>
    <definedName name="_xlnm.Print_Area" localSheetId="9">'B1'!$A$1:$O$60</definedName>
    <definedName name="_xlnm.Print_Area" localSheetId="17">'B10 2024'!$A$1:$AA$168</definedName>
    <definedName name="_xlnm.Print_Area" localSheetId="16">'B10 IN'!$A$1:$X$149</definedName>
    <definedName name="_xlnm.Print_Area" localSheetId="19">'B13'!$A$1:$BE$59</definedName>
    <definedName name="_xlnm.Print_Area" localSheetId="11">'B6'!$A$1:$S$73</definedName>
    <definedName name="_xlnm.Print_Area" localSheetId="12">'B7'!$A$1:$O$34</definedName>
    <definedName name="_xlnm.Print_Area" localSheetId="13">'B8'!$A$1:$O$61</definedName>
    <definedName name="_xlnm.Print_Area" localSheetId="14">'B9'!$A$1:$O$61</definedName>
    <definedName name="_xlnm.Print_Area" localSheetId="8">'Đã thực hiện'!$A$1:$Y$96</definedName>
    <definedName name="_xlnm.Print_Area" localSheetId="15">'tạm thời bỏ'!$A$1:$W$80</definedName>
    <definedName name="_xlnm.Print_Titles" localSheetId="9">'B1'!$4:$7</definedName>
    <definedName name="_xlnm.Print_Titles" localSheetId="17">'B10 2024'!$4:$9</definedName>
    <definedName name="_xlnm.Print_Titles" localSheetId="16">'B10 IN'!$4:$9</definedName>
    <definedName name="_xlnm.Print_Titles" localSheetId="0">B10QH!$4:$7</definedName>
    <definedName name="_xlnm.Print_Titles" localSheetId="10">'B2'!$3:$6</definedName>
    <definedName name="_xlnm.Print_Titles" localSheetId="1">'B3'!$4:$5</definedName>
    <definedName name="_xlnm.Print_Titles" localSheetId="11">'B6'!$4:$5</definedName>
    <definedName name="_xlnm.Print_Titles" localSheetId="8">'Đã thực hiện'!$4:$9</definedName>
    <definedName name="_xlnm.Print_Titles" localSheetId="15">'tạm thời bỏ'!$4:$9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20" i="62" l="1"/>
  <c r="H66" i="65" l="1"/>
  <c r="F66" i="65" s="1"/>
  <c r="H67" i="65"/>
  <c r="F67" i="65" s="1"/>
  <c r="H68" i="65"/>
  <c r="F68" i="65" s="1"/>
  <c r="H64" i="65"/>
  <c r="F64" i="65" s="1"/>
  <c r="H65" i="65"/>
  <c r="F65" i="65" s="1"/>
  <c r="H63" i="65"/>
  <c r="F63" i="65" s="1"/>
  <c r="H12" i="82" l="1"/>
  <c r="H19" i="81"/>
  <c r="D55" i="81"/>
  <c r="F103" i="98" l="1"/>
  <c r="D103" i="98" s="1"/>
  <c r="F102" i="98"/>
  <c r="D102" i="98" s="1"/>
  <c r="F101" i="98"/>
  <c r="D101" i="98" s="1"/>
  <c r="F100" i="98"/>
  <c r="D100" i="98" s="1"/>
  <c r="F64" i="98"/>
  <c r="D64" i="98" s="1"/>
  <c r="D53" i="3" l="1"/>
  <c r="F63" i="62"/>
  <c r="G63" i="62"/>
  <c r="H63" i="62"/>
  <c r="I63" i="62"/>
  <c r="J63" i="62"/>
  <c r="K63" i="62"/>
  <c r="L63" i="62"/>
  <c r="M63" i="62"/>
  <c r="N63" i="62"/>
  <c r="O63" i="62"/>
  <c r="R63" i="62"/>
  <c r="S63" i="62"/>
  <c r="T63" i="62"/>
  <c r="U63" i="62"/>
  <c r="V63" i="62"/>
  <c r="W63" i="62"/>
  <c r="X63" i="62"/>
  <c r="Y63" i="62"/>
  <c r="Z63" i="62"/>
  <c r="AA63" i="62"/>
  <c r="AB63" i="62"/>
  <c r="AC63" i="62"/>
  <c r="AD63" i="62"/>
  <c r="AE63" i="62"/>
  <c r="AF63" i="62"/>
  <c r="AG63" i="62"/>
  <c r="AH63" i="62"/>
  <c r="AI63" i="62"/>
  <c r="AJ63" i="62"/>
  <c r="AK63" i="62"/>
  <c r="AL63" i="62"/>
  <c r="AM63" i="62"/>
  <c r="AN63" i="62"/>
  <c r="AO63" i="62"/>
  <c r="AP63" i="62"/>
  <c r="AQ63" i="62"/>
  <c r="AR63" i="62"/>
  <c r="AS63" i="62"/>
  <c r="AT63" i="62"/>
  <c r="AU63" i="62"/>
  <c r="AV63" i="62"/>
  <c r="AW63" i="62"/>
  <c r="AX63" i="62"/>
  <c r="AY63" i="62"/>
  <c r="BA63" i="62"/>
  <c r="BB63" i="62"/>
  <c r="P58" i="62"/>
  <c r="P63" i="62" s="1"/>
  <c r="AU58" i="62"/>
  <c r="H81" i="65"/>
  <c r="F81" i="65" s="1"/>
  <c r="H119" i="65" l="1"/>
  <c r="F119" i="65" s="1"/>
  <c r="H120" i="65"/>
  <c r="F120" i="65" s="1"/>
  <c r="H121" i="65"/>
  <c r="F121" i="65" s="1"/>
  <c r="H118" i="65"/>
  <c r="F118" i="65" s="1"/>
  <c r="D12" i="2" l="1"/>
  <c r="F26" i="49"/>
  <c r="D26" i="49"/>
  <c r="D22" i="49"/>
  <c r="C22" i="49"/>
  <c r="F22" i="49" s="1"/>
  <c r="K94" i="65"/>
  <c r="H77" i="65"/>
  <c r="F77" i="65" s="1"/>
  <c r="H82" i="65"/>
  <c r="F82" i="65" s="1"/>
  <c r="H76" i="65"/>
  <c r="F76" i="65" s="1"/>
  <c r="K88" i="65"/>
  <c r="F46" i="49" l="1"/>
  <c r="E51" i="49"/>
  <c r="E50" i="49"/>
  <c r="E49" i="49"/>
  <c r="E48" i="49"/>
  <c r="C47" i="49"/>
  <c r="F47" i="49" s="1"/>
  <c r="C46" i="49"/>
  <c r="D51" i="49"/>
  <c r="D50" i="49"/>
  <c r="D49" i="49"/>
  <c r="D48" i="49"/>
  <c r="C51" i="49"/>
  <c r="C50" i="49"/>
  <c r="C49" i="49"/>
  <c r="C48" i="49"/>
  <c r="D25" i="49"/>
  <c r="D24" i="49"/>
  <c r="C25" i="49"/>
  <c r="D23" i="49"/>
  <c r="D21" i="49"/>
  <c r="D20" i="49"/>
  <c r="D19" i="49"/>
  <c r="D18" i="49"/>
  <c r="C20" i="49"/>
  <c r="F20" i="49" s="1"/>
  <c r="C19" i="49"/>
  <c r="F19" i="49" s="1"/>
  <c r="C18" i="49"/>
  <c r="E2" i="46"/>
  <c r="H149" i="98"/>
  <c r="N149" i="98"/>
  <c r="O149" i="98"/>
  <c r="Q149" i="98"/>
  <c r="R149" i="98"/>
  <c r="S149" i="98"/>
  <c r="V149" i="98"/>
  <c r="U149" i="98"/>
  <c r="T149" i="98"/>
  <c r="P149" i="98"/>
  <c r="M149" i="98"/>
  <c r="K149" i="98"/>
  <c r="G149" i="98"/>
  <c r="F148" i="98"/>
  <c r="D148" i="98" s="1"/>
  <c r="F147" i="98"/>
  <c r="D147" i="98" s="1"/>
  <c r="F146" i="98"/>
  <c r="D146" i="98" s="1"/>
  <c r="F145" i="98"/>
  <c r="D145" i="98" s="1"/>
  <c r="F144" i="98"/>
  <c r="D144" i="98" s="1"/>
  <c r="F143" i="98"/>
  <c r="D143" i="98" s="1"/>
  <c r="F142" i="98"/>
  <c r="D142" i="98" s="1"/>
  <c r="F141" i="98"/>
  <c r="D141" i="98" s="1"/>
  <c r="F140" i="98"/>
  <c r="D140" i="98" s="1"/>
  <c r="F139" i="98"/>
  <c r="D139" i="98" s="1"/>
  <c r="F138" i="98"/>
  <c r="D138" i="98" s="1"/>
  <c r="F137" i="98"/>
  <c r="D137" i="98" s="1"/>
  <c r="F136" i="98"/>
  <c r="D136" i="98" s="1"/>
  <c r="F135" i="98"/>
  <c r="D135" i="98" s="1"/>
  <c r="F134" i="98"/>
  <c r="D134" i="98" s="1"/>
  <c r="F133" i="98"/>
  <c r="D133" i="98" s="1"/>
  <c r="F132" i="98"/>
  <c r="D132" i="98" s="1"/>
  <c r="F131" i="98"/>
  <c r="D131" i="98" s="1"/>
  <c r="F130" i="98"/>
  <c r="D130" i="98" s="1"/>
  <c r="F129" i="98"/>
  <c r="D129" i="98" s="1"/>
  <c r="F128" i="98"/>
  <c r="D128" i="98" s="1"/>
  <c r="F127" i="98"/>
  <c r="D127" i="98" s="1"/>
  <c r="F126" i="98"/>
  <c r="D126" i="98" s="1"/>
  <c r="F125" i="98"/>
  <c r="D125" i="98" s="1"/>
  <c r="F124" i="98"/>
  <c r="D124" i="98" s="1"/>
  <c r="F123" i="98"/>
  <c r="D123" i="98" s="1"/>
  <c r="F121" i="98"/>
  <c r="D121" i="98" s="1"/>
  <c r="F120" i="98"/>
  <c r="D120" i="98" s="1"/>
  <c r="F119" i="98"/>
  <c r="D119" i="98" s="1"/>
  <c r="F118" i="98"/>
  <c r="D118" i="98" s="1"/>
  <c r="F117" i="98"/>
  <c r="D117" i="98" s="1"/>
  <c r="F116" i="98"/>
  <c r="D116" i="98" s="1"/>
  <c r="F115" i="98"/>
  <c r="D115" i="98" s="1"/>
  <c r="F114" i="98"/>
  <c r="D114" i="98" s="1"/>
  <c r="F113" i="98"/>
  <c r="D113" i="98" s="1"/>
  <c r="F112" i="98"/>
  <c r="D112" i="98" s="1"/>
  <c r="F111" i="98"/>
  <c r="D111" i="98" s="1"/>
  <c r="F108" i="98"/>
  <c r="D108" i="98" s="1"/>
  <c r="F107" i="98"/>
  <c r="D107" i="98" s="1"/>
  <c r="F106" i="98"/>
  <c r="D106" i="98" s="1"/>
  <c r="F105" i="98"/>
  <c r="D105" i="98" s="1"/>
  <c r="F99" i="98"/>
  <c r="D99" i="98" s="1"/>
  <c r="F98" i="98"/>
  <c r="D98" i="98" s="1"/>
  <c r="F96" i="98"/>
  <c r="D96" i="98" s="1"/>
  <c r="F95" i="98"/>
  <c r="D95" i="98" s="1"/>
  <c r="F94" i="98"/>
  <c r="D94" i="98" s="1"/>
  <c r="F93" i="98"/>
  <c r="D93" i="98" s="1"/>
  <c r="F92" i="98"/>
  <c r="F91" i="98"/>
  <c r="F90" i="98"/>
  <c r="D90" i="98" s="1"/>
  <c r="F89" i="98"/>
  <c r="D89" i="98" s="1"/>
  <c r="F88" i="98"/>
  <c r="D88" i="98" s="1"/>
  <c r="F87" i="98"/>
  <c r="D87" i="98" s="1"/>
  <c r="F86" i="98"/>
  <c r="D86" i="98" s="1"/>
  <c r="F85" i="98"/>
  <c r="D85" i="98" s="1"/>
  <c r="F84" i="98"/>
  <c r="D84" i="98" s="1"/>
  <c r="F83" i="98"/>
  <c r="D83" i="98" s="1"/>
  <c r="F82" i="98"/>
  <c r="D82" i="98" s="1"/>
  <c r="F81" i="98"/>
  <c r="D81" i="98" s="1"/>
  <c r="F80" i="98"/>
  <c r="F79" i="98"/>
  <c r="D79" i="98" s="1"/>
  <c r="F78" i="98"/>
  <c r="D78" i="98" s="1"/>
  <c r="F77" i="98"/>
  <c r="D77" i="98" s="1"/>
  <c r="F76" i="98"/>
  <c r="D76" i="98" s="1"/>
  <c r="F75" i="98"/>
  <c r="D75" i="98" s="1"/>
  <c r="F74" i="98"/>
  <c r="D74" i="98" s="1"/>
  <c r="F73" i="98"/>
  <c r="D73" i="98" s="1"/>
  <c r="F72" i="98"/>
  <c r="D72" i="98" s="1"/>
  <c r="F71" i="98"/>
  <c r="D71" i="98" s="1"/>
  <c r="F70" i="98"/>
  <c r="D70" i="98" s="1"/>
  <c r="F69" i="98"/>
  <c r="D69" i="98" s="1"/>
  <c r="I68" i="98"/>
  <c r="F68" i="98" s="1"/>
  <c r="D68" i="98" s="1"/>
  <c r="F67" i="98"/>
  <c r="D67" i="98" s="1"/>
  <c r="F66" i="98"/>
  <c r="F63" i="98"/>
  <c r="D63" i="98" s="1"/>
  <c r="F62" i="98"/>
  <c r="D62" i="98" s="1"/>
  <c r="F61" i="98"/>
  <c r="D61" i="98" s="1"/>
  <c r="F58" i="98"/>
  <c r="D58" i="98" s="1"/>
  <c r="F57" i="98"/>
  <c r="D57" i="98" s="1"/>
  <c r="F56" i="98"/>
  <c r="D56" i="98" s="1"/>
  <c r="F55" i="98"/>
  <c r="D55" i="98" s="1"/>
  <c r="F54" i="98"/>
  <c r="D54" i="98" s="1"/>
  <c r="F53" i="98"/>
  <c r="D53" i="98" s="1"/>
  <c r="F52" i="98"/>
  <c r="D52" i="98" s="1"/>
  <c r="F51" i="98"/>
  <c r="D51" i="98" s="1"/>
  <c r="F50" i="98"/>
  <c r="D50" i="98" s="1"/>
  <c r="F49" i="98"/>
  <c r="D49" i="98" s="1"/>
  <c r="F47" i="98"/>
  <c r="D47" i="98" s="1"/>
  <c r="F46" i="98"/>
  <c r="D46" i="98" s="1"/>
  <c r="F45" i="98"/>
  <c r="F44" i="98"/>
  <c r="F43" i="98"/>
  <c r="D43" i="98" s="1"/>
  <c r="F42" i="98"/>
  <c r="D42" i="98" s="1"/>
  <c r="F41" i="98"/>
  <c r="D41" i="98" s="1"/>
  <c r="I40" i="98"/>
  <c r="F40" i="98" s="1"/>
  <c r="D40" i="98" s="1"/>
  <c r="J39" i="98"/>
  <c r="F39" i="98" s="1"/>
  <c r="D39" i="98" s="1"/>
  <c r="F38" i="98"/>
  <c r="D38" i="98" s="1"/>
  <c r="F37" i="98"/>
  <c r="D37" i="98" s="1"/>
  <c r="F36" i="98"/>
  <c r="D36" i="98" s="1"/>
  <c r="L32" i="98"/>
  <c r="F32" i="98" s="1"/>
  <c r="E32" i="98"/>
  <c r="F28" i="98"/>
  <c r="D28" i="98" s="1"/>
  <c r="F27" i="98"/>
  <c r="D27" i="98" s="1"/>
  <c r="F26" i="98"/>
  <c r="D26" i="98" s="1"/>
  <c r="F25" i="98"/>
  <c r="D25" i="98" s="1"/>
  <c r="F24" i="98"/>
  <c r="D24" i="98" s="1"/>
  <c r="F23" i="98"/>
  <c r="D23" i="98" s="1"/>
  <c r="F22" i="98"/>
  <c r="D22" i="98" s="1"/>
  <c r="F21" i="98"/>
  <c r="D21" i="98" s="1"/>
  <c r="F20" i="98"/>
  <c r="D20" i="98" s="1"/>
  <c r="F19" i="98"/>
  <c r="D19" i="98" s="1"/>
  <c r="F18" i="98"/>
  <c r="D18" i="98" s="1"/>
  <c r="F17" i="98"/>
  <c r="D17" i="98" s="1"/>
  <c r="F16" i="98"/>
  <c r="D16" i="98" s="1"/>
  <c r="F15" i="98"/>
  <c r="D15" i="98" s="1"/>
  <c r="F14" i="98"/>
  <c r="D14" i="98" s="1"/>
  <c r="F13" i="98"/>
  <c r="D13" i="98" s="1"/>
  <c r="F12" i="98"/>
  <c r="D32" i="98" l="1"/>
  <c r="I149" i="98"/>
  <c r="J149" i="98"/>
  <c r="F149" i="98"/>
  <c r="L149" i="98"/>
  <c r="D12" i="98"/>
  <c r="E149" i="98"/>
  <c r="G55" i="66"/>
  <c r="M40" i="66"/>
  <c r="I168" i="65"/>
  <c r="J168" i="65"/>
  <c r="M168" i="65"/>
  <c r="O168" i="65"/>
  <c r="P168" i="65"/>
  <c r="Q168" i="65"/>
  <c r="R168" i="65"/>
  <c r="S168" i="65"/>
  <c r="T168" i="65"/>
  <c r="U168" i="65"/>
  <c r="V168" i="65"/>
  <c r="W168" i="65"/>
  <c r="X168" i="65"/>
  <c r="K85" i="65"/>
  <c r="H79" i="65"/>
  <c r="F79" i="65" s="1"/>
  <c r="H80" i="65"/>
  <c r="F80" i="65" s="1"/>
  <c r="H60" i="65"/>
  <c r="F60" i="65" s="1"/>
  <c r="D149" i="98" l="1"/>
  <c r="H166" i="65"/>
  <c r="F166" i="65" s="1"/>
  <c r="H141" i="65" l="1"/>
  <c r="H128" i="65"/>
  <c r="H116" i="65" l="1"/>
  <c r="F116" i="65" s="1"/>
  <c r="G95" i="96"/>
  <c r="E95" i="96" s="1"/>
  <c r="G94" i="96"/>
  <c r="E94" i="96" s="1"/>
  <c r="E13" i="66" l="1"/>
  <c r="F9" i="66" l="1"/>
  <c r="G9" i="66"/>
  <c r="H9" i="66"/>
  <c r="I9" i="66"/>
  <c r="J9" i="66"/>
  <c r="K9" i="66"/>
  <c r="L9" i="66"/>
  <c r="M9" i="66"/>
  <c r="N9" i="66"/>
  <c r="O9" i="66"/>
  <c r="E9" i="66"/>
  <c r="P54" i="66"/>
  <c r="AA28" i="62"/>
  <c r="H13" i="65" l="1"/>
  <c r="H14" i="65"/>
  <c r="H16" i="65"/>
  <c r="H17" i="65"/>
  <c r="H18" i="65"/>
  <c r="H19" i="65"/>
  <c r="H20" i="65"/>
  <c r="H21" i="65"/>
  <c r="H22" i="65"/>
  <c r="H23" i="65"/>
  <c r="H24" i="65"/>
  <c r="H25" i="65"/>
  <c r="H26" i="65"/>
  <c r="H27" i="65"/>
  <c r="H28" i="65"/>
  <c r="H33" i="65"/>
  <c r="H34" i="65"/>
  <c r="H35" i="65"/>
  <c r="H36" i="65"/>
  <c r="H39" i="65"/>
  <c r="H40" i="65"/>
  <c r="H41" i="65"/>
  <c r="H42" i="65"/>
  <c r="H43" i="65"/>
  <c r="H46" i="65"/>
  <c r="H47" i="65"/>
  <c r="H131" i="65"/>
  <c r="H49" i="65"/>
  <c r="H50" i="65"/>
  <c r="H51" i="65"/>
  <c r="H52" i="65"/>
  <c r="H53" i="65"/>
  <c r="H54" i="65"/>
  <c r="H55" i="65"/>
  <c r="H133" i="65"/>
  <c r="H56" i="65"/>
  <c r="H129" i="65"/>
  <c r="H130" i="65"/>
  <c r="H132" i="65"/>
  <c r="H134" i="65"/>
  <c r="H135" i="65"/>
  <c r="H136" i="65"/>
  <c r="H137" i="65"/>
  <c r="H138" i="65"/>
  <c r="H139" i="65"/>
  <c r="H140" i="65"/>
  <c r="H57" i="65"/>
  <c r="H142" i="65"/>
  <c r="H143" i="65"/>
  <c r="H58" i="65"/>
  <c r="H144" i="65"/>
  <c r="H145" i="65"/>
  <c r="H146" i="65"/>
  <c r="H147" i="65"/>
  <c r="H148" i="65"/>
  <c r="H149" i="65"/>
  <c r="H150" i="65"/>
  <c r="H151" i="65"/>
  <c r="H152" i="65"/>
  <c r="H153" i="65"/>
  <c r="H154" i="65"/>
  <c r="H155" i="65"/>
  <c r="H156" i="65"/>
  <c r="H157" i="65"/>
  <c r="H158" i="65"/>
  <c r="H159" i="65"/>
  <c r="H59" i="65"/>
  <c r="H160" i="65"/>
  <c r="H161" i="65"/>
  <c r="H162" i="65"/>
  <c r="H163" i="65"/>
  <c r="H15" i="65"/>
  <c r="H167" i="65"/>
  <c r="H164" i="65"/>
  <c r="H165" i="65"/>
  <c r="H62" i="65"/>
  <c r="H69" i="65"/>
  <c r="H70" i="65"/>
  <c r="H71" i="65"/>
  <c r="H72" i="65"/>
  <c r="H73" i="65"/>
  <c r="H74" i="65"/>
  <c r="H75" i="65"/>
  <c r="H78" i="65"/>
  <c r="H84" i="65"/>
  <c r="H85" i="65"/>
  <c r="H86" i="65"/>
  <c r="H87" i="65"/>
  <c r="H88" i="65"/>
  <c r="H89" i="65"/>
  <c r="H90" i="65"/>
  <c r="H91" i="65"/>
  <c r="H92" i="65"/>
  <c r="H93" i="65"/>
  <c r="H94" i="65"/>
  <c r="H95" i="65"/>
  <c r="H96" i="65"/>
  <c r="H97" i="65"/>
  <c r="H98" i="65"/>
  <c r="H99" i="65"/>
  <c r="H100" i="65"/>
  <c r="H101" i="65"/>
  <c r="H102" i="65"/>
  <c r="H103" i="65"/>
  <c r="H104" i="65"/>
  <c r="H105" i="65"/>
  <c r="H106" i="65"/>
  <c r="H107" i="65"/>
  <c r="H108" i="65"/>
  <c r="H109" i="65"/>
  <c r="H110" i="65"/>
  <c r="H111" i="65"/>
  <c r="H112" i="65"/>
  <c r="H113" i="65"/>
  <c r="H122" i="65"/>
  <c r="F122" i="65" s="1"/>
  <c r="H123" i="65"/>
  <c r="F123" i="65" s="1"/>
  <c r="H115" i="65"/>
  <c r="F115" i="65" s="1"/>
  <c r="C14" i="49" s="1"/>
  <c r="H124" i="65"/>
  <c r="F124" i="65" s="1"/>
  <c r="H125" i="65"/>
  <c r="F125" i="65" s="1"/>
  <c r="H117" i="65"/>
  <c r="F117" i="65" s="1"/>
  <c r="C15" i="49" s="1"/>
  <c r="H126" i="65"/>
  <c r="F126" i="65" s="1"/>
  <c r="F72" i="65" l="1"/>
  <c r="F78" i="65" l="1"/>
  <c r="F8" i="81" l="1"/>
  <c r="G8" i="81"/>
  <c r="H8" i="81"/>
  <c r="I8" i="81"/>
  <c r="J8" i="81"/>
  <c r="K8" i="81"/>
  <c r="L8" i="81"/>
  <c r="M8" i="81"/>
  <c r="N8" i="81"/>
  <c r="O8" i="81"/>
  <c r="E8" i="81"/>
  <c r="K14" i="96" l="1"/>
  <c r="K96" i="96" s="1"/>
  <c r="H96" i="96"/>
  <c r="I96" i="96"/>
  <c r="L96" i="96"/>
  <c r="M96" i="96"/>
  <c r="N96" i="96"/>
  <c r="O96" i="96"/>
  <c r="P96" i="96"/>
  <c r="Q96" i="96"/>
  <c r="S96" i="96"/>
  <c r="T96" i="96"/>
  <c r="V96" i="96"/>
  <c r="G93" i="96"/>
  <c r="E93" i="96" s="1"/>
  <c r="J90" i="96"/>
  <c r="G90" i="96" s="1"/>
  <c r="E90" i="96" s="1"/>
  <c r="G89" i="96"/>
  <c r="E89" i="96" s="1"/>
  <c r="G91" i="96"/>
  <c r="E91" i="96" s="1"/>
  <c r="G92" i="96"/>
  <c r="E92" i="96" s="1"/>
  <c r="J96" i="96" l="1"/>
  <c r="F32" i="66" l="1"/>
  <c r="F22" i="66" s="1"/>
  <c r="G32" i="66"/>
  <c r="G22" i="66" s="1"/>
  <c r="H32" i="66"/>
  <c r="H22" i="66" s="1"/>
  <c r="I32" i="66"/>
  <c r="I22" i="66" s="1"/>
  <c r="I8" i="66" s="1"/>
  <c r="J32" i="66"/>
  <c r="J22" i="66" s="1"/>
  <c r="J8" i="66" s="1"/>
  <c r="K32" i="66"/>
  <c r="L32" i="66"/>
  <c r="M32" i="66"/>
  <c r="M22" i="66" s="1"/>
  <c r="M8" i="66" s="1"/>
  <c r="N32" i="66"/>
  <c r="N22" i="66" s="1"/>
  <c r="N8" i="66" s="1"/>
  <c r="O32" i="66"/>
  <c r="E32" i="66"/>
  <c r="E22" i="66" s="1"/>
  <c r="L38" i="65"/>
  <c r="H38" i="65" s="1"/>
  <c r="L22" i="66" l="1"/>
  <c r="L8" i="66" s="1"/>
  <c r="O22" i="66"/>
  <c r="O8" i="66" s="1"/>
  <c r="K22" i="66"/>
  <c r="K8" i="66" s="1"/>
  <c r="G8" i="66"/>
  <c r="H8" i="66"/>
  <c r="F8" i="66"/>
  <c r="D9" i="66"/>
  <c r="D22" i="66" l="1"/>
  <c r="G14" i="96"/>
  <c r="G15" i="96"/>
  <c r="E15" i="96" s="1"/>
  <c r="G16" i="96"/>
  <c r="E16" i="96" s="1"/>
  <c r="G17" i="96"/>
  <c r="G19" i="96"/>
  <c r="E19" i="96" s="1"/>
  <c r="G20" i="96"/>
  <c r="E20" i="96" s="1"/>
  <c r="G21" i="96"/>
  <c r="E21" i="96" s="1"/>
  <c r="G22" i="96"/>
  <c r="E22" i="96" s="1"/>
  <c r="G23" i="96"/>
  <c r="E23" i="96" s="1"/>
  <c r="G24" i="96"/>
  <c r="E24" i="96" s="1"/>
  <c r="G25" i="96"/>
  <c r="E25" i="96" s="1"/>
  <c r="G26" i="96"/>
  <c r="E26" i="96" s="1"/>
  <c r="G27" i="96"/>
  <c r="E27" i="96" s="1"/>
  <c r="G28" i="96"/>
  <c r="E28" i="96" s="1"/>
  <c r="G29" i="96"/>
  <c r="E29" i="96" s="1"/>
  <c r="G30" i="96"/>
  <c r="E30" i="96" s="1"/>
  <c r="G31" i="96"/>
  <c r="E31" i="96" s="1"/>
  <c r="G32" i="96"/>
  <c r="E32" i="96" s="1"/>
  <c r="G33" i="96"/>
  <c r="E33" i="96" s="1"/>
  <c r="G34" i="96"/>
  <c r="E34" i="96" s="1"/>
  <c r="G35" i="96"/>
  <c r="E35" i="96" s="1"/>
  <c r="G36" i="96"/>
  <c r="E36" i="96" s="1"/>
  <c r="G37" i="96"/>
  <c r="E37" i="96" s="1"/>
  <c r="G38" i="96"/>
  <c r="E38" i="96" s="1"/>
  <c r="G39" i="96"/>
  <c r="E39" i="96" s="1"/>
  <c r="G40" i="96"/>
  <c r="E40" i="96" s="1"/>
  <c r="G41" i="96"/>
  <c r="E41" i="96" s="1"/>
  <c r="G42" i="96"/>
  <c r="E42" i="96" s="1"/>
  <c r="G43" i="96"/>
  <c r="E43" i="96" s="1"/>
  <c r="G44" i="96"/>
  <c r="E44" i="96" s="1"/>
  <c r="G45" i="96"/>
  <c r="E45" i="96" s="1"/>
  <c r="G46" i="96"/>
  <c r="E46" i="96" s="1"/>
  <c r="G47" i="96"/>
  <c r="E47" i="96" s="1"/>
  <c r="G48" i="96"/>
  <c r="E48" i="96" s="1"/>
  <c r="G49" i="96"/>
  <c r="E49" i="96" s="1"/>
  <c r="G50" i="96"/>
  <c r="E50" i="96" s="1"/>
  <c r="G51" i="96"/>
  <c r="E51" i="96" s="1"/>
  <c r="G52" i="96"/>
  <c r="E52" i="96" s="1"/>
  <c r="G53" i="96"/>
  <c r="E53" i="96" s="1"/>
  <c r="G54" i="96"/>
  <c r="E54" i="96" s="1"/>
  <c r="G55" i="96"/>
  <c r="E55" i="96" s="1"/>
  <c r="G56" i="96"/>
  <c r="E56" i="96" s="1"/>
  <c r="G57" i="96"/>
  <c r="E57" i="96" s="1"/>
  <c r="G58" i="96"/>
  <c r="E58" i="96" s="1"/>
  <c r="G59" i="96"/>
  <c r="E59" i="96" s="1"/>
  <c r="G60" i="96"/>
  <c r="E60" i="96" s="1"/>
  <c r="G61" i="96"/>
  <c r="E61" i="96" s="1"/>
  <c r="G62" i="96"/>
  <c r="E62" i="96" s="1"/>
  <c r="G63" i="96"/>
  <c r="E63" i="96" s="1"/>
  <c r="G64" i="96"/>
  <c r="E64" i="96" s="1"/>
  <c r="G65" i="96"/>
  <c r="E65" i="96" s="1"/>
  <c r="G66" i="96"/>
  <c r="E66" i="96" s="1"/>
  <c r="G67" i="96"/>
  <c r="G68" i="96"/>
  <c r="E68" i="96" s="1"/>
  <c r="G69" i="96"/>
  <c r="E69" i="96" s="1"/>
  <c r="G70" i="96"/>
  <c r="E70" i="96" s="1"/>
  <c r="G71" i="96"/>
  <c r="E71" i="96" s="1"/>
  <c r="G72" i="96"/>
  <c r="E72" i="96" s="1"/>
  <c r="G73" i="96"/>
  <c r="E73" i="96" s="1"/>
  <c r="G74" i="96"/>
  <c r="E74" i="96" s="1"/>
  <c r="G75" i="96"/>
  <c r="E75" i="96" s="1"/>
  <c r="G76" i="96"/>
  <c r="E76" i="96" s="1"/>
  <c r="G77" i="96"/>
  <c r="E77" i="96" s="1"/>
  <c r="G78" i="96"/>
  <c r="E78" i="96" s="1"/>
  <c r="G79" i="96"/>
  <c r="E79" i="96" s="1"/>
  <c r="G80" i="96"/>
  <c r="E80" i="96" s="1"/>
  <c r="G81" i="96"/>
  <c r="E81" i="96" s="1"/>
  <c r="G82" i="96"/>
  <c r="E82" i="96" s="1"/>
  <c r="G83" i="96"/>
  <c r="E83" i="96" s="1"/>
  <c r="G84" i="96"/>
  <c r="E84" i="96" s="1"/>
  <c r="G85" i="96"/>
  <c r="E85" i="96" s="1"/>
  <c r="G86" i="96"/>
  <c r="E86" i="96" s="1"/>
  <c r="G87" i="96"/>
  <c r="E87" i="96" s="1"/>
  <c r="G12" i="96"/>
  <c r="G13" i="96"/>
  <c r="E13" i="96" s="1"/>
  <c r="E67" i="96" l="1"/>
  <c r="E12" i="96"/>
  <c r="G96" i="96"/>
  <c r="F14" i="96"/>
  <c r="F17" i="96"/>
  <c r="E17" i="96" s="1"/>
  <c r="L48" i="65"/>
  <c r="H48" i="65" s="1"/>
  <c r="E14" i="96" l="1"/>
  <c r="E96" i="96" s="1"/>
  <c r="F96" i="96"/>
  <c r="D29" i="3"/>
  <c r="H10" i="9" l="1"/>
  <c r="F75" i="65" l="1"/>
  <c r="F74" i="65"/>
  <c r="F71" i="65" l="1"/>
  <c r="F165" i="65" l="1"/>
  <c r="F164" i="65"/>
  <c r="F14" i="65" l="1"/>
  <c r="F167" i="65" l="1"/>
  <c r="F15" i="65"/>
  <c r="F136" i="65" l="1"/>
  <c r="F137" i="65"/>
  <c r="F138" i="65"/>
  <c r="F59" i="65"/>
  <c r="F160" i="65"/>
  <c r="F161" i="65"/>
  <c r="F162" i="65"/>
  <c r="F163" i="65"/>
  <c r="F69" i="65" l="1"/>
  <c r="F157" i="65" l="1"/>
  <c r="D117" i="96" l="1"/>
  <c r="F159" i="65"/>
  <c r="F148" i="65"/>
  <c r="F149" i="65"/>
  <c r="F150" i="65"/>
  <c r="F151" i="65"/>
  <c r="F152" i="65"/>
  <c r="F153" i="65"/>
  <c r="F154" i="65"/>
  <c r="F155" i="65"/>
  <c r="F156" i="65"/>
  <c r="F158" i="65"/>
  <c r="F143" i="65"/>
  <c r="F144" i="65"/>
  <c r="F145" i="65"/>
  <c r="F146" i="65"/>
  <c r="F147" i="65"/>
  <c r="F142" i="65"/>
  <c r="C34" i="49" l="1"/>
  <c r="S10" i="62" l="1"/>
  <c r="S28" i="62" l="1"/>
  <c r="D12" i="66" l="1"/>
  <c r="S11" i="66"/>
  <c r="E32" i="49" l="1"/>
  <c r="D34" i="49"/>
  <c r="F52" i="49"/>
  <c r="F51" i="49"/>
  <c r="F50" i="49"/>
  <c r="F49" i="49"/>
  <c r="F48" i="49"/>
  <c r="F25" i="49"/>
  <c r="C24" i="49"/>
  <c r="C23" i="49"/>
  <c r="F23" i="49" s="1"/>
  <c r="C21" i="49"/>
  <c r="F21" i="49" s="1"/>
  <c r="F18" i="49"/>
  <c r="F14" i="49"/>
  <c r="F15" i="49"/>
  <c r="C13" i="49"/>
  <c r="F13" i="49" s="1"/>
  <c r="C12" i="49"/>
  <c r="F12" i="49" s="1"/>
  <c r="C11" i="49"/>
  <c r="F11" i="49" s="1"/>
  <c r="C10" i="49"/>
  <c r="F10" i="49" s="1"/>
  <c r="C9" i="49"/>
  <c r="F9" i="49" s="1"/>
  <c r="C8" i="49"/>
  <c r="F8" i="49" s="1"/>
  <c r="C7" i="49"/>
  <c r="F7" i="49" s="1"/>
  <c r="C6" i="49"/>
  <c r="F6" i="49" s="1"/>
  <c r="C4" i="49"/>
  <c r="F4" i="49" s="1"/>
  <c r="C5" i="49"/>
  <c r="F5" i="49" s="1"/>
  <c r="I28" i="62"/>
  <c r="I58" i="62" s="1"/>
  <c r="P28" i="62"/>
  <c r="BD23" i="62"/>
  <c r="BD25" i="62"/>
  <c r="W28" i="62"/>
  <c r="BD27" i="62"/>
  <c r="Z10" i="62"/>
  <c r="Z11" i="62"/>
  <c r="Z13" i="62"/>
  <c r="Z8" i="62"/>
  <c r="Z9" i="62"/>
  <c r="Z12" i="62"/>
  <c r="Z14" i="62"/>
  <c r="Z15" i="62"/>
  <c r="Z16" i="62"/>
  <c r="Z17" i="62"/>
  <c r="Z18" i="62"/>
  <c r="Z19" i="62"/>
  <c r="Z20" i="62"/>
  <c r="Z21" i="62"/>
  <c r="Z22" i="62"/>
  <c r="Z23" i="62"/>
  <c r="Z24" i="62"/>
  <c r="Z25" i="62"/>
  <c r="Z26" i="62"/>
  <c r="Z27" i="62"/>
  <c r="F28" i="62"/>
  <c r="F58" i="62" s="1"/>
  <c r="H28" i="62"/>
  <c r="J28" i="62"/>
  <c r="K28" i="62"/>
  <c r="L28" i="62"/>
  <c r="Q28" i="62"/>
  <c r="X28" i="62"/>
  <c r="BD32" i="62"/>
  <c r="BD33" i="62"/>
  <c r="BD34" i="62"/>
  <c r="BD35" i="62"/>
  <c r="BD36" i="62"/>
  <c r="D37" i="62"/>
  <c r="AI37" i="62" s="1"/>
  <c r="BD38" i="62"/>
  <c r="BD39" i="62"/>
  <c r="BD40" i="62"/>
  <c r="BD41" i="62"/>
  <c r="BD42" i="62"/>
  <c r="BD43" i="62"/>
  <c r="BD44" i="62"/>
  <c r="AQ28" i="62"/>
  <c r="AR28" i="62"/>
  <c r="AS28" i="62"/>
  <c r="AT28" i="62"/>
  <c r="AU28" i="62"/>
  <c r="AV28" i="62"/>
  <c r="AW28" i="62"/>
  <c r="AX28" i="62"/>
  <c r="AY28" i="62"/>
  <c r="AZ28" i="62"/>
  <c r="BA28" i="62"/>
  <c r="BB28" i="62"/>
  <c r="BC28" i="62"/>
  <c r="BD29" i="62"/>
  <c r="BD30" i="62"/>
  <c r="BD31" i="62"/>
  <c r="Z37" i="62"/>
  <c r="Z45" i="62"/>
  <c r="Z46" i="62"/>
  <c r="Z47" i="62"/>
  <c r="Z48" i="62"/>
  <c r="Z49" i="62"/>
  <c r="Z50" i="62"/>
  <c r="Z51" i="62"/>
  <c r="Z52" i="62"/>
  <c r="Z53" i="62"/>
  <c r="Z54" i="62"/>
  <c r="Z55" i="62"/>
  <c r="Z56" i="62"/>
  <c r="Z57" i="62"/>
  <c r="BD48" i="62"/>
  <c r="BD49" i="62"/>
  <c r="BD56" i="62"/>
  <c r="BD20" i="62"/>
  <c r="BD21" i="62"/>
  <c r="BD22" i="62"/>
  <c r="BD24" i="62"/>
  <c r="BD26" i="62"/>
  <c r="D45" i="62"/>
  <c r="AQ45" i="62" s="1"/>
  <c r="AQ58" i="62" s="1"/>
  <c r="BD45" i="62"/>
  <c r="BD46" i="62"/>
  <c r="BD47" i="62"/>
  <c r="BD50" i="62"/>
  <c r="BD51" i="62"/>
  <c r="D52" i="62"/>
  <c r="AX52" i="62" s="1"/>
  <c r="AX58" i="62" s="1"/>
  <c r="BD52" i="62"/>
  <c r="BD53" i="62"/>
  <c r="BD54" i="62"/>
  <c r="BD55" i="62"/>
  <c r="H12" i="65"/>
  <c r="F13" i="65"/>
  <c r="F16" i="65"/>
  <c r="F17" i="65"/>
  <c r="F18" i="65"/>
  <c r="F19" i="65"/>
  <c r="F20" i="65"/>
  <c r="F21" i="65"/>
  <c r="F22" i="65"/>
  <c r="F23" i="65"/>
  <c r="F24" i="65"/>
  <c r="F25" i="65"/>
  <c r="F26" i="65"/>
  <c r="F27" i="65"/>
  <c r="F28" i="65"/>
  <c r="N32" i="65"/>
  <c r="N168" i="65" s="1"/>
  <c r="G32" i="65"/>
  <c r="G168" i="65" s="1"/>
  <c r="F36" i="65"/>
  <c r="L37" i="65"/>
  <c r="F38" i="65"/>
  <c r="F39" i="65"/>
  <c r="F40" i="65"/>
  <c r="F41" i="65"/>
  <c r="F42" i="65"/>
  <c r="F43" i="65"/>
  <c r="L44" i="65"/>
  <c r="K45" i="65"/>
  <c r="F46" i="65"/>
  <c r="F47" i="65"/>
  <c r="F131" i="65"/>
  <c r="F48" i="65"/>
  <c r="F49" i="65"/>
  <c r="F50" i="65"/>
  <c r="F51" i="65"/>
  <c r="F52" i="65"/>
  <c r="F53" i="65"/>
  <c r="F54" i="65"/>
  <c r="F55" i="65"/>
  <c r="F133" i="65"/>
  <c r="F56" i="65"/>
  <c r="F129" i="65"/>
  <c r="F130" i="65"/>
  <c r="F132" i="65"/>
  <c r="F134" i="65"/>
  <c r="F135" i="65"/>
  <c r="F139" i="65"/>
  <c r="F140" i="65"/>
  <c r="F62" i="65"/>
  <c r="F70" i="65"/>
  <c r="F73" i="65"/>
  <c r="F84" i="65"/>
  <c r="F85" i="65"/>
  <c r="C16" i="49" s="1"/>
  <c r="F16" i="49" s="1"/>
  <c r="F86" i="65"/>
  <c r="F87" i="65"/>
  <c r="F88" i="65"/>
  <c r="F89" i="65"/>
  <c r="F90" i="65"/>
  <c r="F91" i="65"/>
  <c r="F92" i="65"/>
  <c r="F93" i="65"/>
  <c r="F94" i="65"/>
  <c r="F95" i="65"/>
  <c r="F96" i="65"/>
  <c r="F98" i="65"/>
  <c r="F99" i="65"/>
  <c r="F100" i="65"/>
  <c r="F101" i="65"/>
  <c r="F102" i="65"/>
  <c r="F103" i="65"/>
  <c r="F104" i="65"/>
  <c r="F105" i="65"/>
  <c r="F106" i="65"/>
  <c r="F107" i="65"/>
  <c r="F110" i="65"/>
  <c r="F111" i="65"/>
  <c r="F112" i="65"/>
  <c r="F113" i="65"/>
  <c r="E189" i="65"/>
  <c r="N14" i="2"/>
  <c r="N13" i="48"/>
  <c r="H13" i="66"/>
  <c r="G78" i="91"/>
  <c r="E78" i="91" s="1"/>
  <c r="G77" i="91"/>
  <c r="E77" i="91" s="1"/>
  <c r="G76" i="91"/>
  <c r="E76" i="91" s="1"/>
  <c r="G75" i="91"/>
  <c r="E75" i="91" s="1"/>
  <c r="G74" i="91"/>
  <c r="E74" i="91" s="1"/>
  <c r="G73" i="91"/>
  <c r="E73" i="91" s="1"/>
  <c r="G72" i="91"/>
  <c r="E72" i="91" s="1"/>
  <c r="G71" i="91"/>
  <c r="E71" i="91" s="1"/>
  <c r="G70" i="91"/>
  <c r="E70" i="91" s="1"/>
  <c r="G69" i="91"/>
  <c r="E69" i="91" s="1"/>
  <c r="G68" i="91"/>
  <c r="E68" i="91" s="1"/>
  <c r="G67" i="91"/>
  <c r="E67" i="91" s="1"/>
  <c r="G66" i="91"/>
  <c r="E66" i="91" s="1"/>
  <c r="G65" i="91"/>
  <c r="E65" i="91" s="1"/>
  <c r="G64" i="91"/>
  <c r="E64" i="91" s="1"/>
  <c r="G63" i="91"/>
  <c r="E63" i="91" s="1"/>
  <c r="G62" i="91"/>
  <c r="E62" i="91" s="1"/>
  <c r="G61" i="91"/>
  <c r="E61" i="91" s="1"/>
  <c r="G60" i="91"/>
  <c r="E60" i="91" s="1"/>
  <c r="G59" i="91"/>
  <c r="E59" i="91" s="1"/>
  <c r="G58" i="91"/>
  <c r="E58" i="91" s="1"/>
  <c r="G57" i="91"/>
  <c r="E57" i="91" s="1"/>
  <c r="G56" i="91"/>
  <c r="E56" i="91" s="1"/>
  <c r="G55" i="91"/>
  <c r="E55" i="91" s="1"/>
  <c r="G54" i="91"/>
  <c r="E54" i="91" s="1"/>
  <c r="G53" i="91"/>
  <c r="E53" i="91" s="1"/>
  <c r="G52" i="91"/>
  <c r="E52" i="91" s="1"/>
  <c r="G51" i="91"/>
  <c r="E51" i="91" s="1"/>
  <c r="G50" i="91"/>
  <c r="E50" i="91" s="1"/>
  <c r="G49" i="91"/>
  <c r="E49" i="91" s="1"/>
  <c r="G48" i="91"/>
  <c r="E48" i="91" s="1"/>
  <c r="G47" i="91"/>
  <c r="E47" i="91" s="1"/>
  <c r="G46" i="91"/>
  <c r="E46" i="91" s="1"/>
  <c r="G45" i="91"/>
  <c r="E45" i="91" s="1"/>
  <c r="G44" i="91"/>
  <c r="E44" i="91" s="1"/>
  <c r="G43" i="91"/>
  <c r="E43" i="91" s="1"/>
  <c r="G42" i="91"/>
  <c r="E42" i="91" s="1"/>
  <c r="G41" i="91"/>
  <c r="E41" i="91" s="1"/>
  <c r="G40" i="91"/>
  <c r="E40" i="91" s="1"/>
  <c r="G39" i="91"/>
  <c r="E39" i="91" s="1"/>
  <c r="G38" i="91"/>
  <c r="E38" i="91" s="1"/>
  <c r="G37" i="91"/>
  <c r="E37" i="91" s="1"/>
  <c r="G36" i="91"/>
  <c r="E36" i="91" s="1"/>
  <c r="G35" i="91"/>
  <c r="E35" i="91" s="1"/>
  <c r="G34" i="91"/>
  <c r="E34" i="91" s="1"/>
  <c r="G33" i="91"/>
  <c r="E33" i="91" s="1"/>
  <c r="G32" i="91"/>
  <c r="E32" i="91" s="1"/>
  <c r="G31" i="91"/>
  <c r="E31" i="91" s="1"/>
  <c r="G30" i="91"/>
  <c r="E30" i="91" s="1"/>
  <c r="G29" i="91"/>
  <c r="E29" i="91" s="1"/>
  <c r="G28" i="91"/>
  <c r="E28" i="91" s="1"/>
  <c r="G27" i="91"/>
  <c r="E27" i="91" s="1"/>
  <c r="G26" i="91"/>
  <c r="E26" i="91" s="1"/>
  <c r="G25" i="91"/>
  <c r="E25" i="91" s="1"/>
  <c r="G24" i="91"/>
  <c r="E24" i="91" s="1"/>
  <c r="G23" i="91"/>
  <c r="E23" i="91" s="1"/>
  <c r="G22" i="91"/>
  <c r="E22" i="91" s="1"/>
  <c r="G21" i="91"/>
  <c r="E21" i="91" s="1"/>
  <c r="G20" i="91"/>
  <c r="G19" i="91"/>
  <c r="E19" i="91" s="1"/>
  <c r="L86" i="91"/>
  <c r="U80" i="91"/>
  <c r="T80" i="91"/>
  <c r="S80" i="91"/>
  <c r="R80" i="91"/>
  <c r="Q80" i="91"/>
  <c r="P80" i="91"/>
  <c r="O80" i="91"/>
  <c r="M80" i="91"/>
  <c r="L80" i="91"/>
  <c r="J80" i="91"/>
  <c r="I80" i="91"/>
  <c r="H80" i="91"/>
  <c r="N80" i="91"/>
  <c r="F80" i="91"/>
  <c r="K80" i="91"/>
  <c r="D14" i="66"/>
  <c r="D28" i="47"/>
  <c r="C27" i="49" s="1"/>
  <c r="F27" i="49" s="1"/>
  <c r="D26" i="47"/>
  <c r="D24" i="47"/>
  <c r="D50" i="47"/>
  <c r="D49" i="47"/>
  <c r="D54" i="66"/>
  <c r="C44" i="49"/>
  <c r="F44" i="49" s="1"/>
  <c r="C43" i="49"/>
  <c r="F43" i="49" s="1"/>
  <c r="C41" i="49"/>
  <c r="C40" i="49"/>
  <c r="F40" i="49" s="1"/>
  <c r="C38" i="49"/>
  <c r="F38" i="49" s="1"/>
  <c r="C37" i="49"/>
  <c r="F37" i="49" s="1"/>
  <c r="C35" i="49"/>
  <c r="C53" i="49" s="1"/>
  <c r="L58" i="62"/>
  <c r="G28" i="62"/>
  <c r="G58" i="62"/>
  <c r="H58" i="62"/>
  <c r="J58" i="62"/>
  <c r="K58" i="62"/>
  <c r="M28" i="62"/>
  <c r="M58" i="62"/>
  <c r="N58" i="62"/>
  <c r="O58" i="62"/>
  <c r="H8" i="82"/>
  <c r="I10" i="85"/>
  <c r="J10" i="85"/>
  <c r="K10" i="85"/>
  <c r="L10" i="85"/>
  <c r="M10" i="85"/>
  <c r="N10" i="85"/>
  <c r="O10" i="85"/>
  <c r="P10" i="85"/>
  <c r="Q10" i="85"/>
  <c r="R10" i="85"/>
  <c r="S10" i="85"/>
  <c r="I11" i="85"/>
  <c r="J11" i="85"/>
  <c r="K11" i="85"/>
  <c r="L11" i="85"/>
  <c r="M11" i="85"/>
  <c r="N11" i="85"/>
  <c r="O11" i="85"/>
  <c r="P11" i="85"/>
  <c r="Q11" i="85"/>
  <c r="R11" i="85"/>
  <c r="S11" i="85"/>
  <c r="H13" i="27"/>
  <c r="L11" i="1" s="1"/>
  <c r="I13" i="27"/>
  <c r="M11" i="1" s="1"/>
  <c r="L13" i="27"/>
  <c r="P11" i="1" s="1"/>
  <c r="I12" i="85"/>
  <c r="J12" i="85"/>
  <c r="K12" i="85"/>
  <c r="L12" i="85"/>
  <c r="M12" i="85"/>
  <c r="N12" i="85"/>
  <c r="O12" i="85"/>
  <c r="P12" i="85"/>
  <c r="Q12" i="85"/>
  <c r="R12" i="85"/>
  <c r="S12" i="85"/>
  <c r="I13" i="85"/>
  <c r="J13" i="85"/>
  <c r="K13" i="85"/>
  <c r="L13" i="85"/>
  <c r="M13" i="85"/>
  <c r="N13" i="85"/>
  <c r="O13" i="85"/>
  <c r="P13" i="85"/>
  <c r="Q13" i="85"/>
  <c r="R13" i="85"/>
  <c r="S13" i="85"/>
  <c r="I14" i="85"/>
  <c r="J14" i="85"/>
  <c r="K14" i="85"/>
  <c r="L14" i="85"/>
  <c r="M14" i="85"/>
  <c r="N14" i="85"/>
  <c r="O14" i="85"/>
  <c r="O17" i="85"/>
  <c r="P14" i="85"/>
  <c r="Q14" i="85"/>
  <c r="R14" i="85"/>
  <c r="S14" i="85"/>
  <c r="S17" i="85"/>
  <c r="I15" i="85"/>
  <c r="J15" i="85"/>
  <c r="K15" i="85"/>
  <c r="L15" i="85"/>
  <c r="M15" i="85"/>
  <c r="N15" i="85"/>
  <c r="O15" i="85"/>
  <c r="P15" i="85"/>
  <c r="Q15" i="85"/>
  <c r="R15" i="85"/>
  <c r="S15" i="85"/>
  <c r="I16" i="85"/>
  <c r="J16" i="85"/>
  <c r="K16" i="85"/>
  <c r="L16" i="85"/>
  <c r="M16" i="85"/>
  <c r="N16" i="85"/>
  <c r="O16" i="85"/>
  <c r="P16" i="85"/>
  <c r="Q16" i="85"/>
  <c r="R16" i="85"/>
  <c r="S16" i="85"/>
  <c r="I17" i="85"/>
  <c r="J17" i="85"/>
  <c r="K17" i="85"/>
  <c r="L17" i="85"/>
  <c r="M17" i="85"/>
  <c r="N17" i="85"/>
  <c r="P17" i="85"/>
  <c r="Q17" i="85"/>
  <c r="R17" i="85"/>
  <c r="I18" i="85"/>
  <c r="J18" i="85"/>
  <c r="K18" i="85"/>
  <c r="L18" i="85"/>
  <c r="M18" i="85"/>
  <c r="N18" i="85"/>
  <c r="O18" i="85"/>
  <c r="P18" i="85"/>
  <c r="Q18" i="85"/>
  <c r="R18" i="85"/>
  <c r="S18" i="85"/>
  <c r="I19" i="85"/>
  <c r="J19" i="85"/>
  <c r="K19" i="85"/>
  <c r="L19" i="85"/>
  <c r="M19" i="85"/>
  <c r="N19" i="85"/>
  <c r="O19" i="85"/>
  <c r="P19" i="85"/>
  <c r="Q19" i="85"/>
  <c r="R19" i="85"/>
  <c r="S19" i="85"/>
  <c r="I20" i="85"/>
  <c r="J20" i="85"/>
  <c r="K20" i="85"/>
  <c r="L20" i="85"/>
  <c r="M20" i="85"/>
  <c r="N20" i="85"/>
  <c r="O20" i="85"/>
  <c r="P20" i="85"/>
  <c r="Q20" i="85"/>
  <c r="R20" i="85"/>
  <c r="S20" i="85"/>
  <c r="I21" i="27"/>
  <c r="M19" i="1" s="1"/>
  <c r="L21" i="27"/>
  <c r="P19" i="1"/>
  <c r="I29" i="48"/>
  <c r="I20" i="48" s="1"/>
  <c r="J29" i="47"/>
  <c r="J20" i="47"/>
  <c r="E27" i="27"/>
  <c r="E29" i="47"/>
  <c r="H29" i="47"/>
  <c r="H20" i="47" s="1"/>
  <c r="H8" i="47"/>
  <c r="H8" i="48"/>
  <c r="I21" i="85"/>
  <c r="J21" i="85"/>
  <c r="K21" i="85"/>
  <c r="L21" i="85"/>
  <c r="M21" i="85"/>
  <c r="N21" i="85"/>
  <c r="O21" i="85"/>
  <c r="P21" i="85"/>
  <c r="Q21" i="85"/>
  <c r="R21" i="85"/>
  <c r="S21" i="85"/>
  <c r="I22" i="85"/>
  <c r="J22" i="85"/>
  <c r="K22" i="85"/>
  <c r="L22" i="85"/>
  <c r="M22" i="85"/>
  <c r="N22" i="85"/>
  <c r="O22" i="85"/>
  <c r="P22" i="85"/>
  <c r="Q22" i="85"/>
  <c r="R22" i="85"/>
  <c r="S22" i="85"/>
  <c r="I23" i="85"/>
  <c r="J23" i="85"/>
  <c r="K23" i="85"/>
  <c r="L23" i="85"/>
  <c r="M23" i="85"/>
  <c r="N23" i="85"/>
  <c r="O23" i="85"/>
  <c r="P23" i="85"/>
  <c r="Q23" i="85"/>
  <c r="R23" i="85"/>
  <c r="S23" i="85"/>
  <c r="I24" i="85"/>
  <c r="J24" i="85"/>
  <c r="K24" i="85"/>
  <c r="L24" i="85"/>
  <c r="M24" i="85"/>
  <c r="N24" i="85"/>
  <c r="O24" i="85"/>
  <c r="P24" i="85"/>
  <c r="Q24" i="85"/>
  <c r="R24" i="85"/>
  <c r="S24" i="85"/>
  <c r="I25" i="85"/>
  <c r="I68" i="85" s="1"/>
  <c r="J25" i="85"/>
  <c r="J68" i="85" s="1"/>
  <c r="K25" i="85"/>
  <c r="K68" i="85" s="1"/>
  <c r="L25" i="85"/>
  <c r="L68" i="85" s="1"/>
  <c r="M25" i="85"/>
  <c r="M68" i="85" s="1"/>
  <c r="N25" i="85"/>
  <c r="N68" i="85" s="1"/>
  <c r="O25" i="85"/>
  <c r="O68" i="85" s="1"/>
  <c r="P25" i="85"/>
  <c r="P68" i="85" s="1"/>
  <c r="Q25" i="85"/>
  <c r="Q68" i="85" s="1"/>
  <c r="R25" i="85"/>
  <c r="R68" i="85" s="1"/>
  <c r="S25" i="85"/>
  <c r="S68" i="85" s="1"/>
  <c r="I26" i="85"/>
  <c r="J26" i="85"/>
  <c r="K26" i="85"/>
  <c r="L26" i="85"/>
  <c r="M26" i="85"/>
  <c r="N26" i="85"/>
  <c r="O26" i="85"/>
  <c r="P26" i="85"/>
  <c r="Q26" i="85"/>
  <c r="R26" i="85"/>
  <c r="S26" i="85"/>
  <c r="I27" i="85"/>
  <c r="J27" i="85"/>
  <c r="K27" i="85"/>
  <c r="L27" i="85"/>
  <c r="M27" i="85"/>
  <c r="N27" i="85"/>
  <c r="O27" i="85"/>
  <c r="P27" i="85"/>
  <c r="Q27" i="85"/>
  <c r="R27" i="85"/>
  <c r="S27" i="85"/>
  <c r="I28" i="85"/>
  <c r="J28" i="85"/>
  <c r="K28" i="85"/>
  <c r="L28" i="85"/>
  <c r="M28" i="85"/>
  <c r="N28" i="85"/>
  <c r="O28" i="85"/>
  <c r="P28" i="85"/>
  <c r="Q28" i="85"/>
  <c r="R28" i="85"/>
  <c r="S28" i="85"/>
  <c r="I29" i="85"/>
  <c r="J29" i="85"/>
  <c r="K29" i="85"/>
  <c r="L29" i="85"/>
  <c r="M29" i="85"/>
  <c r="N29" i="85"/>
  <c r="O29" i="85"/>
  <c r="P29" i="85"/>
  <c r="Q29" i="85"/>
  <c r="R29" i="85"/>
  <c r="S29" i="85"/>
  <c r="I30" i="85"/>
  <c r="J30" i="85"/>
  <c r="K30" i="85"/>
  <c r="L30" i="85"/>
  <c r="M30" i="85"/>
  <c r="N30" i="85"/>
  <c r="O30" i="85"/>
  <c r="P30" i="85"/>
  <c r="Q30" i="85"/>
  <c r="R30" i="85"/>
  <c r="S30" i="85"/>
  <c r="I31" i="85"/>
  <c r="J31" i="85"/>
  <c r="K31" i="85"/>
  <c r="L31" i="85"/>
  <c r="M31" i="85"/>
  <c r="N31" i="85"/>
  <c r="O31" i="85"/>
  <c r="P31" i="85"/>
  <c r="Q31" i="85"/>
  <c r="R31" i="85"/>
  <c r="S31" i="85"/>
  <c r="I32" i="85"/>
  <c r="J32" i="85"/>
  <c r="K32" i="85"/>
  <c r="L32" i="85"/>
  <c r="M32" i="85"/>
  <c r="N32" i="85"/>
  <c r="O32" i="85"/>
  <c r="P32" i="85"/>
  <c r="Q32" i="85"/>
  <c r="R32" i="85"/>
  <c r="S32" i="85"/>
  <c r="I33" i="85"/>
  <c r="J33" i="85"/>
  <c r="K33" i="85"/>
  <c r="L33" i="85"/>
  <c r="M33" i="85"/>
  <c r="N33" i="85"/>
  <c r="O33" i="85"/>
  <c r="P33" i="85"/>
  <c r="Q33" i="85"/>
  <c r="R33" i="85"/>
  <c r="S33" i="85"/>
  <c r="I34" i="85"/>
  <c r="J34" i="85"/>
  <c r="K34" i="85"/>
  <c r="L34" i="85"/>
  <c r="M34" i="85"/>
  <c r="N34" i="85"/>
  <c r="O34" i="85"/>
  <c r="P34" i="85"/>
  <c r="Q34" i="85"/>
  <c r="R34" i="85"/>
  <c r="S34" i="85"/>
  <c r="I35" i="85"/>
  <c r="J35" i="85"/>
  <c r="K35" i="85"/>
  <c r="L35" i="85"/>
  <c r="M35" i="85"/>
  <c r="N35" i="85"/>
  <c r="O35" i="85"/>
  <c r="P35" i="85"/>
  <c r="Q35" i="85"/>
  <c r="R35" i="85"/>
  <c r="S35" i="85"/>
  <c r="I36" i="85"/>
  <c r="J36" i="85"/>
  <c r="K36" i="85"/>
  <c r="L36" i="85"/>
  <c r="M36" i="85"/>
  <c r="N36" i="85"/>
  <c r="O36" i="85"/>
  <c r="P36" i="85"/>
  <c r="Q36" i="85"/>
  <c r="R36" i="85"/>
  <c r="S36" i="85"/>
  <c r="I37" i="85"/>
  <c r="J37" i="85"/>
  <c r="K37" i="85"/>
  <c r="L37" i="85"/>
  <c r="M37" i="85"/>
  <c r="N37" i="85"/>
  <c r="O37" i="85"/>
  <c r="P37" i="85"/>
  <c r="Q37" i="85"/>
  <c r="R37" i="85"/>
  <c r="S37" i="85"/>
  <c r="I38" i="85"/>
  <c r="J38" i="85"/>
  <c r="K38" i="85"/>
  <c r="L38" i="85"/>
  <c r="M38" i="85"/>
  <c r="N38" i="85"/>
  <c r="O38" i="85"/>
  <c r="P38" i="85"/>
  <c r="Q38" i="85"/>
  <c r="R38" i="85"/>
  <c r="S38" i="85"/>
  <c r="I39" i="85"/>
  <c r="J39" i="85"/>
  <c r="K39" i="85"/>
  <c r="L39" i="85"/>
  <c r="M39" i="85"/>
  <c r="N39" i="85"/>
  <c r="O39" i="85"/>
  <c r="P39" i="85"/>
  <c r="Q39" i="85"/>
  <c r="R39" i="85"/>
  <c r="S39" i="85"/>
  <c r="I40" i="85"/>
  <c r="J40" i="85"/>
  <c r="K40" i="85"/>
  <c r="L40" i="85"/>
  <c r="M40" i="85"/>
  <c r="N40" i="85"/>
  <c r="O40" i="85"/>
  <c r="P40" i="85"/>
  <c r="Q40" i="85"/>
  <c r="R40" i="85"/>
  <c r="S40" i="85"/>
  <c r="I41" i="85"/>
  <c r="J41" i="85"/>
  <c r="K41" i="85"/>
  <c r="L41" i="85"/>
  <c r="M41" i="85"/>
  <c r="N41" i="85"/>
  <c r="O41" i="85"/>
  <c r="P41" i="85"/>
  <c r="Q41" i="85"/>
  <c r="R41" i="85"/>
  <c r="S41" i="85"/>
  <c r="I42" i="85"/>
  <c r="J42" i="85"/>
  <c r="K42" i="85"/>
  <c r="L42" i="85"/>
  <c r="M42" i="85"/>
  <c r="N42" i="85"/>
  <c r="O42" i="85"/>
  <c r="P42" i="85"/>
  <c r="Q42" i="85"/>
  <c r="R42" i="85"/>
  <c r="S42" i="85"/>
  <c r="I43" i="85"/>
  <c r="J43" i="85"/>
  <c r="K43" i="85"/>
  <c r="L43" i="85"/>
  <c r="M43" i="85"/>
  <c r="N43" i="85"/>
  <c r="O43" i="85"/>
  <c r="P43" i="85"/>
  <c r="Q43" i="85"/>
  <c r="R43" i="85"/>
  <c r="S43" i="85"/>
  <c r="I44" i="85"/>
  <c r="J44" i="85"/>
  <c r="K44" i="85"/>
  <c r="L44" i="85"/>
  <c r="M44" i="85"/>
  <c r="N44" i="85"/>
  <c r="O44" i="85"/>
  <c r="P44" i="85"/>
  <c r="Q44" i="85"/>
  <c r="R44" i="85"/>
  <c r="S44" i="85"/>
  <c r="I45" i="85"/>
  <c r="J45" i="85"/>
  <c r="K45" i="85"/>
  <c r="L45" i="85"/>
  <c r="M45" i="85"/>
  <c r="N45" i="85"/>
  <c r="O45" i="85"/>
  <c r="P45" i="85"/>
  <c r="Q45" i="85"/>
  <c r="R45" i="85"/>
  <c r="S45" i="85"/>
  <c r="I46" i="85"/>
  <c r="J46" i="85"/>
  <c r="K46" i="85"/>
  <c r="L46" i="85"/>
  <c r="M46" i="85"/>
  <c r="N46" i="85"/>
  <c r="O46" i="85"/>
  <c r="P46" i="85"/>
  <c r="Q46" i="85"/>
  <c r="R46" i="85"/>
  <c r="S46" i="85"/>
  <c r="I47" i="85"/>
  <c r="J47" i="85"/>
  <c r="K47" i="85"/>
  <c r="L47" i="85"/>
  <c r="M47" i="85"/>
  <c r="N47" i="85"/>
  <c r="O47" i="85"/>
  <c r="P47" i="85"/>
  <c r="Q47" i="85"/>
  <c r="R47" i="85"/>
  <c r="S47" i="85"/>
  <c r="I48" i="85"/>
  <c r="J48" i="85"/>
  <c r="K48" i="85"/>
  <c r="L48" i="85"/>
  <c r="M48" i="85"/>
  <c r="N48" i="85"/>
  <c r="O48" i="85"/>
  <c r="P48" i="85"/>
  <c r="Q48" i="85"/>
  <c r="R48" i="85"/>
  <c r="S48" i="85"/>
  <c r="I49" i="85"/>
  <c r="J49" i="85"/>
  <c r="K49" i="85"/>
  <c r="L49" i="85"/>
  <c r="M49" i="85"/>
  <c r="N49" i="85"/>
  <c r="O49" i="85"/>
  <c r="P49" i="85"/>
  <c r="Q49" i="85"/>
  <c r="R49" i="85"/>
  <c r="S49" i="85"/>
  <c r="I50" i="85"/>
  <c r="J50" i="85"/>
  <c r="K50" i="85"/>
  <c r="L50" i="85"/>
  <c r="M50" i="85"/>
  <c r="N50" i="85"/>
  <c r="O50" i="85"/>
  <c r="P50" i="85"/>
  <c r="Q50" i="85"/>
  <c r="R50" i="85"/>
  <c r="S50" i="85"/>
  <c r="I51" i="85"/>
  <c r="J51" i="85"/>
  <c r="K51" i="85"/>
  <c r="L51" i="85"/>
  <c r="M51" i="85"/>
  <c r="N51" i="85"/>
  <c r="O51" i="85"/>
  <c r="P51" i="85"/>
  <c r="Q51" i="85"/>
  <c r="R51" i="85"/>
  <c r="S51" i="85"/>
  <c r="I52" i="85"/>
  <c r="J52" i="85"/>
  <c r="K52" i="85"/>
  <c r="L52" i="85"/>
  <c r="M52" i="85"/>
  <c r="N52" i="85"/>
  <c r="O52" i="85"/>
  <c r="P52" i="85"/>
  <c r="Q52" i="85"/>
  <c r="R52" i="85"/>
  <c r="S52" i="85"/>
  <c r="I53" i="85"/>
  <c r="J53" i="85"/>
  <c r="K53" i="85"/>
  <c r="L53" i="85"/>
  <c r="M53" i="85"/>
  <c r="N53" i="85"/>
  <c r="O53" i="85"/>
  <c r="P53" i="85"/>
  <c r="Q53" i="85"/>
  <c r="R53" i="85"/>
  <c r="S53" i="85"/>
  <c r="I54" i="85"/>
  <c r="J54" i="85"/>
  <c r="K54" i="85"/>
  <c r="L54" i="85"/>
  <c r="M54" i="85"/>
  <c r="N54" i="85"/>
  <c r="O54" i="85"/>
  <c r="P54" i="85"/>
  <c r="Q54" i="85"/>
  <c r="R54" i="85"/>
  <c r="S54" i="85"/>
  <c r="I55" i="85"/>
  <c r="J55" i="85"/>
  <c r="K55" i="85"/>
  <c r="L55" i="85"/>
  <c r="M55" i="85"/>
  <c r="N55" i="85"/>
  <c r="O55" i="85"/>
  <c r="P55" i="85"/>
  <c r="Q55" i="85"/>
  <c r="R55" i="85"/>
  <c r="S55" i="85"/>
  <c r="I56" i="85"/>
  <c r="J56" i="85"/>
  <c r="K56" i="85"/>
  <c r="L56" i="85"/>
  <c r="M56" i="85"/>
  <c r="N56" i="85"/>
  <c r="O56" i="85"/>
  <c r="P56" i="85"/>
  <c r="Q56" i="85"/>
  <c r="R56" i="85"/>
  <c r="S56" i="85"/>
  <c r="I57" i="85"/>
  <c r="J57" i="85"/>
  <c r="K57" i="85"/>
  <c r="L57" i="85"/>
  <c r="M57" i="85"/>
  <c r="N57" i="85"/>
  <c r="O57" i="85"/>
  <c r="P57" i="85"/>
  <c r="Q57" i="85"/>
  <c r="R57" i="85"/>
  <c r="S57" i="85"/>
  <c r="I58" i="85"/>
  <c r="J58" i="85"/>
  <c r="K58" i="85"/>
  <c r="L58" i="85"/>
  <c r="M58" i="85"/>
  <c r="N58" i="85"/>
  <c r="O58" i="85"/>
  <c r="P58" i="85"/>
  <c r="Q58" i="85"/>
  <c r="R58" i="85"/>
  <c r="S58" i="85"/>
  <c r="I59" i="85"/>
  <c r="J59" i="85"/>
  <c r="K59" i="85"/>
  <c r="L59" i="85"/>
  <c r="M59" i="85"/>
  <c r="N59" i="85"/>
  <c r="O59" i="85"/>
  <c r="P59" i="85"/>
  <c r="Q59" i="85"/>
  <c r="R59" i="85"/>
  <c r="S59" i="85"/>
  <c r="E8" i="48"/>
  <c r="E8" i="47"/>
  <c r="I9" i="85"/>
  <c r="H60" i="85"/>
  <c r="Z463" i="86"/>
  <c r="Y463" i="86"/>
  <c r="X463" i="86"/>
  <c r="W463" i="86"/>
  <c r="V463" i="86"/>
  <c r="U463" i="86"/>
  <c r="T463" i="86"/>
  <c r="S463" i="86"/>
  <c r="R463" i="86"/>
  <c r="Q463" i="86"/>
  <c r="P463" i="86"/>
  <c r="O463" i="86"/>
  <c r="N463" i="86"/>
  <c r="M150" i="86"/>
  <c r="L463" i="86"/>
  <c r="K23" i="86"/>
  <c r="K94" i="86"/>
  <c r="K168" i="86"/>
  <c r="K171" i="86"/>
  <c r="K210" i="86"/>
  <c r="K273" i="86"/>
  <c r="G273" i="86" s="1"/>
  <c r="E273" i="86" s="1"/>
  <c r="K345" i="86"/>
  <c r="J27" i="86"/>
  <c r="J33" i="86"/>
  <c r="J210" i="86"/>
  <c r="J303" i="86"/>
  <c r="I463" i="86"/>
  <c r="H463" i="86"/>
  <c r="F90" i="86"/>
  <c r="F91" i="86"/>
  <c r="F92" i="86"/>
  <c r="F115" i="86"/>
  <c r="F270" i="86"/>
  <c r="F306" i="86"/>
  <c r="F307" i="86"/>
  <c r="F310" i="86"/>
  <c r="F311" i="86"/>
  <c r="F319" i="86"/>
  <c r="F327" i="86"/>
  <c r="F328" i="86"/>
  <c r="F334" i="86"/>
  <c r="F356" i="86"/>
  <c r="F463" i="86"/>
  <c r="G10" i="86"/>
  <c r="E10" i="86" s="1"/>
  <c r="G11" i="86"/>
  <c r="E11" i="86" s="1"/>
  <c r="G12" i="86"/>
  <c r="E12" i="86" s="1"/>
  <c r="G13" i="86"/>
  <c r="E13" i="86" s="1"/>
  <c r="G14" i="86"/>
  <c r="E14" i="86" s="1"/>
  <c r="G15" i="86"/>
  <c r="E15" i="86" s="1"/>
  <c r="G16" i="86"/>
  <c r="E16" i="86" s="1"/>
  <c r="G17" i="86"/>
  <c r="E17" i="86" s="1"/>
  <c r="G18" i="86"/>
  <c r="E18" i="86" s="1"/>
  <c r="G19" i="86"/>
  <c r="E19" i="86" s="1"/>
  <c r="G20" i="86"/>
  <c r="E20" i="86" s="1"/>
  <c r="G21" i="86"/>
  <c r="E21" i="86" s="1"/>
  <c r="G22" i="86"/>
  <c r="E22" i="86" s="1"/>
  <c r="G23" i="86"/>
  <c r="E23" i="86" s="1"/>
  <c r="G24" i="86"/>
  <c r="E24" i="86" s="1"/>
  <c r="G25" i="86"/>
  <c r="E25" i="86" s="1"/>
  <c r="G26" i="86"/>
  <c r="E26" i="86" s="1"/>
  <c r="G27" i="86"/>
  <c r="E27" i="86" s="1"/>
  <c r="G28" i="86"/>
  <c r="E28" i="86" s="1"/>
  <c r="G29" i="86"/>
  <c r="E29" i="86" s="1"/>
  <c r="G30" i="86"/>
  <c r="E30" i="86" s="1"/>
  <c r="G31" i="86"/>
  <c r="E31" i="86" s="1"/>
  <c r="G32" i="86"/>
  <c r="E32" i="86" s="1"/>
  <c r="G34" i="86"/>
  <c r="E34" i="86" s="1"/>
  <c r="G35" i="86"/>
  <c r="E35" i="86" s="1"/>
  <c r="G36" i="86"/>
  <c r="E36" i="86" s="1"/>
  <c r="G37" i="86"/>
  <c r="E37" i="86" s="1"/>
  <c r="G38" i="86"/>
  <c r="E38" i="86" s="1"/>
  <c r="G39" i="86"/>
  <c r="E39" i="86" s="1"/>
  <c r="G40" i="86"/>
  <c r="E40" i="86" s="1"/>
  <c r="G41" i="86"/>
  <c r="E41" i="86" s="1"/>
  <c r="G42" i="86"/>
  <c r="E42" i="86" s="1"/>
  <c r="G43" i="86"/>
  <c r="E43" i="86" s="1"/>
  <c r="G44" i="86"/>
  <c r="E44" i="86" s="1"/>
  <c r="G45" i="86"/>
  <c r="E45" i="86" s="1"/>
  <c r="G52" i="86"/>
  <c r="E52" i="86" s="1"/>
  <c r="G53" i="86"/>
  <c r="E53" i="86" s="1"/>
  <c r="G54" i="86"/>
  <c r="E54" i="86" s="1"/>
  <c r="G56" i="86"/>
  <c r="E56" i="86" s="1"/>
  <c r="G57" i="86"/>
  <c r="E57" i="86" s="1"/>
  <c r="G58" i="86"/>
  <c r="E58" i="86" s="1"/>
  <c r="G59" i="86"/>
  <c r="E59" i="86" s="1"/>
  <c r="G60" i="86"/>
  <c r="E60" i="86" s="1"/>
  <c r="G61" i="86"/>
  <c r="E61" i="86" s="1"/>
  <c r="G62" i="86"/>
  <c r="E62" i="86" s="1"/>
  <c r="G63" i="86"/>
  <c r="E63" i="86" s="1"/>
  <c r="G64" i="86"/>
  <c r="E64" i="86" s="1"/>
  <c r="G65" i="86"/>
  <c r="E65" i="86" s="1"/>
  <c r="G66" i="86"/>
  <c r="E66" i="86" s="1"/>
  <c r="G67" i="86"/>
  <c r="E67" i="86" s="1"/>
  <c r="G68" i="86"/>
  <c r="E68" i="86" s="1"/>
  <c r="G69" i="86"/>
  <c r="E69" i="86" s="1"/>
  <c r="G70" i="86"/>
  <c r="E70" i="86" s="1"/>
  <c r="G71" i="86"/>
  <c r="E71" i="86" s="1"/>
  <c r="G72" i="86"/>
  <c r="E72" i="86" s="1"/>
  <c r="G73" i="86"/>
  <c r="E73" i="86" s="1"/>
  <c r="G74" i="86"/>
  <c r="E74" i="86" s="1"/>
  <c r="G75" i="86"/>
  <c r="E75" i="86" s="1"/>
  <c r="G76" i="86"/>
  <c r="E76" i="86" s="1"/>
  <c r="G77" i="86"/>
  <c r="E77" i="86" s="1"/>
  <c r="G78" i="86"/>
  <c r="E78" i="86" s="1"/>
  <c r="G79" i="86"/>
  <c r="E79" i="86" s="1"/>
  <c r="G80" i="86"/>
  <c r="E80" i="86" s="1"/>
  <c r="G81" i="86"/>
  <c r="E81" i="86" s="1"/>
  <c r="G83" i="86"/>
  <c r="E83" i="86" s="1"/>
  <c r="G84" i="86"/>
  <c r="E84" i="86" s="1"/>
  <c r="G85" i="86"/>
  <c r="E85" i="86" s="1"/>
  <c r="G86" i="86"/>
  <c r="E86" i="86" s="1"/>
  <c r="G87" i="86"/>
  <c r="E87" i="86" s="1"/>
  <c r="G90" i="86"/>
  <c r="E90" i="86" s="1"/>
  <c r="G91" i="86"/>
  <c r="E91" i="86" s="1"/>
  <c r="G92" i="86"/>
  <c r="G93" i="86"/>
  <c r="E93" i="86" s="1"/>
  <c r="G95" i="86"/>
  <c r="E95" i="86" s="1"/>
  <c r="G96" i="86"/>
  <c r="E96" i="86" s="1"/>
  <c r="G97" i="86"/>
  <c r="E97" i="86" s="1"/>
  <c r="G98" i="86"/>
  <c r="E98" i="86" s="1"/>
  <c r="G99" i="86"/>
  <c r="E99" i="86" s="1"/>
  <c r="G100" i="86"/>
  <c r="E100" i="86" s="1"/>
  <c r="G101" i="86"/>
  <c r="E101" i="86" s="1"/>
  <c r="G102" i="86"/>
  <c r="E102" i="86" s="1"/>
  <c r="G103" i="86"/>
  <c r="E103" i="86" s="1"/>
  <c r="G104" i="86"/>
  <c r="E104" i="86" s="1"/>
  <c r="G105" i="86"/>
  <c r="E105" i="86" s="1"/>
  <c r="G106" i="86"/>
  <c r="E106" i="86" s="1"/>
  <c r="G107" i="86"/>
  <c r="E107" i="86" s="1"/>
  <c r="G108" i="86"/>
  <c r="E108" i="86" s="1"/>
  <c r="G109" i="86"/>
  <c r="E109" i="86" s="1"/>
  <c r="G110" i="86"/>
  <c r="E110" i="86" s="1"/>
  <c r="G111" i="86"/>
  <c r="E111" i="86" s="1"/>
  <c r="G112" i="86"/>
  <c r="E112" i="86" s="1"/>
  <c r="G113" i="86"/>
  <c r="E113" i="86" s="1"/>
  <c r="G114" i="86"/>
  <c r="E114" i="86" s="1"/>
  <c r="G115" i="86"/>
  <c r="E115" i="86" s="1"/>
  <c r="G116" i="86"/>
  <c r="E116" i="86" s="1"/>
  <c r="G117" i="86"/>
  <c r="E117" i="86" s="1"/>
  <c r="G118" i="86"/>
  <c r="E118" i="86" s="1"/>
  <c r="G120" i="86"/>
  <c r="E120" i="86" s="1"/>
  <c r="G121" i="86"/>
  <c r="E121" i="86" s="1"/>
  <c r="G122" i="86"/>
  <c r="E122" i="86" s="1"/>
  <c r="G123" i="86"/>
  <c r="E123" i="86" s="1"/>
  <c r="G124" i="86"/>
  <c r="E124" i="86" s="1"/>
  <c r="G125" i="86"/>
  <c r="E125" i="86" s="1"/>
  <c r="G126" i="86"/>
  <c r="E126" i="86" s="1"/>
  <c r="G127" i="86"/>
  <c r="E127" i="86" s="1"/>
  <c r="G128" i="86"/>
  <c r="E128" i="86" s="1"/>
  <c r="G129" i="86"/>
  <c r="E129" i="86" s="1"/>
  <c r="G130" i="86"/>
  <c r="E130" i="86" s="1"/>
  <c r="G131" i="86"/>
  <c r="E131" i="86" s="1"/>
  <c r="G132" i="86"/>
  <c r="E132" i="86" s="1"/>
  <c r="G134" i="86"/>
  <c r="E134" i="86" s="1"/>
  <c r="G136" i="86"/>
  <c r="E136" i="86" s="1"/>
  <c r="G137" i="86"/>
  <c r="E137" i="86" s="1"/>
  <c r="G138" i="86"/>
  <c r="E138" i="86" s="1"/>
  <c r="G139" i="86"/>
  <c r="E139" i="86" s="1"/>
  <c r="G140" i="86"/>
  <c r="E140" i="86" s="1"/>
  <c r="G142" i="86"/>
  <c r="E142" i="86" s="1"/>
  <c r="G144" i="86"/>
  <c r="E144" i="86" s="1"/>
  <c r="G145" i="86"/>
  <c r="E145" i="86" s="1"/>
  <c r="G146" i="86"/>
  <c r="E146" i="86" s="1"/>
  <c r="G147" i="86"/>
  <c r="E147" i="86" s="1"/>
  <c r="G148" i="86"/>
  <c r="E148" i="86" s="1"/>
  <c r="G151" i="86"/>
  <c r="E151" i="86" s="1"/>
  <c r="G152" i="86"/>
  <c r="E152" i="86" s="1"/>
  <c r="G153" i="86"/>
  <c r="E153" i="86" s="1"/>
  <c r="G154" i="86"/>
  <c r="E154" i="86" s="1"/>
  <c r="G155" i="86"/>
  <c r="E155" i="86" s="1"/>
  <c r="G156" i="86"/>
  <c r="E156" i="86" s="1"/>
  <c r="G157" i="86"/>
  <c r="E157" i="86" s="1"/>
  <c r="G158" i="86"/>
  <c r="E158" i="86" s="1"/>
  <c r="G159" i="86"/>
  <c r="E159" i="86" s="1"/>
  <c r="G160" i="86"/>
  <c r="E160" i="86" s="1"/>
  <c r="G161" i="86"/>
  <c r="E161" i="86" s="1"/>
  <c r="G162" i="86"/>
  <c r="E162" i="86" s="1"/>
  <c r="G163" i="86"/>
  <c r="E163" i="86" s="1"/>
  <c r="G164" i="86"/>
  <c r="E164" i="86" s="1"/>
  <c r="G165" i="86"/>
  <c r="E165" i="86" s="1"/>
  <c r="G166" i="86"/>
  <c r="E166" i="86" s="1"/>
  <c r="G167" i="86"/>
  <c r="E167" i="86" s="1"/>
  <c r="G168" i="86"/>
  <c r="E168" i="86" s="1"/>
  <c r="G170" i="86"/>
  <c r="E170" i="86" s="1"/>
  <c r="G171" i="86"/>
  <c r="E171" i="86" s="1"/>
  <c r="G172" i="86"/>
  <c r="E172" i="86" s="1"/>
  <c r="G174" i="86"/>
  <c r="E174" i="86" s="1"/>
  <c r="G175" i="86"/>
  <c r="E175" i="86" s="1"/>
  <c r="G176" i="86"/>
  <c r="E176" i="86" s="1"/>
  <c r="G178" i="86"/>
  <c r="E178" i="86" s="1"/>
  <c r="G179" i="86"/>
  <c r="E179" i="86" s="1"/>
  <c r="G180" i="86"/>
  <c r="E180" i="86" s="1"/>
  <c r="G181" i="86"/>
  <c r="E181" i="86" s="1"/>
  <c r="G182" i="86"/>
  <c r="E182" i="86" s="1"/>
  <c r="G184" i="86"/>
  <c r="E184" i="86" s="1"/>
  <c r="G185" i="86"/>
  <c r="E185" i="86" s="1"/>
  <c r="G186" i="86"/>
  <c r="E186" i="86" s="1"/>
  <c r="G187" i="86"/>
  <c r="E187" i="86" s="1"/>
  <c r="G188" i="86"/>
  <c r="E188" i="86" s="1"/>
  <c r="G189" i="86"/>
  <c r="E189" i="86" s="1"/>
  <c r="G190" i="86"/>
  <c r="E190" i="86" s="1"/>
  <c r="G191" i="86"/>
  <c r="E191" i="86" s="1"/>
  <c r="G192" i="86"/>
  <c r="E192" i="86" s="1"/>
  <c r="G193" i="86"/>
  <c r="E193" i="86" s="1"/>
  <c r="G195" i="86"/>
  <c r="E195" i="86" s="1"/>
  <c r="G196" i="86"/>
  <c r="E196" i="86" s="1"/>
  <c r="G197" i="86"/>
  <c r="E197" i="86" s="1"/>
  <c r="G199" i="86"/>
  <c r="E199" i="86" s="1"/>
  <c r="G200" i="86"/>
  <c r="E200" i="86" s="1"/>
  <c r="G201" i="86"/>
  <c r="E201" i="86" s="1"/>
  <c r="G202" i="86"/>
  <c r="E202" i="86" s="1"/>
  <c r="G203" i="86"/>
  <c r="E203" i="86" s="1"/>
  <c r="G204" i="86"/>
  <c r="E204" i="86" s="1"/>
  <c r="G205" i="86"/>
  <c r="E205" i="86" s="1"/>
  <c r="G206" i="86"/>
  <c r="E206" i="86" s="1"/>
  <c r="G207" i="86"/>
  <c r="E207" i="86" s="1"/>
  <c r="G208" i="86"/>
  <c r="E208" i="86" s="1"/>
  <c r="G209" i="86"/>
  <c r="E209" i="86" s="1"/>
  <c r="G210" i="86"/>
  <c r="E210" i="86" s="1"/>
  <c r="G211" i="86"/>
  <c r="E211" i="86" s="1"/>
  <c r="G212" i="86"/>
  <c r="E212" i="86" s="1"/>
  <c r="G215" i="86"/>
  <c r="E215" i="86" s="1"/>
  <c r="G216" i="86"/>
  <c r="E216" i="86" s="1"/>
  <c r="G217" i="86"/>
  <c r="E217" i="86" s="1"/>
  <c r="G218" i="86"/>
  <c r="E218" i="86" s="1"/>
  <c r="G219" i="86"/>
  <c r="E219" i="86" s="1"/>
  <c r="G220" i="86"/>
  <c r="E220" i="86" s="1"/>
  <c r="G221" i="86"/>
  <c r="E221" i="86" s="1"/>
  <c r="G222" i="86"/>
  <c r="E222" i="86" s="1"/>
  <c r="G223" i="86"/>
  <c r="E223" i="86" s="1"/>
  <c r="G224" i="86"/>
  <c r="E224" i="86" s="1"/>
  <c r="G225" i="86"/>
  <c r="E225" i="86" s="1"/>
  <c r="G226" i="86"/>
  <c r="E226" i="86" s="1"/>
  <c r="G227" i="86"/>
  <c r="E227" i="86" s="1"/>
  <c r="G228" i="86"/>
  <c r="E228" i="86" s="1"/>
  <c r="G229" i="86"/>
  <c r="E229" i="86" s="1"/>
  <c r="G230" i="86"/>
  <c r="E230" i="86" s="1"/>
  <c r="G231" i="86"/>
  <c r="E231" i="86" s="1"/>
  <c r="G232" i="86"/>
  <c r="E232" i="86" s="1"/>
  <c r="G233" i="86"/>
  <c r="E233" i="86" s="1"/>
  <c r="G234" i="86"/>
  <c r="E234" i="86" s="1"/>
  <c r="G235" i="86"/>
  <c r="E235" i="86" s="1"/>
  <c r="G237" i="86"/>
  <c r="E237" i="86" s="1"/>
  <c r="G238" i="86"/>
  <c r="E238" i="86" s="1"/>
  <c r="G239" i="86"/>
  <c r="E239" i="86" s="1"/>
  <c r="G241" i="86"/>
  <c r="E241" i="86" s="1"/>
  <c r="G242" i="86"/>
  <c r="E242" i="86" s="1"/>
  <c r="G243" i="86"/>
  <c r="E243" i="86" s="1"/>
  <c r="G244" i="86"/>
  <c r="E244" i="86" s="1"/>
  <c r="G245" i="86"/>
  <c r="E245" i="86" s="1"/>
  <c r="G248" i="86"/>
  <c r="E248" i="86" s="1"/>
  <c r="G249" i="86"/>
  <c r="E249" i="86" s="1"/>
  <c r="G250" i="86"/>
  <c r="E250" i="86" s="1"/>
  <c r="G251" i="86"/>
  <c r="E251" i="86" s="1"/>
  <c r="G252" i="86"/>
  <c r="E252" i="86" s="1"/>
  <c r="G254" i="86"/>
  <c r="E254" i="86" s="1"/>
  <c r="G255" i="86"/>
  <c r="E255" i="86" s="1"/>
  <c r="E256" i="86"/>
  <c r="G257" i="86"/>
  <c r="E257" i="86" s="1"/>
  <c r="G258" i="86"/>
  <c r="E258" i="86" s="1"/>
  <c r="G259" i="86"/>
  <c r="E259" i="86" s="1"/>
  <c r="G260" i="86"/>
  <c r="E260" i="86" s="1"/>
  <c r="G261" i="86"/>
  <c r="E261" i="86" s="1"/>
  <c r="G262" i="86"/>
  <c r="E262" i="86" s="1"/>
  <c r="G263" i="86"/>
  <c r="E263" i="86" s="1"/>
  <c r="G264" i="86"/>
  <c r="E264" i="86" s="1"/>
  <c r="G265" i="86"/>
  <c r="E265" i="86" s="1"/>
  <c r="G266" i="86"/>
  <c r="E266" i="86" s="1"/>
  <c r="G267" i="86"/>
  <c r="E267" i="86" s="1"/>
  <c r="G269" i="86"/>
  <c r="E269" i="86" s="1"/>
  <c r="G270" i="86"/>
  <c r="E270" i="86" s="1"/>
  <c r="G271" i="86"/>
  <c r="E271" i="86" s="1"/>
  <c r="G272" i="86"/>
  <c r="E272" i="86" s="1"/>
  <c r="G274" i="86"/>
  <c r="E274" i="86" s="1"/>
  <c r="G275" i="86"/>
  <c r="E275" i="86" s="1"/>
  <c r="G276" i="86"/>
  <c r="E276" i="86" s="1"/>
  <c r="G277" i="86"/>
  <c r="E277" i="86" s="1"/>
  <c r="G278" i="86"/>
  <c r="E278" i="86" s="1"/>
  <c r="G279" i="86"/>
  <c r="E279" i="86" s="1"/>
  <c r="G280" i="86"/>
  <c r="E280" i="86" s="1"/>
  <c r="G281" i="86"/>
  <c r="E281" i="86" s="1"/>
  <c r="G282" i="86"/>
  <c r="E282" i="86" s="1"/>
  <c r="G283" i="86"/>
  <c r="E283" i="86" s="1"/>
  <c r="G284" i="86"/>
  <c r="E284" i="86" s="1"/>
  <c r="G285" i="86"/>
  <c r="E285" i="86" s="1"/>
  <c r="G286" i="86"/>
  <c r="E286" i="86" s="1"/>
  <c r="G287" i="86"/>
  <c r="E287" i="86" s="1"/>
  <c r="G288" i="86"/>
  <c r="E288" i="86" s="1"/>
  <c r="G289" i="86"/>
  <c r="E289" i="86" s="1"/>
  <c r="G290" i="86"/>
  <c r="E290" i="86" s="1"/>
  <c r="G291" i="86"/>
  <c r="E291" i="86" s="1"/>
  <c r="G292" i="86"/>
  <c r="E292" i="86" s="1"/>
  <c r="G293" i="86"/>
  <c r="E293" i="86" s="1"/>
  <c r="G294" i="86"/>
  <c r="E294" i="86" s="1"/>
  <c r="G295" i="86"/>
  <c r="E295" i="86" s="1"/>
  <c r="G296" i="86"/>
  <c r="E296" i="86" s="1"/>
  <c r="G297" i="86"/>
  <c r="E297" i="86" s="1"/>
  <c r="G298" i="86"/>
  <c r="E298" i="86" s="1"/>
  <c r="G299" i="86"/>
  <c r="E299" i="86" s="1"/>
  <c r="G300" i="86"/>
  <c r="E300" i="86" s="1"/>
  <c r="G301" i="86"/>
  <c r="E301" i="86" s="1"/>
  <c r="G302" i="86"/>
  <c r="E302" i="86" s="1"/>
  <c r="G303" i="86"/>
  <c r="E303" i="86" s="1"/>
  <c r="G304" i="86"/>
  <c r="E304" i="86" s="1"/>
  <c r="G305" i="86"/>
  <c r="E305" i="86" s="1"/>
  <c r="G306" i="86"/>
  <c r="E306" i="86" s="1"/>
  <c r="G307" i="86"/>
  <c r="G308" i="86"/>
  <c r="E308" i="86" s="1"/>
  <c r="G309" i="86"/>
  <c r="E309" i="86" s="1"/>
  <c r="G310" i="86"/>
  <c r="E310" i="86" s="1"/>
  <c r="G311" i="86"/>
  <c r="E311" i="86" s="1"/>
  <c r="G312" i="86"/>
  <c r="E312" i="86" s="1"/>
  <c r="G313" i="86"/>
  <c r="E313" i="86" s="1"/>
  <c r="G314" i="86"/>
  <c r="E314" i="86" s="1"/>
  <c r="G315" i="86"/>
  <c r="E315" i="86" s="1"/>
  <c r="G316" i="86"/>
  <c r="E316" i="86" s="1"/>
  <c r="G317" i="86"/>
  <c r="E317" i="86" s="1"/>
  <c r="G318" i="86"/>
  <c r="E318" i="86" s="1"/>
  <c r="G319" i="86"/>
  <c r="E319" i="86" s="1"/>
  <c r="G320" i="86"/>
  <c r="E320" i="86" s="1"/>
  <c r="G321" i="86"/>
  <c r="E321" i="86" s="1"/>
  <c r="G322" i="86"/>
  <c r="E322" i="86" s="1"/>
  <c r="G323" i="86"/>
  <c r="E323" i="86" s="1"/>
  <c r="G324" i="86"/>
  <c r="E324" i="86" s="1"/>
  <c r="G325" i="86"/>
  <c r="E325" i="86" s="1"/>
  <c r="G326" i="86"/>
  <c r="E326" i="86" s="1"/>
  <c r="G327" i="86"/>
  <c r="G328" i="86"/>
  <c r="E328" i="86" s="1"/>
  <c r="G329" i="86"/>
  <c r="E329" i="86" s="1"/>
  <c r="G330" i="86"/>
  <c r="E330" i="86" s="1"/>
  <c r="G331" i="86"/>
  <c r="E331" i="86" s="1"/>
  <c r="G332" i="86"/>
  <c r="E332" i="86" s="1"/>
  <c r="G333" i="86"/>
  <c r="E333" i="86" s="1"/>
  <c r="G334" i="86"/>
  <c r="E334" i="86" s="1"/>
  <c r="G335" i="86"/>
  <c r="E335" i="86" s="1"/>
  <c r="G336" i="86"/>
  <c r="E336" i="86" s="1"/>
  <c r="G337" i="86"/>
  <c r="E337" i="86" s="1"/>
  <c r="G338" i="86"/>
  <c r="E338" i="86" s="1"/>
  <c r="G339" i="86"/>
  <c r="E339" i="86" s="1"/>
  <c r="G340" i="86"/>
  <c r="E340" i="86" s="1"/>
  <c r="G341" i="86"/>
  <c r="E341" i="86" s="1"/>
  <c r="G342" i="86"/>
  <c r="E342" i="86" s="1"/>
  <c r="G343" i="86"/>
  <c r="E343" i="86" s="1"/>
  <c r="G344" i="86"/>
  <c r="E344" i="86" s="1"/>
  <c r="G345" i="86"/>
  <c r="E345" i="86" s="1"/>
  <c r="G346" i="86"/>
  <c r="E346" i="86" s="1"/>
  <c r="G347" i="86"/>
  <c r="E347" i="86" s="1"/>
  <c r="G348" i="86"/>
  <c r="E348" i="86" s="1"/>
  <c r="G349" i="86"/>
  <c r="E349" i="86" s="1"/>
  <c r="G350" i="86"/>
  <c r="E350" i="86" s="1"/>
  <c r="G351" i="86"/>
  <c r="E351" i="86" s="1"/>
  <c r="G352" i="86"/>
  <c r="E352" i="86" s="1"/>
  <c r="G353" i="86"/>
  <c r="E353" i="86" s="1"/>
  <c r="G354" i="86"/>
  <c r="E354" i="86" s="1"/>
  <c r="G355" i="86"/>
  <c r="E355" i="86" s="1"/>
  <c r="G356" i="86"/>
  <c r="E356" i="86" s="1"/>
  <c r="G357" i="86"/>
  <c r="E357" i="86" s="1"/>
  <c r="G359" i="86"/>
  <c r="E359" i="86" s="1"/>
  <c r="G360" i="86"/>
  <c r="E360" i="86" s="1"/>
  <c r="G361" i="86"/>
  <c r="E361" i="86" s="1"/>
  <c r="G362" i="86"/>
  <c r="E362" i="86" s="1"/>
  <c r="G363" i="86"/>
  <c r="E363" i="86" s="1"/>
  <c r="G364" i="86"/>
  <c r="E364" i="86" s="1"/>
  <c r="G365" i="86"/>
  <c r="E365" i="86" s="1"/>
  <c r="G366" i="86"/>
  <c r="E366" i="86" s="1"/>
  <c r="G367" i="86"/>
  <c r="E367" i="86" s="1"/>
  <c r="G368" i="86"/>
  <c r="E368" i="86" s="1"/>
  <c r="G369" i="86"/>
  <c r="E369" i="86" s="1"/>
  <c r="G370" i="86"/>
  <c r="E370" i="86" s="1"/>
  <c r="G371" i="86"/>
  <c r="E371" i="86" s="1"/>
  <c r="G372" i="86"/>
  <c r="E372" i="86" s="1"/>
  <c r="G373" i="86"/>
  <c r="E373" i="86" s="1"/>
  <c r="G374" i="86"/>
  <c r="E374" i="86" s="1"/>
  <c r="G375" i="86"/>
  <c r="E375" i="86" s="1"/>
  <c r="G376" i="86"/>
  <c r="E376" i="86" s="1"/>
  <c r="G377" i="86"/>
  <c r="E377" i="86" s="1"/>
  <c r="G378" i="86"/>
  <c r="E378" i="86" s="1"/>
  <c r="G379" i="86"/>
  <c r="E379" i="86" s="1"/>
  <c r="G381" i="86"/>
  <c r="E381" i="86" s="1"/>
  <c r="G382" i="86"/>
  <c r="E382" i="86" s="1"/>
  <c r="G383" i="86"/>
  <c r="E383" i="86" s="1"/>
  <c r="G384" i="86"/>
  <c r="E384" i="86" s="1"/>
  <c r="G385" i="86"/>
  <c r="E385" i="86" s="1"/>
  <c r="G386" i="86"/>
  <c r="E386" i="86" s="1"/>
  <c r="G387" i="86"/>
  <c r="E387" i="86" s="1"/>
  <c r="G388" i="86"/>
  <c r="E388" i="86" s="1"/>
  <c r="G389" i="86"/>
  <c r="E389" i="86" s="1"/>
  <c r="G390" i="86"/>
  <c r="E390" i="86" s="1"/>
  <c r="G391" i="86"/>
  <c r="E391" i="86" s="1"/>
  <c r="G393" i="86"/>
  <c r="E393" i="86" s="1"/>
  <c r="G394" i="86"/>
  <c r="E394" i="86" s="1"/>
  <c r="G396" i="86"/>
  <c r="E396" i="86" s="1"/>
  <c r="G397" i="86"/>
  <c r="E397" i="86" s="1"/>
  <c r="G398" i="86"/>
  <c r="E398" i="86" s="1"/>
  <c r="G399" i="86"/>
  <c r="E399" i="86" s="1"/>
  <c r="G400" i="86"/>
  <c r="E400" i="86" s="1"/>
  <c r="G401" i="86"/>
  <c r="E401" i="86" s="1"/>
  <c r="G402" i="86"/>
  <c r="E402" i="86" s="1"/>
  <c r="G403" i="86"/>
  <c r="E403" i="86" s="1"/>
  <c r="G405" i="86"/>
  <c r="E405" i="86" s="1"/>
  <c r="G406" i="86"/>
  <c r="E406" i="86" s="1"/>
  <c r="G407" i="86"/>
  <c r="E407" i="86" s="1"/>
  <c r="G408" i="86"/>
  <c r="E408" i="86" s="1"/>
  <c r="G409" i="86"/>
  <c r="E409" i="86" s="1"/>
  <c r="G410" i="86"/>
  <c r="E410" i="86" s="1"/>
  <c r="G411" i="86"/>
  <c r="E411" i="86" s="1"/>
  <c r="G412" i="86"/>
  <c r="E412" i="86" s="1"/>
  <c r="G413" i="86"/>
  <c r="E413" i="86" s="1"/>
  <c r="G414" i="86"/>
  <c r="E414" i="86" s="1"/>
  <c r="G415" i="86"/>
  <c r="E415" i="86" s="1"/>
  <c r="G417" i="86"/>
  <c r="E417" i="86" s="1"/>
  <c r="G418" i="86"/>
  <c r="E418" i="86" s="1"/>
  <c r="G421" i="86"/>
  <c r="E421" i="86" s="1"/>
  <c r="G422" i="86"/>
  <c r="E422" i="86" s="1"/>
  <c r="G423" i="86"/>
  <c r="E423" i="86" s="1"/>
  <c r="G424" i="86"/>
  <c r="E424" i="86" s="1"/>
  <c r="G425" i="86"/>
  <c r="E425" i="86" s="1"/>
  <c r="G426" i="86"/>
  <c r="E426" i="86" s="1"/>
  <c r="G427" i="86"/>
  <c r="E427" i="86" s="1"/>
  <c r="G428" i="86"/>
  <c r="E428" i="86" s="1"/>
  <c r="G429" i="86"/>
  <c r="E429" i="86" s="1"/>
  <c r="G430" i="86"/>
  <c r="E430" i="86" s="1"/>
  <c r="G431" i="86"/>
  <c r="E431" i="86" s="1"/>
  <c r="G432" i="86"/>
  <c r="E432" i="86" s="1"/>
  <c r="G433" i="86"/>
  <c r="E433" i="86" s="1"/>
  <c r="G434" i="86"/>
  <c r="E434" i="86" s="1"/>
  <c r="G435" i="86"/>
  <c r="E435" i="86" s="1"/>
  <c r="G436" i="86"/>
  <c r="E436" i="86" s="1"/>
  <c r="G437" i="86"/>
  <c r="E437" i="86" s="1"/>
  <c r="G438" i="86"/>
  <c r="E438" i="86" s="1"/>
  <c r="G439" i="86"/>
  <c r="E439" i="86" s="1"/>
  <c r="G440" i="86"/>
  <c r="E440" i="86" s="1"/>
  <c r="G442" i="86"/>
  <c r="E442" i="86" s="1"/>
  <c r="G443" i="86"/>
  <c r="E443" i="86" s="1"/>
  <c r="G444" i="86"/>
  <c r="E444" i="86" s="1"/>
  <c r="G446" i="86"/>
  <c r="E446" i="86" s="1"/>
  <c r="G447" i="86"/>
  <c r="E447" i="86" s="1"/>
  <c r="G449" i="86"/>
  <c r="E449" i="86" s="1"/>
  <c r="G451" i="86"/>
  <c r="E451" i="86" s="1"/>
  <c r="G452" i="86"/>
  <c r="E452" i="86" s="1"/>
  <c r="G454" i="86"/>
  <c r="E454" i="86" s="1"/>
  <c r="G455" i="86"/>
  <c r="E455" i="86" s="1"/>
  <c r="G457" i="86"/>
  <c r="E457" i="86" s="1"/>
  <c r="G458" i="86"/>
  <c r="E458" i="86" s="1"/>
  <c r="G460" i="86"/>
  <c r="E460" i="86" s="1"/>
  <c r="G462" i="86"/>
  <c r="E462" i="86" s="1"/>
  <c r="H73" i="85"/>
  <c r="S72" i="85"/>
  <c r="R72" i="85"/>
  <c r="Q72" i="85"/>
  <c r="P72" i="85"/>
  <c r="O72" i="85"/>
  <c r="N72" i="85"/>
  <c r="M72" i="85"/>
  <c r="L72" i="85"/>
  <c r="K72" i="85"/>
  <c r="J72" i="85"/>
  <c r="H72" i="85" s="1"/>
  <c r="H71" i="85"/>
  <c r="H70" i="85"/>
  <c r="H69" i="85"/>
  <c r="L67" i="85"/>
  <c r="H67" i="85"/>
  <c r="H66" i="85"/>
  <c r="H64" i="85"/>
  <c r="H63" i="85"/>
  <c r="H62" i="85"/>
  <c r="H61" i="85"/>
  <c r="E37" i="85"/>
  <c r="E36" i="85"/>
  <c r="E32" i="85"/>
  <c r="D11" i="82"/>
  <c r="Q11" i="82" s="1"/>
  <c r="E23" i="27"/>
  <c r="E24" i="27"/>
  <c r="I22" i="1" s="1"/>
  <c r="E25" i="27"/>
  <c r="E26" i="27"/>
  <c r="I24" i="1" s="1"/>
  <c r="I67" i="1" s="1"/>
  <c r="H67" i="1" s="1"/>
  <c r="E28" i="27"/>
  <c r="E29" i="27"/>
  <c r="E30" i="27"/>
  <c r="I28" i="1" s="1"/>
  <c r="E32" i="27"/>
  <c r="I30" i="1" s="1"/>
  <c r="E33" i="27"/>
  <c r="I31" i="1" s="1"/>
  <c r="E34" i="27"/>
  <c r="E35" i="27"/>
  <c r="E36" i="27"/>
  <c r="E37" i="27"/>
  <c r="E38" i="27"/>
  <c r="E39" i="27"/>
  <c r="E40" i="27"/>
  <c r="I38" i="1" s="1"/>
  <c r="E41" i="27"/>
  <c r="E42" i="27"/>
  <c r="E43" i="27"/>
  <c r="E44" i="27"/>
  <c r="D44" i="27" s="1"/>
  <c r="E45" i="27"/>
  <c r="E46" i="27"/>
  <c r="E47" i="27"/>
  <c r="E48" i="27"/>
  <c r="I46" i="1" s="1"/>
  <c r="E49" i="27"/>
  <c r="E50" i="27"/>
  <c r="E51" i="27"/>
  <c r="I49" i="1" s="1"/>
  <c r="E52" i="27"/>
  <c r="I50" i="1" s="1"/>
  <c r="E53" i="27"/>
  <c r="E54" i="27"/>
  <c r="E55" i="27"/>
  <c r="E56" i="27"/>
  <c r="D56" i="27" s="1"/>
  <c r="E57" i="27"/>
  <c r="E58" i="27"/>
  <c r="E59" i="27"/>
  <c r="E12" i="27"/>
  <c r="F12" i="27"/>
  <c r="G12" i="27"/>
  <c r="H12" i="27"/>
  <c r="I12" i="27"/>
  <c r="J12" i="27"/>
  <c r="N10" i="1" s="1"/>
  <c r="K12" i="27"/>
  <c r="L12" i="27"/>
  <c r="M12" i="27"/>
  <c r="Q10" i="1" s="1"/>
  <c r="N12" i="27"/>
  <c r="O12" i="27"/>
  <c r="E13" i="27"/>
  <c r="I11" i="1" s="1"/>
  <c r="F13" i="27"/>
  <c r="J11" i="1" s="1"/>
  <c r="G13" i="27"/>
  <c r="J13" i="27"/>
  <c r="N11" i="1" s="1"/>
  <c r="K13" i="27"/>
  <c r="M13" i="27"/>
  <c r="N13" i="27"/>
  <c r="O13" i="27"/>
  <c r="F14" i="27"/>
  <c r="G14" i="27"/>
  <c r="K12" i="1" s="1"/>
  <c r="H14" i="27"/>
  <c r="L12" i="1" s="1"/>
  <c r="I14" i="27"/>
  <c r="M12" i="1" s="1"/>
  <c r="J14" i="27"/>
  <c r="N12" i="1" s="1"/>
  <c r="K14" i="27"/>
  <c r="O12" i="1" s="1"/>
  <c r="L14" i="27"/>
  <c r="P12" i="1" s="1"/>
  <c r="M14" i="27"/>
  <c r="N14" i="27"/>
  <c r="R12" i="1" s="1"/>
  <c r="O14" i="27"/>
  <c r="S12" i="1" s="1"/>
  <c r="E15" i="27"/>
  <c r="F15" i="27"/>
  <c r="J13" i="1" s="1"/>
  <c r="G15" i="27"/>
  <c r="H15" i="27"/>
  <c r="L13" i="1" s="1"/>
  <c r="I15" i="27"/>
  <c r="J15" i="27"/>
  <c r="N13" i="1" s="1"/>
  <c r="K15" i="27"/>
  <c r="L15" i="27"/>
  <c r="L10" i="27" s="1"/>
  <c r="M15" i="27"/>
  <c r="N15" i="27"/>
  <c r="O15" i="27"/>
  <c r="S13" i="1" s="1"/>
  <c r="E16" i="27"/>
  <c r="I14" i="1" s="1"/>
  <c r="F16" i="27"/>
  <c r="G16" i="27"/>
  <c r="K14" i="1" s="1"/>
  <c r="H16" i="27"/>
  <c r="L14" i="1" s="1"/>
  <c r="L66" i="1" s="1"/>
  <c r="I16" i="27"/>
  <c r="J16" i="27"/>
  <c r="N14" i="1" s="1"/>
  <c r="K16" i="27"/>
  <c r="O14" i="1" s="1"/>
  <c r="L16" i="27"/>
  <c r="P14" i="1" s="1"/>
  <c r="M16" i="27"/>
  <c r="N16" i="27"/>
  <c r="O16" i="27"/>
  <c r="S14" i="1" s="1"/>
  <c r="E17" i="27"/>
  <c r="F17" i="27"/>
  <c r="G17" i="27"/>
  <c r="H17" i="27"/>
  <c r="I17" i="27"/>
  <c r="J17" i="27"/>
  <c r="K17" i="27"/>
  <c r="L17" i="27"/>
  <c r="M17" i="27"/>
  <c r="Q15" i="1" s="1"/>
  <c r="N17" i="27"/>
  <c r="O17" i="27"/>
  <c r="E18" i="27"/>
  <c r="F18" i="27"/>
  <c r="J16" i="1" s="1"/>
  <c r="G18" i="27"/>
  <c r="H18" i="27"/>
  <c r="I18" i="27"/>
  <c r="J18" i="27"/>
  <c r="N16" i="1" s="1"/>
  <c r="K18" i="27"/>
  <c r="L18" i="27"/>
  <c r="M18" i="27"/>
  <c r="N18" i="27"/>
  <c r="R16" i="1" s="1"/>
  <c r="O18" i="27"/>
  <c r="E19" i="27"/>
  <c r="I17" i="1" s="1"/>
  <c r="F19" i="27"/>
  <c r="J17" i="1" s="1"/>
  <c r="G19" i="27"/>
  <c r="H19" i="27"/>
  <c r="L17" i="1" s="1"/>
  <c r="I19" i="27"/>
  <c r="M17" i="1" s="1"/>
  <c r="J19" i="27"/>
  <c r="N17" i="1" s="1"/>
  <c r="K19" i="27"/>
  <c r="O17" i="1" s="1"/>
  <c r="L19" i="27"/>
  <c r="P17" i="1" s="1"/>
  <c r="M19" i="27"/>
  <c r="Q17" i="1" s="1"/>
  <c r="N19" i="27"/>
  <c r="R17" i="1" s="1"/>
  <c r="O19" i="27"/>
  <c r="S17" i="1" s="1"/>
  <c r="E20" i="27"/>
  <c r="F20" i="27"/>
  <c r="G20" i="27"/>
  <c r="H20" i="27"/>
  <c r="I20" i="27"/>
  <c r="J20" i="27"/>
  <c r="K20" i="27"/>
  <c r="L20" i="27"/>
  <c r="P18" i="1" s="1"/>
  <c r="M20" i="27"/>
  <c r="N20" i="27"/>
  <c r="O20" i="27"/>
  <c r="E21" i="27"/>
  <c r="F21" i="27"/>
  <c r="G21" i="27"/>
  <c r="H21" i="27"/>
  <c r="L19" i="1" s="1"/>
  <c r="J21" i="27"/>
  <c r="N19" i="1" s="1"/>
  <c r="K21" i="27"/>
  <c r="M21" i="27"/>
  <c r="N21" i="27"/>
  <c r="R19" i="1" s="1"/>
  <c r="O21" i="27"/>
  <c r="S19" i="1" s="1"/>
  <c r="F23" i="27"/>
  <c r="F24" i="27"/>
  <c r="J22" i="1" s="1"/>
  <c r="F25" i="27"/>
  <c r="F26" i="27"/>
  <c r="J24" i="1" s="1"/>
  <c r="F27" i="27"/>
  <c r="J25" i="1" s="1"/>
  <c r="F28" i="27"/>
  <c r="F29" i="27"/>
  <c r="F30" i="27"/>
  <c r="J28" i="1" s="1"/>
  <c r="F32" i="27"/>
  <c r="J30" i="1" s="1"/>
  <c r="F33" i="27"/>
  <c r="F34" i="27"/>
  <c r="F35" i="27"/>
  <c r="J33" i="1" s="1"/>
  <c r="F36" i="27"/>
  <c r="F37" i="27"/>
  <c r="F38" i="27"/>
  <c r="F39" i="27"/>
  <c r="F40" i="27"/>
  <c r="F41" i="27"/>
  <c r="F42" i="27"/>
  <c r="F43" i="27"/>
  <c r="F44" i="27"/>
  <c r="F45" i="27"/>
  <c r="F46" i="27"/>
  <c r="F47" i="27"/>
  <c r="F48" i="27"/>
  <c r="F49" i="27"/>
  <c r="F50" i="27"/>
  <c r="F51" i="27"/>
  <c r="F52" i="27"/>
  <c r="F53" i="27"/>
  <c r="F54" i="27"/>
  <c r="F55" i="27"/>
  <c r="J53" i="1" s="1"/>
  <c r="F56" i="27"/>
  <c r="F57" i="27"/>
  <c r="F58" i="27"/>
  <c r="F59" i="27"/>
  <c r="J57" i="1" s="1"/>
  <c r="G23" i="27"/>
  <c r="G24" i="27"/>
  <c r="K22" i="1" s="1"/>
  <c r="G25" i="27"/>
  <c r="G26" i="27"/>
  <c r="K24" i="1" s="1"/>
  <c r="G27" i="27"/>
  <c r="K25" i="1" s="1"/>
  <c r="G28" i="27"/>
  <c r="G29" i="27"/>
  <c r="G30" i="27"/>
  <c r="K28" i="1" s="1"/>
  <c r="G32" i="27"/>
  <c r="K30" i="1" s="1"/>
  <c r="G33" i="27"/>
  <c r="G34" i="27"/>
  <c r="G35" i="27"/>
  <c r="K33" i="1" s="1"/>
  <c r="G36" i="27"/>
  <c r="G37" i="27"/>
  <c r="G38" i="27"/>
  <c r="G39" i="27"/>
  <c r="K37" i="1" s="1"/>
  <c r="G40" i="27"/>
  <c r="G41" i="27"/>
  <c r="G42" i="27"/>
  <c r="G43" i="27"/>
  <c r="K41" i="1" s="1"/>
  <c r="G44" i="27"/>
  <c r="K42" i="1" s="1"/>
  <c r="G45" i="27"/>
  <c r="G46" i="27"/>
  <c r="G47" i="27"/>
  <c r="K45" i="1" s="1"/>
  <c r="G48" i="27"/>
  <c r="G49" i="27"/>
  <c r="G50" i="27"/>
  <c r="G51" i="27"/>
  <c r="K49" i="1" s="1"/>
  <c r="G52" i="27"/>
  <c r="K50" i="1" s="1"/>
  <c r="G53" i="27"/>
  <c r="G54" i="27"/>
  <c r="K52" i="1" s="1"/>
  <c r="G55" i="27"/>
  <c r="K53" i="1" s="1"/>
  <c r="G56" i="27"/>
  <c r="G57" i="27"/>
  <c r="G58" i="27"/>
  <c r="G59" i="27"/>
  <c r="K57" i="1" s="1"/>
  <c r="H23" i="27"/>
  <c r="H24" i="27"/>
  <c r="L22" i="1" s="1"/>
  <c r="H25" i="27"/>
  <c r="H26" i="27"/>
  <c r="L24" i="1" s="1"/>
  <c r="H27" i="27"/>
  <c r="H28" i="27"/>
  <c r="H29" i="27"/>
  <c r="H30" i="27"/>
  <c r="H32" i="27"/>
  <c r="H33" i="27"/>
  <c r="H34" i="27"/>
  <c r="H35" i="27"/>
  <c r="L33" i="1" s="1"/>
  <c r="H36" i="27"/>
  <c r="H37" i="27"/>
  <c r="H38" i="27"/>
  <c r="H39" i="27"/>
  <c r="L37" i="1" s="1"/>
  <c r="H40" i="27"/>
  <c r="H41" i="27"/>
  <c r="H42" i="27"/>
  <c r="H43" i="27"/>
  <c r="H44" i="27"/>
  <c r="H45" i="27"/>
  <c r="H46" i="27"/>
  <c r="H47" i="27"/>
  <c r="L45" i="1" s="1"/>
  <c r="H48" i="27"/>
  <c r="H49" i="27"/>
  <c r="H50" i="27"/>
  <c r="H51" i="27"/>
  <c r="L49" i="1" s="1"/>
  <c r="H52" i="27"/>
  <c r="H53" i="27"/>
  <c r="H54" i="27"/>
  <c r="H55" i="27"/>
  <c r="H56" i="27"/>
  <c r="H57" i="27"/>
  <c r="L55" i="1" s="1"/>
  <c r="H58" i="27"/>
  <c r="H59" i="27"/>
  <c r="L57" i="1" s="1"/>
  <c r="I23" i="27"/>
  <c r="I24" i="27"/>
  <c r="M22" i="1" s="1"/>
  <c r="I25" i="27"/>
  <c r="I26" i="27"/>
  <c r="M24" i="1" s="1"/>
  <c r="I27" i="27"/>
  <c r="I28" i="27"/>
  <c r="M26" i="1" s="1"/>
  <c r="I29" i="27"/>
  <c r="I30" i="27"/>
  <c r="M28" i="1" s="1"/>
  <c r="I32" i="27"/>
  <c r="I33" i="27"/>
  <c r="I34" i="27"/>
  <c r="I35" i="27"/>
  <c r="M33" i="1" s="1"/>
  <c r="I36" i="27"/>
  <c r="I37" i="27"/>
  <c r="I38" i="27"/>
  <c r="I39" i="27"/>
  <c r="I40" i="27"/>
  <c r="I41" i="27"/>
  <c r="I42" i="27"/>
  <c r="I43" i="27"/>
  <c r="I44" i="27"/>
  <c r="I45" i="27"/>
  <c r="I46" i="27"/>
  <c r="I47" i="27"/>
  <c r="M45" i="1" s="1"/>
  <c r="I48" i="27"/>
  <c r="I49" i="27"/>
  <c r="I50" i="27"/>
  <c r="I51" i="27"/>
  <c r="M49" i="1" s="1"/>
  <c r="I52" i="27"/>
  <c r="I53" i="27"/>
  <c r="I54" i="27"/>
  <c r="M52" i="1" s="1"/>
  <c r="I55" i="27"/>
  <c r="I56" i="27"/>
  <c r="I57" i="27"/>
  <c r="I58" i="27"/>
  <c r="I59" i="27"/>
  <c r="M57" i="1" s="1"/>
  <c r="J23" i="27"/>
  <c r="J24" i="27"/>
  <c r="N22" i="1" s="1"/>
  <c r="J25" i="27"/>
  <c r="J26" i="27"/>
  <c r="N24" i="1" s="1"/>
  <c r="J27" i="27"/>
  <c r="J28" i="27"/>
  <c r="J29" i="27"/>
  <c r="J30" i="27"/>
  <c r="N28" i="1" s="1"/>
  <c r="J32" i="27"/>
  <c r="J33" i="27"/>
  <c r="N31" i="1" s="1"/>
  <c r="J34" i="27"/>
  <c r="J35" i="27"/>
  <c r="N33" i="1" s="1"/>
  <c r="J36" i="27"/>
  <c r="J37" i="27"/>
  <c r="J38" i="27"/>
  <c r="J39" i="27"/>
  <c r="N37" i="1" s="1"/>
  <c r="J40" i="27"/>
  <c r="J41" i="27"/>
  <c r="J42" i="27"/>
  <c r="J43" i="27"/>
  <c r="N41" i="1" s="1"/>
  <c r="J44" i="27"/>
  <c r="J45" i="27"/>
  <c r="J46" i="27"/>
  <c r="J47" i="27"/>
  <c r="J48" i="27"/>
  <c r="J49" i="27"/>
  <c r="J50" i="27"/>
  <c r="J51" i="27"/>
  <c r="N49" i="1" s="1"/>
  <c r="J52" i="27"/>
  <c r="J53" i="27"/>
  <c r="N51" i="1" s="1"/>
  <c r="J54" i="27"/>
  <c r="J55" i="27"/>
  <c r="N53" i="1" s="1"/>
  <c r="J56" i="27"/>
  <c r="J57" i="27"/>
  <c r="J58" i="27"/>
  <c r="J59" i="27"/>
  <c r="N57" i="1" s="1"/>
  <c r="K23" i="27"/>
  <c r="K24" i="27"/>
  <c r="O22" i="1" s="1"/>
  <c r="K25" i="27"/>
  <c r="K26" i="27"/>
  <c r="K27" i="27"/>
  <c r="K28" i="27"/>
  <c r="K29" i="27"/>
  <c r="K30" i="27"/>
  <c r="O28" i="1" s="1"/>
  <c r="K32" i="27"/>
  <c r="K33" i="27"/>
  <c r="K34" i="27"/>
  <c r="K35" i="27"/>
  <c r="K36" i="27"/>
  <c r="K37" i="27"/>
  <c r="K38" i="27"/>
  <c r="K39" i="27"/>
  <c r="O37" i="1" s="1"/>
  <c r="K40" i="27"/>
  <c r="K41" i="27"/>
  <c r="K42" i="27"/>
  <c r="K43" i="27"/>
  <c r="O41" i="1" s="1"/>
  <c r="K44" i="27"/>
  <c r="K45" i="27"/>
  <c r="K46" i="27"/>
  <c r="K47" i="27"/>
  <c r="K48" i="27"/>
  <c r="K49" i="27"/>
  <c r="K50" i="27"/>
  <c r="K51" i="27"/>
  <c r="O49" i="1" s="1"/>
  <c r="K52" i="27"/>
  <c r="O50" i="1" s="1"/>
  <c r="K53" i="27"/>
  <c r="K54" i="27"/>
  <c r="O52" i="1" s="1"/>
  <c r="K55" i="27"/>
  <c r="O53" i="1" s="1"/>
  <c r="K56" i="27"/>
  <c r="K57" i="27"/>
  <c r="K58" i="27"/>
  <c r="K59" i="27"/>
  <c r="O57" i="1" s="1"/>
  <c r="L23" i="27"/>
  <c r="L24" i="27"/>
  <c r="P22" i="1" s="1"/>
  <c r="L25" i="27"/>
  <c r="L26" i="27"/>
  <c r="P24" i="1" s="1"/>
  <c r="L27" i="27"/>
  <c r="L28" i="27"/>
  <c r="L29" i="27"/>
  <c r="L30" i="27"/>
  <c r="P28" i="1" s="1"/>
  <c r="L32" i="27"/>
  <c r="L33" i="27"/>
  <c r="L34" i="27"/>
  <c r="L35" i="27"/>
  <c r="P33" i="1" s="1"/>
  <c r="L36" i="27"/>
  <c r="L37" i="27"/>
  <c r="L38" i="27"/>
  <c r="L39" i="27"/>
  <c r="P37" i="1" s="1"/>
  <c r="L40" i="27"/>
  <c r="L41" i="27"/>
  <c r="L42" i="27"/>
  <c r="L43" i="27"/>
  <c r="P41" i="1" s="1"/>
  <c r="L44" i="27"/>
  <c r="L45" i="27"/>
  <c r="L46" i="27"/>
  <c r="L47" i="27"/>
  <c r="P45" i="1" s="1"/>
  <c r="L48" i="27"/>
  <c r="L49" i="27"/>
  <c r="L50" i="27"/>
  <c r="L51" i="27"/>
  <c r="P49" i="1" s="1"/>
  <c r="L52" i="27"/>
  <c r="L53" i="27"/>
  <c r="P51" i="1" s="1"/>
  <c r="L54" i="27"/>
  <c r="L55" i="27"/>
  <c r="P53" i="1" s="1"/>
  <c r="L56" i="27"/>
  <c r="L57" i="27"/>
  <c r="L58" i="27"/>
  <c r="L59" i="27"/>
  <c r="P57" i="1" s="1"/>
  <c r="M23" i="27"/>
  <c r="M24" i="27"/>
  <c r="Q22" i="1" s="1"/>
  <c r="M25" i="27"/>
  <c r="M26" i="27"/>
  <c r="Q24" i="1" s="1"/>
  <c r="M27" i="27"/>
  <c r="Q25" i="1" s="1"/>
  <c r="M28" i="27"/>
  <c r="M29" i="27"/>
  <c r="M30" i="27"/>
  <c r="Q28" i="1" s="1"/>
  <c r="M32" i="27"/>
  <c r="M33" i="27"/>
  <c r="M34" i="27"/>
  <c r="M35" i="27"/>
  <c r="Q33" i="1" s="1"/>
  <c r="M36" i="27"/>
  <c r="M37" i="27"/>
  <c r="M38" i="27"/>
  <c r="M39" i="27"/>
  <c r="Q37" i="1" s="1"/>
  <c r="M40" i="27"/>
  <c r="M41" i="27"/>
  <c r="M42" i="27"/>
  <c r="M43" i="27"/>
  <c r="Q41" i="1" s="1"/>
  <c r="M44" i="27"/>
  <c r="M45" i="27"/>
  <c r="M46" i="27"/>
  <c r="M47" i="27"/>
  <c r="Q45" i="1" s="1"/>
  <c r="M48" i="27"/>
  <c r="M49" i="27"/>
  <c r="M50" i="27"/>
  <c r="M51" i="27"/>
  <c r="Q49" i="1" s="1"/>
  <c r="M52" i="27"/>
  <c r="M53" i="27"/>
  <c r="M54" i="27"/>
  <c r="Q52" i="1" s="1"/>
  <c r="M55" i="27"/>
  <c r="Q53" i="1" s="1"/>
  <c r="M56" i="27"/>
  <c r="M57" i="27"/>
  <c r="M58" i="27"/>
  <c r="M59" i="27"/>
  <c r="N23" i="27"/>
  <c r="N24" i="27"/>
  <c r="R22" i="1" s="1"/>
  <c r="N25" i="27"/>
  <c r="N26" i="27"/>
  <c r="R24" i="1" s="1"/>
  <c r="N27" i="27"/>
  <c r="N28" i="27"/>
  <c r="R26" i="1" s="1"/>
  <c r="N29" i="27"/>
  <c r="N30" i="27"/>
  <c r="R28" i="1" s="1"/>
  <c r="N32" i="27"/>
  <c r="N33" i="27"/>
  <c r="N34" i="27"/>
  <c r="N35" i="27"/>
  <c r="R33" i="1" s="1"/>
  <c r="N36" i="27"/>
  <c r="N37" i="27"/>
  <c r="N38" i="27"/>
  <c r="N39" i="27"/>
  <c r="R37" i="1" s="1"/>
  <c r="N40" i="27"/>
  <c r="N41" i="27"/>
  <c r="N42" i="27"/>
  <c r="N43" i="27"/>
  <c r="R41" i="1" s="1"/>
  <c r="N44" i="27"/>
  <c r="N45" i="27"/>
  <c r="N46" i="27"/>
  <c r="N47" i="27"/>
  <c r="R45" i="1" s="1"/>
  <c r="N48" i="27"/>
  <c r="N49" i="27"/>
  <c r="N50" i="27"/>
  <c r="N51" i="27"/>
  <c r="N52" i="27"/>
  <c r="N53" i="27"/>
  <c r="R51" i="1" s="1"/>
  <c r="N54" i="27"/>
  <c r="N55" i="27"/>
  <c r="R53" i="1" s="1"/>
  <c r="N56" i="27"/>
  <c r="N57" i="27"/>
  <c r="N58" i="27"/>
  <c r="N59" i="27"/>
  <c r="O23" i="27"/>
  <c r="S21" i="1" s="1"/>
  <c r="O24" i="27"/>
  <c r="S22" i="1" s="1"/>
  <c r="O25" i="27"/>
  <c r="O26" i="27"/>
  <c r="O27" i="27"/>
  <c r="S25" i="1" s="1"/>
  <c r="O28" i="27"/>
  <c r="O29" i="27"/>
  <c r="O30" i="27"/>
  <c r="S28" i="1" s="1"/>
  <c r="O32" i="27"/>
  <c r="O33" i="27"/>
  <c r="O34" i="27"/>
  <c r="O35" i="27"/>
  <c r="O36" i="27"/>
  <c r="O37" i="27"/>
  <c r="O38" i="27"/>
  <c r="O39" i="27"/>
  <c r="S37" i="1" s="1"/>
  <c r="O40" i="27"/>
  <c r="O41" i="27"/>
  <c r="O42" i="27"/>
  <c r="O43" i="27"/>
  <c r="S41" i="1" s="1"/>
  <c r="O44" i="27"/>
  <c r="O45" i="27"/>
  <c r="O46" i="27"/>
  <c r="O47" i="27"/>
  <c r="S45" i="1" s="1"/>
  <c r="O48" i="27"/>
  <c r="O49" i="27"/>
  <c r="O50" i="27"/>
  <c r="O51" i="27"/>
  <c r="S49" i="1" s="1"/>
  <c r="O52" i="27"/>
  <c r="S50" i="1" s="1"/>
  <c r="O53" i="27"/>
  <c r="O54" i="27"/>
  <c r="O55" i="27"/>
  <c r="S53" i="1" s="1"/>
  <c r="O56" i="27"/>
  <c r="O57" i="27"/>
  <c r="O58" i="27"/>
  <c r="O59" i="27"/>
  <c r="S57" i="1" s="1"/>
  <c r="E60" i="27"/>
  <c r="F60" i="27"/>
  <c r="G60" i="27"/>
  <c r="H60" i="27"/>
  <c r="I60" i="27"/>
  <c r="J60" i="27"/>
  <c r="K60" i="27"/>
  <c r="L60" i="27"/>
  <c r="P58" i="1" s="1"/>
  <c r="M60" i="27"/>
  <c r="N60" i="27"/>
  <c r="O60" i="27"/>
  <c r="F11" i="27"/>
  <c r="G11" i="27"/>
  <c r="H11" i="27"/>
  <c r="L9" i="1" s="1"/>
  <c r="I11" i="27"/>
  <c r="J11" i="27"/>
  <c r="N9" i="1" s="1"/>
  <c r="K11" i="27"/>
  <c r="L11" i="27"/>
  <c r="M11" i="27"/>
  <c r="N11" i="27"/>
  <c r="R9" i="1" s="1"/>
  <c r="O11" i="27"/>
  <c r="S9" i="1" s="1"/>
  <c r="E11" i="27"/>
  <c r="I9" i="1" s="1"/>
  <c r="E14" i="27"/>
  <c r="I12" i="1" s="1"/>
  <c r="F8" i="82"/>
  <c r="I8" i="82"/>
  <c r="J8" i="82"/>
  <c r="K8" i="82"/>
  <c r="L8" i="82"/>
  <c r="M20" i="81"/>
  <c r="M7" i="81" s="1"/>
  <c r="M8" i="82"/>
  <c r="N29" i="81"/>
  <c r="N20" i="81"/>
  <c r="N7" i="81" s="1"/>
  <c r="N8" i="82"/>
  <c r="O8" i="82"/>
  <c r="E29" i="81"/>
  <c r="E20" i="81" s="1"/>
  <c r="E7" i="81" s="1"/>
  <c r="E8" i="82"/>
  <c r="O29" i="82"/>
  <c r="O20" i="82" s="1"/>
  <c r="N29" i="82"/>
  <c r="N20" i="82" s="1"/>
  <c r="M29" i="82"/>
  <c r="M20" i="82"/>
  <c r="L29" i="82"/>
  <c r="L20" i="82"/>
  <c r="K29" i="82"/>
  <c r="K20" i="82"/>
  <c r="J29" i="82"/>
  <c r="J20" i="82"/>
  <c r="J7" i="82" s="1"/>
  <c r="I29" i="82"/>
  <c r="I20" i="82" s="1"/>
  <c r="H29" i="82"/>
  <c r="H20" i="82" s="1"/>
  <c r="G8" i="82"/>
  <c r="G29" i="82"/>
  <c r="G20" i="82" s="1"/>
  <c r="F29" i="82"/>
  <c r="E29" i="82"/>
  <c r="E20" i="82" s="1"/>
  <c r="D58" i="82"/>
  <c r="D57" i="82"/>
  <c r="D56" i="82"/>
  <c r="D55" i="82"/>
  <c r="D54" i="82"/>
  <c r="D53" i="82"/>
  <c r="D52" i="82"/>
  <c r="D51" i="82"/>
  <c r="D50" i="82"/>
  <c r="D49" i="82"/>
  <c r="D48" i="82"/>
  <c r="D47" i="82"/>
  <c r="D46" i="82"/>
  <c r="D45" i="82"/>
  <c r="D44" i="82"/>
  <c r="D43" i="82"/>
  <c r="D42" i="82"/>
  <c r="D41" i="82"/>
  <c r="D40" i="82"/>
  <c r="D39" i="82"/>
  <c r="D38" i="82"/>
  <c r="D37" i="82"/>
  <c r="D36" i="82"/>
  <c r="D35" i="82"/>
  <c r="D34" i="82"/>
  <c r="D33" i="82"/>
  <c r="D32" i="82"/>
  <c r="D31" i="82"/>
  <c r="D30" i="82"/>
  <c r="D28" i="82"/>
  <c r="D27" i="82"/>
  <c r="D26" i="82"/>
  <c r="D25" i="82"/>
  <c r="D24" i="82"/>
  <c r="D23" i="82"/>
  <c r="D22" i="82"/>
  <c r="D21" i="82"/>
  <c r="D19" i="82"/>
  <c r="D18" i="82"/>
  <c r="D17" i="82"/>
  <c r="D16" i="82"/>
  <c r="D15" i="82"/>
  <c r="D14" i="82"/>
  <c r="D13" i="82"/>
  <c r="D12" i="82"/>
  <c r="D10" i="82"/>
  <c r="D9" i="82"/>
  <c r="D9" i="81"/>
  <c r="D10" i="81"/>
  <c r="D11" i="81"/>
  <c r="D12" i="81"/>
  <c r="D13" i="81"/>
  <c r="D14" i="81"/>
  <c r="D15" i="81"/>
  <c r="D16" i="81"/>
  <c r="D17" i="81"/>
  <c r="D18" i="81"/>
  <c r="D19" i="81"/>
  <c r="D8" i="81" s="1"/>
  <c r="F29" i="81"/>
  <c r="F20" i="81" s="1"/>
  <c r="F7" i="81" s="1"/>
  <c r="G29" i="81"/>
  <c r="G20" i="81" s="1"/>
  <c r="G7" i="81" s="1"/>
  <c r="H29" i="81"/>
  <c r="H20" i="81" s="1"/>
  <c r="H7" i="81" s="1"/>
  <c r="I29" i="81"/>
  <c r="J29" i="81"/>
  <c r="J20" i="81" s="1"/>
  <c r="J7" i="81" s="1"/>
  <c r="K29" i="81"/>
  <c r="K20" i="81" s="1"/>
  <c r="K7" i="81" s="1"/>
  <c r="L29" i="81"/>
  <c r="L20" i="81" s="1"/>
  <c r="L7" i="81" s="1"/>
  <c r="M29" i="81"/>
  <c r="O29" i="81"/>
  <c r="O20" i="81" s="1"/>
  <c r="D21" i="81"/>
  <c r="D22" i="81"/>
  <c r="D23" i="81"/>
  <c r="D24" i="81"/>
  <c r="D25" i="81"/>
  <c r="D26" i="81"/>
  <c r="D27" i="81"/>
  <c r="D28" i="81"/>
  <c r="D30" i="81"/>
  <c r="D31" i="81"/>
  <c r="D32" i="81"/>
  <c r="D33" i="81"/>
  <c r="D34" i="81"/>
  <c r="D35" i="81"/>
  <c r="D36" i="81"/>
  <c r="D37" i="81"/>
  <c r="D38" i="81"/>
  <c r="D39" i="81"/>
  <c r="D40" i="81"/>
  <c r="D41" i="81"/>
  <c r="D42" i="81"/>
  <c r="D43" i="81"/>
  <c r="D44" i="81"/>
  <c r="D45" i="81"/>
  <c r="D46" i="81"/>
  <c r="D47" i="81"/>
  <c r="D48" i="81"/>
  <c r="D57" i="81"/>
  <c r="D56" i="81"/>
  <c r="D52" i="81"/>
  <c r="D51" i="81"/>
  <c r="D50" i="81"/>
  <c r="D49" i="81"/>
  <c r="K13" i="1"/>
  <c r="K16" i="1"/>
  <c r="L16" i="1"/>
  <c r="M13" i="1"/>
  <c r="M16" i="1"/>
  <c r="O13" i="1"/>
  <c r="O64" i="1" s="1"/>
  <c r="O16" i="1"/>
  <c r="P13" i="1"/>
  <c r="P16" i="1"/>
  <c r="Q13" i="1"/>
  <c r="Q64" i="1" s="1"/>
  <c r="Q16" i="1"/>
  <c r="R13" i="1"/>
  <c r="R64" i="1" s="1"/>
  <c r="S16" i="1"/>
  <c r="I13" i="1"/>
  <c r="I16" i="1"/>
  <c r="H16" i="1" s="1"/>
  <c r="BE15" i="62" s="1"/>
  <c r="F8" i="2"/>
  <c r="G8" i="2"/>
  <c r="H8" i="2"/>
  <c r="I8" i="2"/>
  <c r="J8" i="2"/>
  <c r="K8" i="2"/>
  <c r="L8" i="2"/>
  <c r="M8" i="2"/>
  <c r="N8" i="2"/>
  <c r="O8" i="2"/>
  <c r="E8" i="2"/>
  <c r="D11" i="2"/>
  <c r="D53" i="66"/>
  <c r="C65" i="49"/>
  <c r="D18" i="27"/>
  <c r="D38" i="27"/>
  <c r="D35" i="62" s="1"/>
  <c r="D37" i="27"/>
  <c r="D34" i="62" s="1"/>
  <c r="AF34" i="62" s="1"/>
  <c r="D41" i="27"/>
  <c r="D38" i="62" s="1"/>
  <c r="AJ38" i="62" s="1"/>
  <c r="D42" i="27"/>
  <c r="D45" i="27"/>
  <c r="D42" i="62" s="1"/>
  <c r="AN42" i="62" s="1"/>
  <c r="D46" i="27"/>
  <c r="D33" i="27"/>
  <c r="D30" i="62" s="1"/>
  <c r="AB30" i="62" s="1"/>
  <c r="D59" i="27"/>
  <c r="D23" i="27"/>
  <c r="D20" i="62" s="1"/>
  <c r="R20" i="62" s="1"/>
  <c r="R58" i="62" s="1"/>
  <c r="D24" i="27"/>
  <c r="D21" i="62" s="1"/>
  <c r="S21" i="62" s="1"/>
  <c r="D25" i="27"/>
  <c r="D22" i="62" s="1"/>
  <c r="T22" i="62" s="1"/>
  <c r="T58" i="62" s="1"/>
  <c r="D26" i="27"/>
  <c r="D28" i="27"/>
  <c r="D25" i="62" s="1"/>
  <c r="W25" i="62" s="1"/>
  <c r="W58" i="62" s="1"/>
  <c r="D29" i="27"/>
  <c r="D26" i="62" s="1"/>
  <c r="X26" i="62" s="1"/>
  <c r="X58" i="62" s="1"/>
  <c r="D30" i="27"/>
  <c r="D49" i="27"/>
  <c r="D46" i="62" s="1"/>
  <c r="AR46" i="62" s="1"/>
  <c r="AR58" i="62" s="1"/>
  <c r="D50" i="27"/>
  <c r="D47" i="62" s="1"/>
  <c r="D58" i="27"/>
  <c r="L15" i="1"/>
  <c r="Q9" i="1"/>
  <c r="Q12" i="1"/>
  <c r="Q14" i="1"/>
  <c r="Q18" i="1"/>
  <c r="Q19" i="1"/>
  <c r="J12" i="1"/>
  <c r="J14" i="1"/>
  <c r="J15" i="1"/>
  <c r="J18" i="1"/>
  <c r="J19" i="1"/>
  <c r="K9" i="1"/>
  <c r="K11" i="1"/>
  <c r="K15" i="1"/>
  <c r="K18" i="1"/>
  <c r="K19" i="1"/>
  <c r="M9" i="1"/>
  <c r="M14" i="1"/>
  <c r="M15" i="1"/>
  <c r="M18" i="1"/>
  <c r="N15" i="1"/>
  <c r="N18" i="1"/>
  <c r="O9" i="1"/>
  <c r="O15" i="1"/>
  <c r="O18" i="1"/>
  <c r="O19" i="1"/>
  <c r="P9" i="1"/>
  <c r="P15" i="1"/>
  <c r="R11" i="1"/>
  <c r="R15" i="1"/>
  <c r="R18" i="1"/>
  <c r="S11" i="1"/>
  <c r="S15" i="1"/>
  <c r="S18" i="1"/>
  <c r="J10" i="1"/>
  <c r="K10" i="1"/>
  <c r="L10" i="1"/>
  <c r="M10" i="1"/>
  <c r="O10" i="1"/>
  <c r="P10" i="1"/>
  <c r="R10" i="1"/>
  <c r="S10" i="1"/>
  <c r="I18" i="1"/>
  <c r="I19" i="1"/>
  <c r="E29" i="48"/>
  <c r="E20" i="48" s="1"/>
  <c r="H29" i="48"/>
  <c r="H20" i="48"/>
  <c r="G29" i="47"/>
  <c r="G20" i="47" s="1"/>
  <c r="G29" i="48"/>
  <c r="G20" i="48" s="1"/>
  <c r="M29" i="47"/>
  <c r="M20" i="47"/>
  <c r="M29" i="48"/>
  <c r="M20" i="48"/>
  <c r="F29" i="47"/>
  <c r="F20" i="47" s="1"/>
  <c r="F29" i="48"/>
  <c r="F20" i="48" s="1"/>
  <c r="I29" i="47"/>
  <c r="I20" i="47"/>
  <c r="I7" i="47" s="1"/>
  <c r="J29" i="48"/>
  <c r="J20" i="48" s="1"/>
  <c r="K29" i="47"/>
  <c r="K20" i="47" s="1"/>
  <c r="K29" i="48"/>
  <c r="K20" i="48" s="1"/>
  <c r="L29" i="47"/>
  <c r="L20" i="47" s="1"/>
  <c r="L29" i="48"/>
  <c r="L20" i="48" s="1"/>
  <c r="N29" i="47"/>
  <c r="N20" i="47"/>
  <c r="N29" i="48"/>
  <c r="N20" i="48" s="1"/>
  <c r="O29" i="47"/>
  <c r="O20" i="47" s="1"/>
  <c r="O29" i="48"/>
  <c r="O20" i="48" s="1"/>
  <c r="I21" i="1"/>
  <c r="J21" i="1"/>
  <c r="K21" i="1"/>
  <c r="L21" i="1"/>
  <c r="M21" i="1"/>
  <c r="N21" i="1"/>
  <c r="O21" i="1"/>
  <c r="P21" i="1"/>
  <c r="Q21" i="1"/>
  <c r="R21" i="1"/>
  <c r="D17" i="45"/>
  <c r="I23" i="1"/>
  <c r="J23" i="1"/>
  <c r="K23" i="1"/>
  <c r="L23" i="1"/>
  <c r="M23" i="1"/>
  <c r="N23" i="1"/>
  <c r="O23" i="1"/>
  <c r="P23" i="1"/>
  <c r="Q23" i="1"/>
  <c r="R23" i="1"/>
  <c r="S23" i="1"/>
  <c r="O24" i="1"/>
  <c r="S24" i="1"/>
  <c r="L25" i="1"/>
  <c r="M25" i="1"/>
  <c r="N25" i="1"/>
  <c r="O25" i="1"/>
  <c r="P25" i="1"/>
  <c r="R25" i="1"/>
  <c r="I26" i="1"/>
  <c r="J26" i="1"/>
  <c r="K26" i="1"/>
  <c r="L26" i="1"/>
  <c r="N26" i="1"/>
  <c r="O26" i="1"/>
  <c r="P26" i="1"/>
  <c r="Q26" i="1"/>
  <c r="S26" i="1"/>
  <c r="D21" i="45"/>
  <c r="I27" i="1"/>
  <c r="J27" i="1"/>
  <c r="K27" i="1"/>
  <c r="L27" i="1"/>
  <c r="M27" i="1"/>
  <c r="N27" i="1"/>
  <c r="O27" i="1"/>
  <c r="P27" i="1"/>
  <c r="Q27" i="1"/>
  <c r="R27" i="1"/>
  <c r="S27" i="1"/>
  <c r="L28" i="1"/>
  <c r="L30" i="1"/>
  <c r="M30" i="1"/>
  <c r="N30" i="1"/>
  <c r="O30" i="1"/>
  <c r="P30" i="1"/>
  <c r="Q30" i="1"/>
  <c r="R30" i="1"/>
  <c r="S30" i="1"/>
  <c r="J31" i="1"/>
  <c r="K31" i="1"/>
  <c r="L31" i="1"/>
  <c r="M31" i="1"/>
  <c r="O31" i="1"/>
  <c r="P31" i="1"/>
  <c r="Q31" i="1"/>
  <c r="R31" i="1"/>
  <c r="S31" i="1"/>
  <c r="D26" i="45"/>
  <c r="Q32" i="1"/>
  <c r="I32" i="1"/>
  <c r="J32" i="1"/>
  <c r="K32" i="1"/>
  <c r="L32" i="1"/>
  <c r="M32" i="1"/>
  <c r="N32" i="1"/>
  <c r="O32" i="1"/>
  <c r="P32" i="1"/>
  <c r="R32" i="1"/>
  <c r="S32" i="1"/>
  <c r="I33" i="1"/>
  <c r="O33" i="1"/>
  <c r="S33" i="1"/>
  <c r="J34" i="1"/>
  <c r="K34" i="1"/>
  <c r="L34" i="1"/>
  <c r="M34" i="1"/>
  <c r="N34" i="1"/>
  <c r="O34" i="1"/>
  <c r="P34" i="1"/>
  <c r="Q34" i="1"/>
  <c r="R34" i="1"/>
  <c r="S34" i="1"/>
  <c r="I35" i="1"/>
  <c r="J35" i="1"/>
  <c r="K35" i="1"/>
  <c r="L35" i="1"/>
  <c r="M35" i="1"/>
  <c r="N35" i="1"/>
  <c r="O35" i="1"/>
  <c r="P35" i="1"/>
  <c r="Q35" i="1"/>
  <c r="R35" i="1"/>
  <c r="S35" i="1"/>
  <c r="D30" i="45"/>
  <c r="I36" i="1"/>
  <c r="J36" i="1"/>
  <c r="K36" i="1"/>
  <c r="L36" i="1"/>
  <c r="M36" i="1"/>
  <c r="N36" i="1"/>
  <c r="O36" i="1"/>
  <c r="P36" i="1"/>
  <c r="Q36" i="1"/>
  <c r="R36" i="1"/>
  <c r="S36" i="1"/>
  <c r="D31" i="45"/>
  <c r="I37" i="1"/>
  <c r="M37" i="1"/>
  <c r="J38" i="1"/>
  <c r="K38" i="1"/>
  <c r="L38" i="1"/>
  <c r="M38" i="1"/>
  <c r="N38" i="1"/>
  <c r="O38" i="1"/>
  <c r="P38" i="1"/>
  <c r="Q38" i="1"/>
  <c r="R38" i="1"/>
  <c r="S38" i="1"/>
  <c r="D33" i="45"/>
  <c r="I39" i="1"/>
  <c r="J39" i="1"/>
  <c r="K39" i="1"/>
  <c r="L39" i="1"/>
  <c r="M39" i="1"/>
  <c r="N39" i="1"/>
  <c r="O39" i="1"/>
  <c r="P39" i="1"/>
  <c r="Q39" i="1"/>
  <c r="R39" i="1"/>
  <c r="S39" i="1"/>
  <c r="D34" i="45"/>
  <c r="I40" i="1"/>
  <c r="J40" i="1"/>
  <c r="K40" i="1"/>
  <c r="L40" i="1"/>
  <c r="M40" i="1"/>
  <c r="N40" i="1"/>
  <c r="O40" i="1"/>
  <c r="P40" i="1"/>
  <c r="Q40" i="1"/>
  <c r="R40" i="1"/>
  <c r="S40" i="1"/>
  <c r="I41" i="1"/>
  <c r="L41" i="1"/>
  <c r="M41" i="1"/>
  <c r="I42" i="1"/>
  <c r="J42" i="1"/>
  <c r="L42" i="1"/>
  <c r="M42" i="1"/>
  <c r="N42" i="1"/>
  <c r="O42" i="1"/>
  <c r="P42" i="1"/>
  <c r="Q42" i="1"/>
  <c r="R42" i="1"/>
  <c r="S42" i="1"/>
  <c r="I43" i="1"/>
  <c r="J43" i="1"/>
  <c r="K43" i="1"/>
  <c r="L43" i="1"/>
  <c r="M43" i="1"/>
  <c r="N43" i="1"/>
  <c r="O43" i="1"/>
  <c r="P43" i="1"/>
  <c r="Q43" i="1"/>
  <c r="R43" i="1"/>
  <c r="S43" i="1"/>
  <c r="D38" i="45"/>
  <c r="I44" i="1"/>
  <c r="J44" i="1"/>
  <c r="K44" i="1"/>
  <c r="L44" i="1"/>
  <c r="M44" i="1"/>
  <c r="N44" i="1"/>
  <c r="O44" i="1"/>
  <c r="P44" i="1"/>
  <c r="Q44" i="1"/>
  <c r="R44" i="1"/>
  <c r="S44" i="1"/>
  <c r="I45" i="1"/>
  <c r="J45" i="1"/>
  <c r="N45" i="1"/>
  <c r="O45" i="1"/>
  <c r="J46" i="1"/>
  <c r="K46" i="1"/>
  <c r="L46" i="1"/>
  <c r="M46" i="1"/>
  <c r="N46" i="1"/>
  <c r="O46" i="1"/>
  <c r="P46" i="1"/>
  <c r="Q46" i="1"/>
  <c r="R46" i="1"/>
  <c r="S46" i="1"/>
  <c r="D41" i="45"/>
  <c r="I47" i="1"/>
  <c r="J47" i="1"/>
  <c r="K47" i="1"/>
  <c r="L47" i="1"/>
  <c r="M47" i="1"/>
  <c r="N47" i="1"/>
  <c r="O47" i="1"/>
  <c r="P47" i="1"/>
  <c r="Q47" i="1"/>
  <c r="R47" i="1"/>
  <c r="S47" i="1"/>
  <c r="D42" i="45"/>
  <c r="I48" i="1"/>
  <c r="J48" i="1"/>
  <c r="K48" i="1"/>
  <c r="L48" i="1"/>
  <c r="M48" i="1"/>
  <c r="N48" i="1"/>
  <c r="O48" i="1"/>
  <c r="P48" i="1"/>
  <c r="Q48" i="1"/>
  <c r="R48" i="1"/>
  <c r="S48" i="1"/>
  <c r="D43" i="45"/>
  <c r="R49" i="1"/>
  <c r="J50" i="1"/>
  <c r="L50" i="1"/>
  <c r="M50" i="1"/>
  <c r="N50" i="1"/>
  <c r="P50" i="1"/>
  <c r="Q50" i="1"/>
  <c r="R50" i="1"/>
  <c r="K51" i="1"/>
  <c r="Q51" i="1"/>
  <c r="I51" i="1"/>
  <c r="J51" i="1"/>
  <c r="L51" i="1"/>
  <c r="M51" i="1"/>
  <c r="O51" i="1"/>
  <c r="S51" i="1"/>
  <c r="I52" i="1"/>
  <c r="J52" i="1"/>
  <c r="L52" i="1"/>
  <c r="N52" i="1"/>
  <c r="P52" i="1"/>
  <c r="R52" i="1"/>
  <c r="S52" i="1"/>
  <c r="I53" i="1"/>
  <c r="L53" i="1"/>
  <c r="M53" i="1"/>
  <c r="D48" i="45"/>
  <c r="I54" i="1"/>
  <c r="J54" i="1"/>
  <c r="K54" i="1"/>
  <c r="L54" i="1"/>
  <c r="M54" i="1"/>
  <c r="N54" i="1"/>
  <c r="O54" i="1"/>
  <c r="P54" i="1"/>
  <c r="Q54" i="1"/>
  <c r="R54" i="1"/>
  <c r="S54" i="1"/>
  <c r="I55" i="1"/>
  <c r="J55" i="1"/>
  <c r="K55" i="1"/>
  <c r="M55" i="1"/>
  <c r="N55" i="1"/>
  <c r="O55" i="1"/>
  <c r="P55" i="1"/>
  <c r="Q55" i="1"/>
  <c r="R55" i="1"/>
  <c r="S55" i="1"/>
  <c r="I56" i="1"/>
  <c r="J56" i="1"/>
  <c r="K56" i="1"/>
  <c r="L56" i="1"/>
  <c r="M56" i="1"/>
  <c r="N56" i="1"/>
  <c r="O56" i="1"/>
  <c r="P56" i="1"/>
  <c r="Q56" i="1"/>
  <c r="R56" i="1"/>
  <c r="S56" i="1"/>
  <c r="D51" i="45"/>
  <c r="I57" i="1"/>
  <c r="Q57" i="1"/>
  <c r="R57" i="1"/>
  <c r="I58" i="1"/>
  <c r="J58" i="1"/>
  <c r="K58" i="1"/>
  <c r="M58" i="1"/>
  <c r="N58" i="1"/>
  <c r="O58" i="1"/>
  <c r="Q58" i="1"/>
  <c r="R58" i="1"/>
  <c r="S58" i="1"/>
  <c r="D8" i="27"/>
  <c r="D2" i="45"/>
  <c r="D3" i="72"/>
  <c r="D49" i="72"/>
  <c r="E49" i="72"/>
  <c r="D44" i="72"/>
  <c r="E44" i="72" s="1"/>
  <c r="D43" i="72"/>
  <c r="E43" i="72"/>
  <c r="D42" i="72"/>
  <c r="D40" i="72"/>
  <c r="D39" i="72"/>
  <c r="E39" i="72" s="1"/>
  <c r="D35" i="72"/>
  <c r="E35" i="72" s="1"/>
  <c r="D34" i="72"/>
  <c r="D32" i="72"/>
  <c r="E32" i="72" s="1"/>
  <c r="D31" i="72"/>
  <c r="E31" i="72" s="1"/>
  <c r="D27" i="72"/>
  <c r="E27" i="72" s="1"/>
  <c r="D23" i="72"/>
  <c r="E23" i="72"/>
  <c r="D22" i="72"/>
  <c r="E22" i="72" s="1"/>
  <c r="D19" i="72"/>
  <c r="E19" i="72" s="1"/>
  <c r="D18" i="72"/>
  <c r="E18" i="72" s="1"/>
  <c r="D17" i="72"/>
  <c r="F12" i="72"/>
  <c r="E8" i="66"/>
  <c r="F9" i="3"/>
  <c r="G9" i="3"/>
  <c r="H9" i="3"/>
  <c r="I9" i="3"/>
  <c r="J9" i="3"/>
  <c r="K9" i="3"/>
  <c r="L9" i="3"/>
  <c r="M9" i="3"/>
  <c r="N9" i="3"/>
  <c r="O9" i="3"/>
  <c r="O8" i="3" s="1"/>
  <c r="E9" i="3"/>
  <c r="D14" i="3"/>
  <c r="E37" i="9"/>
  <c r="G37" i="9" s="1"/>
  <c r="D17" i="66"/>
  <c r="D13" i="66"/>
  <c r="D11" i="66"/>
  <c r="D25" i="47"/>
  <c r="E21" i="2"/>
  <c r="F21" i="2"/>
  <c r="G21" i="2"/>
  <c r="H21" i="2"/>
  <c r="I21" i="2"/>
  <c r="J21" i="2"/>
  <c r="K21" i="2"/>
  <c r="L21" i="2"/>
  <c r="M21" i="2"/>
  <c r="N21" i="2"/>
  <c r="O21" i="2"/>
  <c r="D57" i="47"/>
  <c r="D15" i="66"/>
  <c r="D16" i="66"/>
  <c r="D18" i="66"/>
  <c r="D19" i="66"/>
  <c r="D20" i="66"/>
  <c r="D21" i="66"/>
  <c r="D23" i="66"/>
  <c r="D24" i="66"/>
  <c r="D25" i="66"/>
  <c r="D26" i="66"/>
  <c r="D27" i="66"/>
  <c r="D28" i="66"/>
  <c r="D29" i="66"/>
  <c r="D30" i="66"/>
  <c r="D31" i="66"/>
  <c r="D33" i="66"/>
  <c r="D34" i="66"/>
  <c r="D35" i="66"/>
  <c r="D36" i="66"/>
  <c r="D37" i="66"/>
  <c r="D38" i="66"/>
  <c r="D39" i="66"/>
  <c r="D40" i="66"/>
  <c r="D41" i="66"/>
  <c r="D42" i="66"/>
  <c r="D43" i="66"/>
  <c r="D44" i="66"/>
  <c r="D45" i="66"/>
  <c r="D46" i="66"/>
  <c r="D47" i="66"/>
  <c r="D48" i="66"/>
  <c r="D49" i="66"/>
  <c r="D50" i="66"/>
  <c r="D51" i="66"/>
  <c r="D52" i="66"/>
  <c r="D55" i="66"/>
  <c r="D56" i="66"/>
  <c r="D57" i="66"/>
  <c r="D58" i="66"/>
  <c r="D59" i="66"/>
  <c r="D60" i="66"/>
  <c r="D61" i="66"/>
  <c r="K74" i="1"/>
  <c r="L74" i="1"/>
  <c r="M74" i="1"/>
  <c r="N74" i="1"/>
  <c r="O74" i="1"/>
  <c r="P74" i="1"/>
  <c r="Q74" i="1"/>
  <c r="R74" i="1"/>
  <c r="S74" i="1"/>
  <c r="J74" i="1"/>
  <c r="E54" i="9"/>
  <c r="F54" i="9" s="1"/>
  <c r="G54" i="9" s="1"/>
  <c r="BD12" i="62"/>
  <c r="D6" i="62"/>
  <c r="K26" i="45"/>
  <c r="K27" i="45" s="1"/>
  <c r="H7" i="45"/>
  <c r="H6" i="45"/>
  <c r="E32" i="3"/>
  <c r="E22" i="3"/>
  <c r="E8" i="3" s="1"/>
  <c r="F32" i="3"/>
  <c r="F22" i="3" s="1"/>
  <c r="G32" i="3"/>
  <c r="G22" i="3" s="1"/>
  <c r="H32" i="3"/>
  <c r="H22" i="3" s="1"/>
  <c r="H8" i="3" s="1"/>
  <c r="I32" i="3"/>
  <c r="I22" i="3"/>
  <c r="I8" i="3" s="1"/>
  <c r="J32" i="3"/>
  <c r="J22" i="3" s="1"/>
  <c r="J8" i="3" s="1"/>
  <c r="K32" i="3"/>
  <c r="K22" i="3"/>
  <c r="L32" i="3"/>
  <c r="L22" i="3" s="1"/>
  <c r="L8" i="3" s="1"/>
  <c r="M32" i="3"/>
  <c r="M22" i="3"/>
  <c r="M8" i="3" s="1"/>
  <c r="N32" i="3"/>
  <c r="N22" i="3" s="1"/>
  <c r="N8" i="3" s="1"/>
  <c r="O32" i="3"/>
  <c r="O22" i="3"/>
  <c r="D34" i="3"/>
  <c r="D32" i="3" s="1"/>
  <c r="D22" i="2"/>
  <c r="D23" i="2"/>
  <c r="D24" i="2"/>
  <c r="D25" i="2"/>
  <c r="D26" i="2"/>
  <c r="D27" i="2"/>
  <c r="D28" i="2"/>
  <c r="D29" i="2"/>
  <c r="D30" i="2"/>
  <c r="D31" i="2"/>
  <c r="D32" i="2"/>
  <c r="D33" i="2"/>
  <c r="D13" i="2"/>
  <c r="D14" i="2"/>
  <c r="D15" i="2"/>
  <c r="D16" i="2"/>
  <c r="D17" i="2"/>
  <c r="D18" i="2"/>
  <c r="D19" i="2"/>
  <c r="D20" i="2"/>
  <c r="D10" i="2"/>
  <c r="H59" i="1"/>
  <c r="H60" i="1"/>
  <c r="H61" i="1"/>
  <c r="H66" i="1"/>
  <c r="H68" i="1"/>
  <c r="H70" i="1"/>
  <c r="H71" i="1"/>
  <c r="E28" i="62"/>
  <c r="BD57" i="62"/>
  <c r="BD18" i="62"/>
  <c r="BD17" i="62"/>
  <c r="BD16" i="62"/>
  <c r="BD15" i="62"/>
  <c r="BD14" i="62"/>
  <c r="BD13" i="62"/>
  <c r="BD11" i="62"/>
  <c r="BD10" i="62"/>
  <c r="BD9" i="62"/>
  <c r="BD8" i="62"/>
  <c r="R6" i="62"/>
  <c r="T59" i="62"/>
  <c r="W59" i="62"/>
  <c r="W6" i="62"/>
  <c r="T6" i="62"/>
  <c r="F8" i="48"/>
  <c r="F7" i="48" s="1"/>
  <c r="G8" i="48"/>
  <c r="I8" i="48"/>
  <c r="J8" i="48"/>
  <c r="J7" i="48" s="1"/>
  <c r="K8" i="48"/>
  <c r="K7" i="48" s="1"/>
  <c r="L8" i="48"/>
  <c r="L7" i="48" s="1"/>
  <c r="M8" i="48"/>
  <c r="M7" i="48" s="1"/>
  <c r="N8" i="48"/>
  <c r="N7" i="48" s="1"/>
  <c r="O8" i="48"/>
  <c r="H65" i="1"/>
  <c r="H72" i="1"/>
  <c r="H69" i="1"/>
  <c r="F8" i="47"/>
  <c r="F7" i="47" s="1"/>
  <c r="G8" i="47"/>
  <c r="I8" i="47"/>
  <c r="J8" i="47"/>
  <c r="K8" i="47"/>
  <c r="L8" i="47"/>
  <c r="M8" i="47"/>
  <c r="N8" i="47"/>
  <c r="N7" i="47" s="1"/>
  <c r="O8" i="47"/>
  <c r="O7" i="47" s="1"/>
  <c r="D9" i="47"/>
  <c r="D10" i="47"/>
  <c r="D11" i="47"/>
  <c r="D12" i="47"/>
  <c r="D13" i="47"/>
  <c r="D14" i="47"/>
  <c r="D15" i="47"/>
  <c r="D16" i="47"/>
  <c r="D17" i="47"/>
  <c r="D18" i="47"/>
  <c r="D19" i="47"/>
  <c r="H63" i="1"/>
  <c r="J11" i="9"/>
  <c r="J10" i="9"/>
  <c r="J9" i="9"/>
  <c r="I11" i="9"/>
  <c r="I10" i="9"/>
  <c r="E47" i="9"/>
  <c r="D9" i="48"/>
  <c r="D10" i="48"/>
  <c r="D11" i="48"/>
  <c r="D12" i="48"/>
  <c r="D13" i="48"/>
  <c r="D14" i="48"/>
  <c r="D15" i="48"/>
  <c r="D16" i="48"/>
  <c r="D17" i="48"/>
  <c r="D18" i="48"/>
  <c r="D21" i="48"/>
  <c r="D22" i="48"/>
  <c r="D23" i="48"/>
  <c r="D24" i="48"/>
  <c r="D25" i="48"/>
  <c r="D26" i="48"/>
  <c r="D27"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21" i="47"/>
  <c r="D22" i="47"/>
  <c r="D23" i="47"/>
  <c r="D27" i="47"/>
  <c r="D30" i="47"/>
  <c r="D31" i="47"/>
  <c r="D32" i="47"/>
  <c r="D33" i="47"/>
  <c r="D34" i="47"/>
  <c r="D35" i="47"/>
  <c r="D36" i="47"/>
  <c r="D37" i="47"/>
  <c r="D38" i="47"/>
  <c r="D39" i="47"/>
  <c r="D40" i="47"/>
  <c r="D41" i="47"/>
  <c r="D42" i="47"/>
  <c r="D43" i="47"/>
  <c r="D44" i="47"/>
  <c r="D45" i="47"/>
  <c r="D46" i="47"/>
  <c r="D47" i="47"/>
  <c r="D48" i="47"/>
  <c r="D51" i="47"/>
  <c r="D52" i="47"/>
  <c r="D56" i="47"/>
  <c r="E3" i="46"/>
  <c r="E4" i="46"/>
  <c r="E5" i="46"/>
  <c r="E6" i="46"/>
  <c r="E7" i="46"/>
  <c r="E8" i="46"/>
  <c r="E9" i="46"/>
  <c r="E10" i="46"/>
  <c r="E11" i="46"/>
  <c r="E12" i="46"/>
  <c r="C13" i="46"/>
  <c r="D13" i="46"/>
  <c r="I4" i="45"/>
  <c r="J4" i="45"/>
  <c r="H5" i="45"/>
  <c r="D19" i="48"/>
  <c r="E36" i="1"/>
  <c r="E35" i="1"/>
  <c r="E31" i="1"/>
  <c r="K8" i="9"/>
  <c r="J8" i="9"/>
  <c r="I9" i="9"/>
  <c r="E27" i="9"/>
  <c r="G27" i="9" s="1"/>
  <c r="E23" i="9"/>
  <c r="F23" i="9" s="1"/>
  <c r="E22" i="9"/>
  <c r="G22" i="9" s="1"/>
  <c r="F47" i="9"/>
  <c r="E57" i="9"/>
  <c r="F57" i="9" s="1"/>
  <c r="E49" i="9"/>
  <c r="F49" i="9" s="1"/>
  <c r="E45" i="9"/>
  <c r="G45" i="9" s="1"/>
  <c r="E29" i="9"/>
  <c r="F29" i="9" s="1"/>
  <c r="E48" i="9"/>
  <c r="F48" i="9" s="1"/>
  <c r="E40" i="9"/>
  <c r="G40" i="9" s="1"/>
  <c r="E36" i="9"/>
  <c r="F36" i="9" s="1"/>
  <c r="E32" i="9"/>
  <c r="E28" i="9"/>
  <c r="F28" i="9" s="1"/>
  <c r="G48" i="9"/>
  <c r="D28" i="48"/>
  <c r="H62" i="1"/>
  <c r="F40" i="9"/>
  <c r="F45" i="9"/>
  <c r="G28" i="9"/>
  <c r="G32" i="9"/>
  <c r="F32" i="9"/>
  <c r="AB6" i="62"/>
  <c r="X6" i="62"/>
  <c r="X59" i="62"/>
  <c r="AR59" i="62"/>
  <c r="AQ6" i="62"/>
  <c r="AX6" i="62"/>
  <c r="AJ6" i="62"/>
  <c r="AR6" i="62"/>
  <c r="AI6" i="62"/>
  <c r="AN6" i="62"/>
  <c r="AF6" i="62"/>
  <c r="E34" i="72"/>
  <c r="N7" i="82"/>
  <c r="R14" i="1"/>
  <c r="M7" i="47"/>
  <c r="F35" i="49"/>
  <c r="F34" i="49"/>
  <c r="K8" i="3" l="1"/>
  <c r="D29" i="48"/>
  <c r="H37" i="65"/>
  <c r="F37" i="65" s="1"/>
  <c r="L168" i="65"/>
  <c r="H45" i="65"/>
  <c r="F45" i="65" s="1"/>
  <c r="K168" i="65"/>
  <c r="D39" i="62"/>
  <c r="AK39" i="62" s="1"/>
  <c r="AK6" i="62" s="1"/>
  <c r="D36" i="72"/>
  <c r="E36" i="72" s="1"/>
  <c r="E41" i="9"/>
  <c r="M10" i="27"/>
  <c r="Q11" i="1"/>
  <c r="I10" i="1"/>
  <c r="D12" i="27"/>
  <c r="D41" i="62"/>
  <c r="AM41" i="62" s="1"/>
  <c r="AM6" i="62" s="1"/>
  <c r="E43" i="9"/>
  <c r="D37" i="45"/>
  <c r="D38" i="72"/>
  <c r="E31" i="27"/>
  <c r="I29" i="1" s="1"/>
  <c r="D36" i="27"/>
  <c r="E35" i="9" s="1"/>
  <c r="N10" i="27"/>
  <c r="F27" i="9"/>
  <c r="E16" i="1"/>
  <c r="D35" i="45"/>
  <c r="D35" i="27"/>
  <c r="D56" i="62"/>
  <c r="BB56" i="62" s="1"/>
  <c r="E58" i="9"/>
  <c r="D52" i="45"/>
  <c r="D23" i="62"/>
  <c r="U23" i="62" s="1"/>
  <c r="D20" i="72"/>
  <c r="D19" i="45"/>
  <c r="D53" i="62"/>
  <c r="AY53" i="62" s="1"/>
  <c r="D50" i="72"/>
  <c r="E50" i="72" s="1"/>
  <c r="E55" i="9"/>
  <c r="H32" i="1"/>
  <c r="D27" i="62"/>
  <c r="Y27" i="62" s="1"/>
  <c r="D24" i="72"/>
  <c r="E24" i="72" s="1"/>
  <c r="D23" i="45"/>
  <c r="D15" i="62"/>
  <c r="M15" i="62" s="1"/>
  <c r="D12" i="72"/>
  <c r="E17" i="9"/>
  <c r="L58" i="1"/>
  <c r="D60" i="27"/>
  <c r="H53" i="1"/>
  <c r="J49" i="1"/>
  <c r="D51" i="27"/>
  <c r="D47" i="27"/>
  <c r="J41" i="1"/>
  <c r="D43" i="27"/>
  <c r="D39" i="27"/>
  <c r="J37" i="1"/>
  <c r="L18" i="1"/>
  <c r="D20" i="27"/>
  <c r="K17" i="1"/>
  <c r="D19" i="27"/>
  <c r="D17" i="27"/>
  <c r="I15" i="1"/>
  <c r="H15" i="1" s="1"/>
  <c r="I25" i="1"/>
  <c r="D27" i="27"/>
  <c r="D24" i="62" s="1"/>
  <c r="V24" i="62" s="1"/>
  <c r="G36" i="9"/>
  <c r="D49" i="45"/>
  <c r="H23" i="1"/>
  <c r="I10" i="27"/>
  <c r="J9" i="1"/>
  <c r="H9" i="1" s="1"/>
  <c r="D11" i="27"/>
  <c r="D53" i="72"/>
  <c r="H40" i="1"/>
  <c r="D11" i="45"/>
  <c r="D55" i="62"/>
  <c r="BA55" i="62" s="1"/>
  <c r="D52" i="72"/>
  <c r="E52" i="72" s="1"/>
  <c r="D43" i="62"/>
  <c r="AO43" i="62" s="1"/>
  <c r="AO6" i="62" s="1"/>
  <c r="D39" i="45"/>
  <c r="H36" i="1"/>
  <c r="P64" i="1"/>
  <c r="D32" i="27"/>
  <c r="D29" i="62" s="1"/>
  <c r="AA29" i="62" s="1"/>
  <c r="H27" i="1"/>
  <c r="H18" i="1"/>
  <c r="M64" i="1"/>
  <c r="K64" i="1"/>
  <c r="S64" i="1"/>
  <c r="D15" i="27"/>
  <c r="K10" i="27"/>
  <c r="H55" i="1"/>
  <c r="H33" i="1"/>
  <c r="H10" i="1"/>
  <c r="L64" i="1"/>
  <c r="D57" i="27"/>
  <c r="D16" i="27"/>
  <c r="N64" i="1"/>
  <c r="M8" i="1"/>
  <c r="L7" i="47"/>
  <c r="D21" i="27"/>
  <c r="E20" i="9" s="1"/>
  <c r="H44" i="65"/>
  <c r="F44" i="65" s="1"/>
  <c r="H32" i="65"/>
  <c r="I34" i="1"/>
  <c r="H34" i="1" s="1"/>
  <c r="F30" i="72" s="1"/>
  <c r="D29" i="45"/>
  <c r="D8" i="82"/>
  <c r="O10" i="27"/>
  <c r="H10" i="27"/>
  <c r="F10" i="27"/>
  <c r="E31" i="9"/>
  <c r="J62" i="81"/>
  <c r="D53" i="27"/>
  <c r="D50" i="62" s="1"/>
  <c r="AV50" i="62" s="1"/>
  <c r="D21" i="72"/>
  <c r="E21" i="72" s="1"/>
  <c r="H14" i="1"/>
  <c r="D12" i="62"/>
  <c r="D9" i="72"/>
  <c r="E14" i="9"/>
  <c r="D8" i="45"/>
  <c r="D10" i="72"/>
  <c r="E15" i="9"/>
  <c r="G15" i="9" s="1"/>
  <c r="J64" i="1"/>
  <c r="H13" i="1"/>
  <c r="O11" i="1"/>
  <c r="I7" i="82"/>
  <c r="D14" i="27"/>
  <c r="J12" i="62"/>
  <c r="G10" i="27"/>
  <c r="L7" i="82"/>
  <c r="L62" i="81" s="1"/>
  <c r="J10" i="27"/>
  <c r="P8" i="1"/>
  <c r="E10" i="27"/>
  <c r="O7" i="82"/>
  <c r="K8" i="1"/>
  <c r="N62" i="81"/>
  <c r="E53" i="72"/>
  <c r="D47" i="72"/>
  <c r="E47" i="72" s="1"/>
  <c r="D45" i="72"/>
  <c r="E45" i="72" s="1"/>
  <c r="D54" i="27"/>
  <c r="D44" i="45"/>
  <c r="D52" i="27"/>
  <c r="H30" i="1"/>
  <c r="F26" i="72" s="1"/>
  <c r="H21" i="1"/>
  <c r="E21" i="1" s="1"/>
  <c r="F22" i="9"/>
  <c r="N65" i="85"/>
  <c r="J65" i="85"/>
  <c r="P65" i="85"/>
  <c r="Q65" i="85"/>
  <c r="G7" i="48"/>
  <c r="AS47" i="62"/>
  <c r="AG35" i="62"/>
  <c r="AG6" i="62" s="1"/>
  <c r="R59" i="62"/>
  <c r="BD7" i="62"/>
  <c r="H23" i="85"/>
  <c r="D19" i="71" s="1"/>
  <c r="G8" i="3"/>
  <c r="H48" i="1"/>
  <c r="E43" i="45" s="1"/>
  <c r="F43" i="45" s="1"/>
  <c r="E7" i="48"/>
  <c r="H22" i="85"/>
  <c r="D18" i="71" s="1"/>
  <c r="H21" i="85"/>
  <c r="D17" i="71" s="1"/>
  <c r="L9" i="85"/>
  <c r="L6" i="85" s="1"/>
  <c r="K65" i="85"/>
  <c r="H10" i="85"/>
  <c r="E10" i="85" s="1"/>
  <c r="R8" i="1"/>
  <c r="Q8" i="1"/>
  <c r="H12" i="1"/>
  <c r="E12" i="1" s="1"/>
  <c r="L64" i="48"/>
  <c r="M64" i="48"/>
  <c r="N64" i="48"/>
  <c r="F64" i="48"/>
  <c r="C28" i="49"/>
  <c r="H57" i="1"/>
  <c r="E52" i="45" s="1"/>
  <c r="F52" i="45" s="1"/>
  <c r="H7" i="47"/>
  <c r="R9" i="85"/>
  <c r="R6" i="85" s="1"/>
  <c r="H57" i="85"/>
  <c r="E57" i="85" s="1"/>
  <c r="H46" i="85"/>
  <c r="D42" i="71" s="1"/>
  <c r="H38" i="85"/>
  <c r="D34" i="71" s="1"/>
  <c r="H36" i="85"/>
  <c r="D32" i="71" s="1"/>
  <c r="H47" i="85"/>
  <c r="E47" i="85" s="1"/>
  <c r="K9" i="85"/>
  <c r="K6" i="85" s="1"/>
  <c r="G7" i="47"/>
  <c r="K7" i="47"/>
  <c r="K64" i="48" s="1"/>
  <c r="J8" i="1"/>
  <c r="F12" i="65"/>
  <c r="H59" i="85"/>
  <c r="D55" i="71" s="1"/>
  <c r="S65" i="85"/>
  <c r="E92" i="86"/>
  <c r="E327" i="86"/>
  <c r="E307" i="86"/>
  <c r="H54" i="85"/>
  <c r="E54" i="85" s="1"/>
  <c r="H53" i="85"/>
  <c r="E53" i="85" s="1"/>
  <c r="H28" i="85"/>
  <c r="E28" i="85" s="1"/>
  <c r="L65" i="85"/>
  <c r="S9" i="85"/>
  <c r="S6" i="85" s="1"/>
  <c r="I6" i="85"/>
  <c r="H58" i="85"/>
  <c r="E58" i="85" s="1"/>
  <c r="H55" i="85"/>
  <c r="D51" i="71" s="1"/>
  <c r="H51" i="85"/>
  <c r="E51" i="85" s="1"/>
  <c r="H50" i="85"/>
  <c r="E50" i="85" s="1"/>
  <c r="H49" i="85"/>
  <c r="E49" i="85" s="1"/>
  <c r="H43" i="85"/>
  <c r="E43" i="85" s="1"/>
  <c r="H42" i="85"/>
  <c r="D38" i="71" s="1"/>
  <c r="H39" i="85"/>
  <c r="D39" i="85" s="1"/>
  <c r="H37" i="85"/>
  <c r="D37" i="85" s="1"/>
  <c r="H35" i="85"/>
  <c r="D31" i="71" s="1"/>
  <c r="H34" i="85"/>
  <c r="D34" i="85" s="1"/>
  <c r="H31" i="85"/>
  <c r="D31" i="85" s="1"/>
  <c r="H27" i="85"/>
  <c r="D23" i="71" s="1"/>
  <c r="H26" i="85"/>
  <c r="E26" i="85" s="1"/>
  <c r="H24" i="85"/>
  <c r="E24" i="85" s="1"/>
  <c r="H19" i="85"/>
  <c r="D15" i="71" s="1"/>
  <c r="H18" i="85"/>
  <c r="E18" i="85" s="1"/>
  <c r="H16" i="85"/>
  <c r="D12" i="71" s="1"/>
  <c r="N9" i="85"/>
  <c r="N6" i="85" s="1"/>
  <c r="J9" i="85"/>
  <c r="J6" i="85" s="1"/>
  <c r="H13" i="85"/>
  <c r="E13" i="85" s="1"/>
  <c r="H11" i="85"/>
  <c r="D7" i="71" s="1"/>
  <c r="Q9" i="85"/>
  <c r="Q6" i="85" s="1"/>
  <c r="M9" i="85"/>
  <c r="M6" i="85" s="1"/>
  <c r="H56" i="85"/>
  <c r="D52" i="71" s="1"/>
  <c r="H52" i="85"/>
  <c r="E52" i="85" s="1"/>
  <c r="H48" i="85"/>
  <c r="E48" i="85" s="1"/>
  <c r="H45" i="85"/>
  <c r="D41" i="71" s="1"/>
  <c r="H41" i="85"/>
  <c r="E41" i="85" s="1"/>
  <c r="H40" i="85"/>
  <c r="D40" i="85" s="1"/>
  <c r="H33" i="85"/>
  <c r="D33" i="85" s="1"/>
  <c r="H32" i="85"/>
  <c r="D28" i="71" s="1"/>
  <c r="H30" i="85"/>
  <c r="D26" i="71" s="1"/>
  <c r="H29" i="85"/>
  <c r="E29" i="85" s="1"/>
  <c r="H20" i="85"/>
  <c r="E20" i="85" s="1"/>
  <c r="R65" i="85"/>
  <c r="H15" i="85"/>
  <c r="D11" i="71" s="1"/>
  <c r="M65" i="85"/>
  <c r="I65" i="85"/>
  <c r="O9" i="85"/>
  <c r="O6" i="85" s="1"/>
  <c r="H12" i="85"/>
  <c r="E12" i="85" s="1"/>
  <c r="P9" i="85"/>
  <c r="P6" i="85" s="1"/>
  <c r="D8" i="48"/>
  <c r="H68" i="85"/>
  <c r="H17" i="85"/>
  <c r="H14" i="85"/>
  <c r="H25" i="85"/>
  <c r="O65" i="85"/>
  <c r="J6" i="62"/>
  <c r="J59" i="62"/>
  <c r="E52" i="71"/>
  <c r="E50" i="45"/>
  <c r="F51" i="72"/>
  <c r="BE54" i="62"/>
  <c r="E55" i="1"/>
  <c r="D22" i="3"/>
  <c r="F8" i="3"/>
  <c r="E50" i="71"/>
  <c r="E48" i="45"/>
  <c r="F48" i="45" s="1"/>
  <c r="E53" i="1"/>
  <c r="F49" i="72"/>
  <c r="BE52" i="62"/>
  <c r="E45" i="71"/>
  <c r="BE47" i="62"/>
  <c r="E10" i="72"/>
  <c r="BE35" i="62"/>
  <c r="E31" i="45"/>
  <c r="F32" i="72"/>
  <c r="D36" i="1"/>
  <c r="E33" i="71"/>
  <c r="E20" i="72"/>
  <c r="H54" i="1"/>
  <c r="H47" i="1"/>
  <c r="BE13" i="62"/>
  <c r="F10" i="72"/>
  <c r="F15" i="9"/>
  <c r="E15" i="1"/>
  <c r="E12" i="71"/>
  <c r="I7" i="48"/>
  <c r="I64" i="48" s="1"/>
  <c r="G29" i="9"/>
  <c r="F37" i="9"/>
  <c r="D9" i="3"/>
  <c r="E40" i="72"/>
  <c r="H51" i="1"/>
  <c r="H49" i="1"/>
  <c r="H38" i="1"/>
  <c r="H35" i="1"/>
  <c r="E13" i="71"/>
  <c r="E11" i="45"/>
  <c r="E42" i="72"/>
  <c r="H58" i="1"/>
  <c r="D20" i="48"/>
  <c r="E11" i="71"/>
  <c r="D9" i="45"/>
  <c r="D13" i="62"/>
  <c r="K13" i="62" s="1"/>
  <c r="F11" i="72"/>
  <c r="E38" i="72"/>
  <c r="D8" i="47"/>
  <c r="E17" i="72"/>
  <c r="H52" i="1"/>
  <c r="H46" i="1"/>
  <c r="H44" i="1"/>
  <c r="E37" i="71"/>
  <c r="E35" i="45"/>
  <c r="H39" i="1"/>
  <c r="E30" i="71"/>
  <c r="F29" i="72"/>
  <c r="E28" i="45"/>
  <c r="E24" i="71"/>
  <c r="E22" i="45"/>
  <c r="E20" i="71"/>
  <c r="E18" i="45"/>
  <c r="H37" i="1"/>
  <c r="G49" i="9"/>
  <c r="G57" i="9"/>
  <c r="O7" i="48"/>
  <c r="H56" i="1"/>
  <c r="H43" i="1"/>
  <c r="H41" i="1"/>
  <c r="E29" i="71"/>
  <c r="E27" i="45"/>
  <c r="E15" i="71"/>
  <c r="E13" i="45"/>
  <c r="D54" i="62"/>
  <c r="AZ54" i="62" s="1"/>
  <c r="D51" i="72"/>
  <c r="E51" i="72" s="1"/>
  <c r="H26" i="1"/>
  <c r="Z30" i="62"/>
  <c r="AB58" i="62"/>
  <c r="AO28" i="62"/>
  <c r="Z43" i="62"/>
  <c r="AO58" i="62"/>
  <c r="AK28" i="62"/>
  <c r="AK58" i="62" s="1"/>
  <c r="Z39" i="62"/>
  <c r="E7" i="82"/>
  <c r="E62" i="81" s="1"/>
  <c r="L31" i="27"/>
  <c r="P29" i="1" s="1"/>
  <c r="H31" i="27"/>
  <c r="L29" i="1" s="1"/>
  <c r="H25" i="1"/>
  <c r="E20" i="91"/>
  <c r="E80" i="91" s="1"/>
  <c r="G80" i="91"/>
  <c r="H42" i="1"/>
  <c r="D18" i="45"/>
  <c r="D16" i="45"/>
  <c r="H19" i="1"/>
  <c r="AN28" i="62"/>
  <c r="AN58" i="62" s="1"/>
  <c r="Z42" i="62"/>
  <c r="AJ28" i="62"/>
  <c r="AJ58" i="62" s="1"/>
  <c r="Z38" i="62"/>
  <c r="I64" i="1"/>
  <c r="D29" i="81"/>
  <c r="I20" i="81"/>
  <c r="I7" i="81" s="1"/>
  <c r="D29" i="82"/>
  <c r="M7" i="82"/>
  <c r="M62" i="81" s="1"/>
  <c r="K7" i="82"/>
  <c r="O31" i="27"/>
  <c r="S29" i="1" s="1"/>
  <c r="K31" i="27"/>
  <c r="O29" i="1" s="1"/>
  <c r="K22" i="27"/>
  <c r="G31" i="27"/>
  <c r="K29" i="1" s="1"/>
  <c r="E22" i="27"/>
  <c r="E9" i="27" s="1"/>
  <c r="H45" i="1"/>
  <c r="S8" i="1"/>
  <c r="AM28" i="62"/>
  <c r="AM58" i="62" s="1"/>
  <c r="Z41" i="62"/>
  <c r="AF28" i="62"/>
  <c r="AF58" i="62" s="1"/>
  <c r="Z34" i="62"/>
  <c r="Z35" i="62"/>
  <c r="AG28" i="62"/>
  <c r="AG58" i="62" s="1"/>
  <c r="N8" i="1"/>
  <c r="N31" i="27"/>
  <c r="R29" i="1" s="1"/>
  <c r="J31" i="27"/>
  <c r="N29" i="1" s="1"/>
  <c r="J22" i="27"/>
  <c r="J9" i="27" s="1"/>
  <c r="F31" i="27"/>
  <c r="H50" i="1"/>
  <c r="M463" i="86"/>
  <c r="G150" i="86"/>
  <c r="E150" i="86" s="1"/>
  <c r="D22" i="45"/>
  <c r="D34" i="27"/>
  <c r="K62" i="81"/>
  <c r="G7" i="82"/>
  <c r="G62" i="81" s="1"/>
  <c r="M31" i="27"/>
  <c r="Q29" i="1" s="1"/>
  <c r="I31" i="27"/>
  <c r="M29" i="1" s="1"/>
  <c r="H24" i="1"/>
  <c r="F20" i="82"/>
  <c r="F7" i="82" s="1"/>
  <c r="F62" i="81" s="1"/>
  <c r="H22" i="1"/>
  <c r="BE21" i="62" s="1"/>
  <c r="H31" i="1"/>
  <c r="F27" i="72" s="1"/>
  <c r="H17" i="1"/>
  <c r="H28" i="1"/>
  <c r="BE27" i="62" s="1"/>
  <c r="K463" i="86"/>
  <c r="G94" i="86"/>
  <c r="E94" i="86" s="1"/>
  <c r="H44" i="85"/>
  <c r="L8" i="1"/>
  <c r="J463" i="86"/>
  <c r="G33" i="86"/>
  <c r="E33" i="86" s="1"/>
  <c r="D13" i="27"/>
  <c r="E12" i="9" s="1"/>
  <c r="H7" i="82"/>
  <c r="H62" i="81" s="1"/>
  <c r="AI28" i="62"/>
  <c r="AI58" i="62" s="1"/>
  <c r="I8" i="1"/>
  <c r="H7" i="48"/>
  <c r="E58" i="62"/>
  <c r="E63" i="62" s="1"/>
  <c r="F24" i="49"/>
  <c r="F28" i="49" s="1"/>
  <c r="O64" i="48"/>
  <c r="E17" i="45"/>
  <c r="S58" i="62"/>
  <c r="S6" i="62"/>
  <c r="O7" i="81"/>
  <c r="D21" i="2"/>
  <c r="D8" i="2"/>
  <c r="E13" i="46"/>
  <c r="D8" i="66"/>
  <c r="D32" i="66"/>
  <c r="F41" i="49"/>
  <c r="F53" i="49" s="1"/>
  <c r="E4" i="45"/>
  <c r="E6" i="71"/>
  <c r="J7" i="47"/>
  <c r="J64" i="48" s="1"/>
  <c r="E20" i="47"/>
  <c r="D29" i="47"/>
  <c r="D36" i="71" l="1"/>
  <c r="E18" i="71"/>
  <c r="F17" i="72"/>
  <c r="BE20" i="62"/>
  <c r="E16" i="45"/>
  <c r="H168" i="65"/>
  <c r="D46" i="45"/>
  <c r="E29" i="45"/>
  <c r="F29" i="45" s="1"/>
  <c r="G29" i="45" s="1"/>
  <c r="H64" i="48"/>
  <c r="AJ59" i="62"/>
  <c r="AA6" i="62"/>
  <c r="AA58" i="62"/>
  <c r="AA59" i="62" s="1"/>
  <c r="Z29" i="62"/>
  <c r="M6" i="62"/>
  <c r="M59" i="62"/>
  <c r="S59" i="62"/>
  <c r="BE30" i="62"/>
  <c r="M22" i="27"/>
  <c r="L22" i="27"/>
  <c r="E48" i="1"/>
  <c r="H11" i="1"/>
  <c r="E6" i="45" s="1"/>
  <c r="E26" i="9"/>
  <c r="D25" i="45"/>
  <c r="BE32" i="62"/>
  <c r="D33" i="1"/>
  <c r="E18" i="1"/>
  <c r="BE17" i="62"/>
  <c r="F14" i="72"/>
  <c r="BE22" i="62"/>
  <c r="F19" i="72"/>
  <c r="E23" i="1"/>
  <c r="D36" i="62"/>
  <c r="AH36" i="62" s="1"/>
  <c r="D33" i="72"/>
  <c r="E33" i="72" s="1"/>
  <c r="D32" i="45"/>
  <c r="E38" i="9"/>
  <c r="D48" i="62"/>
  <c r="AT48" i="62" s="1"/>
  <c r="E50" i="9"/>
  <c r="F55" i="9"/>
  <c r="G55" i="9"/>
  <c r="BB58" i="62"/>
  <c r="BB6" i="62"/>
  <c r="E28" i="71"/>
  <c r="D31" i="1"/>
  <c r="O22" i="27"/>
  <c r="O9" i="27" s="1"/>
  <c r="F44" i="72"/>
  <c r="D26" i="72"/>
  <c r="E26" i="72" s="1"/>
  <c r="D50" i="45"/>
  <c r="F50" i="45" s="1"/>
  <c r="E56" i="9"/>
  <c r="F23" i="72"/>
  <c r="E27" i="1"/>
  <c r="BE26" i="62"/>
  <c r="BA58" i="62"/>
  <c r="BA6" i="62"/>
  <c r="D8" i="62"/>
  <c r="F8" i="62" s="1"/>
  <c r="D5" i="72"/>
  <c r="E5" i="72" s="1"/>
  <c r="D4" i="45"/>
  <c r="E10" i="9"/>
  <c r="BE14" i="62"/>
  <c r="E10" i="45"/>
  <c r="F10" i="45" s="1"/>
  <c r="G10" i="45" s="1"/>
  <c r="D13" i="45"/>
  <c r="E19" i="9"/>
  <c r="F19" i="9" s="1"/>
  <c r="D17" i="62"/>
  <c r="O17" i="62" s="1"/>
  <c r="O6" i="62" s="1"/>
  <c r="D14" i="72"/>
  <c r="D40" i="62"/>
  <c r="AL40" i="62" s="1"/>
  <c r="E42" i="9"/>
  <c r="D36" i="45"/>
  <c r="D37" i="72"/>
  <c r="E37" i="72" s="1"/>
  <c r="G17" i="9"/>
  <c r="F17" i="9"/>
  <c r="U58" i="62"/>
  <c r="U6" i="62"/>
  <c r="D32" i="62"/>
  <c r="AD32" i="62" s="1"/>
  <c r="D29" i="72"/>
  <c r="D28" i="45"/>
  <c r="E34" i="9"/>
  <c r="D5" i="45"/>
  <c r="E11" i="9"/>
  <c r="D9" i="62"/>
  <c r="G9" i="62" s="1"/>
  <c r="D6" i="72"/>
  <c r="E6" i="72" s="1"/>
  <c r="F41" i="9"/>
  <c r="G41" i="9"/>
  <c r="E26" i="45"/>
  <c r="AF59" i="62"/>
  <c r="AK59" i="62"/>
  <c r="AB59" i="62"/>
  <c r="D20" i="45"/>
  <c r="BE8" i="62"/>
  <c r="E9" i="1"/>
  <c r="F5" i="72"/>
  <c r="D10" i="45"/>
  <c r="D14" i="62"/>
  <c r="L14" i="62" s="1"/>
  <c r="E16" i="9"/>
  <c r="D11" i="72"/>
  <c r="E11" i="72" s="1"/>
  <c r="E12" i="72"/>
  <c r="Y58" i="62"/>
  <c r="Y6" i="62"/>
  <c r="AY58" i="62"/>
  <c r="AY6" i="62"/>
  <c r="AO59" i="62"/>
  <c r="E5" i="45"/>
  <c r="F5" i="45" s="1"/>
  <c r="G5" i="45" s="1"/>
  <c r="F6" i="72"/>
  <c r="E7" i="71"/>
  <c r="F7" i="71" s="1"/>
  <c r="E10" i="1"/>
  <c r="BE9" i="62"/>
  <c r="E40" i="1"/>
  <c r="BE39" i="62"/>
  <c r="F36" i="72"/>
  <c r="V58" i="62"/>
  <c r="V6" i="62"/>
  <c r="D12" i="45"/>
  <c r="D13" i="72"/>
  <c r="E13" i="72" s="1"/>
  <c r="E18" i="9"/>
  <c r="D16" i="62"/>
  <c r="N16" i="62" s="1"/>
  <c r="D44" i="62"/>
  <c r="AP44" i="62" s="1"/>
  <c r="D40" i="45"/>
  <c r="D41" i="72"/>
  <c r="E41" i="72" s="1"/>
  <c r="E46" i="9"/>
  <c r="D54" i="72"/>
  <c r="D57" i="62"/>
  <c r="BC57" i="62" s="1"/>
  <c r="D53" i="45"/>
  <c r="I7" i="45" s="1"/>
  <c r="E59" i="9"/>
  <c r="BE31" i="62"/>
  <c r="D32" i="1"/>
  <c r="F28" i="72"/>
  <c r="F58" i="9"/>
  <c r="G58" i="9"/>
  <c r="D33" i="62"/>
  <c r="AE33" i="62" s="1"/>
  <c r="D30" i="72"/>
  <c r="E30" i="72" s="1"/>
  <c r="F43" i="9"/>
  <c r="G43" i="9"/>
  <c r="D16" i="71"/>
  <c r="F8" i="72"/>
  <c r="O8" i="1"/>
  <c r="H8" i="1" s="1"/>
  <c r="F4" i="72" s="1"/>
  <c r="G64" i="48"/>
  <c r="D18" i="62"/>
  <c r="P18" i="62" s="1"/>
  <c r="D14" i="45"/>
  <c r="D15" i="72"/>
  <c r="E15" i="72" s="1"/>
  <c r="D20" i="71"/>
  <c r="E23" i="85"/>
  <c r="D50" i="71"/>
  <c r="F50" i="71" s="1"/>
  <c r="E463" i="86"/>
  <c r="H22" i="27"/>
  <c r="L20" i="1" s="1"/>
  <c r="L6" i="1" s="1"/>
  <c r="E52" i="9"/>
  <c r="BE33" i="62"/>
  <c r="G35" i="9"/>
  <c r="F35" i="9"/>
  <c r="D34" i="1"/>
  <c r="D10" i="27"/>
  <c r="D3" i="45" s="1"/>
  <c r="I5" i="45" s="1"/>
  <c r="D10" i="62"/>
  <c r="H10" i="62" s="1"/>
  <c r="H6" i="62" s="1"/>
  <c r="D7" i="72"/>
  <c r="E7" i="72" s="1"/>
  <c r="E22" i="85"/>
  <c r="D6" i="71"/>
  <c r="F6" i="71" s="1"/>
  <c r="F18" i="71"/>
  <c r="E27" i="71"/>
  <c r="G31" i="9"/>
  <c r="F31" i="9"/>
  <c r="BE29" i="62"/>
  <c r="E25" i="45"/>
  <c r="F25" i="45" s="1"/>
  <c r="G25" i="45" s="1"/>
  <c r="D30" i="1"/>
  <c r="I62" i="81"/>
  <c r="G26" i="9"/>
  <c r="F26" i="9"/>
  <c r="G20" i="9"/>
  <c r="F20" i="9"/>
  <c r="D8" i="72"/>
  <c r="E8" i="72" s="1"/>
  <c r="E13" i="9"/>
  <c r="D11" i="62"/>
  <c r="I11" i="62" s="1"/>
  <c r="I6" i="62" s="1"/>
  <c r="D7" i="45"/>
  <c r="F14" i="9"/>
  <c r="G14" i="9"/>
  <c r="E9" i="72"/>
  <c r="D6" i="45"/>
  <c r="H64" i="1"/>
  <c r="E13" i="1"/>
  <c r="F9" i="72"/>
  <c r="E8" i="45"/>
  <c r="BE12" i="62"/>
  <c r="E10" i="71"/>
  <c r="E9" i="45"/>
  <c r="F9" i="45" s="1"/>
  <c r="G9" i="45" s="1"/>
  <c r="E14" i="1"/>
  <c r="BE56" i="62"/>
  <c r="F53" i="72"/>
  <c r="E54" i="71"/>
  <c r="E57" i="1"/>
  <c r="N20" i="1"/>
  <c r="N6" i="1" s="1"/>
  <c r="D51" i="62"/>
  <c r="AW51" i="62" s="1"/>
  <c r="D48" i="72"/>
  <c r="E48" i="72" s="1"/>
  <c r="E53" i="9"/>
  <c r="D47" i="45"/>
  <c r="D49" i="62"/>
  <c r="AU49" i="62" s="1"/>
  <c r="E51" i="9"/>
  <c r="D45" i="45"/>
  <c r="D46" i="72"/>
  <c r="E46" i="72" s="1"/>
  <c r="AV58" i="62"/>
  <c r="AV6" i="62"/>
  <c r="E46" i="85"/>
  <c r="D45" i="71"/>
  <c r="F45" i="71" s="1"/>
  <c r="D24" i="71"/>
  <c r="F24" i="71" s="1"/>
  <c r="D53" i="71"/>
  <c r="D49" i="71"/>
  <c r="D43" i="71"/>
  <c r="E21" i="85"/>
  <c r="T15" i="66"/>
  <c r="AM59" i="62"/>
  <c r="E31" i="71"/>
  <c r="F31" i="71" s="1"/>
  <c r="AS58" i="62"/>
  <c r="AS6" i="62"/>
  <c r="AG59" i="62"/>
  <c r="D9" i="71"/>
  <c r="D54" i="71"/>
  <c r="F54" i="71" s="1"/>
  <c r="E27" i="85"/>
  <c r="D33" i="71"/>
  <c r="F33" i="71" s="1"/>
  <c r="D8" i="71"/>
  <c r="D37" i="71"/>
  <c r="F37" i="71" s="1"/>
  <c r="D14" i="71"/>
  <c r="D36" i="85"/>
  <c r="E56" i="85"/>
  <c r="D8" i="3"/>
  <c r="D47" i="71"/>
  <c r="D30" i="71"/>
  <c r="F30" i="71" s="1"/>
  <c r="E55" i="85"/>
  <c r="E42" i="85"/>
  <c r="D38" i="85"/>
  <c r="D48" i="71"/>
  <c r="D22" i="71"/>
  <c r="E7" i="45"/>
  <c r="F7" i="45" s="1"/>
  <c r="G7" i="45" s="1"/>
  <c r="BE11" i="62"/>
  <c r="E9" i="71"/>
  <c r="F9" i="71" s="1"/>
  <c r="E15" i="85"/>
  <c r="D39" i="71"/>
  <c r="D25" i="71"/>
  <c r="H9" i="85"/>
  <c r="D5" i="71" s="1"/>
  <c r="D30" i="85"/>
  <c r="D32" i="85"/>
  <c r="E45" i="85"/>
  <c r="E11" i="85"/>
  <c r="D35" i="85"/>
  <c r="E16" i="85"/>
  <c r="F12" i="71"/>
  <c r="H6" i="85"/>
  <c r="G463" i="86"/>
  <c r="F32" i="65"/>
  <c r="F168" i="65" s="1"/>
  <c r="F28" i="71"/>
  <c r="H65" i="85"/>
  <c r="F15" i="71"/>
  <c r="D29" i="71"/>
  <c r="F29" i="71" s="1"/>
  <c r="D44" i="71"/>
  <c r="E19" i="85"/>
  <c r="D27" i="71"/>
  <c r="D35" i="71"/>
  <c r="D46" i="71"/>
  <c r="F20" i="71"/>
  <c r="F55" i="49"/>
  <c r="D7" i="48"/>
  <c r="F52" i="71"/>
  <c r="E25" i="85"/>
  <c r="D21" i="71"/>
  <c r="F11" i="71"/>
  <c r="E14" i="85"/>
  <c r="D10" i="71"/>
  <c r="E17" i="85"/>
  <c r="D13" i="71"/>
  <c r="F13" i="71" s="1"/>
  <c r="F28" i="45"/>
  <c r="G28" i="45"/>
  <c r="E49" i="71"/>
  <c r="F48" i="72"/>
  <c r="BE51" i="62"/>
  <c r="E52" i="1"/>
  <c r="E47" i="45"/>
  <c r="E35" i="71"/>
  <c r="E33" i="45"/>
  <c r="BE37" i="62"/>
  <c r="F34" i="72"/>
  <c r="D38" i="1"/>
  <c r="E22" i="1"/>
  <c r="F18" i="72"/>
  <c r="E28" i="1"/>
  <c r="E25" i="71"/>
  <c r="E23" i="45"/>
  <c r="F24" i="72"/>
  <c r="M9" i="27"/>
  <c r="Q20" i="1"/>
  <c r="Q6" i="1" s="1"/>
  <c r="E47" i="71"/>
  <c r="E45" i="45"/>
  <c r="F46" i="72"/>
  <c r="BE49" i="62"/>
  <c r="E50" i="1"/>
  <c r="E42" i="71"/>
  <c r="F42" i="71" s="1"/>
  <c r="E45" i="1"/>
  <c r="E40" i="45"/>
  <c r="F41" i="72"/>
  <c r="BE44" i="62"/>
  <c r="O20" i="1"/>
  <c r="O6" i="1" s="1"/>
  <c r="K9" i="27"/>
  <c r="E22" i="71"/>
  <c r="E20" i="45"/>
  <c r="F21" i="72"/>
  <c r="BE24" i="62"/>
  <c r="E25" i="1"/>
  <c r="D20" i="82"/>
  <c r="D7" i="82" s="1"/>
  <c r="F13" i="45"/>
  <c r="G13" i="45" s="1"/>
  <c r="E38" i="71"/>
  <c r="F38" i="71" s="1"/>
  <c r="F37" i="72"/>
  <c r="BE40" i="62"/>
  <c r="E36" i="45"/>
  <c r="E41" i="1"/>
  <c r="K6" i="62"/>
  <c r="K59" i="62"/>
  <c r="E46" i="71"/>
  <c r="BE48" i="62"/>
  <c r="E49" i="1"/>
  <c r="F45" i="72"/>
  <c r="E44" i="45"/>
  <c r="F44" i="45" s="1"/>
  <c r="D31" i="62"/>
  <c r="AC31" i="62" s="1"/>
  <c r="D28" i="72"/>
  <c r="D27" i="45"/>
  <c r="F27" i="45" s="1"/>
  <c r="G27" i="45" s="1"/>
  <c r="E33" i="9"/>
  <c r="D31" i="27"/>
  <c r="J29" i="1"/>
  <c r="H29" i="1" s="1"/>
  <c r="AZ58" i="62"/>
  <c r="AZ63" i="62" s="1"/>
  <c r="AZ6" i="62"/>
  <c r="F18" i="45"/>
  <c r="G18" i="45" s="1"/>
  <c r="F35" i="45"/>
  <c r="G35" i="45" s="1"/>
  <c r="F11" i="45"/>
  <c r="G11" i="45" s="1"/>
  <c r="E51" i="71"/>
  <c r="F51" i="71" s="1"/>
  <c r="F50" i="72"/>
  <c r="E49" i="45"/>
  <c r="F49" i="45" s="1"/>
  <c r="BE53" i="62"/>
  <c r="E54" i="1"/>
  <c r="E19" i="71"/>
  <c r="F19" i="71" s="1"/>
  <c r="D40" i="71"/>
  <c r="E44" i="85"/>
  <c r="E14" i="71"/>
  <c r="E12" i="45"/>
  <c r="F13" i="72"/>
  <c r="BE16" i="62"/>
  <c r="E17" i="1"/>
  <c r="E21" i="71"/>
  <c r="F20" i="72"/>
  <c r="E19" i="45"/>
  <c r="BE23" i="62"/>
  <c r="E24" i="1"/>
  <c r="E39" i="71"/>
  <c r="E37" i="45"/>
  <c r="F38" i="72"/>
  <c r="E42" i="1"/>
  <c r="BE41" i="62"/>
  <c r="P20" i="1"/>
  <c r="P6" i="1" s="1"/>
  <c r="L9" i="27"/>
  <c r="D20" i="81"/>
  <c r="E23" i="71"/>
  <c r="F23" i="71" s="1"/>
  <c r="E21" i="45"/>
  <c r="F22" i="72"/>
  <c r="E26" i="1"/>
  <c r="BE25" i="62"/>
  <c r="E40" i="71"/>
  <c r="BE42" i="62"/>
  <c r="E43" i="1"/>
  <c r="F39" i="72"/>
  <c r="E38" i="45"/>
  <c r="F16" i="45"/>
  <c r="G16" i="45" s="1"/>
  <c r="F22" i="45"/>
  <c r="G22" i="45" s="1"/>
  <c r="E41" i="71"/>
  <c r="F41" i="71" s="1"/>
  <c r="F40" i="72"/>
  <c r="E39" i="45"/>
  <c r="BE43" i="62"/>
  <c r="E44" i="1"/>
  <c r="BE50" i="62"/>
  <c r="E46" i="45"/>
  <c r="F46" i="45" s="1"/>
  <c r="E48" i="71"/>
  <c r="F47" i="72"/>
  <c r="E51" i="1"/>
  <c r="I22" i="27"/>
  <c r="F22" i="27"/>
  <c r="N22" i="27"/>
  <c r="G22" i="27"/>
  <c r="E16" i="71"/>
  <c r="E14" i="45"/>
  <c r="F15" i="72"/>
  <c r="BE18" i="62"/>
  <c r="E19" i="1"/>
  <c r="E53" i="71"/>
  <c r="F52" i="72"/>
  <c r="BE55" i="62"/>
  <c r="E51" i="45"/>
  <c r="F51" i="45" s="1"/>
  <c r="E56" i="1"/>
  <c r="E34" i="71"/>
  <c r="F34" i="71" s="1"/>
  <c r="E32" i="45"/>
  <c r="BE36" i="62"/>
  <c r="F33" i="72"/>
  <c r="D37" i="1"/>
  <c r="E36" i="71"/>
  <c r="F36" i="71" s="1"/>
  <c r="F35" i="72"/>
  <c r="E34" i="45"/>
  <c r="D39" i="1"/>
  <c r="BE38" i="62"/>
  <c r="E43" i="71"/>
  <c r="E41" i="45"/>
  <c r="F42" i="72"/>
  <c r="E46" i="1"/>
  <c r="BE45" i="62"/>
  <c r="E55" i="71"/>
  <c r="F55" i="71" s="1"/>
  <c r="F54" i="72"/>
  <c r="E53" i="45"/>
  <c r="BE57" i="62"/>
  <c r="E32" i="71"/>
  <c r="F32" i="71" s="1"/>
  <c r="E30" i="45"/>
  <c r="F31" i="72"/>
  <c r="D35" i="1"/>
  <c r="BE34" i="62"/>
  <c r="E44" i="71"/>
  <c r="E42" i="45"/>
  <c r="F42" i="45" s="1"/>
  <c r="F43" i="72"/>
  <c r="BE46" i="62"/>
  <c r="E47" i="1"/>
  <c r="F31" i="45"/>
  <c r="G31" i="45" s="1"/>
  <c r="D7" i="81"/>
  <c r="O62" i="81"/>
  <c r="F17" i="45"/>
  <c r="G17" i="45" s="1"/>
  <c r="S20" i="1"/>
  <c r="S6" i="1" s="1"/>
  <c r="F12" i="9"/>
  <c r="G12" i="9"/>
  <c r="F4" i="45"/>
  <c r="G4" i="45" s="1"/>
  <c r="F26" i="45"/>
  <c r="G26" i="45" s="1"/>
  <c r="D20" i="47"/>
  <c r="I20" i="1"/>
  <c r="E7" i="47"/>
  <c r="F49" i="71" l="1"/>
  <c r="H9" i="27"/>
  <c r="F7" i="72"/>
  <c r="F45" i="45"/>
  <c r="F22" i="71"/>
  <c r="BE10" i="62"/>
  <c r="E11" i="1"/>
  <c r="F6" i="45"/>
  <c r="G6" i="45" s="1"/>
  <c r="E8" i="71"/>
  <c r="F8" i="71" s="1"/>
  <c r="F16" i="71"/>
  <c r="AZ59" i="62"/>
  <c r="F18" i="9"/>
  <c r="G18" i="9"/>
  <c r="V59" i="62"/>
  <c r="L59" i="62"/>
  <c r="L6" i="62"/>
  <c r="G59" i="62"/>
  <c r="G6" i="62"/>
  <c r="U59" i="62"/>
  <c r="F6" i="62"/>
  <c r="F59" i="62"/>
  <c r="AE6" i="62"/>
  <c r="AE28" i="62"/>
  <c r="AE58" i="62" s="1"/>
  <c r="Z33" i="62"/>
  <c r="BC6" i="62"/>
  <c r="BC58" i="62"/>
  <c r="BC59" i="62" s="1"/>
  <c r="AY59" i="62"/>
  <c r="F11" i="9"/>
  <c r="G11" i="9"/>
  <c r="E29" i="72"/>
  <c r="G42" i="9"/>
  <c r="F42" i="9"/>
  <c r="F10" i="9"/>
  <c r="G10" i="9"/>
  <c r="F50" i="9"/>
  <c r="G50" i="9"/>
  <c r="F27" i="71"/>
  <c r="E54" i="72"/>
  <c r="AP6" i="62"/>
  <c r="AP28" i="62"/>
  <c r="AP58" i="62" s="1"/>
  <c r="Z44" i="62"/>
  <c r="AD6" i="62"/>
  <c r="AD28" i="62"/>
  <c r="Z32" i="62"/>
  <c r="AL6" i="62"/>
  <c r="Z40" i="62"/>
  <c r="AL28" i="62"/>
  <c r="AL58" i="62" s="1"/>
  <c r="BA59" i="62"/>
  <c r="F56" i="9"/>
  <c r="G56" i="9"/>
  <c r="BB59" i="62"/>
  <c r="AT58" i="62"/>
  <c r="AT6" i="62"/>
  <c r="AH6" i="62"/>
  <c r="AH58" i="62"/>
  <c r="Z36" i="62"/>
  <c r="AH28" i="62"/>
  <c r="G59" i="9"/>
  <c r="K11" i="9"/>
  <c r="F59" i="9"/>
  <c r="F46" i="9"/>
  <c r="G46" i="9"/>
  <c r="N6" i="62"/>
  <c r="N59" i="62"/>
  <c r="Y59" i="62"/>
  <c r="G16" i="9"/>
  <c r="F16" i="9"/>
  <c r="F34" i="9"/>
  <c r="G34" i="9"/>
  <c r="E14" i="72"/>
  <c r="F38" i="9"/>
  <c r="G38" i="9"/>
  <c r="H59" i="62"/>
  <c r="E9" i="9"/>
  <c r="F9" i="9" s="1"/>
  <c r="P6" i="62"/>
  <c r="P59" i="62"/>
  <c r="F14" i="71"/>
  <c r="E9" i="85"/>
  <c r="F52" i="9"/>
  <c r="G52" i="9"/>
  <c r="D4" i="72"/>
  <c r="D7" i="62"/>
  <c r="E7" i="62" s="1"/>
  <c r="E59" i="62" s="1"/>
  <c r="F43" i="71"/>
  <c r="F47" i="45"/>
  <c r="I59" i="62"/>
  <c r="F10" i="71"/>
  <c r="G13" i="9"/>
  <c r="F13" i="9"/>
  <c r="F8" i="45"/>
  <c r="G8" i="45" s="1"/>
  <c r="D22" i="27"/>
  <c r="E21" i="9" s="1"/>
  <c r="AU6" i="62"/>
  <c r="F53" i="9"/>
  <c r="G53" i="9"/>
  <c r="F51" i="9"/>
  <c r="G51" i="9"/>
  <c r="AV59" i="62"/>
  <c r="AW58" i="62"/>
  <c r="AW6" i="62"/>
  <c r="F53" i="71"/>
  <c r="AS59" i="62"/>
  <c r="F21" i="71"/>
  <c r="F48" i="71"/>
  <c r="F39" i="71"/>
  <c r="F35" i="71"/>
  <c r="E5" i="71"/>
  <c r="F5" i="71" s="1"/>
  <c r="E8" i="1"/>
  <c r="BE7" i="62"/>
  <c r="E3" i="45"/>
  <c r="J5" i="45" s="1"/>
  <c r="F25" i="71"/>
  <c r="F44" i="71"/>
  <c r="F30" i="45"/>
  <c r="G30" i="45" s="1"/>
  <c r="H46" i="71"/>
  <c r="F46" i="71"/>
  <c r="F41" i="45"/>
  <c r="G41" i="45" s="1"/>
  <c r="F34" i="45"/>
  <c r="G34" i="45" s="1"/>
  <c r="K20" i="1"/>
  <c r="K6" i="1" s="1"/>
  <c r="G9" i="27"/>
  <c r="F38" i="45"/>
  <c r="G38" i="45" s="1"/>
  <c r="F40" i="71"/>
  <c r="F21" i="45"/>
  <c r="G21" i="45" s="1"/>
  <c r="F37" i="45"/>
  <c r="G37" i="45" s="1"/>
  <c r="F12" i="45"/>
  <c r="G12" i="45" s="1"/>
  <c r="F36" i="45"/>
  <c r="G36" i="45"/>
  <c r="F40" i="45"/>
  <c r="G40" i="45" s="1"/>
  <c r="I9" i="27"/>
  <c r="M20" i="1"/>
  <c r="M6" i="1" s="1"/>
  <c r="F33" i="9"/>
  <c r="G33" i="9"/>
  <c r="H47" i="71"/>
  <c r="F47" i="71"/>
  <c r="R20" i="1"/>
  <c r="R6" i="1" s="1"/>
  <c r="N9" i="27"/>
  <c r="F39" i="45"/>
  <c r="G39" i="45" s="1"/>
  <c r="D29" i="1"/>
  <c r="E24" i="45"/>
  <c r="E26" i="71"/>
  <c r="F26" i="71" s="1"/>
  <c r="BE28" i="62"/>
  <c r="F25" i="72"/>
  <c r="E28" i="72"/>
  <c r="F33" i="45"/>
  <c r="G33" i="45" s="1"/>
  <c r="F23" i="45"/>
  <c r="G23" i="45" s="1"/>
  <c r="F53" i="45"/>
  <c r="J7" i="45"/>
  <c r="F32" i="45"/>
  <c r="G32" i="45" s="1"/>
  <c r="F14" i="45"/>
  <c r="G14" i="45" s="1"/>
  <c r="J27" i="45"/>
  <c r="J20" i="1"/>
  <c r="J6" i="1" s="1"/>
  <c r="F9" i="27"/>
  <c r="F19" i="45"/>
  <c r="G19" i="45" s="1"/>
  <c r="D28" i="62"/>
  <c r="D24" i="45"/>
  <c r="D25" i="72"/>
  <c r="E30" i="9"/>
  <c r="Z31" i="62"/>
  <c r="AC58" i="62"/>
  <c r="AC6" i="62"/>
  <c r="F20" i="45"/>
  <c r="G20" i="45" s="1"/>
  <c r="AP59" i="62"/>
  <c r="E64" i="48"/>
  <c r="D7" i="47"/>
  <c r="I6" i="1"/>
  <c r="D16" i="72" l="1"/>
  <c r="K9" i="9"/>
  <c r="G9" i="9"/>
  <c r="D15" i="45"/>
  <c r="I6" i="45" s="1"/>
  <c r="D19" i="62"/>
  <c r="AH59" i="62"/>
  <c r="AE59" i="62"/>
  <c r="AL59" i="62"/>
  <c r="AD58" i="62"/>
  <c r="BD28" i="62"/>
  <c r="AC59" i="62"/>
  <c r="AT59" i="62"/>
  <c r="E6" i="62"/>
  <c r="E4" i="72"/>
  <c r="AW59" i="62"/>
  <c r="AU59" i="62"/>
  <c r="D9" i="27"/>
  <c r="J2" i="45"/>
  <c r="F3" i="45"/>
  <c r="G3" i="45" s="1"/>
  <c r="H6" i="1"/>
  <c r="E2" i="45" s="1"/>
  <c r="E25" i="72"/>
  <c r="F24" i="45"/>
  <c r="G24" i="45" s="1"/>
  <c r="H20" i="1"/>
  <c r="E20" i="1" s="1"/>
  <c r="G30" i="9"/>
  <c r="F30" i="9"/>
  <c r="K10" i="9"/>
  <c r="G21" i="9"/>
  <c r="F21" i="9"/>
  <c r="E8" i="9"/>
  <c r="E16" i="72"/>
  <c r="AD59" i="62" l="1"/>
  <c r="BD19" i="62"/>
  <c r="Z28" i="62"/>
  <c r="E17" i="71"/>
  <c r="F17" i="71" s="1"/>
  <c r="F16" i="72"/>
  <c r="F3" i="72"/>
  <c r="G44" i="72" s="1"/>
  <c r="BE6" i="62"/>
  <c r="E15" i="45"/>
  <c r="J6" i="45" s="1"/>
  <c r="BE19" i="62"/>
  <c r="G8" i="9"/>
  <c r="F8" i="9"/>
  <c r="F2" i="45"/>
  <c r="G2" i="45" s="1"/>
  <c r="Z6" i="62" l="1"/>
  <c r="Z58" i="62"/>
  <c r="BD6" i="62"/>
  <c r="Q19" i="62"/>
  <c r="Q6" i="62" s="1"/>
  <c r="I46" i="71"/>
  <c r="E4" i="71"/>
  <c r="F4" i="71" s="1"/>
  <c r="G34" i="72"/>
  <c r="G38" i="72"/>
  <c r="G23" i="72"/>
  <c r="G30" i="72"/>
  <c r="G19" i="72"/>
  <c r="G25" i="72"/>
  <c r="G45" i="72"/>
  <c r="G47" i="72"/>
  <c r="G8" i="72"/>
  <c r="G24" i="72"/>
  <c r="G39" i="72"/>
  <c r="G28" i="72"/>
  <c r="G48" i="72"/>
  <c r="F15" i="45"/>
  <c r="G15" i="45" s="1"/>
  <c r="G50" i="72"/>
  <c r="G35" i="72"/>
  <c r="G17" i="72"/>
  <c r="G51" i="72"/>
  <c r="G32" i="72"/>
  <c r="G54" i="72"/>
  <c r="G6" i="72"/>
  <c r="G31" i="72"/>
  <c r="G26" i="72"/>
  <c r="G12" i="72"/>
  <c r="G5" i="72"/>
  <c r="G11" i="72"/>
  <c r="G42" i="72"/>
  <c r="G49" i="72"/>
  <c r="G7" i="72"/>
  <c r="G4" i="72"/>
  <c r="G46" i="72"/>
  <c r="G40" i="72"/>
  <c r="G52" i="72"/>
  <c r="G16" i="72"/>
  <c r="G22" i="72"/>
  <c r="G20" i="72"/>
  <c r="G53" i="72"/>
  <c r="G33" i="72"/>
  <c r="G15" i="72"/>
  <c r="G10" i="72"/>
  <c r="G27" i="72"/>
  <c r="G14" i="72"/>
  <c r="G9" i="72"/>
  <c r="G13" i="72"/>
  <c r="G29" i="72"/>
  <c r="G37" i="72"/>
  <c r="G21" i="72"/>
  <c r="G18" i="72"/>
  <c r="G43" i="72"/>
  <c r="G36" i="72"/>
  <c r="G41" i="72"/>
  <c r="Q58" i="62" l="1"/>
  <c r="Q63" i="62" s="1"/>
  <c r="Z59" i="62"/>
  <c r="Q59" i="62" l="1"/>
  <c r="D59" i="62" s="1"/>
  <c r="D58" i="62"/>
</calcChain>
</file>

<file path=xl/sharedStrings.xml><?xml version="1.0" encoding="utf-8"?>
<sst xmlns="http://schemas.openxmlformats.org/spreadsheetml/2006/main" count="6146" uniqueCount="1041">
  <si>
    <t>Đơn vị tính: ha</t>
  </si>
  <si>
    <t>STT</t>
  </si>
  <si>
    <t>Chỉ tiêu sử dụng đất</t>
  </si>
  <si>
    <t>Mã</t>
  </si>
  <si>
    <t>Tổng diện tích</t>
  </si>
  <si>
    <t>Diện tích phân theo đơn vị hành chính</t>
  </si>
  <si>
    <t>Đất nông nghiệp</t>
  </si>
  <si>
    <t>NNP</t>
  </si>
  <si>
    <t>Đất trồng lúa</t>
  </si>
  <si>
    <t>LUA</t>
  </si>
  <si>
    <t>Trong đó: Đất chuyên trồng lúa nước</t>
  </si>
  <si>
    <t>LUC</t>
  </si>
  <si>
    <t>Đất trồng cây hàng năm khác</t>
  </si>
  <si>
    <t>HNK</t>
  </si>
  <si>
    <t>Đất trồng cây lâu năm</t>
  </si>
  <si>
    <t>CLN</t>
  </si>
  <si>
    <t>Đất rừng phòng hộ</t>
  </si>
  <si>
    <t>RPH</t>
  </si>
  <si>
    <t>Đất rừng đặc dụng</t>
  </si>
  <si>
    <t>RDD</t>
  </si>
  <si>
    <t>Đất rừng sản xuất</t>
  </si>
  <si>
    <t>RSX</t>
  </si>
  <si>
    <t>Đất nuôi trồng thuỷ sản</t>
  </si>
  <si>
    <t>NTS</t>
  </si>
  <si>
    <t>Đất làm muối</t>
  </si>
  <si>
    <t>LMU</t>
  </si>
  <si>
    <t>Đất nông nghiệp khác</t>
  </si>
  <si>
    <t>NKH</t>
  </si>
  <si>
    <t>Đất phi nông nghiệp</t>
  </si>
  <si>
    <t>PNN</t>
  </si>
  <si>
    <t>Đất quốc phòng</t>
  </si>
  <si>
    <t>CQP</t>
  </si>
  <si>
    <t>Đất an ninh</t>
  </si>
  <si>
    <t>CAN</t>
  </si>
  <si>
    <t>Đất khu công nghiệp</t>
  </si>
  <si>
    <t>SKK</t>
  </si>
  <si>
    <t>Đất cụm công nghiệp</t>
  </si>
  <si>
    <t>SKN</t>
  </si>
  <si>
    <t>Đất thương mại, dịch vụ</t>
  </si>
  <si>
    <t>TMD</t>
  </si>
  <si>
    <t>Đất cơ sở sản xuất phi nông nghiệp</t>
  </si>
  <si>
    <t>SKC</t>
  </si>
  <si>
    <t>Đất sử dụng cho hoạt động khoáng sản</t>
  </si>
  <si>
    <t>SKS</t>
  </si>
  <si>
    <t>Đất phát triển hạ tầng cấp quốc gia, cấp tỉnh, cấp huyện, cấp xã</t>
  </si>
  <si>
    <t>DHT</t>
  </si>
  <si>
    <t>Đất có di tích lịch sử - văn hóa</t>
  </si>
  <si>
    <t>DDT</t>
  </si>
  <si>
    <t>Đất danh lam thắng cảnh</t>
  </si>
  <si>
    <t>DDL</t>
  </si>
  <si>
    <t>Đất bãi thải, xử lý chất thải</t>
  </si>
  <si>
    <t>DRA</t>
  </si>
  <si>
    <t>Đất ở tại nông thôn</t>
  </si>
  <si>
    <t>ONT</t>
  </si>
  <si>
    <t>Đất ở tại đô thị</t>
  </si>
  <si>
    <t>ODT</t>
  </si>
  <si>
    <t>Đất xây dựng trụ sở cơ quan</t>
  </si>
  <si>
    <t>TSC</t>
  </si>
  <si>
    <t>Đất xây dựng trụ sở của tổ chức sự nghiệp</t>
  </si>
  <si>
    <t>DTS</t>
  </si>
  <si>
    <t>Đất xây dựng cơ sở ngoại giao</t>
  </si>
  <si>
    <t>DNG</t>
  </si>
  <si>
    <t>Đất cơ sở tôn giáo</t>
  </si>
  <si>
    <t>TON</t>
  </si>
  <si>
    <t>NTD</t>
  </si>
  <si>
    <t>Đất sản xuất vật liệu xây dựng, làm đồ gốm</t>
  </si>
  <si>
    <t>SKX</t>
  </si>
  <si>
    <t>Đất sinh hoạt cộng đồng</t>
  </si>
  <si>
    <t>DSH</t>
  </si>
  <si>
    <t>Đất khu vui chơi, giải trí công cộng</t>
  </si>
  <si>
    <t>DKV</t>
  </si>
  <si>
    <t>Đất cơ sở tín ngưỡng</t>
  </si>
  <si>
    <t>TIN</t>
  </si>
  <si>
    <t>Đất sông, ngòi, kênh, rạch, suối</t>
  </si>
  <si>
    <t>SON</t>
  </si>
  <si>
    <t>Đất có mặt nước chuyên dùng</t>
  </si>
  <si>
    <t>MNC</t>
  </si>
  <si>
    <t>Đất phi nông nghiệp khác</t>
  </si>
  <si>
    <t>PNK</t>
  </si>
  <si>
    <t>Đất chưa sử dụng</t>
  </si>
  <si>
    <t>CSD</t>
  </si>
  <si>
    <t>Đất nông nghiệp chuyển sang phi nông nghiệp</t>
  </si>
  <si>
    <t>NNP/PNN</t>
  </si>
  <si>
    <t>LUA/PNN</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</si>
  <si>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</si>
  <si>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</si>
  <si>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</si>
  <si>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</si>
  <si>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</si>
  <si>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</si>
  <si>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</si>
  <si>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</si>
  <si>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</si>
  <si>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</si>
  <si>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</si>
  <si>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</si>
  <si>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</si>
  <si>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</si>
  <si>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</si>
  <si>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</si>
  <si>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</si>
  <si>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</si>
  <si>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</si>
  <si>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HNK/LMU</t>
  </si>
  <si>
    <t>Đất rừng phòng hộ chuyển sang đất nông nghiệp không phải là rừng</t>
  </si>
  <si>
    <t>RPH/NKR(a)</t>
  </si>
  <si>
    <t>PKO/OCT</t>
  </si>
  <si>
    <t>Đất phi nông nghiệp không phải là đất ở chuyển sang đất ở</t>
  </si>
  <si>
    <t>Cộng giảm</t>
  </si>
  <si>
    <t>TỔNG DIỆN TÍCH ĐẤT TỰ NHIÊN</t>
  </si>
  <si>
    <t>Cộng tăng</t>
  </si>
  <si>
    <t>Thị trấn 
Sa Thầy</t>
  </si>
  <si>
    <t>Sa Sơn</t>
  </si>
  <si>
    <t>Sa Nghĩa</t>
  </si>
  <si>
    <t>Sa Bình</t>
  </si>
  <si>
    <t>Ya Ly</t>
  </si>
  <si>
    <t>Ya Tăng</t>
  </si>
  <si>
    <t>Sa Nhơn</t>
  </si>
  <si>
    <t>Ya Xiêr</t>
  </si>
  <si>
    <t>Rờ Kơi</t>
  </si>
  <si>
    <t>Mô Rai</t>
  </si>
  <si>
    <t>Hơ Moong</t>
  </si>
  <si>
    <t>Diện tích (ha)</t>
  </si>
  <si>
    <t>Tăng (+), giảm (-) ha</t>
  </si>
  <si>
    <t>Tỷ lệ</t>
  </si>
  <si>
    <t>(6)=(5)-(4)</t>
  </si>
  <si>
    <t>(7)=(5)/(4)*100%</t>
  </si>
  <si>
    <t>So Sánh</t>
  </si>
  <si>
    <t>Đất đô thị</t>
  </si>
  <si>
    <t xml:space="preserve">Tổng </t>
  </si>
  <si>
    <t>(4)=(5)+..</t>
  </si>
  <si>
    <t>Tổng diện tích tự nhiên</t>
  </si>
  <si>
    <t>Hạng mục</t>
  </si>
  <si>
    <t>Tăng thêm</t>
  </si>
  <si>
    <t>Sử dụng vào loại đất</t>
  </si>
  <si>
    <t>(4)=(5)+(6)+...</t>
  </si>
  <si>
    <t>Đất trồng cây hàng năm khác chuyển sang đất làm muối</t>
  </si>
  <si>
    <t>Biểu 02/CH</t>
  </si>
  <si>
    <t>2.2</t>
  </si>
  <si>
    <t>1.1</t>
  </si>
  <si>
    <t>1.2</t>
  </si>
  <si>
    <t>1.3</t>
  </si>
  <si>
    <t>1.4</t>
  </si>
  <si>
    <t>1.5</t>
  </si>
  <si>
    <t>1.6</t>
  </si>
  <si>
    <t>1.7</t>
  </si>
  <si>
    <t>1.8</t>
  </si>
  <si>
    <t>1.9</t>
  </si>
  <si>
    <t>2.1</t>
  </si>
  <si>
    <t>2.3</t>
  </si>
  <si>
    <t>2.4</t>
  </si>
  <si>
    <t>2.5</t>
  </si>
  <si>
    <t>2.6</t>
  </si>
  <si>
    <t>2.7</t>
  </si>
  <si>
    <t>2.8</t>
  </si>
  <si>
    <t>2.9</t>
  </si>
  <si>
    <t>2.10</t>
  </si>
  <si>
    <t>2.11</t>
  </si>
  <si>
    <t>2.12</t>
  </si>
  <si>
    <t>2.13</t>
  </si>
  <si>
    <t>2.14</t>
  </si>
  <si>
    <t>2.15</t>
  </si>
  <si>
    <t>2.16</t>
  </si>
  <si>
    <t>2.17</t>
  </si>
  <si>
    <t>2.18</t>
  </si>
  <si>
    <t>2.19</t>
  </si>
  <si>
    <t>2.20</t>
  </si>
  <si>
    <t>2.21</t>
  </si>
  <si>
    <t>Thị trấn Sa Thầy</t>
  </si>
  <si>
    <t>Xã Mô Rai</t>
  </si>
  <si>
    <t>Xã Rờ Kơi</t>
  </si>
  <si>
    <t>Xã Sa Nghĩa</t>
  </si>
  <si>
    <t>Xã Sa Bình</t>
  </si>
  <si>
    <t>Xã Ya Xiêr</t>
  </si>
  <si>
    <t>Xã Ya Tăng</t>
  </si>
  <si>
    <t>Đất trồng lúa chuyển sang đất trồng rừng</t>
  </si>
  <si>
    <t>LUA/LNP</t>
  </si>
  <si>
    <t>Đất rừng đặc dụng chuyển sang đất nông nghiệp không phải là rừng</t>
  </si>
  <si>
    <t>RDD/NKR(a)</t>
  </si>
  <si>
    <t>Đất sản xuất vật liệu xây dựng</t>
  </si>
  <si>
    <t>Đất phát triển hạ tầng cấp huyện, cấp xã</t>
  </si>
  <si>
    <t>Đất sông, suối</t>
  </si>
  <si>
    <t>Diện tích hiện trạng</t>
  </si>
  <si>
    <t>Biểu 10/CH</t>
  </si>
  <si>
    <t>Công trình, dự án mục đích quốc phòng, an ninh</t>
  </si>
  <si>
    <t>1.2.1</t>
  </si>
  <si>
    <t>1.2.2</t>
  </si>
  <si>
    <t>Công trình, dự án do Thủ tướng Chính phủ chấp thuận, quyết định đầu tư mà phải thu hồi đất</t>
  </si>
  <si>
    <t>Công trình, dự án do Hội đồng nhân dân cấp tỉnh chấp thuận mà phải thu hồi đất</t>
  </si>
  <si>
    <t>Xã Ya Ly</t>
  </si>
  <si>
    <t>Xã Hơ Moong</t>
  </si>
  <si>
    <t>Xã Sa Sơn</t>
  </si>
  <si>
    <t>DGD</t>
  </si>
  <si>
    <t>DNL</t>
  </si>
  <si>
    <t>DTL</t>
  </si>
  <si>
    <t>DTT</t>
  </si>
  <si>
    <t>DGT</t>
  </si>
  <si>
    <t>Xã Sa Nhơn</t>
  </si>
  <si>
    <t xml:space="preserve">Xã Sa Nghĩa </t>
  </si>
  <si>
    <t>(4)=(5)+…</t>
  </si>
  <si>
    <t>Biểu 01/CH</t>
  </si>
  <si>
    <t>Đất rừng sản xuất chuyển sang đất nông nghiệp không phải là rừng</t>
  </si>
  <si>
    <t xml:space="preserve"> </t>
  </si>
  <si>
    <t>Công trình,dự án quan trọng quốc gia do Quốc hội quyết định chủ trương đầu tư mà phải thu hồi đất</t>
  </si>
  <si>
    <t>DCH</t>
  </si>
  <si>
    <t>Mở rộng đường Trần Hưng Đạo (đoạn từ đường Nguyễn Văn Cừ đến đường Đào Duy Từ)</t>
  </si>
  <si>
    <t>Đầu tư kết cấu hạ tầng mở rộng điểm dân cư dọc tuyến đường Trần Quốc Toản ( Đoạn từ đường Cù Chính Lan đến đường U Rê)</t>
  </si>
  <si>
    <t>Thủy lợi làng Lung</t>
  </si>
  <si>
    <t xml:space="preserve">Dự án Điểm dân cư thôn 1 Thị trấn Sa Thầy </t>
  </si>
  <si>
    <t>-</t>
  </si>
  <si>
    <t>Đất xây dựng cơ sở văn hóa</t>
  </si>
  <si>
    <t>Đất xây dựng cơ sở y tế</t>
  </si>
  <si>
    <t>Đất xây dựng cơ sở giáo dục đào tạo</t>
  </si>
  <si>
    <t>Đất xây dựng cơ sở thể dục thể thao</t>
  </si>
  <si>
    <t>Đất xây dựng cơ sở khoa học công nghệ</t>
  </si>
  <si>
    <t>Đất xây dựng cơ sở dịch vụ xã hội</t>
  </si>
  <si>
    <t>Đất giao thông</t>
  </si>
  <si>
    <t xml:space="preserve">Đất thủy lợi </t>
  </si>
  <si>
    <t>Đất công trình bưu chính viễn thông</t>
  </si>
  <si>
    <t>Đất chợ</t>
  </si>
  <si>
    <t>DVH</t>
  </si>
  <si>
    <t>DYT</t>
  </si>
  <si>
    <t>DKH</t>
  </si>
  <si>
    <t>DXH</t>
  </si>
  <si>
    <t>DBV</t>
  </si>
  <si>
    <t>Mở rộng đường Trần Hưng Đạo (đoạn từ hạt Kiểm Lâm đến đường Cù Chính Lan)</t>
  </si>
  <si>
    <t>Xây dựng công viên cây xanh trước hội trường 19/5</t>
  </si>
  <si>
    <t>Mở rộng đường Trần Hưng Đạo (đoạn từ Bế Văn Đàn đến đường Lê Duẩn)</t>
  </si>
  <si>
    <t>Trung tâm văn hóa thể thao huyện Sa Thầy</t>
  </si>
  <si>
    <t>xã Sa Nghĩa</t>
  </si>
  <si>
    <t>Tổng</t>
  </si>
  <si>
    <t>Tăng (+), giảm (-)</t>
  </si>
  <si>
    <t>Đơn vị hành chính</t>
  </si>
  <si>
    <t>TT</t>
  </si>
  <si>
    <t>Loại đất</t>
  </si>
  <si>
    <t xml:space="preserve"> Thành tiền (triệu đồng) </t>
  </si>
  <si>
    <t>Thu từ cho thuê đất</t>
  </si>
  <si>
    <t>Đất ở đô thị</t>
  </si>
  <si>
    <t>Đất ở nông thôn</t>
  </si>
  <si>
    <t>Thu từ giao đất</t>
  </si>
  <si>
    <t>Các xã</t>
  </si>
  <si>
    <t>Đất nuôi trồng thủy sản</t>
  </si>
  <si>
    <t>Đường giao thông từ TT huyện Sa Thầy đi nhà máy thủy điện Ia Ly</t>
  </si>
  <si>
    <t>Trong đó: đất có rừng sản xuất là rừng tự nhiên</t>
  </si>
  <si>
    <t>Đất xây dựng kho dự trữ quốc gia</t>
  </si>
  <si>
    <t>DKG</t>
  </si>
  <si>
    <t>Đất làm nghĩa trang, nhà tang lễ, nhà hỏa táng</t>
  </si>
  <si>
    <t>RSN</t>
  </si>
  <si>
    <t>Đất công trình năng lượng</t>
  </si>
  <si>
    <t>Diện tích cấp tỉnh phân bổ</t>
  </si>
  <si>
    <t>Diện tích cấp huyện xác định, xác định bổ sung</t>
  </si>
  <si>
    <t>I</t>
  </si>
  <si>
    <t>II</t>
  </si>
  <si>
    <t>Khu chức năng</t>
  </si>
  <si>
    <t>Đất khu công nghệ cao</t>
  </si>
  <si>
    <t>Đất khu kinh tế</t>
  </si>
  <si>
    <t>Khu sản xuất nông nghiệp ( khu vực chuyên trồng lúa nước, khu vực chuyên trồng cây công nghiệp lâu năm)</t>
  </si>
  <si>
    <t>Khu lâm nghiệp ( Khu vực rừng phòng hộ, rừng đặc dụng, rừng sản xuất)</t>
  </si>
  <si>
    <t>Khu du lịch</t>
  </si>
  <si>
    <t>Khu bảo tổn thiên nhiên và đa dạng sinh học</t>
  </si>
  <si>
    <t>Khu phát triển công nghiệp ( khu công nghiệp, cụm công nghiệp)</t>
  </si>
  <si>
    <t>Khu thương mại - dịch vụ</t>
  </si>
  <si>
    <t>Khu dân cư nông thôn</t>
  </si>
  <si>
    <t>Khu ở, làng nghề, sản xuất phi nông nghiệp nông thôn</t>
  </si>
  <si>
    <t>Khu đô thị ( trong đó có khu đô thị mới)</t>
  </si>
  <si>
    <t>Khu đô thị - thương mại - dịch vụ</t>
  </si>
  <si>
    <t>Ghi chú: Khu chức năng không tổng hợp khi tính tổng diện tích tự nhiên</t>
  </si>
  <si>
    <t>RSN/PNN</t>
  </si>
  <si>
    <t>RSX/NKR(a)</t>
  </si>
  <si>
    <t>RSN/NKR a</t>
  </si>
  <si>
    <t>(a) gồm đất sản xuất nông nghiệp, đất nuôi trồng thủy sản, đất làm muối và đất nông nghiệp khác. PKO là đất phi nông nghiệp không phải là đất ở</t>
  </si>
  <si>
    <t>Đất thủy lợi</t>
  </si>
  <si>
    <t>Đất xây dựng cơ sở giáo dục và đào tạo</t>
  </si>
  <si>
    <t>Đất công trình bưu chính, viễn thông</t>
  </si>
  <si>
    <t>Đất tín ngưỡng</t>
  </si>
  <si>
    <t>Công trình, dự án chuyển mục đích sử dụng đất</t>
  </si>
  <si>
    <t>2.1.1</t>
  </si>
  <si>
    <t>2.1.2</t>
  </si>
  <si>
    <t>Công trình, dự án để phát triển kinh tế - xã hội vì lợi ích quốc gia, công cộng</t>
  </si>
  <si>
    <t>.</t>
  </si>
  <si>
    <t>,</t>
  </si>
  <si>
    <t>Tổng cộng</t>
  </si>
  <si>
    <t>Các khu vực sử dụng đất khác</t>
  </si>
  <si>
    <t>Nhu cầu sử dụng đất của hộ gia đình, cá nhân</t>
  </si>
  <si>
    <t xml:space="preserve">Kế hoạch mở rộng đất trồng cây lâu năm tại Xã Ya Ly </t>
  </si>
  <si>
    <t xml:space="preserve">Kế hoạch mở rộng đất trồng cây lâu năm tại xã Ya Tăng </t>
  </si>
  <si>
    <t xml:space="preserve">Kế hoạch mở rộng đất trồng cây lâu năm tại xã Ya Xiêr </t>
  </si>
  <si>
    <t xml:space="preserve">Kế hoạch mở rộng đất trồng cây lâu năm tại xã Sa Bình </t>
  </si>
  <si>
    <t xml:space="preserve">Kế hoạch mở rộng đất trồng cây lâu năm tại xã Sa Nghĩa </t>
  </si>
  <si>
    <t xml:space="preserve">Kế hoạch mở rộng đất trồng cây lâu năm tại xã Sa Sơn </t>
  </si>
  <si>
    <t xml:space="preserve">Kế hoạch mở rộng đất trồng cây lâu năm tại xã Mô Rai </t>
  </si>
  <si>
    <t xml:space="preserve">Kế hoạch mở rộng đất trồng cây lâu năm tại xã Hơ Moong </t>
  </si>
  <si>
    <t xml:space="preserve">Kế hoạch mở rộng đất trồng cây lâu năm tại xã Sa Nhơn </t>
  </si>
  <si>
    <t xml:space="preserve">Kế hoạch mở rộng đất trồng cây lâu năm tại xã Rơ Kơi </t>
  </si>
  <si>
    <t xml:space="preserve">Nhu Cầu sử dụng đất Nông nghiệp </t>
  </si>
  <si>
    <t>Chuyển mục đích đất ở nhỏ lẻ trong khu dân cư phù hợp với quy hoạch</t>
  </si>
  <si>
    <t>Cấp giấy chứng nhận QSDĐ đất ở nông thộ tại thôn Đăk Wơk</t>
  </si>
  <si>
    <t>Cấp giấy chứng nhận QSDĐ đất ở nông thộ tại thôn Đăk Yo</t>
  </si>
  <si>
    <t>Chuyển mục đích sử dụng nhỏ lẻ trong khu dân cư các thửa đất phù hợp với quy hoạch đất ở</t>
  </si>
  <si>
    <t xml:space="preserve">Đất xây dựng cơ sở kinh doanh phi nông nghiệp </t>
  </si>
  <si>
    <t>Đường đi sản xuất nối tiếp đoạn từ nhà ông A Mương đến nhà ông A Ly (làng Lung)</t>
  </si>
  <si>
    <t>Đường giao thông tiếp nối với Tỉnh lộ 674 đến đường tuần tra biên giới xã Mô Rai, huyện Sa Thầy</t>
  </si>
  <si>
    <t>Nhà máy sản xuất phân bón vi sinh hữu cơ</t>
  </si>
  <si>
    <t>Quyết định chủ trương đầu tư số 76/QĐ-UBND ngày 20/01/2020 của UBND tỉnh</t>
  </si>
  <si>
    <t>Dự án chăn nuôi bò sữa và chế biến sữa công nghệ cao tại Tỉnh Kon Tum của Công ty cổ phần bò sữa nông nghiệp công nghệ cao Kon Tum Hạng mục: Nhà máy chế biến sữa</t>
  </si>
  <si>
    <t>Các công trình dự án còn lại</t>
  </si>
  <si>
    <t>Quyết định số 38/QĐ-TTg ngày 10/01/2018 của Thủ tướng Chinh phủ về việc phê duyệt chủ trương đầu tư Dự án nhà máy thủy điện Ialy mở rộng</t>
  </si>
  <si>
    <t>Công trình, dự án trong kế hoạch sử dụng đất cấp tỉnh</t>
  </si>
  <si>
    <t>Diện tích tăng thêm</t>
  </si>
  <si>
    <t>Cơ sở pháp lý</t>
  </si>
  <si>
    <t>Địa điểm (đến cấp Xã)</t>
  </si>
  <si>
    <t>Diện tích kế hoạch</t>
  </si>
  <si>
    <t>KẾT QUẢ THỰC HIỆN KẾ HOẠCH SỬ DỤNG ĐẤT NĂM TRƯỚC 
CỦA HUYỆN SA THẦY, TỈNH KON TUM</t>
  </si>
  <si>
    <t>Biểu 06/CH</t>
  </si>
  <si>
    <t>Biểu 07/CH</t>
  </si>
  <si>
    <t>Biểu 08/CH</t>
  </si>
  <si>
    <t>Biểu 09/CH</t>
  </si>
  <si>
    <t>Biểu 13/CH</t>
  </si>
  <si>
    <t>Trường TH-THCS xã Sa Sơn. Hạng mục: Nhà vệ sinh, cổng hàng rào và hạng mục phụ trợ</t>
  </si>
  <si>
    <t>Trường THCS Phan Đình Phùng (Hạng mục nhà học 08 phòng và hạng mục phụ trợ)</t>
  </si>
  <si>
    <t>Đầu tư kết cấu hạ tầng Điểm dân cư khu vực Hạt Kiểm lâm (cũ) và lận cận</t>
  </si>
  <si>
    <t>Mở rộng đường Trần Hưng Đạo (đoạn từ đường Bế Văn Đàn đến ngõ 350)</t>
  </si>
  <si>
    <t>Quy hoạch giãn dân khu dân cư Lung Leng, xã Sa Bình</t>
  </si>
  <si>
    <t>Dự án giãn dân làng Kđin xã Mô Rai</t>
  </si>
  <si>
    <t>Nghị quyết số 20/NQ-HĐND ngày 29/4/2021 của Hội đồng nhân dân tỉnh Kon Tum</t>
  </si>
  <si>
    <t>Dự án chăn nuôi của Công ty Bafam</t>
  </si>
  <si>
    <t>2.22</t>
  </si>
  <si>
    <t>2.23</t>
  </si>
  <si>
    <t>Chốt dân quân thường trực xã Mô Rai</t>
  </si>
  <si>
    <t>Trụ sở công an xã Hơ Moong</t>
  </si>
  <si>
    <t>Trạm quản lý bảo vệ rừng Ya Tăng ( tiểu khu 637) Công ty TNHH MTV Lâm nghiệp Sa Thầy</t>
  </si>
  <si>
    <t>Trạm quản lý bảo vệ rừng Ya Yang ( tiểu khu 629) Công ty TNHH MTV Lâm nghiệp Sa Thầy</t>
  </si>
  <si>
    <t>Trạm quản lý bảo vệ rừng Sê San 3 ( tiểu khu 642) Công ty TNHH MTV Lâm nghiệp Sa Thầy</t>
  </si>
  <si>
    <t>Trạm quản lý bảo vệ rừng Ya Mo ( tiểu khu 676) Công ty TNHH MTV Lâm nghiệp Sa Thầy</t>
  </si>
  <si>
    <t>Trạm quản lý bảo vệ rừng đội 4 ( tiểu khu 686) Công ty TNHH MTV Lâm nghiệp Sa Thầy</t>
  </si>
  <si>
    <t>Trạm quản lý bảo vệ rừng đội 10 ( tiểu khu 691) Công ty TNHH MTV Lâm nghiệp Sa Thầy</t>
  </si>
  <si>
    <t>Đầu tư kết cấu hạ tầng khu dân cư dọc tuyến đường Điện Biên Phủ và đường Trần Quốc Toản)</t>
  </si>
  <si>
    <t>Xây dựng Trường TH - THCS xã YaLy. Hạng mục: Nhà học 02 phòng và hạng mục phụ trợ điểm trường làng Tum</t>
  </si>
  <si>
    <t>Quyết định số 1098/QĐ-UBND ngày 24/11/2021 của UBND tỉnh chấp thuận chủ trương đầu tư đồng thời chấp thuận nhà đầu tư</t>
  </si>
  <si>
    <t xml:space="preserve"> Diện tích (ha) </t>
  </si>
  <si>
    <t xml:space="preserve"> Cơ cấu (%) </t>
  </si>
  <si>
    <t>Xây dựng Nhà Văn hóa xã Yaly và các hạng mục phụ trợ</t>
  </si>
  <si>
    <t>Tăng, giảm</t>
  </si>
  <si>
    <t>Trụ sở công an xã Rờ Kơi</t>
  </si>
  <si>
    <t>Trụ sở công an xã Mô Rai</t>
  </si>
  <si>
    <t>Đầu tư kết cấu hạ tầng điểm dân cư đường Cù Chính Lan kéo dài ( đoạn từ đường Điện Biên Phủ đến tỉnh lộ 674)</t>
  </si>
  <si>
    <t>Đầu tư kết cấu hạ tầng điểm dân cư đường Trần Hưng Đạo - đường Cù Chính Lan - đường N3, thôn 1</t>
  </si>
  <si>
    <t>Đất tôn giáo xã Rờ Kơi</t>
  </si>
  <si>
    <t>Xây dựng cầu và đường hai đầu cầu từ bến du lịch xã Ia Chim (Tỉnh lộ 671) đến đường giao thông kết nối với Tỉnh lộ 675A xã Ya Ly, huyện Sa Thầy</t>
  </si>
  <si>
    <t>Nhà máy điện mặt trời KN Ia Ly Kon Tum ( khu vực bố trí pin 228,48 ha; khu vực quản lý vận hành và TBA 110kV: 05ha, đường vào khu vực quản lý và TBA 110kV: 0,2ha)</t>
  </si>
  <si>
    <t>Quyết định chủ trương đầu tư số 256/QĐ-UBND ngày 02/4/2021 của UBND tỉnh</t>
  </si>
  <si>
    <t>Quyết định số 630/QĐ-UBND ngày 24/9/2021 của UBND tỉnh Kon Tum về việc phê duyệt chủ trương đầu tư dự án: Chốt dân quân thường trực xã Mô Rai, huyện Sa Thầy</t>
  </si>
  <si>
    <t>Quyết định số 511/QĐ-BCA-H01 ngày 20 tháng 01 năm 2022 của Bộ Công an</t>
  </si>
  <si>
    <t>Quyết định số 213/QĐ-UBND ngày 24/3/2021 của UBND tỉnh Kon Tum</t>
  </si>
  <si>
    <t xml:space="preserve">Đơn giá (triệu đồng) </t>
  </si>
  <si>
    <t>Tại thị trấn</t>
  </si>
  <si>
    <t>Cơ sở làm việc Công an huyện Sa Thầy thuộc Công an tỉnh Kon Tum</t>
  </si>
  <si>
    <t>Quyết định chấp thuận chủ trương đầu tư đồng thời chấp thuận nhà đầu tư số 453/QĐ-UBND ngày 26/5/2021</t>
  </si>
  <si>
    <t>Trang trại chăn nuôi heo thịt công nghệ cao ( Công ty Cổ phần chăn nuôi Hưng Thành Phát)</t>
  </si>
  <si>
    <t>(4)=(5)+(6)</t>
  </si>
  <si>
    <t>(6)=(7)+…</t>
  </si>
  <si>
    <t>Mã loại đất</t>
  </si>
  <si>
    <t>Đất trồng cỏ</t>
  </si>
  <si>
    <t>DIỆN TÍCH GIẢM ĐI TRONG NĂM 2022 CỦA HUYỆN SA THẦY - TỈNH KON TUM</t>
  </si>
  <si>
    <t>DIỆN TÍCH TĂNG THÊM TRONG NĂM 2022 CỦA HUYỆN SA THẦY - TỈNH KON TUM</t>
  </si>
  <si>
    <t>Cát xây dựng</t>
  </si>
  <si>
    <t>Dự án đăng ký mới thực hiện trong năm 2023</t>
  </si>
  <si>
    <t>Đường giao thông vào khu di tích lịch sử điểm cao 1015, xã Rờ Kơi, huyện Sa Thầy</t>
  </si>
  <si>
    <t>Đường đi khu sản xuất thôn Bar Gốc (Đoạn từ rẫy ông A Minh Đức đến rẫy ông A Thái)</t>
  </si>
  <si>
    <t>Đường đi khu sản xuất Thôn 02 (Đoạn từ dốc ông Vinh thôn 2, xã Sa Sơn)</t>
  </si>
  <si>
    <t>Đường đi khu sản xuất thôn Nhơn An (Đoạn từ điểm trường mầm non đến nghĩa trang thôn Nhơn An)</t>
  </si>
  <si>
    <t>Đường đi khu sản xuất thôn Nhơn Bình (Đoạn từ nhà máy Chế biến tinh bột sắn đến nghĩa trang thôn Nhơn Bình)</t>
  </si>
  <si>
    <t>Đường đi khu sản xuất thôn Nghĩa Dũng (Đoạn từ TL 675 đến rẫy bà Lê Thị Hiền)</t>
  </si>
  <si>
    <t>Đường đi khu sản xuất làng Rắc (Đoạn từ rẫy ông A Nhưr đến rẫy ông A Sư)</t>
  </si>
  <si>
    <t>Đường đi khu sản xuất làng Rắc (Đoạn từ suối tông đến rẫy ông A Quách)</t>
  </si>
  <si>
    <t>Đường đi khu sản xuất làng Trấp (Đoạn từ rẫy ông Nguyễn Văn Bằng đến rẫy ông A Nhang)</t>
  </si>
  <si>
    <t>Đường đi khu sản xuất làng Trấp (Đoạn từ rẫy A Đê đến rẫy ông A Phôn)</t>
  </si>
  <si>
    <t>Đường đi khu sản xuất làng Trấp (Đoạn từ rẫy Rơ Lan Vót đến rẫy ông A Tam)</t>
  </si>
  <si>
    <t>Đường đi khu sản xuất làng Grập (Đoạn từ đầu cầu treo làng Grập đi điểm cuối khu sản xuất)</t>
  </si>
  <si>
    <t>Đường đi khu sản xuất làng Tang (Đoạn từ rẫy Ông A Lơng đến rẫy Mà Y Hỷ)</t>
  </si>
  <si>
    <t>Đường đi khu sản xuất thôn Khơk Klong (Đoạn từ cầu treo ông Tuệ đến rẫy ông Từ Tấn Hùng)</t>
  </si>
  <si>
    <t>Đường đi khu sản xuất thôn Đăk Đe (Đoạn từ rẫy ông A Uyên đến rẫy ông A Ber)</t>
  </si>
  <si>
    <t xml:space="preserve">Đường đi khu sản xuất thôn Đăk Tang (Đoạn từ rẫy bà Lê Thị Huỵ đến rẫy ông Nguyễn Văn Thê) </t>
  </si>
  <si>
    <t>Đường đi khu sản xuất thôn Sơn An (Đoạn từ nhà ông Phạm Văn Quân đến rẫy ông Huỳnh Đức)</t>
  </si>
  <si>
    <t>Đường đi khu sản xuất làng Tang: Đoạn từ Km00+980 đến cầu treo làng Tang</t>
  </si>
  <si>
    <t>Xây dựng Trường PTDTBT Tiểu học Lý Thường Kiệt (hạng mục: nhà học 04 phòng và hạng mục phụ trợ)</t>
  </si>
  <si>
    <t>Đường đi khu sản xuất thôn Kram (Đoạn từ đường bê tông (rẫy ông Lãm) đến suối Đăk B lôm 1)</t>
  </si>
  <si>
    <t xml:space="preserve"> Đường đi khu sản xuất thôn Đăk Tang từ rẫy ông Ngô Minh Chung đến rẫy ông Hà Văn Định </t>
  </si>
  <si>
    <t xml:space="preserve"> Đường đi khu sản xuất thôn Đăk Đe từ rẫy ông A Nghỉu đến rẫy ông A Ruông </t>
  </si>
  <si>
    <t>Đường đi khu sản xuất suối cam thôn Khúc Na đi xã YaLy</t>
  </si>
  <si>
    <t>Đường đi khu sản xuất suối Vê thôn Lung Leng - khu sản xuất thôn Khúc Na</t>
  </si>
  <si>
    <t>Đường đi khu sản xuất (Đoạn từ nhà ông A Chớ vào khu sản xuất)</t>
  </si>
  <si>
    <t>Xây dựng Trường Mầm Non Chim non (điểm Trường làng Tum). (hạng mục nhà học 02 phòng và hạng mục phụ trợ)</t>
  </si>
  <si>
    <t>Đường đi khu sản xuất (Đoạn nối tiếp từ nhà ông A Mương đến nhà ông A Ly) làng Lung</t>
  </si>
  <si>
    <t>Đường đi khu sản xuất (đoạn từ Tỉnh lộ 675A đến khu sản xuất)</t>
  </si>
  <si>
    <t>Đường đi khu nước giọt và khu sản xuất từ nhà bà Y Mâu đến khu sản xuất.</t>
  </si>
  <si>
    <t>Đường đi khu sản xuất làng Trang, nối tiếp đến Rừng keo.</t>
  </si>
  <si>
    <t>Đường đi khu sản xuất Tiểu khu 629 (đoạn nối tiếp: Từ rẫy A Tam đến rẫy bà Rơ Châm Hồng).</t>
  </si>
  <si>
    <t>Đường đi khu sản xuất Ya Than (Đoạn từ rẫy ông A Keng đến rẫy ông A Sét).</t>
  </si>
  <si>
    <t>Đường đi khu sản xuất Ya Bu (đoạn từ  Lâm trường cũ đến rẫy ông Phạm Văn Cường).</t>
  </si>
  <si>
    <t>Trường TH-THCS xã Ya Ly (Điểm trường trung tâm). Hạng mục: 02 phòng học chức năng và hạng mục phụ trợ</t>
  </si>
  <si>
    <t>Sửa chữa hội trường sinh hoạt văn hóa thôn 2</t>
  </si>
  <si>
    <t>Sửa chữa hội trường sinh hoạt văn hóa thôn Sơn An</t>
  </si>
  <si>
    <t>Đường sản xuất thôn Nghĩa Dũng ( đoạn từ nhà ông Mừng đến rẫy ông Giảng)</t>
  </si>
  <si>
    <t>Đường nội thôn làng Chứ ( Đoạn từ nhà ông A Rôi đến nghĩa địa làng Chứ)</t>
  </si>
  <si>
    <t>Đường nội thôn làng Chứ ( Đoạn từ nhà bà Y Kang đến bến nước )</t>
  </si>
  <si>
    <t>Đường nội thôn làng Chứ ( Đoạn từ nhà ông Hà Văn Hoàng đến nhà ông A Ưn)</t>
  </si>
  <si>
    <t>Đường nội thôn làng Chứ ( Đoạn từ nhà bà Y H dứp đến nhà ông A Ghíu)</t>
  </si>
  <si>
    <t>Đường nội thôn làng Chờ ( Đoạn từ nhà A Bẻo đến nhà A Phuch)</t>
  </si>
  <si>
    <t>Đường nội thôn làng Chứ ( Đoạn từ nhà A M dích đến nhà A Bi)</t>
  </si>
  <si>
    <t>Sân thể thao làng Tum (sân bóng đá)</t>
  </si>
  <si>
    <t>Sữa chữa nhà rông</t>
  </si>
  <si>
    <t>Đường nội thôn làng Chờ ( Đoạn từ nhà A Vêu đến nhà Y Túp)</t>
  </si>
  <si>
    <t>Sân thể thao làng Tang</t>
  </si>
  <si>
    <t>Sữa chữa nhà văn hóa làng Kđin</t>
  </si>
  <si>
    <t xml:space="preserve">Điều chỉnh bổ sung danh mục đầu tư công giai đoạn </t>
  </si>
  <si>
    <t xml:space="preserve"> trên địa bàn xã Mô Rai (UBND xã)</t>
  </si>
  <si>
    <t>Đường sản xuất làng Grập:  Đoạn từ đầu cầu treo đi khu rẫy nhà Ông A Chưng</t>
  </si>
  <si>
    <t>Đầu tư tuyến đường N8 tại Dự án: Đầu tư cơ sở hạ tầng phục vụ dãn dân tại làng Xộp, xã Mô Rai, huyện Sa Thầy</t>
  </si>
  <si>
    <t>Đầu tư tuyến đường N5 tại Dự án: Đầu tư cơ sở hạ tầng phục vụ dãn dân tại làng Xộp, xã Mô Rai, huyện Sa Thầy</t>
  </si>
  <si>
    <t>Đầu tư đường vào khu sản xuất Làng Xộp (N7)</t>
  </si>
  <si>
    <t>Bê tông hóa Kênh mương nội đồng làng Tang</t>
  </si>
  <si>
    <t>Bê tông hóa Kênh mương nội đồng làng GRập</t>
  </si>
  <si>
    <t>Đường nội thôn Ia Tri: Đoạn từ Km00+620 đến ngã 3 đội 9</t>
  </si>
  <si>
    <t xml:space="preserve">Khu thể thao thôn: 01 sân bóng chuyền làng Tang </t>
  </si>
  <si>
    <t>Duy tu bảo dưỡng đường nội thôn Làng Tang (Đoạn từ QL14C đến nhà Bà Y Léo)</t>
  </si>
  <si>
    <t>Duy tu bảo dưỡng đường nội thôn Làng Kđin</t>
  </si>
  <si>
    <t xml:space="preserve">Đường sản xuất làng Tang:  Đoạn từ rẫy Ông A Lơng đến rẫy Bà Y Hỷ </t>
  </si>
  <si>
    <t>Quy  hoạch nghĩa trang 03 thôn Ia Ho, Ia Tri, Ia Xoăn</t>
  </si>
  <si>
    <t>Đường liên thôn làng Tang đi thôn Ia Xoăn (Km 0+700)</t>
  </si>
  <si>
    <t>Đầu tư tuyến đường N9 tại Dự án: Đầu tư cơ sở hạ tầng phục vụ dãn dân tại làng Xộp, xã Mô Rai, huyện Sa Thầy</t>
  </si>
  <si>
    <t>Đầu tư tuyến đường N10 tại Dự án: Đầu tư cơ sở hạ tầng phục vụ dãn dân tại làng Xộp, xã Mô Rai, huyện Sa Thầy</t>
  </si>
  <si>
    <t>Đầu tư tuyến đường N2 tại Dự án: Đầu tư cơ sở hạ tầng phục vụ dãn dân tại làng Xộp, xã Mô Rai, huyện Sa Thầy</t>
  </si>
  <si>
    <t>Đầu tư tuyến đường N4 tại Dự án: Đầu tư cơ sở hạ tầng phục vụ dãn dân tại làng Xộp, xã Mô Rai, huyện Sa Thầy</t>
  </si>
  <si>
    <t>Duy tu bảo dưỡng đường nội thôn Làng KĐin (Đoạn từ cổng chào đến điểm trường Mầm non)</t>
  </si>
  <si>
    <t>Đường nội thôn Ia Ho: Đoạn từ ngã 3 đường liên thôn đến cầu treo thôn Ia Ho</t>
  </si>
  <si>
    <t>Đường nội thôn Ia Xoăn: Đoạn từ nhà ông Nguyễn Văn Thắng  đến nhà bà Trần Thị Định</t>
  </si>
  <si>
    <t xml:space="preserve">Hạ thế đường điện đường nội thôn làng Kđin ( đoạn từ nhà ông A Khoát đến nhà ông A Đua ) </t>
  </si>
  <si>
    <t>Đường nội thôn Ia Tri (Đoạn từ kho mủ Đội 3 đi cầu treo)</t>
  </si>
  <si>
    <t xml:space="preserve">Hạ thế đường điện QL 14c (đoạn từ nhà ông A Sáu đến đập Ya Pan làng Grập) </t>
  </si>
  <si>
    <t>Xây mới bếp ăn nội trú, nhà vệ sinh lớp nhô tại xã Mô Rai</t>
  </si>
  <si>
    <t>Xây mới bếp ăn bán trú trường Mầm non xã Mô Rai</t>
  </si>
  <si>
    <t>Chốt dân quân thường trực xã Rờ Kơi</t>
  </si>
  <si>
    <t>Nhà văn hóa xã Rờ Kơi</t>
  </si>
  <si>
    <t>Sữa chữa nhà bia tưởng niệm</t>
  </si>
  <si>
    <t>Sữa chữa chợ xã Rờ Kơi</t>
  </si>
  <si>
    <t>Sữa chữa nâng cấp tuyến đường liên xã Sa Bình đi Ya Ly</t>
  </si>
  <si>
    <t>Đường nội thôn Rờ Kơi ( Các đoạn từ nhà A Biên đến nhà A Oái, từ nhà A Hiền đến nhà A Bluôn, từ nhà ông A Chinh đến nhà bà Y Rác)</t>
  </si>
  <si>
    <t>Đường nội thôn Đăk Đe ( đoạn từ nhà ông A Uyên đến nhà ông Gíp)</t>
  </si>
  <si>
    <t>Đường nội thôn Rờ Kơi đoạn từ nhà A Thung đến nhà A Ghinh, từ nhà A Kip đến nhà A Chen</t>
  </si>
  <si>
    <t>Nâng cấp đường nội thôn 1 và cống đoạn từ ngã ba thôn Thanh Xuân đi xuống hết khu
dân cư thôn 1</t>
  </si>
  <si>
    <t>Đường nội thôn làng Điệp Lôk (Đoạn từ nhà A HDĩ đi lòng hồ thủy điện)</t>
  </si>
  <si>
    <t>Đường nội thôn làng Trấp (Đoạn từ nhà A Lếu đi lòng hồ thủy điện).</t>
  </si>
  <si>
    <t>Đường nội làng Chốt (Đoạn từ nhà A Bên đến nhà A Trưng)</t>
  </si>
  <si>
    <t>Đường nội thôn (từ nhà ông Đáp đến nhà ông Dài)</t>
  </si>
  <si>
    <t>Nâng cấp, sửa chữa, cải tạo đường nội thôn Làng Le</t>
  </si>
  <si>
    <t>Dự án chưa thực hiện trong năm 2022 chuyển sang thực hiện năm 2023</t>
  </si>
  <si>
    <t>HIỆN TRẠNG SỬ DỤNG ĐẤT NĂM 2022 CỦA HUYỆN SA THẦY - TỈNH KON TUM</t>
  </si>
  <si>
    <t xml:space="preserve">Đầu tư cơ sở hạ tầng phục vụ giãn dân tại làng Xộp </t>
  </si>
  <si>
    <t>Nhà máy thủy điện Ya Ly mở rộng</t>
  </si>
  <si>
    <t>Đường giao thông đi khu sản xuất Ya Lân - Ya Roong</t>
  </si>
  <si>
    <t>Chỉ tiêu quy hoạch đến 2030</t>
  </si>
  <si>
    <t>Biểu 03/CH</t>
  </si>
  <si>
    <t>QUY HOẠCH SỬ DỤNG ĐẤT ĐẾN NĂM 2030 CỦA HUYỆN SA THẦY - TỈNH KON TUM</t>
  </si>
  <si>
    <t>DANH MỤC CÔNG TRÌNH, DỰ ÁN THỰC HIỆN TRONG THỜI KỲ 2021-2030 CỦA HUYỆN SA THẦY, TỈNH KON TUM</t>
  </si>
  <si>
    <t xml:space="preserve">Diện tích quy hoạch </t>
  </si>
  <si>
    <t>Địa điểm (đến cấp xã)</t>
  </si>
  <si>
    <t>Diện tích</t>
  </si>
  <si>
    <t>Công trình, dự án trong quy hoạch sử dụng đất  cấp  tỉnh</t>
  </si>
  <si>
    <t>Trụ sở công an huyện</t>
  </si>
  <si>
    <t>Trụ sở công an thị trấn Sa Thầy</t>
  </si>
  <si>
    <t>Trụ sở công an xã Ya Tăng</t>
  </si>
  <si>
    <t>Trụ sở công an xã Ya Ly</t>
  </si>
  <si>
    <t>Trụ sở công an xã Sa Bình</t>
  </si>
  <si>
    <t>Trụ sở công an xã Sa Nhơn</t>
  </si>
  <si>
    <t>Trụ sở công an xã Sa Sơn</t>
  </si>
  <si>
    <t>Trụ sở công an xã Ya Xiêr</t>
  </si>
  <si>
    <t>Trụ sở công an xã Sa Nghĩa</t>
  </si>
  <si>
    <t>Trụ sở làm việc Ban Chỉ huy quân sự thị trấn</t>
  </si>
  <si>
    <t>Quy hoạch đất quốc phòng</t>
  </si>
  <si>
    <t>Thao trường huấn luyện ban chỉ huy quân sự xã Hơ Moong</t>
  </si>
  <si>
    <t>Mở rộng Trụ sở HĐND - UBND xã Hơ Moong. Hạng mục: Phòng làm việc Ban chỉ huy quân sự xã</t>
  </si>
  <si>
    <t>Điểm đóng quân MNCB mủ số 6 - Đoàn KTQP - Binh đoàn 15</t>
  </si>
  <si>
    <t>Điểm đóng quân đội dịch vụ tổng hợp - Đoàn KTQP - Binh đoàn 15</t>
  </si>
  <si>
    <t>Thao trường huấn luyện Công ty TNHH MTV 78</t>
  </si>
  <si>
    <t>Trụ sở làm việc Ban Chỉ huy quân sự xã Mô Rai</t>
  </si>
  <si>
    <t>Thao trường huấn luyện xã Rờ Kơi</t>
  </si>
  <si>
    <t>Chốt dân quân thường trực xã Rơ Kơi</t>
  </si>
  <si>
    <t>Trụ sở làm việc Ban Chỉ huy quân sự xã Rờ Kơi</t>
  </si>
  <si>
    <t>Thao trường huấn luyện xã Sa Nhơn</t>
  </si>
  <si>
    <t>Trụ sở làm việc Ban Chỉ huy quân sự xã Sa Nhơn</t>
  </si>
  <si>
    <t>Trụ sở làm việc Ban Chỉ huy quân sự xã Sa Nghĩa</t>
  </si>
  <si>
    <t xml:space="preserve">Thao trường huấn luyện BCH quân sự </t>
  </si>
  <si>
    <t>Mở rộng Trụ sở HĐND - UBND xã Sa Bình. Hạng mục: Phòng làm việc Ban chỉ huy quân sự xã</t>
  </si>
  <si>
    <t>Trụ sở BCH quân sự xã</t>
  </si>
  <si>
    <t>Mở rộng Trụ sở HĐND - UBND xã Ya Tăng. Hạng mục: Phòng làm việc Ban chỉ huy quân sự xã</t>
  </si>
  <si>
    <t>Trụ sở làm việc Ban Chỉ huy quân sự xã Ya Xiêr</t>
  </si>
  <si>
    <t>Trụ sở làm việc Ban Chỉ huy quân sự xã Ya Ly</t>
  </si>
  <si>
    <t>Công trình, dự án còn lại</t>
  </si>
  <si>
    <t>2.1.18</t>
  </si>
  <si>
    <t>Công trình đất cụm công nghiệp</t>
  </si>
  <si>
    <t>Quy hoạch cụm công nghiệp</t>
  </si>
  <si>
    <t xml:space="preserve">Dự án Cụm công nghiệp thị trấn Sa Thầy  </t>
  </si>
  <si>
    <t>Dự án đường giao thông nội bộ và hệ thống thoát nước (tuyến N4) thuộc cụm công nghiệp huyện Sa Thầy</t>
  </si>
  <si>
    <t>Công trình đất thương mại, dịch vụ</t>
  </si>
  <si>
    <t>Đất thương mại dịch vụ xã Sa Nhơn</t>
  </si>
  <si>
    <t xml:space="preserve">Quy hoạch Điểm thu mua nông sản thôn Đức Lý </t>
  </si>
  <si>
    <t xml:space="preserve">Quy hoạch Điểm thu mua nông sản </t>
  </si>
  <si>
    <t>Đất thương mại dịch vụ xã Ya Xiêr</t>
  </si>
  <si>
    <t xml:space="preserve">Dự án Du lịch Dù lượn tại xã Ya Xiêr </t>
  </si>
  <si>
    <t>Quy hoạch Điểm thu mua nông sản</t>
  </si>
  <si>
    <t xml:space="preserve">Đất xây dựng trụ sở HTX </t>
  </si>
  <si>
    <t>Quy hoạch Điểm thu mua mủ cao su Đăk Tân</t>
  </si>
  <si>
    <t>Điểm thu mua mủ cao su tập trung thôn Hòa Bình, xã Sa Nghĩa</t>
  </si>
  <si>
    <t>Điểm thu mua mủ cao su tập trung thôn Nghĩa Dũng, xã Sa Nghĩa</t>
  </si>
  <si>
    <t>Quy hoạch đất hợp tác xã trên địa bàn xã Sa Nghĩa</t>
  </si>
  <si>
    <t xml:space="preserve">Quy hoạch đất hợp tác xã </t>
  </si>
  <si>
    <t>Quy hoạch điểm thu mua nông sản tại làng Lung Leng</t>
  </si>
  <si>
    <t xml:space="preserve">Quy hoạch điểm thu mua nông sản </t>
  </si>
  <si>
    <t>Quy hoạch điểm thu mua nông sản xã Rờ Kơi</t>
  </si>
  <si>
    <t>Đất thương mại dịch vụ xã Rờ Kơi</t>
  </si>
  <si>
    <t xml:space="preserve">Điểm thu mua mủ cao su tập trung </t>
  </si>
  <si>
    <t>Quy hoạch đất thương mại dịch vụ</t>
  </si>
  <si>
    <t>Đất thương mại dịch vụ xã Ya Ly</t>
  </si>
  <si>
    <t>Đất thương mại dịch vụ xã Ya Tăng</t>
  </si>
  <si>
    <t>Quy hoạch đất cây xăng tại xã Ya Ly</t>
  </si>
  <si>
    <t>Khu du lịch hồ Ya Ly</t>
  </si>
  <si>
    <t>Công trình đất cơ sở sở sản xuất phi nông nghiệp</t>
  </si>
  <si>
    <t>Nhà máy chế biến sữa, xã Mô Rai</t>
  </si>
  <si>
    <t>Nhà máy sản xuất Viên nén sinh khối</t>
  </si>
  <si>
    <t xml:space="preserve">Dự án nhà máy xây dựng nghiền đá tại thôn Tân Sang </t>
  </si>
  <si>
    <t>Nhà máy chế biến cà phê</t>
  </si>
  <si>
    <t>2.1.3</t>
  </si>
  <si>
    <t>Công trình đất phát triển hạ tầng</t>
  </si>
  <si>
    <t>Công trình đất giao thông</t>
  </si>
  <si>
    <t>Mở rộng đường vào trung tâm huyện và bổ sung đường phân luồng giao thông tại điểm đầu huyện</t>
  </si>
  <si>
    <t>Dự án tuyến đường tránh đô thị phía Tây thị trấn Sa Thầy, huyện Sa Thầy</t>
  </si>
  <si>
    <t>Mở rộng đường Trần Hưng Đạo</t>
  </si>
  <si>
    <t>Dự án đầu tư kết cấu hạ tầng điểm dân cư đường Trần Hưng Đạo (khu vực C187 cũ) thôn 1</t>
  </si>
  <si>
    <t>Dự án đầu tư kết cấu hạ tầng điểm dân cư phía Nam thị trấn Sa Thầy</t>
  </si>
  <si>
    <t>Đường giao thông từ xã Hơ Moong đi khu di tích lịch sử điểm cao 1049 và 1015</t>
  </si>
  <si>
    <t xml:space="preserve">Mở rộng đường thôn Nghĩa Dũng, xã Sa Nghĩa </t>
  </si>
  <si>
    <t>Mở rộng đường sản xuất thôn Hòa Bình, xã Sa Nghĩa</t>
  </si>
  <si>
    <t>Xây dựng bến xe tại xã Mô Rai</t>
  </si>
  <si>
    <t>Đường giao thông tiếp nối với TL 674 đi đến đường tuần tra biên giới xã Mô Rai</t>
  </si>
  <si>
    <t>xã Mô Rai</t>
  </si>
  <si>
    <t>Công trình xây dựng cầu và đường hai đầu cầu từ bến du lịch xã Ia Chim, thành phố Kon Tum (Tỉnh lộ 671) đến đường giao thông kết nối với Tỉnh lộ 675A xã Ya Ly, huyện Sa Thầy</t>
  </si>
  <si>
    <t>Nâng cấp quốc lộ14C đoạn qua huyện Sa Thầy, xã Rờ Kơi</t>
  </si>
  <si>
    <t xml:space="preserve">Đường vào Đồn Biên phòng 705 </t>
  </si>
  <si>
    <t>Nâng cấp mở rộng đường quốc lộ 24 ( tỉnh lộ 675 nâng cấp)</t>
  </si>
  <si>
    <t>Quy hoạch quốc lộ 24 (tỉnh lộ 765 nâng cấp)</t>
  </si>
  <si>
    <t>Huyện Sa Thầy</t>
  </si>
  <si>
    <t>Đầu tư nâng cấp tuyến đường giao thông kết nối tuyến đường sản xuất (từ ngã ba tỉnh lộ 679 đi điểm cao 1049 và điểm cao 1015)</t>
  </si>
  <si>
    <t>Đầu tư hạ tầng khu sản xuất. Hạng mục đầu tư nâng cấp đường giao thông nối các khu sản xuất ( Đoạn từ ĐT 679 đi khu sản xuất các thôn Đăk Yo - Kơ Tu - K Bay)</t>
  </si>
  <si>
    <t>Đầu tư nâng cấp đường giao thông nối các khu sản xuất ( Đoạn từ ĐT 679 đi Đăk Hà)</t>
  </si>
  <si>
    <t>Công trình đất thủy lợi</t>
  </si>
  <si>
    <t>Hồ chưa nước đập Hố Trâu, xã Sa Bình</t>
  </si>
  <si>
    <t>Đập Đăk Nam xã Hơ Moong</t>
  </si>
  <si>
    <t>Đặp Đăk Cha xã Rờ Kơi</t>
  </si>
  <si>
    <t>Đập Đăk Plôm xã Rờ Kơi</t>
  </si>
  <si>
    <t xml:space="preserve">Sửa chữa, nâng cấp hệ thống tưới hồ chứa nước Đăk Car </t>
  </si>
  <si>
    <t>Sửa chữa, nâng cấp hệ thống tưới hồ chứa nước Đập Đăk Sia II</t>
  </si>
  <si>
    <t>Kè chống sạt lở suối Đăk Sia đoạn qua xã Sa Nhơn, Sa Nghĩa và thị trấn Sa Thầy</t>
  </si>
  <si>
    <t>Kè thôn Sơn An</t>
  </si>
  <si>
    <t>Hồ chứa Ya Lon xã Mô Rai</t>
  </si>
  <si>
    <t>Đập Ya Tri 2 xã Ya Tăng</t>
  </si>
  <si>
    <t>xã Ya Tăng</t>
  </si>
  <si>
    <t>Đầu tư đầu mối, nâng cấp kênh thủy lợi Đăk Nam</t>
  </si>
  <si>
    <t>Dự án kè chống sạt lở suối Đăk Ngao</t>
  </si>
  <si>
    <t>Công trình đất văn hóa</t>
  </si>
  <si>
    <t>Công trình đất giáo dục</t>
  </si>
  <si>
    <t>Trường THCS Phan Đình Phùng xã Hơ Moong. Hạng mục Nhà học 04 phòng và các hạng mục phụ trợ</t>
  </si>
  <si>
    <t>Trường THCS Phan Đình Phùng (hạng mục nhà học 8 phòng 2 tầng, nhà học 6 phòng 2 tầng và hạng mục phù trợ)</t>
  </si>
  <si>
    <t>Trường Mầm non Họa Mi, thị trấn Sa Thầy. Hạng mục Nhà học 4 phòng, nhà hiệu bộ, nhà ăn, bếp và các hạng mục phụ trợ</t>
  </si>
  <si>
    <t>Trường PTDT Nội trú huyện</t>
  </si>
  <si>
    <t>Nhà trẻ cơ quan - Đoàn KTQP 78 - Binh đoàn 15</t>
  </si>
  <si>
    <t>Công trình đất y tế</t>
  </si>
  <si>
    <t>Trung tâm y tế huyện Sa Thầy</t>
  </si>
  <si>
    <t>Công trình đất thể thao</t>
  </si>
  <si>
    <t>Sân thể thao xã Rờ Kơi</t>
  </si>
  <si>
    <t>Sân thể thao xã Hơ Moong</t>
  </si>
  <si>
    <t>Quy hoạch sân thể thao tại thôn 1</t>
  </si>
  <si>
    <t>Quy hoạch sân thể thao làng Tum</t>
  </si>
  <si>
    <t>Quy hoạch sân thể thao tại thôn Kiến Hưng</t>
  </si>
  <si>
    <t>Công trình đất năng lượng</t>
  </si>
  <si>
    <t>Mở rộng nhà máy thủy điện Ya Ly</t>
  </si>
  <si>
    <t>Nhà máy điện mặt trời Ya Tăng</t>
  </si>
  <si>
    <t>Tiểu dự án 01 - cấp điện nông thôn từ lưới điện quốc gia tỉnh Kon Tum sử dụng vốn ngân sách trung ương giai đoạn 2014-2020</t>
  </si>
  <si>
    <t>Tiểu dự án 02 - cấp điện nông thôn từ lưới điện quốc gia tỉnh Kon Tum giai đoạn 2018-2020, EU tài trợ</t>
  </si>
  <si>
    <t>Nhà máy điện mặt trời KN Kon Tum ( khu vực bố trí pin 228,48 ha; khu vực quản lý vận hành và TBA 110kV: 05ha, đường vào khu vực quản lý và TBA 110kV: 0,2ha)</t>
  </si>
  <si>
    <t>Điện năng lượng xã Ya Ly</t>
  </si>
  <si>
    <t>Trạm biến áp 110KV và nhánh rẽ</t>
  </si>
  <si>
    <t>Nhà máy điện mặt trời Hơ Moong</t>
  </si>
  <si>
    <t>Thuê đất bảo vệ tuyến đập thủy điện Plei Krông</t>
  </si>
  <si>
    <t>Dự án KfW3.1 trên địa bàn huyện Sa Thầy</t>
  </si>
  <si>
    <t>Đầu tư hạ tầng khu sản xuất. Hạng mục Đầu tư mới hệ thống đường điện 3 pha kết hợp các trạm biến áp, tổng chiều dài khoảng 8km ( Đoạn từ ĐT 679 đi khu sản xuất các thôn Đăk Yo - Kơ Tu - K Bay)</t>
  </si>
  <si>
    <t>Nhà máy điện gió tại huyện Sa Thầy</t>
  </si>
  <si>
    <t>xã Rờ Kơi</t>
  </si>
  <si>
    <t>Nhà máy điện mặt trời Kon Tum xã Sa Nghĩa</t>
  </si>
  <si>
    <t>Công trình đất lịch sử, văn hóa</t>
  </si>
  <si>
    <t>Điểm cao 1015 (charlie - Sạc Ly)</t>
  </si>
  <si>
    <t>Điểm cao 1049 (Delta)</t>
  </si>
  <si>
    <t>Công trình đất xử lý chất thải</t>
  </si>
  <si>
    <t>Quy hoạch bãi rác xã Rờ Kơi</t>
  </si>
  <si>
    <t>Bãi xử lý rác thải huyện Sa Thầy</t>
  </si>
  <si>
    <t>Quy hoạch bãi rác xã Hơ Moong</t>
  </si>
  <si>
    <t>Công trình đất tôn giáo</t>
  </si>
  <si>
    <t>Quy hoạch đất tôn giáo</t>
  </si>
  <si>
    <t>Mở rộng đất tôn giáo thôn Kon Ktu, xã Hơ Moong</t>
  </si>
  <si>
    <t>Đất công trình tôn giáo khu giãn dân thôn Kơ Yo, xã Hơ Moong</t>
  </si>
  <si>
    <t>Quy hoạch chùa xã Rờ Kơi</t>
  </si>
  <si>
    <t>Công trình đất nghĩa trang</t>
  </si>
  <si>
    <t>Mở rộng nghĩa trang thị trấn Sa Thầy</t>
  </si>
  <si>
    <t>Mở rộng nghĩa trang xã Sa Nghĩa</t>
  </si>
  <si>
    <t>Mở rộng nghĩa trang nhân dân thôn Nghĩa Dũng</t>
  </si>
  <si>
    <t>Mở rộng nghĩa trang nhân dân thôn Hòa Bình</t>
  </si>
  <si>
    <t>Quy hoạch nghĩa trang nhân dân xã Rờ Kơi</t>
  </si>
  <si>
    <t>Nghĩa điạ thôn Đăk Tang</t>
  </si>
  <si>
    <t>Quy hoạch nghĩa địa làng Răc, xã Ya Xiêr</t>
  </si>
  <si>
    <t>quy hoạch nghĩa địa làng Lung</t>
  </si>
  <si>
    <t xml:space="preserve">Mở rộng nghĩa trang làng Trấp </t>
  </si>
  <si>
    <t>Nghĩa trang Ia Ho</t>
  </si>
  <si>
    <t>Công trình đất chợ</t>
  </si>
  <si>
    <t>Quy hoạch chợ xã Hơ Moong</t>
  </si>
  <si>
    <t>Quy hoạch chợ Trung tâm xã Sa Bình</t>
  </si>
  <si>
    <t>Dự án chợ trung tâm cụm xã  Ya Xiêr, Ya Ly, Ya Tăng</t>
  </si>
  <si>
    <t>Công trình đất ở tại đô thị</t>
  </si>
  <si>
    <t>Khai thác quỹ đất dọc tuyến đường tránh đô thị phía tây thị trấn Sa Thầy</t>
  </si>
  <si>
    <t>Khai thác quỹ đất công trên địa bàn thị trấn Sa Thầy</t>
  </si>
  <si>
    <t>Đấu giá QSDĐ tại thị trấn</t>
  </si>
  <si>
    <t>Dự án đầu giá quyền sử dụng đất mở rộng điểm dân cư dọc tuyến đường từ Thị trấn Sa Thầy đi xã Ya Xiêr (Đoạn KM1+850 đến Km2+850)</t>
  </si>
  <si>
    <t>Dự án đầu giá quyền sử dụng đất mở rộng điểm dân cư dọc tuyến đường từ Thị trấn Sa Thầy đi xã Sa Sơn ( Đoạn Km2+200 đến Km2+420)</t>
  </si>
  <si>
    <t>Dự án khu dân cư thôn 3, TT Sa Thầy</t>
  </si>
  <si>
    <t>Dự án điểm dân cư thôn 2, TT Sa Thầy</t>
  </si>
  <si>
    <t>Dự án phân lô đấu giá phía sau trụ sở Viettel</t>
  </si>
  <si>
    <t>Dự án điểm dân cư nhỏ lẽ TT Sa Thầy</t>
  </si>
  <si>
    <t xml:space="preserve">Dự án khu dân cư thôn 1, thôn 5 </t>
  </si>
  <si>
    <t>2.1.5</t>
  </si>
  <si>
    <t>Công trình đất ở tại nông thôn</t>
  </si>
  <si>
    <t>Khai thác quỹ đất Làng Tum, Xã Ya Ly</t>
  </si>
  <si>
    <t>Khai thác quỹ đất khu vực trước Chợ trung tâm, xã Rơ Kơi</t>
  </si>
  <si>
    <t>Khai thác quỹ đất trường Mầm non, xã Rờ Kơi</t>
  </si>
  <si>
    <t>Quy hoạch giãn dân khu dân cư  thôn Bình Loong</t>
  </si>
  <si>
    <t>Dự án đấu giá đất ở, thôn 1</t>
  </si>
  <si>
    <t xml:space="preserve"> Xã Sa Sơn</t>
  </si>
  <si>
    <t>Mở rộng khu dân cư làng Bar Gốc</t>
  </si>
  <si>
    <t xml:space="preserve">Quy hoạch đất ở làng Rẽ </t>
  </si>
  <si>
    <t xml:space="preserve">Dự án gián dân thôn Đăk Wớt </t>
  </si>
  <si>
    <t>Dự án giãn dân thôn K Bay</t>
  </si>
  <si>
    <t>Dự án Khu giãn dân thôn Đăk Yo</t>
  </si>
  <si>
    <t>Dự án Khu giãn dân thôn Kơ Tol</t>
  </si>
  <si>
    <t>Dự án Khu giãn dân thôn Đăk Wơk Yốp</t>
  </si>
  <si>
    <t>Công trình đất xây dựng trụ sở cơ quan</t>
  </si>
  <si>
    <t>Tòa án huyện Sa Thầy</t>
  </si>
  <si>
    <t>Chi cục thuế huyện</t>
  </si>
  <si>
    <t>Phòng 01 cửa và hội trường họp của UBND xã</t>
  </si>
  <si>
    <t>Công trình đất sinh hoạt cộng đồng</t>
  </si>
  <si>
    <t xml:space="preserve">Xây dựng hội trường thôn 3, thôn 4, thôn 5 </t>
  </si>
  <si>
    <t>Đất sinh hoạt cộng đồng thôn Hòa bình</t>
  </si>
  <si>
    <t>Mở rộng khu sinh hoạt văn hóa thể thao thôn Sơn An</t>
  </si>
  <si>
    <t>Đất sinh hoạt cộng đồng thôn Kiến Hưng</t>
  </si>
  <si>
    <t xml:space="preserve">Đất nhà rông làng Chứ </t>
  </si>
  <si>
    <t>2.1.17</t>
  </si>
  <si>
    <t>Công trình đất rừng</t>
  </si>
  <si>
    <t>Dự án trồng rừng nguyên liệu sản xuất gắn với chế biến</t>
  </si>
  <si>
    <t>Xã Hơ Moong, xã Sa Bình, xã Sa Nghĩa, xã Rờ Kơi, Xã Ya Tăng , xã Ya Xiêr</t>
  </si>
  <si>
    <t>Kế hoạch trồng rừng trên địa bàn xã Ya Xiêr</t>
  </si>
  <si>
    <t>Dự án trồng rừng và phát triển rừng</t>
  </si>
  <si>
    <t>Giao rừng xã Hơ Moong</t>
  </si>
  <si>
    <t>Giao rừng xã Sa Bình</t>
  </si>
  <si>
    <t>2.1.11</t>
  </si>
  <si>
    <t>Công trình đất nuôi trồng thủy sản</t>
  </si>
  <si>
    <t>Dự án nuôi trồng thủy sản nước ngọt tập trung gắn với chế biến Sa Thầy</t>
  </si>
  <si>
    <t>Mở rộng đất nuôi trồng thủy sản tại xã Sa Sơn</t>
  </si>
  <si>
    <t>Công trình đất nông nghiệp khác</t>
  </si>
  <si>
    <t>Dự án chăn nuôi bò sữa và chế biến sữa công nghệ cao tại Tỉnh Kon Tum của Công ty cổ phần bò sữa nông nghiệp công nghệ cao Kon Tum</t>
  </si>
  <si>
    <t xml:space="preserve">Đất chăn nuôi công nghệ cao </t>
  </si>
  <si>
    <t>Dự án trang trại chăn nuôi - trồng dược liệu, nấm tại thôn Tân Sang</t>
  </si>
  <si>
    <t>Đất nông nghiệp ứng dụng công nghệ cao trên địa bàn xã Hơ Moong</t>
  </si>
  <si>
    <t>Quy hoạch đất nông nghiệp ứng dụng công nghệ cao</t>
  </si>
  <si>
    <t>Quy hoạch đất nông nghiệp khác</t>
  </si>
  <si>
    <t>Khu nông nghiệp công nghệ cao Đăk Tân, xã Sa Nghĩa (02 vị trí)</t>
  </si>
  <si>
    <t>Khu nông nghiệp công nghệ cao Nghĩa Dũng, xã Sa Nghĩa</t>
  </si>
  <si>
    <t>Đất nông nghiệp khác hộ gia đình</t>
  </si>
  <si>
    <t>Khu chăn nuôi heo tại xã Sa Bình</t>
  </si>
  <si>
    <t xml:space="preserve">Quy hoạch xây dựng Hợp tác xã bò sữa </t>
  </si>
  <si>
    <t xml:space="preserve">Quy hoạch đất nông nghiệp ứng dụng công nghệ cao </t>
  </si>
  <si>
    <t>Quy hoạch Trang trại chăn nuôi heo công nghệ cao</t>
  </si>
  <si>
    <t>Trang trại chăn nuôi lợn nái, lợn thương phẩm công nghệ cao và trồng cây tổng hợp</t>
  </si>
  <si>
    <t>Trang trại chăn nuôi công nghệ cao</t>
  </si>
  <si>
    <t xml:space="preserve">Dự án sản xuất nông nghiệp công nghệ cao tại xã Rờ Kơi </t>
  </si>
  <si>
    <t>Trang trại trồng trọt chăn nuôi công nghệ cao tại xã Ya Ly</t>
  </si>
  <si>
    <t>Khu nông nghiệp ứng dụng công nghệ cao tại xã Sa Sơn</t>
  </si>
  <si>
    <t>2.1.10</t>
  </si>
  <si>
    <t>Công trình đất sản xuất vật liệu xây dựng</t>
  </si>
  <si>
    <t>Điểm mỏ số 1 (Sét làm VLXD thông thường), xã Sa Sơn</t>
  </si>
  <si>
    <t>Điểm mỏ số 2 (Sét làm VLXD thông thường), xã Sa Sơn</t>
  </si>
  <si>
    <t>Khai thác cát làm vật liệu xây dựng thông thường Điểm mỏ số 1 (lòng hồ thủy điện Plei Krông), xã Hơ Moong</t>
  </si>
  <si>
    <t>Khai thác cát, sỏi làm vật liệu xây dựng thông thường, thị trấn Sa Thầy</t>
  </si>
  <si>
    <t>Khai thác đá làm vật liệu xây dựng thông thường, xã Hơ Moong</t>
  </si>
  <si>
    <t>Khai thác đá làm vật liệu xây dựng thông thường, xã Mô Rai</t>
  </si>
  <si>
    <t>Khai thác đá làm vật liệu xây dựng thông thường, xã Mô rai</t>
  </si>
  <si>
    <t>Quy hoạch khai thác đất làm vật liệu xây dựng làng Tang</t>
  </si>
  <si>
    <t>Quy hoạch khai thác đá xây dựng  ( số 170)</t>
  </si>
  <si>
    <t>Quy hoạch khai thác cát, sỏi làm vật liệu xây dựng suối Ia Tri</t>
  </si>
  <si>
    <t>Quy hoạch khai thác cát, sỏi làm vật liệu xây dựng suối Ia Mô</t>
  </si>
  <si>
    <t>Khai thác cát, sỏi làm vật liệu xây dựng thông thường, xã Mô Rai</t>
  </si>
  <si>
    <t>Khai thác đá làm vật liệu xây dựng thông thường, xã Sa Bình</t>
  </si>
  <si>
    <t>quy hoạch mỏ đá làm vật liệu xây dựng thông thường tại thôn Lung Leng</t>
  </si>
  <si>
    <t>Mở rộng mỏ đá Cửu Long</t>
  </si>
  <si>
    <t>Khai thác cát, sỏi làm vật liệu xây dựng thông thường, xã Ya Xiêr</t>
  </si>
  <si>
    <t>Đất làm vật liệu xây dựng thông thường ( mỏ đất)</t>
  </si>
  <si>
    <t>2.2.3</t>
  </si>
  <si>
    <t>Dự án bố trí ổn định dân di cư tự do và dân cư biên giới huyện Sa Thầy</t>
  </si>
  <si>
    <t>Chuyển mục đích sang đất ở nông thôn trên địa bàn xã Sa Bình</t>
  </si>
  <si>
    <t>xã Sa Bình</t>
  </si>
  <si>
    <t>Chuyển mục đích sử dụng đất sang đất ở nông thôn trên địa bàn xã Sa Nghĩa</t>
  </si>
  <si>
    <t>Chuyển mục đích sử dụng đất sang đất ở nông thôn trên địa bàn xã Sa Sơn</t>
  </si>
  <si>
    <t>xã Sa Sơn</t>
  </si>
  <si>
    <t>Chuyển  mục đích sang đất ở nông thôn trên địa bàn xã Sa Nhơn</t>
  </si>
  <si>
    <t>xã Sa Nhơn</t>
  </si>
  <si>
    <t>Chuyển mục đích sang đất ở nông thôn trên địa bàn xã Rờ  Kơi</t>
  </si>
  <si>
    <t>Chuyển  mục đích sang đất ở nông thôn trên địa bàn xã Mô Rai</t>
  </si>
  <si>
    <t>Chuyển  mục đích sang đất ở nông thôn trên địa bàn xã Ya Xiêr</t>
  </si>
  <si>
    <t>xã Ya Xiêr</t>
  </si>
  <si>
    <t>Chuyển mục đích sang đất ở nông thôn trên địa bàn xã Ya Ly</t>
  </si>
  <si>
    <t>xã Ya Ly</t>
  </si>
  <si>
    <t>Chuyển  mục đích sang đất ở nông thôn trên địa bàn xã Ya Tăng</t>
  </si>
  <si>
    <t>Chuyển mục đích sử dụng đất sang đất ở nông thôn trên địa bàn xã Hơ Moong</t>
  </si>
  <si>
    <t>xã Hơ Moong</t>
  </si>
  <si>
    <t>2.2.6</t>
  </si>
  <si>
    <t>Chuyển mục đích sang đất ở đô thị trên địa bàn thị trấn Sa Thầy</t>
  </si>
  <si>
    <t>Đầu tư kết cấu hạ tầng Điểm dân cư khu vực Hạt Kiểm lâm(cũ) và các khu vực lân cận</t>
  </si>
  <si>
    <t>2.2.8</t>
  </si>
  <si>
    <t>Công trình đất phi nông nghiệp khác</t>
  </si>
  <si>
    <t>Nhà ở tập thể công nhân đội 1 Công ty TNHH MTV 78</t>
  </si>
  <si>
    <t>Nhà ở tập thể công nhân đội 3 Công ty TNHH MTV 78</t>
  </si>
  <si>
    <t>2.2.7</t>
  </si>
  <si>
    <t>Công trình đất trồng cây lâu năm</t>
  </si>
  <si>
    <t xml:space="preserve">Chuyển đổi đất trồng cây hàng năm sang đất trồng cây lâu năm tại xã Rờ Kơi </t>
  </si>
  <si>
    <t xml:space="preserve">Chuyển đổi đất trồng cây hàng năm sang đất trồng cây lâu năm tại xã Sa Nhơn </t>
  </si>
  <si>
    <t>Chuyển đổi đất trồng cây hàng năm khác sang đất trồng cây lâu năm trên địa bàn xã Hơ Moong</t>
  </si>
  <si>
    <t xml:space="preserve">Chuyển đổi đất trồng cây hàng năm sang đất trồng cây lâu năm tại xã Mô Rai </t>
  </si>
  <si>
    <t xml:space="preserve">Chuyển đổi đất trồng cây hàng năm khác sang đất trồng cây lâu năm trên địa bàn xã Sa Sơn </t>
  </si>
  <si>
    <t>Chuyển đổi đất trồng cây hàng năm khác sang đất trồng cây lâu năm trên địa bàn xã Sa Nghĩa</t>
  </si>
  <si>
    <t xml:space="preserve">Chuyển đổi đất trồng cây hàng năm sang đất trồng cây lâu năm tại xã Sa Bình </t>
  </si>
  <si>
    <t xml:space="preserve">Chuyển đổi đất trồng cây hàng năm sang đất trồng cây lâu năm tại xã Ya Xiêr </t>
  </si>
  <si>
    <t xml:space="preserve">Chuyển đổi đất trồng cây hàng năm sang đất trồng cây lâu năm tại xã Ya Tăng </t>
  </si>
  <si>
    <t xml:space="preserve">Chuyển đổi đất trồng cây hàng năm sang đất trồng cây lâu năm tại xã Ya Ly </t>
  </si>
  <si>
    <t>Chuyển đổi đất tại khu nghĩa địa Bình Tây sang đất nông nghiệp</t>
  </si>
  <si>
    <t>2.2.11</t>
  </si>
  <si>
    <t>Côngtrình đất trồng cây hàng năm khác</t>
  </si>
  <si>
    <t>Chuyển đổi đất trồng lúa khác sang đất sản xuất nông nghiệp trên địa bàn xã Sa Sơn</t>
  </si>
  <si>
    <t>Các khu vực sử dụng đất khác (giao đất)</t>
  </si>
  <si>
    <t>Công trình đất hạ tầng</t>
  </si>
  <si>
    <t>Đầu tư kết cấu hạ tầng khu dân cư dọc tuyến đường Điện Biên Phủ và đường Trần Quốc Toản</t>
  </si>
  <si>
    <t>Đầu tư kết cấu hạ tầng điểm dân cư thôn 2, thị trấn Sa Thầy</t>
  </si>
  <si>
    <t>Xây dựng chợ đầu mối huyện Sa Thầy</t>
  </si>
  <si>
    <t>Xây dựng chợ trung tâm xã Mô Rai</t>
  </si>
  <si>
    <t>Mở rộng chợ Trung tâm huyện Sa Thầy</t>
  </si>
  <si>
    <t>Mở rộng đường Trần Hưng Đạo (đoạn từ đường Trường Chinh đến đường bê tông ngõ 406 trường THCS Nguyễn Tất Thành)</t>
  </si>
  <si>
    <t>Xây dựng một số tuyến đường Nội thị trấn Sa Thầy</t>
  </si>
  <si>
    <t>Đường giao thông kết nối phục vụ phát triển KTXH và đảm bảo QPAN từ xã Rờ Kơi huyện Sa Thầy đi xã Sa Loong huyện Ngọc Hồi</t>
  </si>
  <si>
    <t xml:space="preserve">Xây dựng đường giao thông đi khu sản xuất </t>
  </si>
  <si>
    <t>Trường Mần non Hoa Sen xã Sa Nghĩa</t>
  </si>
  <si>
    <t>Trường Mầm non Rờ Kơi (Hạng mục Nhà học 5 phòng và các hạng mục phù trợ)</t>
  </si>
  <si>
    <t>Điểm trường Mầm non làng Kđin, xã Mô Rai</t>
  </si>
  <si>
    <t>Đất ở</t>
  </si>
  <si>
    <t>Khu dân cư đường Điện Biên Phủ (đoạn từ trường mầm non Hoa Hồng đến đường Hai Bà Trưng)</t>
  </si>
  <si>
    <t>Đất sinh hoạt cộng đồng thôn Đăk Tân, xã Sa Nghĩa</t>
  </si>
  <si>
    <t>Đất sinh hoạt cộng đồng làng Kđin</t>
  </si>
  <si>
    <t>Nhà văn hóa thôn Đăk Wơk Yôp</t>
  </si>
  <si>
    <t>Công trình đất khu vui chơi, giải trí, công cộng</t>
  </si>
  <si>
    <t>Vườn hoa cây xanh trước Nghĩa trang liệt sỹ huyện Sa Thầy</t>
  </si>
  <si>
    <t>Nhà thờ thôn Đăk Wơk Yôp</t>
  </si>
  <si>
    <t>Nhà thờ thôn Đăk Tân</t>
  </si>
  <si>
    <t>Đấu giá quyền sử dụng đất đối với lô đất thương mại dịch vụ C4</t>
  </si>
  <si>
    <t>Đấu giá quyền sử dụng đất dịch vụ thương mại tại Khu quy hoạch thôn 1, Thị trấn Sa Thầy</t>
  </si>
  <si>
    <t>Công trình đất sản xuất phi nông nghiệp</t>
  </si>
  <si>
    <t>Đấu giá quyền sử dụng đất xây dựng cơ sở kinh doanh phi nông nghiệp tại xã Ya Ly, huyện Sa Thầy</t>
  </si>
  <si>
    <t>Công trình đất xây dựng công trình sự nghiệp khác</t>
  </si>
  <si>
    <t>Xây dựng trụ sở Hạt kiểm lâm (hoán đổi trụ sở Hạt Kiểm lâm cữ đã điều chuyển về cho UBND huyện quản lý)</t>
  </si>
  <si>
    <t>Kế hoạch sử dụng đất năm 2023</t>
  </si>
  <si>
    <t>DANH MỤC CÔNG TRÌNH, DỰ ÁN THỰC HIỆN TRONG NĂM 2023 HUYỆN SA THẦY  - TỈNH KON TUM</t>
  </si>
  <si>
    <t>Kế hoạch sử dụng đất năm 2023 (ha)</t>
  </si>
  <si>
    <t>Dự án sắp xếp, bố trí ổn định dân cư tập trung và tại chỗ thôn Đăk Wớt, xã Hơ Moong, huyện Sa Thầy</t>
  </si>
  <si>
    <t xml:space="preserve">Đầu tư xây dựng, cải tạo, nâng cấp tỉnh lộ 675 đoạn từ Km0-Km24 </t>
  </si>
  <si>
    <t>Kiên cố hóa kênh nội đồng cánh đồng làng Kđừ</t>
  </si>
  <si>
    <t>Đường nội làng Kleng (đoạn từ nhà A Gliuh đến đường A Gió; đoạn từ nhà A Jưp đến đất nhà A Thuyn)</t>
  </si>
  <si>
    <t>Đường nội làng Chốt (đoạn từ A Trưng đến nhà A Lớp)</t>
  </si>
  <si>
    <t>Đường đi khu sản suất làng Kleng (đoạn từ đường Urê đến đất ông A Lue)</t>
  </si>
  <si>
    <t>Đường nội làng Chốt (đoạn từ A Lớp đến đường đi liên thôn)</t>
  </si>
  <si>
    <t>Công trình điểm trường mầm non Họa Mi, làng Kđừ, thị trấn Sa Thầy</t>
  </si>
  <si>
    <t>Đường đi khu sản suất làng Kleng (đoạn từ đất ông A Lue đến rẫy ông A Iu)</t>
  </si>
  <si>
    <t>Đường nội làng Chốt (đoạn từ A Ram đến nhà A Blim)</t>
  </si>
  <si>
    <t>Đường đi khu sản suất làng Kleng (đoạn từ rẫy A Iu đến rẫy A Hyứt)</t>
  </si>
  <si>
    <t>Chương trình dân tộc miền núi 2023 thị trấn</t>
  </si>
  <si>
    <t xml:space="preserve">                                                                                                                                                                                                                                                                                                                                                                                                                                                                                                                                                                                                               </t>
  </si>
  <si>
    <t>Vị trí trên bản đồ địa chính ( Tờ bản đồ số, thửa số); trường hợp không có bản đồ địa chính thì sử dụng trên nền bản đồ hiện trạng sử dụng đất cấp xã</t>
  </si>
  <si>
    <t>Nghị quyết số 39/NQ-HĐND ngày 22/10/2021 của Hội đồng nhân dân tỉnh Kon Tum; Nghị quyết số 20/NQ-HĐND ngày 12/5/2022 của HĐND huyện Sa Thầy về kế hoạch đầu tư công năm 2022 cân đối ngân sách địa phương</t>
  </si>
  <si>
    <t>Nghị quyết số 27/NQ-HĐND tỉnh 29 tháng 4 năm 2021 của Hội đồng nhân dân tỉnh phê duyệt chủ trương đầu tư dự án; Quyết định số 1264/QĐ-UBND ngày 30/12/2021 của UBND tỉnh Kon Tum về việc giao chi tiết Kế hoạch đầu tư nguồn ngân sách trung ương năm 2022</t>
  </si>
  <si>
    <t>Nghị quyết số 23/NQ-HĐND ngày 29 tháng 4 năm 2021 của Hội đồng nhân dân tỉnh phê duyệt chủ trương đầu tư dự án Quyết định số 1264/QĐ-UBND ngày 30/12/2021 của UBND tỉnh Kon Tum về việc giao chi tiết Kế hoạch đầu tư nguồn ngân sách trung ương năm 2022</t>
  </si>
  <si>
    <t>Nghị quyết số 15/NQ-HĐND của HĐND tỉnh ngày 29/4/2022 về việc điều chỉnh chủ trương đầu tư dự án</t>
  </si>
  <si>
    <t xml:space="preserve">Điểm thu mua nông sản </t>
  </si>
  <si>
    <t>Thửa 867, TBĐ 25</t>
  </si>
  <si>
    <t>Đất thương mại dịch vụ</t>
  </si>
  <si>
    <t>Đường ngõ, xóm (dọc sân bóng) thôn Nhơn An</t>
  </si>
  <si>
    <t>Đường ngõ, xóm thôn Nhơn An (Đoạn từ nhà ông Phan Thanh Sơn đến nhà bà Lê Thị Kim Hoa)</t>
  </si>
  <si>
    <t>Đường ngõ, xóm thôn Nhơn An (Đoạn từ nhà bà Phan Thị Cảnh đến giáp đường lô 2)</t>
  </si>
  <si>
    <t>Đường nội thôn Lung Leng (đoạn nhà ông A Gum đi nghĩa trang; đoạn nhà ông A Nhé đi nhà ông A Lan, đoạn nhà A Weo đi nhà A KLu)</t>
  </si>
  <si>
    <t>Đường nội thôn Kơ Tu (Đoạn từ nhà ông A Gai đến nhà thờ; Đoạn từ nhà ông A Mlơi đến nhà ông A Lam)</t>
  </si>
  <si>
    <t>Đường nội thôn Đăk Yo (Đoạn từ nhà ông A Thek đến nhà ông A Oan; Đoạn từ nhà ông A Sin đến nhà ông A Tổ)</t>
  </si>
  <si>
    <t>Đường nội thôn K`Bay (Đoạn từ nhà ông A Nghip đến nhà ông A Huynh; Đoạn từ nhà ông A Bim đến nhà ông A Hưunh)</t>
  </si>
  <si>
    <t>Đường nội thôn làng Rắc (Đoạn từ Nhà A Che đến nhà A Hăi)Đường nội thôn làng Rắc (Đoạn từ Nhà A Che đến nhà A Hăi)</t>
  </si>
  <si>
    <t>Đường nội thôn làng O (Đoạn từ nhà Y Oan đến làng O)</t>
  </si>
  <si>
    <t>Đường nội thôn làng Rắc (Đoạn từ nhà A Dung đến nhà A Lưới)</t>
  </si>
  <si>
    <t>Bê tông kênh mương nội đồng Làng GRập</t>
  </si>
  <si>
    <t>Bê tông kênh mương nội đồng Làng Tang</t>
  </si>
  <si>
    <t>Sửa chữa nhà văn hóa Thôn Gia Xiêng</t>
  </si>
  <si>
    <t>Đường nội thôn Kà Bầy (Đoạn vào khu nghĩa địa; đoạn từ sân bóng đi rẫy nhà ông Duyên; đoạn nhà ông Trung nhà bà Hà)</t>
  </si>
  <si>
    <t>Đường nội thôn Nhơn Bình (Đoạn từ nhà Mai Văn Tình đến nhà ông Nguyễn Chánh)</t>
  </si>
  <si>
    <t>Đường nội thôn Nhơn Bình (Đoạn từ nhà ông Mai Văn Minh đến tỉnh lộ 675)</t>
  </si>
  <si>
    <t>Đường nội thôn Nhơn Khánh (Đoạn từ trường Mầm non đến nhà ông Hinh)</t>
  </si>
  <si>
    <t>Đường nội thôn Nhơn Khánh (Đoạn từ nhà ông Nguyễn Tiến Mạnh đến nhà ông Nguyễn Xuân Thành)</t>
  </si>
  <si>
    <t>Sửa chữa nhà rông thôn Nhơn Bình</t>
  </si>
  <si>
    <t>Dự án sữa chữa nâng cấp Hệ thống tưới hồ chứa nước Đăk Car và Đập Đăk Sia II, huyện Sa Thầy</t>
  </si>
  <si>
    <t>Kế hoạch giao rừng, cho thuê rừng</t>
  </si>
  <si>
    <t>Kế hoạch giao rừng, cho thuê rừng xã Sa Bình</t>
  </si>
  <si>
    <t>Kế hoạch giao rừng, cho thuê rừng xã Hơ Moong</t>
  </si>
  <si>
    <t>Kế hoạch giao rừng, cho thuê rừng xã Ya Ly</t>
  </si>
  <si>
    <t>Kế hoạch giao rừng, cho thuê rừng xã Sa Nghĩa</t>
  </si>
  <si>
    <t>Quyết định số 1047/QĐ-UBND ngày 10/11/2021 của UBND tỉnh Kon Tum về giao diện tích rừng tự nhiên do UBND cấp xã đang quản lý ( chưa có kế hoạch giao rừng, cho thuê rừng) cho các chủ rừng là các Ban quản lý rừng và các Công ty TNHH MTV lâm nghiệp để quản lý, bảo vệ</t>
  </si>
  <si>
    <t xml:space="preserve">Cơ sở làm việc Công an huyện Sa Thầy </t>
  </si>
  <si>
    <t>Quyết định 2112/QĐ-UBND ngày 23/12/2021 của UBND huyện Sa Thầy; Quyết định số 800 ngày 23/5/2022 của UBND huyện Sa Thầy về việc giao điều chỉnh, bổ sung kế hoạch đầu tư công nguồn ngân sách địa phương năm 2022 huyện Sa Thầy ( lần 1). Kinh phí: 1,000 triệu đồng</t>
  </si>
  <si>
    <t>Quyết định 2112/QĐ-UBND ngày 23/12/2021 của UBND huyện Sa Thầy; Nghị quyết số 54/NQ-HĐND ngày 29/8/2022 của HĐND tỉnh Kon Tum về danh mục dự án đầu tư năm 2022 thuôc CTMTQG phát triển KTXH vùng đồng bào dân tộc thiểu số và miền núi giai đoạn 2021-2030, giai đoạn 1 từ năm 2021-2025 trên địa bàn tỉnh Kon Tum. Kinh phí 544 triệu đồng</t>
  </si>
  <si>
    <t>Nghị quyết số 05/NQ-HĐND ngày 28/02/2022 của HĐND huyện Sa Thầy; Quyết định số 800 ngày 23/5/2022  của UBND huyện Sa Thầy về việc giao điều chỉnh, bổ sung kế hoạch đầu tư công nguồn ngân sách địa phương năm 2022 huyện Sa Thầy ( lần 1). Kinh phí: 1,400 triệu đồng</t>
  </si>
  <si>
    <t>Quyết định số 300/QĐ-UBND ngày 20/5/2022 của UBND tỉnh Kon Tum về việc phân bổ nguồn tăng thu, tiết kiệm chi ngân sách tỉnh năm 2021 ( Kinh phí phân bổ: 1,500 triệu đồng)</t>
  </si>
  <si>
    <t>Nghị quyết số 54/NQ-HĐND ngày 29/8/2022 của HĐND tỉnh Kon Tum về danh mục dự án đầu tư năm 2022 thuôc CTMTQG phát triển KTXH vùng đồng bào dân tộc thiểu số và miền núi giai đoạn 2021-2030, giai đoạn 1 từ năm 2021-2025 trên địa bàn tỉnh Kon Tum. Kinh phí: 5,781 triệu đồng</t>
  </si>
  <si>
    <t>Nghị quyết số 54/NQ-HĐND ngày 29/8/2022 của HĐND tỉnh Kon Tum về danh mục dự án đầu tư năm 2022 thuôc CTMTQG phát triển KTXH vùng đồng bào dân tộc thiểu số và miền núi giai đoạn 2021-2030, giai đoạn 1 từ năm 2021-2025 trên địa bàn tỉnh Kon Tum. Kinh phí: 17,143 triệu đồng</t>
  </si>
  <si>
    <t>Nghị quyết số 54/NQ-HĐND ngày 29/8/2022 của HĐND tỉnh Kon Tum về danh mục dự án đầu tư năm 2022 thuôc CTMTQG phát triển KTXH vùng đồng bào dân tộc thiểu số và miền núi giai đoạn 2021-2030, giai đoạn 1 từ năm 2021-2025 trên địa bàn tỉnh Kon Tum. Kinh phí: 1,785 triệu đồng</t>
  </si>
  <si>
    <t>Nghị quyết số 42/NQ-HĐND ngày 12/7/2022 của HĐND tỉnh Kon Tum về danh mục dự án đầu tư thuộc Chương trình mục tiêu quốc gia năm 2022 trên địa bàn tỉnh Kon Tum. Kinh phí 13,749 triệu đồng</t>
  </si>
  <si>
    <t>TBĐ 57, THỬA 57, 60,  68.</t>
  </si>
  <si>
    <t>Bản đồ hiện trạng sử dụng đất cấp xã</t>
  </si>
  <si>
    <t>TBĐ 36, THỬA 404</t>
  </si>
  <si>
    <t>TBĐ 37, THỬA 115</t>
  </si>
  <si>
    <t>TBĐ 70, THỬA 108</t>
  </si>
  <si>
    <t>TBĐ 35, THỬA 21,22,26,138,254,314,315,274,42,317,41,139,40,39,38,43,319,320,141,142,144,145,45,48,57,58,59,318,73,74,75,76,252,71,78</t>
  </si>
  <si>
    <t>TBĐ 56, THỬA 53, 69,79</t>
  </si>
  <si>
    <t>TBĐ 14, thửa 270</t>
  </si>
  <si>
    <t>TBĐ  32, thửa
 44, 66, 67, 56, 60, 61, 62, 69, 99, 100, 101, 116, 113, 57, 120, 81, 82, 112, 63, 93, 119, 58, 71, 102, 53, 54, 65, 34, 42, 47, 19
TBD 33, thửa
1, 2, 3, 7, 8, 11
TBD 29, thửa
158, 159, 149, 150, 151, 128, 129, 133, 136, 143, 145, 137, 146, 148, 155, 147, 131, 132, 139, 118, 130</t>
  </si>
  <si>
    <t>TBĐ 35, THỬA 129,129,116,115. TBĐ 42: THỬA 15,12,21,22,30,39,38,37,33,34,45,28,29,23,24,14,17,18,1,2,3,7,8,9,10,35,39,41</t>
  </si>
  <si>
    <t xml:space="preserve">TBĐ 28, THỬA 649, </t>
  </si>
  <si>
    <t>TBĐ 27, thửa 54, 66
TBĐ 28. thửa 124</t>
  </si>
  <si>
    <t>TBĐ 27, thửa 76</t>
  </si>
  <si>
    <t xml:space="preserve">TBĐ 69, THỬA 1, 3, 4, 5. TBĐ70, THỬA 37, 39, 28, 34, 22, 27, 21, 24, 29, 31, 50, 62, 71, 73, 84,90, 76, 96, 110, 118, 107... TBĐ 82, THỬA 13, 20, 28, 76, 81, 91. TBĐ 70, THỬA 108. TBĐ 82, THỬA 28. TBĐ 70, THỬA 31, 39, 50, 96. TBĐ 82, THỬA 28, 82. TBĐ70, THỬA 76. TBĐ82, THỬA 91. TBĐ70, THỬA 76. TBĐ 69, THỬA 1, 3, 4, 5. TBĐ70, THỬA 37, 39, 28, 34, 22, 27, 21, 24, 29, 31, 50, 62, 71, 73, 84,90, 76, 96, 110, 118, 107... TBĐ 82, THỬA 13, 20, 28, 76, 81, 91, </t>
  </si>
  <si>
    <t>Xã Sa Bình: TBĐ 10, THỬA 11,16,1,2,3,4,5,6,7,8,18,19,115,9 TBĐ 11, THỬA 267,257,17,30,9,260,261,262,263,264,30,10,11,16,29,286,287,42,245,44,41,51,79,141,151,159,169,292,300,301 TBĐ 12, THỬA 131,188,223,224,244,177,225,317,234,235,194,233,121,212,297,304,154,116,108,107,314,313,228,95,96,97,99,93,325 TBĐ 13, THỬA 272,111,273,162,172,174,212,218,229 TBĐ 18, THỬA 268,22,281,62,88,82,87,110,118,86,112,113,116,127,130,141,142,261,262,263,164,170,117,131,266,140,154,153,159,282,283,284,165,172 TBĐ 19, THỬA 827,106,82,838,855,85,99,100,113,114,115,134,78,86,90,98,65,77,62,56,51,131,831,832,807,698,97,744,745,66,72,73,61,846,847,816,60,57,58,731,33,23,9,4,784,805,806 TBĐ 15, THỬA 76,79,80,81</t>
  </si>
  <si>
    <t>Xã Ya Tăng: TBĐ 9, THỬA 102; Xã Ya Xiêr: TBĐ 8, thửa 358, 373, 372, 1, 349, 7, 8, 9, 10, 16, 15, 363, 368, 24, 23, 30, 38, 37, 46, 54, 55, 56, 63, 62, 73, 74, 82, 83, 84, 90, 91, 117, 118, 132, 133, 142, 144, 157, 160, 162, 183, 181, 182, 185, 186, 187, 188, 216, 156, 180, 189, 215, 350, 351, 220, 243, 239, 252, 378, 379, 222, 238, 237, 244, 245, 257, 256, 261, 266, 278, 277, 276, 283, 284, 293, 297, 302, 301, 307, 308, 352, 309, 315, 318, 319, 320, 321, 327, 328, 332, 333, 334, 335, 336, 340, 341, 378, 379, 375, 275, 274, 285, 286, 287, 288, 292, 273, 300, 299, 291, 348, 314, 322, 365, 313, 366, 360, 367, 338, 339
TBĐ 16, thửa 7, 13, 12, 17, 18, 22, 26, 25, 29, 437, 459, 460, 38, 40, 48, 453, 454, 442, 414, 73, 28, 84, 97, 96, 107, 106, 113, 112, 133, 134, 135, 147, 148, 149, 389, 180, 181, 182, 189, 204, 205, 229, 230, 231, 240, 241, 242, 243, 258, 259, 376, 272, 273, 287, 288, 289, 299, 300, 329, 422, 423, 488, 489, 359, 386, 381, 402, 354, 350, 349, 348, 347, 346, 345, 344, 325, 326, 328, 327, 318, 317, 319, 297, 298, 292, 291, 290, 271, 270, 269, 268, 260, 261, 239, 238, 237, 232, 202, 203, 192, 144, 145, 138, 137, 136, 110, 111, 108, 93, 109, 94, 79, 77, 482, 483, 486, 487, 465, 50, 49, 44, 39, 30, 23, 19, 445, 11, 10, 4
TBĐ 24, thửa 549, 550, 7, 8, 553, 544, 552, 15, 24, 558, 561, 34, 38, 41, 48, 49, 56, 57, 63, 64, 74, 75, 79, 86, 85, 97, 104, 103, 115, 119, 130, 137, 162, 177, 206, 212, 237, 236, 240, 239, 268, 267, 270, 305, 347, 560, 561, 418, 453, 496, 564, 419, 387, 350, 348, 304, 301, 269, 238, 211, 180, 179, 178, 158, 159, 154, 155, 134, 135, 136, 131, 118, 117, 101, 102, 99, 98, 84, 83, 80, 81, 73, 65, 54, 55, 50, 40, 39, 26, 25, 18, 17, 16
TBĐ 25, thửa 94, 98, 97, 92, 91, 88, 86, 87
TBD 32, thửa 4
TBĐ 33, thửa 1, 7, 8, 9, 31, 30, 416, 413, 32, 52, 53, 431, 65, 72, 429, 434, 433, 428, 94, 100, 115, 122, 133, 134, 135, 146, 145, 160, 161, 162, 188, 190, 427, 189, 199, 213, 214, 215, 233, 232, 243, 257, 256, 272, 273, 281, 298, 303, 302, 313, 314, 320, 331, 333, 410, 337, 340, 345, 346, 351, 352, 356, 355, 354, 362, 361, 415, 367, 366, 365, 375, 376, 381, 380, 384, 385, 386, 392, 393, 394, 422, 425, 420, 423, 418, 403, 402, 401, 400, 390, 391, 435, 436, 379, 377, 363, 353, 339, 332, 318, 315, 317, 316, 301, 299, 279, 280, 274, 255, 246, 245, 230, 216, 197, 198, 193, 192, 191, 171, 172, 166, 165, 164, 163, 142, 143, 144, 138, 137, 136, 121, 117, 116, 104, 105, 102, 92, 93, 101, 87, 86, 79, 412, 54, 411, 6, 2,1 
TBĐ 423, thửa 11, 20, 23, 22, 21, 35, 45, 47, 55, 73, 74, 93, 97, 96, 115, 116, 117, 140, 163, 171, 188, 199, 202, 210, 218, 220, 221, 206, 228, 195, 238, 237, 227, 236, 235, 234, 243, 242, 233, 181, 215, 211, 207, 205, 204, 203, 197, 198, 189, 172, 162, 143, 139, 114, 92, 245, 244, 56, 212, 48, 44, 36, 37, 34, 24, 19, 18, 13, 9
TBĐ 41, thửa 117, 115, 114, 112, 107, 108, 110, 106, 95, 92, 89, 63, 88, 96, 102, 105, 100, 90, 97, 98, 99, 104
TBĐ 46, thửa 32
TBĐ 40, thửa 155, 156, 154, 164, 193, 159, 148, 140, 141, 135, 132
TBĐ 45, thửa 2, 60, 82, 104, 97, 101, 123, 133, 128, 134, 137, 163, 172, 175, 171, 167, 150, 129, 110, 99, 89, 81, 37, 65, 30, 9
TBĐ 48, thửa 1, 2, 16, 3, 27, 21, 17, 8, 5; Thị trấn Sa Thầy: TBĐ 39, THỬA 122,123,124,103,130,136,97,86,70,104,110,94,95,71,98,99 TBĐ 40, THỬA 91,60,86,127,114,144,151,152 TBĐ 43, THỬA 68,69,14,22,23,24,26,27,28,29,31,97,98,36,38,76,79,72,73,91,90,78,44,49,6,70,87,84,85,62,57,60,99,100,92,93,94,95,96,16  TBĐ 47, THỬA 14 TBĐ 48, THỬA 1,84,85,86,10,19,76,41,44,48,49,52,51,57,95,58,61,66,93,94,102,103,99,101,104,105,92,26,21,27,25,28,35,36,111,112,79,109,46,55,47,54,56,59,81,82,88,60,6365,68,69,97,67,71 TBĐ 51, THỬA 3,137,6,7,160,161,11,5,15,24,25,23,125,27,32,33,41,42,119,45,46,49,120,50,51,54,58,59,60,61,64,65,66,67,68,83,84,85,86,87,90,97,1,2,8,9,10,115,116,16,129,130,131,133,121,113,19,156,157,153,114,28,29,31,127,43,44,100 TBĐ 52, THỬA 7,9,10,11,14,13,15,16,17,18,19,20,36,22,23,25,24,26,27,28,29,30,34,35,44,37</t>
  </si>
  <si>
    <t>TBĐ 31, THỬA 83,87,94,106,165,166,175,182,193,183,186,198,214,213,197,194,212,208,224,225,234,367,394,423,404,387,423,404 TBĐ 36, THỬA 17,30,36,44,49,56</t>
  </si>
  <si>
    <t xml:space="preserve">Xã Sa Bình: TBĐ 42, THỬA 44,45,39,43,49,66,145; Xã Ya Ly: TBD 21, thửa
79, 83, 78, 86, 88, 81, 99, 84, 98, 85, 76, 80 </t>
  </si>
  <si>
    <t>TBĐ 113, THỬA 37</t>
  </si>
  <si>
    <t>TBĐ 43, THỬA 5</t>
  </si>
  <si>
    <t>TBĐ 73, THỬA 154</t>
  </si>
  <si>
    <t xml:space="preserve">TBĐ 36, THỬA 2,6,7,9,11,19,20,27. </t>
  </si>
  <si>
    <t>TBĐ 22, THỬA 242,294,293,312,242,269,281,291,344,315.</t>
  </si>
  <si>
    <t>TBĐ 25, THỬA 57,55,51 TBĐ 26, THỬA 112,113,97,110,98,91</t>
  </si>
  <si>
    <t>TBĐ 33, THỬA 45,59,47,63,66 TBĐ 39, THỬA 16,33,41,42,49 TBĐ 40, THỬA 48,35,47,40,61,41,53,46,52,70,71,62,51</t>
  </si>
  <si>
    <t>TBĐ 11, THỬA 19</t>
  </si>
  <si>
    <t>TBĐ 35, THỬA 120</t>
  </si>
  <si>
    <t>TBĐ 41, THỬA 233 TBĐ 42, THỬA 4,6,7,135,137</t>
  </si>
  <si>
    <t>TBĐ 50, THỬA 35</t>
  </si>
  <si>
    <t>TBĐ 17, THỬA 81,96,97,103,104,106,108,109 TBĐ 18, THỬA 32,34,35,39,88,38,42,43,45,46,47,48 TBĐ 28, THỬA 1,2,3,6,8,11,9,13,14,16,17,20</t>
  </si>
  <si>
    <t>TBĐ 81, THỬA 87</t>
  </si>
  <si>
    <t>TBĐ 81, THỬA 136</t>
  </si>
  <si>
    <t>TBD 40, thửa
25, 27, 24, 34, 39, 40, 69, 114, 111, 132, 135, 147, 146</t>
  </si>
  <si>
    <t>TBD 21, thửa
104, 113, 122</t>
  </si>
  <si>
    <t>TBĐ 8, thửa 263, 298, 289
TBĐ 9, thửa 14, 18, 16, 12</t>
  </si>
  <si>
    <t>TBĐ 21, thửa 229, 228, 200, 201, 181, 180, 204, 222, 336, 325, 302, 415, 436, 445, 462, 330, 329, 299, 300, 550, 549, 166, 150, 165, 151, 153, 155, 156, 158, 159, 160, 199, 198, 230</t>
  </si>
  <si>
    <t>TBĐ 61, THỬA 214</t>
  </si>
  <si>
    <t>TBĐ 73, THỬA 137, 156, 98, 72, 62, 20.</t>
  </si>
  <si>
    <t>TBĐ 61, THỬA 310</t>
  </si>
  <si>
    <t>TBĐ 71, THỬA 80</t>
  </si>
  <si>
    <t>TBĐ 34, thửa
55, 31, 46, 53, 54, 59, 60, 65, 70, 72, 68, 71, 64, 69, 58, 61, 49, 52, 22, 32, 38, 45
TBD 35, thửa 68, 70</t>
  </si>
  <si>
    <t>TBĐ 34, thửa
52, 47, 48, 44, 19, 23, 30, 37</t>
  </si>
  <si>
    <t>TBĐ 34, thửa
50, 61, 62, 64, 55</t>
  </si>
  <si>
    <t>TBĐ 34, thửa
55, 57, 63, 66, 67, 71</t>
  </si>
  <si>
    <t>TBĐ 40, thửa
22, 2, 13, 14</t>
  </si>
  <si>
    <t>TBĐ 30, thửa 69, 71, 80, 90, 91, 97
TBĐ 31, thửa 254, 286, 287, 230, 333, 305, 304, 331, 332
TBĐ 35, thửa 2, 3, 23, 24, 25</t>
  </si>
  <si>
    <t>TBĐ 30, thửa 73, 63, 74, 79, 82, 83</t>
  </si>
  <si>
    <t>TBĐ 21, thửa 136, 122, 125, 99, 67</t>
  </si>
  <si>
    <t>TBĐ 21, thửa 122</t>
  </si>
  <si>
    <t>TBĐ 7, thửa 430, 710</t>
  </si>
  <si>
    <t>TBD 35, thửa 127, 129, 137, 138, 171, 189</t>
  </si>
  <si>
    <t>TBĐ 48, THỬA 370,139,372,342,158,156,184</t>
  </si>
  <si>
    <t>TBĐ 34, THỬA 87,103,86,94,60</t>
  </si>
  <si>
    <t>TBĐ 1, THỬA 4,6,</t>
  </si>
  <si>
    <t>Trang trại chăn nuôi lợn nái, lơn thương phẩm công nghệ cao và trồng cây tổng hợp ( Công ty Thiên Thành Tài)</t>
  </si>
  <si>
    <t>TBĐ 51, THỬA 97</t>
  </si>
  <si>
    <t>TBĐ 23, thửa 144, 145, 146</t>
  </si>
  <si>
    <t>Vị trí</t>
  </si>
  <si>
    <t>Tuyến đường Điện Biên Phủ và đường Trần Quốc Toản</t>
  </si>
  <si>
    <t>Đường Điện Biên Phủ (đoạn từ trường Mầm non Hoa Hồng đến đường Hai Bà Trưng)</t>
  </si>
  <si>
    <t>Chuyển mục đích nhỏ lẻ trong khu dân cư</t>
  </si>
  <si>
    <t>Hệ số điều chỉnh giá</t>
  </si>
  <si>
    <t>TỔNG NGUỒN THU</t>
  </si>
  <si>
    <t>TỔNG NGUỒN CHI</t>
  </si>
  <si>
    <t>CÂN ĐỐI THU CHI</t>
  </si>
  <si>
    <t>Từ TT huyện Sa Thầy đi nhà máy thủy điện Ia Ly</t>
  </si>
  <si>
    <t>Công văn số 3436/CAT-PH10 ngày 3/11/2022 của Công an Tỉnh Kon Tum về việc cập nhật kế hoạch sử dụng đất an ninh năm 2023; Quyết định số 4494/QĐ-BCA-H01 ngày 16/6/2022 của Bộ Công an phê duyệt chủ trương đầy tư các dự án xây dựng Trụ sở làm việc Công an xã, thị trấn biên giới thuộc Công an các tỉnh</t>
  </si>
  <si>
    <t>Nâng cấp, sữa chữa Nhà rông văn hóa Làng Le</t>
  </si>
  <si>
    <t>Đường nội làng Kleng (Các đoạn: Từ nhà A Phứu đến tỉnh lộ 675; từ nhà A Yêl đến tỉnh lộ 675; từ đường A Gió đến đường Urê)</t>
  </si>
  <si>
    <t>Đường nội làng Kđừ (Các đoạn: Từ nhà A Thức đến kênh thủy lợi; từ nhà A Tonh đến kênh thủy lợi; từ nhà A Treng đến giọt nước)</t>
  </si>
  <si>
    <t>Đường nội làng Chốt (Các đoạn: Từ nhà A Kếch đến nhà A Se; từ nhà A Heoh đến nghĩa địa; từ nhà A Hát đến đường bê tông)</t>
  </si>
  <si>
    <t>Đường nội thôn Kơ Tol (Đoạn từ nhà ông A Sân đến nhà ông A Sup; Đoạn từ nhà ông A Thek đến nhà bà Y Thoa; Đoạn từ nhà bà Y Nhaoh đến nhà ông A Kưuh)</t>
  </si>
  <si>
    <t>Xã Ya Tăng, Xã Ya Xiêr, Thị trấn Sa Thầy</t>
  </si>
  <si>
    <t>Xã Sa Bình, Xã Sa Nghĩa, Thị trấn Sa Thầy</t>
  </si>
  <si>
    <t>Xã Sa Bình, Xã Ya Ly</t>
  </si>
  <si>
    <t xml:space="preserve">Vị trí </t>
  </si>
  <si>
    <t>Dự án chưa thực hiện trong năm 2023 chuyển sang thực hiện năm 2024</t>
  </si>
  <si>
    <t>Dự án đăng ký mới thực hiện trong năm 2024</t>
  </si>
  <si>
    <t>BQL</t>
  </si>
  <si>
    <t>Đường giao thông lên khu di tích lịch sử điểm cao 1049, xã Hơ Moong, huyện Sa Thầy</t>
  </si>
  <si>
    <t xml:space="preserve">Đường đi khu sản xuất thôn Đăk Tang từ rẫy ông Ngô Minh Chung đến rẫy ông Hà Văn Định </t>
  </si>
  <si>
    <t>Dự án sắp xếp, ổn định dân cư Làng KĐin, xã Mô Rai, huyện Sa Thầy</t>
  </si>
  <si>
    <t>Đường đi khu sản xuất làng Grập (Đoạn từ rẫy ông A Chưng đến rẫy ông A Tèo)</t>
  </si>
  <si>
    <t>Đường đi khu sản xuất làng Grập: Đoạn từ Km00+334 đến cầu treo làng Grập</t>
  </si>
  <si>
    <t xml:space="preserve"> Đường đi khu sản xuất thôn Khơk Klong từ cầu treo đến rẫy ông A Nhul, A Dít</t>
  </si>
  <si>
    <t>Đường đi khu sản xuất thôn Kram từ rẫy ông A Lút đến rẫy ông A Thoăn</t>
  </si>
  <si>
    <t xml:space="preserve">Đường đi khu sản xuất thôn Đăk Đe từ rẫy ông A Thỉa đến rẫy ông A Thik </t>
  </si>
  <si>
    <t>Đường đi khu SX từ thôn Bình Loong đi trang trại ông Bảy Nguyên</t>
  </si>
  <si>
    <t xml:space="preserve">Đường đi khu sản xuất qua nghĩa địa (thôn 2 cũ). </t>
  </si>
  <si>
    <t>Đường đi khu sản xuất Ya Bu (đoạn từ Lâm trường cũ đến rẫy ông Phạm Văn Cường).</t>
  </si>
  <si>
    <t>Đường đi khu sản xuất Ya Giang (Đoạn từ rẫy ông A Xuân đến rẫy ông Nguyễn Văn Bằng).</t>
  </si>
  <si>
    <t>Đường đi khu sản xuất nối tiếp rẫy ông Thân đến khu 8 hộ thôn Đăk Wơk Yôp, thôn Tân Sang</t>
  </si>
  <si>
    <t>Đường đi khu sản xuất thôn K'Bay nhánh số 1</t>
  </si>
  <si>
    <t>Quyết định số 317/QĐ-UBND ngày 16 tháng 03 năm 2023 của Uỷ ban nhân dân huyện Sa Thầy về việc phê duyệt Báo cáo kinh tế -kỹ thuật xây dựng công trình; Quyết định số 817/QĐ-UBND ngày 26 tháng 5 năm 2023 của Uỷ ban nhân dân huyện Sa Thầy về việc phân bổ nguồn kinh phí ngân sách tỉnh bổ sung có mục tiêu năm 2023</t>
  </si>
  <si>
    <t>Nghị quyết số 81/NQ-HĐND ngày 09/12/2022 của HĐND tỉnh Kon Tum về Phê duyệt kế hoạch thực hiện các chương trình mục tiêu quốc gia năm 2023 trên địa bàn tỉnh Kon Tum</t>
  </si>
  <si>
    <t>Kế hoạch số 4362/KH-UBND ngày 23 tháng 12 năm 2022 của UBND tỉnh Kon Tum về việc thực hiện các chương trình mục tiêu quốc gia trên địa bàn tỉnh Kon Tum giai đoạn 2021-2025</t>
  </si>
  <si>
    <t>Nghị quyết số 43/NQ-HĐND ngày 18 tháng 12 năm 2020 của Hội đồng nhân dân huyện Sa Thầy; Quyết định số 693/QĐ-UBND ngày 10/5/2023 của UBND huyện Sa Thầy về việc điều chỉnh, bổ sung Kế hoạch đầu tư công nguồn ngân sách địa phương năm 2023 huyện Sa Thầy (lần 1)</t>
  </si>
  <si>
    <t>Nghị Quyết 01/NQ-HĐND ngày 14/01/2021 của HĐND huyện Sa Thầy; Quyết định số 693/QĐ-UBND ngày 10/5/2023 của UBND huyện Sa Thầy về việc điều chỉnh, bổ sung Kế hoạch đầu tư công nguồn ngân sách địa phương năm 2023 huyện Sa Thầy (lần 1)</t>
  </si>
  <si>
    <t>Quyết định 2112/QĐ-UBND ngày 23/12/2021 của UBND huyện Sa Thầy; Quyết định số 693/QĐ-UBND ngày 10/5/2023 của UBND huyện Sa Thầy về việc điều chỉnh, bổ sung Kế hoạch đầu tư công nguồn ngân sách địa phương năm 2023 huyện Sa Thầy (lần 1)</t>
  </si>
  <si>
    <t>Nghị quyết số 79/NQ-HĐND ngày 07 tháng 10 năm 2021 của Hội đồng nhân dân huyện Sa Thầy; Quyết định số 693/QĐ-UBND ngày 10/5/2023 của UBND huyện Sa Thầy về việc điều chỉnh, bổ sung Kế hoạch đầu tư công nguồn ngân sách địa phương năm 2023 huyện Sa Thầy (lần 1)</t>
  </si>
  <si>
    <t>Dự án đã thu hồi đất, giải phóng mặt bằng đăng ký thực hiện giao đất trong năm 2024</t>
  </si>
  <si>
    <t>Quyết định số 85/QĐ-UBND ngày 02/02/2021 của UBND tỉnh Kon Tum; Quyết định số 639 ngày 10/5/2023  của UBND huyện Sa Thầy về việc điều chỉnh, bổ sung kế hoạch đầu tư công nguồn ngân sách địa phương năm 2023 huyện Sa Thầy ( lần 1). Kinh phí: 318,000 triệu đồng</t>
  </si>
  <si>
    <t>Đường, cầu tàu bến thuyền làng Chờ</t>
  </si>
  <si>
    <t>Quyết định số 639 ngày 10/5/2023  của UBND huyện Sa Thầy về việc điều chỉnh, bổ sung kế hoạch đầu tư công nguồn ngân sách địa phương năm 2023 huyện Sa Thầy ( lần 1). Kinh phí: 440 triệu đồng</t>
  </si>
  <si>
    <t>Đường đi khu sản xuất đoạn nhà bà Cánh vào khu sản xuất</t>
  </si>
  <si>
    <t>Quyết định số 639 ngày 10/5/2023  của UBND huyện Sa Thầy về việc điều chỉnh, bổ sung kế hoạch đầu tư công nguồn ngân sách địa phương năm 2023 huyện Sa Thầy ( lần 1). Kinh phí: 275 triệu đồng</t>
  </si>
  <si>
    <t>Đường nội thôn làng Chứ (đoạn nhà Y Nghứp đến nhà A Toah)</t>
  </si>
  <si>
    <t>Quyết định số 639 ngày 10/5/2023  của UBND huyện Sa Thầy về việc điều chỉnh, bổ sung kế hoạch đầu tư công nguồn ngân sách địa phương năm 2023 huyện Sa Thầy ( lần 1). Kinh phí: 550 triệu đồng</t>
  </si>
  <si>
    <t>Xây dựng nghĩa địa làng Rắc</t>
  </si>
  <si>
    <t>Đường đi khu nước giọt vào khu sản xuất từ nhà bà Y Mâu đến khu sản xuất</t>
  </si>
  <si>
    <t>Bê tông hóa đường nội thôn từ nhà ông A Hdơi đến nhà A Nin, chiều dài 185m</t>
  </si>
  <si>
    <t>Bê tông hóa đường nội thôn từ nhà A Núc đến nhà A Về</t>
  </si>
  <si>
    <t>Bê tông hóa đường nội thôn từ nhà ông Nguyễn Văn Hai đến nối vào đường dự án giảm nghèo Tây Nguyên</t>
  </si>
  <si>
    <t>Quyết định sô 489/QĐ-UBND ngày 5/4/2023 của UBND huyện về việc phân bổ nguồn tăng thu ngân sách huyện năm 2022 ( đợt 1)</t>
  </si>
  <si>
    <t>Dự án bảo tồn, phát huy giá trị văn hóa truyền thống của người Gia Rai, làng Bar Gốc, xã Sa Sơn</t>
  </si>
  <si>
    <t>Quyết định số 446/QĐ-UBND ngày 11/8/2023 của UBND tỉnh Kon Tum về việc điều chỉnh địa điểm quy hoạch đất xây dựng cơ sở thể dục thể thao, đất sinh hoạt cộng đồng trong Quy hoạch sử dụng đất thời kỳ 2021-2030 của huyện Sa Thầy, bổ sung tên dự án bảo tồn,phát huy giá trị văn hóa truyền thống của người Gia Rai, làng Bar Gốc, xã Sa Sơn, huyện Sa Thầy, tỉnh Kon Tum vào Quy hoạch sử dụng đất thời kỳ 2021-2030 và cập nhật vào Kế hoạch sử dụng đất năm 2023 của huyện Sa Thầy</t>
  </si>
  <si>
    <t>Trường bắn Ban chỉ huy quân sự huyện</t>
  </si>
  <si>
    <t>liên hệ CA Tỉnh</t>
  </si>
  <si>
    <t xml:space="preserve">Đường đi khu sản xuất thôn Đăk Tang (Đoạn từ rẫy bà Lê Thị Huỵ đến rẫy ông Nguyễn Văn Thế) </t>
  </si>
  <si>
    <t>xin qd chuyển mục đích</t>
  </si>
  <si>
    <t>Đường sản xuất thôn Đức Lý ( đoạn từ hội trường thôn đến giáp vườn Quốc gia Chư Mom Ray)</t>
  </si>
  <si>
    <t>Đường sản xuất khu vực cầu treo thôn Nhơn Khánh (đoạn nối tiếp)</t>
  </si>
  <si>
    <t>Quyết định số 2137/QĐ-UBND ngày 23/12/2022 của UBND huyện về việc giao Kế hoạch thực hiện các chương trình mục tiêu quốc gia năm 2023 trên địa bàn huyện Sa Thầy. Kinh phí: 1013 triệu đồng</t>
  </si>
  <si>
    <t>Kết luận số 2194-KL/HU ngày 25/8/2023 của Ban Thường vụ huyện ủy về chủ trương giới thiệu vị trí đất để đầu tư thực hiện Dự án Xây dựng Nhà máy sản xuất phân bón hữu cơ tại xã Sa Bình, huyện Sa Thầy</t>
  </si>
  <si>
    <t>Dự án Xây dựng nhà máy sản xuất phân bón hữu cơ  ( Công ty Friendship)</t>
  </si>
  <si>
    <t>Thông báo số 67/TB-STNMT ngày 28/4/2023 của Sở Tài nguyên và Môi trường về kế hoạch ấu giá quyền khai thác khoáng sản trên địa bàn tỉnh Kon Tum năm 2023</t>
  </si>
  <si>
    <t>Công văn số 2079/UBND-TH ngày 14/8/2023 của UBND huyện Sa Thầy về việc đề xuất các khu vực khoáng sản đưa vào Kế hoạch đấu giá quyền khai thác khoáng sản</t>
  </si>
  <si>
    <t>Đất san lấp</t>
  </si>
  <si>
    <t>Quyết định số 795/QĐ-UBND ngày 09/12/2022 của UBND tỉnh về việc giao kế hoạch thực hiện các chương trình mục tiêu quốc gia năm 2023 trên địa bàn tỉnh Kon Tum</t>
  </si>
  <si>
    <t>Kế hoạch số 4362/KH-UBND ngày 23 tháng 12 năm 2022 của UBND tỉnh Kon Tum về việc thực hiện các chương trình mục tiêu quốc gia trên địa bàn tỉnh Kon Tum giai đoạn 2021-2025. Kinh phí 825 triệu đồng.</t>
  </si>
  <si>
    <t>Kế hoạch số 4362/KH-UBND ngày 23 tháng 12 năm 2022 của UBND tỉnh Kon Tum về việc thực hiện các chương trình mục tiêu quốc gia trên địa bàn tỉnh Kon Tum giai đoạn 2021-2025. Kinh phí 204 triệu đồng.</t>
  </si>
  <si>
    <t>Kế hoạch số 4362/KH-UBND ngày 23 tháng 12 năm 2022 của UBND tỉnh Kon Tum về việc thực hiện các chương trình mục tiêu quốc gia trên địa bàn tỉnh Kon Tum giai đoạn 2021-2025. Kinh phí 220 triệu đồng.</t>
  </si>
  <si>
    <t>Kế hoạch số 4362/KH-UBND ngày 23 tháng 12 năm 2022 của UBND tỉnh Kon Tum về việc thực hiện các chương trình mục tiêu quốc gia trên địa bàn tỉnh Kon Tum giai đoạn 2021-2025. Kinh phí 495 triệu đồng.</t>
  </si>
  <si>
    <t>Quyết định số 1769/QĐ-UBND ngày 360/11/2021 của UBND huyện Sa Thầy về việc công nhận kết quả trúng đấu giá QSDĐ trên địa bàn huyện Sa Thầy</t>
  </si>
  <si>
    <t>Chuyển mục đích đất ở sang đất thương mại dịch vụ ( Lê Trúc Quỳnh)</t>
  </si>
  <si>
    <t>KẾ HOẠCH SỬ DỤNG ĐẤT NĂM 2024 CỦA HUYỆN SA THẦY - TỈNH KON TUM</t>
  </si>
  <si>
    <t>HIỆN TRẠNG SỬ DỤNG ĐẤT NĂM 2023 CỦA HUYỆN SA THẦY - TỈNH KON TUM</t>
  </si>
  <si>
    <t>KẾ HOẠCH CHUYỂN MỤC ĐÍCH SỬ DỤNG ĐẤT NĂM 2024 CỦA HUYỆN SA THẦY</t>
  </si>
  <si>
    <t>KẾ HOẠCH THU HỒI ĐẤT NĂM 2024 CỦA HUYỆN SA THẦY, TỈNH KON TUM</t>
  </si>
  <si>
    <t>DANH MỤC CÔNG TRÌNH, DỰ ÁN THỰC HIỆN TRONG NĂM 2024 HUYỆN SA THẦY  - TỈNH KON TUM</t>
  </si>
  <si>
    <t>KẾ HOẠCH ĐƯA ĐẤT CHƯA SỬ DỤNG VÀO SỬ DỤNG NĂM 2024 CỦA HUYỆN SA THẦY, TỈNH KON TUM</t>
  </si>
  <si>
    <t>CHU CHUYỂN ĐẤT ĐAI TRONG KẾ HOẠCH SỬ DỤNG ĐẤT NĂM 2024 CỦA HUYỆN SA THẦY</t>
  </si>
  <si>
    <t>Hiện trạng sử dụng đất đến năm 2023</t>
  </si>
  <si>
    <t>Kế hoạch sử dụng đất năm 2024</t>
  </si>
  <si>
    <t>Diện tích đầu năm đến 30/12/2023</t>
  </si>
  <si>
    <t>Diện tích cuối năm 2024</t>
  </si>
  <si>
    <t>Chu chuyển đất đai năm 2024</t>
  </si>
  <si>
    <t>Quyết định số 1087/QĐ-QK ngày 02/6/2023 của Quân khu 5 về việc phê duyệt vị trí xây dựng thao trường Ban Chỉ huy quân sự huyện Sa Thầy.
Quyết định số 856/QĐ-QK ngày 09/5/2023 của Quân khu 5 về việc phê duyệt quy hoạch tổng thể thao trường Ban Chỉ huy quân sự huyện Sa Thầy
Quyết định số 1601/QĐ-QK ngày 02/8/2023 của Quân khu 5 về việc phê duyệt báo cáo kinh tế kỹ thuật và lựa chọn nhà thầu công trình trường bắn Ban Chỉ huy quân sự huyện Sa Thầy</t>
  </si>
  <si>
    <t>Chuyển mục đích đất nông nghiệp sang đất ở</t>
  </si>
  <si>
    <t xml:space="preserve">Chuyển mục đích đất nông nghiệp sang đất thương mại dịch vụ </t>
  </si>
  <si>
    <t>Mỏ đất đắp thuộc dự án  Sửa chữa, nâng cấp Hệ thống tưới Hồ chứa Đăk Car và Đập Đăk Sia II</t>
  </si>
  <si>
    <t>Công văn số 191/CV-BQL ngày 29/9/2023 của ban QLDA ĐTXD các công trình NN và PTNN về việc xin đăng ký ( bổ sung) quy hoạch kế hoạch sử dụng đất và danh mục dự án cần thu hồi đất để thực hiện dự án năm 2023</t>
  </si>
  <si>
    <t>Quyết định số 832/QĐ-UBND ngày 21/12/2022 của UBND tỉnh về việc giao đất cho Ban trị sự Giáo hội Phật giáo Việt Nam tỉnh Kon Tum để sử dụng vào mục đích cơ sở tôn giáo tại Thôn Đăk Tang, xã Rờ Kơi, huyện Sa Thầy</t>
  </si>
  <si>
    <t>Kết quả thực hiện đến 30/9/2023 (ha)</t>
  </si>
  <si>
    <t>Kế hoạch sử dụng đất năm 2024 (ha)</t>
  </si>
  <si>
    <t>Đất thương mại dịch vụ ( Đào Văn Tam)</t>
  </si>
  <si>
    <t>Kế hoạch đấu giá QSDĐ năm 2024</t>
  </si>
  <si>
    <t>Kế hoạch thực hiện các dự án thuộc các chương trình mục tiêu quốc gia năm 2024 mà không thu hồi, chuyển mục đích sử dụng đất</t>
  </si>
  <si>
    <t>2.3.1</t>
  </si>
  <si>
    <t>2.3.2</t>
  </si>
  <si>
    <t>2.3.3</t>
  </si>
  <si>
    <t>2.3.4</t>
  </si>
  <si>
    <t>2.3.4.1</t>
  </si>
  <si>
    <t>2.3.4.2</t>
  </si>
  <si>
    <t>Công trình, dự án đã thu hồi nhưng chưa chuyển mục đích và giao đất</t>
  </si>
  <si>
    <t>Công trình đã hoàn thành</t>
  </si>
  <si>
    <t>Dự án Chống xuống cấp tu bổ Di tích lịch sử Điểm cao 1015 xã Rờ Kơi, huyện Sa Thầy; Hạng mục: Sửa chữa nhà bia di tích và hạng mục phụ trợ.</t>
  </si>
  <si>
    <t>Nghị Quyết số 81/NQ-HĐND ngày 09/12/2022;Quyết định số 795/QĐ-UBND ngày 09/12/2022</t>
  </si>
  <si>
    <t>Đường giao thông từ Tỉnh lộ 674, xã Sa Sơn đi Đài tưởng niệm Chư Tan Kra</t>
  </si>
  <si>
    <t>Văn bản số 3443/UBND - KTTH ngày 10/10/2023 của UBND tỉnh về việc triển khai dự án Đường giao thông từ Tỉnh lộ 674, xã Sa Sơn đi Đài tưởng niệm Chư Tan Kra</t>
  </si>
  <si>
    <t>Chuyển mục đích sang đất nông nghiệp khác ( Doãn Thanh Tuấn)</t>
  </si>
  <si>
    <t>Phòng làm việc Ban chỉ huy Quân sự xã Sa Sơn</t>
  </si>
  <si>
    <t>Xã Ya Tăng, Xã Ya Ly</t>
  </si>
  <si>
    <t>Đất thương mại dịch vụ ( Nghiêm Đức Thuần)</t>
  </si>
  <si>
    <t>Đất khu công nghiệp (Nhà máy chế biến tinh bột sắn Vina KT)</t>
  </si>
  <si>
    <t>Chuyển mục đích đất nông nghiệp sang đất thương mại dịch vụ ( A Toàn)</t>
  </si>
  <si>
    <t>Đấu giá đất nhỏ lẻ ( Trường tiểu học số 2 thị trấn Sa Thầy)</t>
  </si>
  <si>
    <t>Đấu giá đất nhỏ lẻ ( Thửa đất dọc đường nội thôn Nhơn Khánh (Giáp trường mầm non Sa Nhơn)</t>
  </si>
  <si>
    <t>Đấu giá đất nhỏ lẻ (Thửa đất khu dân cư xóm mới thôn Nhơn Bình)</t>
  </si>
  <si>
    <t>Đấu giá đất nhỏ lẻ (Thửa đất dọc đường nội thôn Nhơn Bình (đối diện
nhà ông Bi)</t>
  </si>
  <si>
    <t xml:space="preserve">Báo cáo số 289/BC-PTNMT ngày 22/9/2023 của Phòng tài nguyên và Moi trường huyện về kết quả rà soát các vị trí đất đưa vào đấu giá quyền sử dụng đất năm 2024; Thông báo số 78/TB-VP ngày 18/10/2023 của Văn phòng HĐND-UBND huyện về kết luận của UBND huyện </t>
  </si>
  <si>
    <t>Chuyển mục đích sang đất nông nghiệp khác</t>
  </si>
  <si>
    <t>Kết quả thực hiện đến ngày 30/9/2023</t>
  </si>
  <si>
    <t>Quyết định số 317/QĐ-UBND ngày 16 tháng 03 năm 2023 của Uỷ ban nhân dân huyện Sa Thầy về việc phê duyệt Báo cáo kinh tế -kỹ thuật xây dựng công trình; Quyết định số 817/QĐ-UBND ngày 26 tháng 5 năm 2023 của Uỷ ban nhân dân huyện Sa Thầy về việc phân bổ nguồn kinh phí ngân sách tỉnh bổ sung có mục tiêu năm 2023. Kinh phí 2.000 triệu đồng</t>
  </si>
  <si>
    <t>Thông báo số 67/TB-STNMT ngày 28/4/2023 của Sở Tài nguyên và Môi trường về kế hoạch đấu giá quyền khai thác khoáng sản trên địa bàn tỉnh Kon Tum năm 2023</t>
  </si>
  <si>
    <t>Nghị Quyết số 81/NQ-HĐND ngày 09/12/2022;Quyết định số 795/QĐ-UBND ngày 09/12/2022 của UBND tỉnh về việc giao kế hoạch thực hiện các chương trình mục tiêu quốc gia năm 2023 trên địa bàn tỉnh Kon Tum</t>
  </si>
  <si>
    <t>Nghị quyết số 43/NQ-HĐND ngày 18 tháng 12 năm 2020 của Hội đồng nhân dân huyện Sa Thầy; Quyết định số 693/QĐ-UBND ngày 10/5/2023 của UBND huyện Sa Thầy về việc điều chỉnh, bổ sung Kế hoạch đầu tư công nguồn ngân sách địa phương năm 2023 huyện Sa Thầy (lần 1) Kinh phí: 7,800
triệu đồng</t>
  </si>
  <si>
    <t>Nghị Quyết 01/NQ-HĐND ngày 14/01/2021 của HĐND huyện Sa Thầy; Quyết định số 693/QĐ-UBND ngày 10/5/2023 của UBND huyện Sa Thầy về việc điều chỉnh, bổ sung Kế hoạch đầu tư công nguồn ngân sách địa phương năm 2023 huyện Sa Thầy (lần 1) . Kinh phí: 52,000
triệu đồng</t>
  </si>
  <si>
    <t>Quyết định 2112/QĐ-UBND ngày 23/12/2021 của UBND huyện Sa Thầy; Quyết định số 693/QĐ-UBND ngày 10/5/2023 của UBND huyện Sa Thầy về việc điều chỉnh, bổ sung Kế hoạch đầu tư công nguồn ngân sách địa phương năm 2023 huyện Sa Thầy (lần 1)  Kinh phí: 10.000 triệu đồng</t>
  </si>
  <si>
    <t>Quyết định 2112/QĐ-UBND ngày 23/12/2021 của UBND huyện Sa Thầy; Quyết định số 693/QĐ-UBND ngày 10/5/2023 của UBND huyện Sa Thầy về việc điều chỉnh, bổ sung Kế hoạch đầu tư công nguồn ngân sách địa phương năm 2023 huyện Sa Thầy (lần 1) Kinh phí: 8,500 triệu đồng</t>
  </si>
  <si>
    <t>Nghị quyết số 79/NQ-HĐND ngày 07 tháng 10 năm 2021 của Hội đồng nhân dân huyện Sa Thầy; Quyết định số 693/QĐ-UBND ngày 10/5/2023 của UBND huyện Sa Thầy về việc điều chỉnh, bổ sung Kế hoạch đầu tư công nguồn ngân sách địa phương năm 2023 huyện Sa Thầy (lần 1) Kinh phí: 16,000
triệu đồng</t>
  </si>
  <si>
    <t>Quyết định số 300/QĐ-UBND ngày 20/5/2022 của UBND tỉnh Kon Tum về việc phân bổ nguồn tăng thu, tiết kiệm chi ngân sách tỉnh năm 2021 ( Kinh phí phân bổ: 1.500 triệu đồng)</t>
  </si>
  <si>
    <t>Nghị quyết số 54/NQ-HĐND ngày 29/8/2022 của HĐND tỉnh Kon Tum về danh mục dự án đầu tư năm 2022 thuôc CTMTQG phát triển KTXH vùng đồng bào dân tộc thiểu số và miền núi giai đoạn 2021-2030, giai đoạn 1 từ năm 2021-2025 trên địa bàn tỉnh Kon Tum. Kinh phí: 5.781 triệu đồng</t>
  </si>
  <si>
    <t>Nghị quyết số 20/NQ-HĐND ngày 29/4/2021 của Hội đồng nhân dân tỉnh Kon Tum về chủ trương đầu tư dự án; Quyết định số 684/QĐ-UBND ngày 30/12/2021 của UBND tỉnh Kon Tum phê duyệt dự án</t>
  </si>
  <si>
    <t>Nghị quyết số 39/NQ-HĐND ngày 22/10/2021 của Hội đồng nhân dân tỉnh Kon Tum; Quyết định số 639 ngày 10/5/2023  của UBND huyện Sa Thầy về việc điều chỉnh, bổ sung kế hoạch đầu tư công nguồn ngân sách địa phương năm 2023 huyện Sa Thầy ( lần 1). Kinh phí: 123.000 triệu đồng</t>
  </si>
  <si>
    <t>Quyết định số 639 ngày 10/5/2023  của UBND huyện Sa Thầy về việc điều chỉnh, bổ sung kế hoạch đầu tư công nguồn ngân sách địa phương năm 2023 huyện Sa Thầy ( lần 1). Kinh phí: 500.000 triệu đồng</t>
  </si>
  <si>
    <t>Quyết định số 446/QĐ-UBND ngày 11/8/2023 của UBND tỉnh Kon Tum về việc điều chỉnh địa điểm quy hoạch đất xây dựng cơ sở thể dục thể thao, đất sinh hoạt cộng đồng trong Quy hoạch sử dụng đất thời kỳ 2021-2030 của huyện Sa Thầy, bổ sung tên dự án bảo tồn,phát huy giá trị văn hóa truyền thống của người Gia Rai, làng Bar Gốc, xã Sa Sơn, huyện Sa Thầy, tỉnh Kon Tum vào Quy hoạch sử dụng đất thời kỳ 2021-2030 và cập nhật vào Kế hoạch sử dụng đất năm 2023 của huyện Sa Thầy. Quyết định số 795/QĐ-UBND ngày 09/12/2022 của UBND tỉnh về việc giao kế hoạch thực hiện các chương trình mục tiêu quốc gia năm 2023 trên địa bàn tỉnh Kon Tum Kinh phí 6.252 triệu đồng</t>
  </si>
  <si>
    <t>Quyết định số 795/QĐ-UBND ngày 09/12/2022 của UBND tỉnh về việc giao kế hoạch thực hiện các chương trình mục tiêu quốc gia năm 2023 trên địa bàn tỉnh Kon Tum. Kinh phí 22.750 triệu đồng</t>
  </si>
  <si>
    <t>Quyết định số 795/QĐ-UBND ngày 09/12/2022 của UBND tỉnh về việc giao Kế hoạch thực hiện các chương trình mục tiêu quốc gia năm 2023 trên địa bàn tỉnh. Kinh phí: 4.052 triệu đồng</t>
  </si>
  <si>
    <t>Quyết định số 431/QĐ-UBND ngày 21/7/2022 của UBND tỉnh Kon Tum về danh mục dự án đầu tư thuộc Chương trình mục tiêu quốc gia năm 2022 trên địa bàn tỉnh Kon Tum. Kinh phí 13,749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</si>
</sst>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_(* \(#,##0.00\);_(* &quot;-&quot;??_);_(@_)"/>
    <numFmt numFmtId="164" formatCode="_-* #,##0.00\ _₫_-;\-* #,##0.00\ _₫_-;_-* &quot;-&quot;??\ _₫_-;_-@_-"/>
    <numFmt numFmtId="165" formatCode="0.00_);\(0.00\)"/>
    <numFmt numFmtId="166" formatCode="0.0_);\(0.0\)"/>
    <numFmt numFmtId="167" formatCode="0_);\(0\)"/>
    <numFmt numFmtId="168" formatCode="_-* #,##0.00_-;\-* #,##0.00_-;_-* &quot;-&quot;??_-;_-@_-"/>
    <numFmt numFmtId="169" formatCode="\$#,##0\ ;\(\$#,##0\)"/>
    <numFmt numFmtId="170" formatCode="#,###"/>
    <numFmt numFmtId="171" formatCode="0##,###.00"/>
    <numFmt numFmtId="172" formatCode="_-* #,##0_-;\-* #,##0_-;_-* &quot;-&quot;_-;_-@_-"/>
    <numFmt numFmtId="173" formatCode="&quot;\&quot;#,##0;[Red]&quot;\&quot;&quot;\&quot;\-#,##0"/>
    <numFmt numFmtId="174" formatCode="&quot;\&quot;#,##0.00;[Red]&quot;\&quot;&quot;\&quot;&quot;\&quot;&quot;\&quot;&quot;\&quot;&quot;\&quot;\-#,##0.00"/>
    <numFmt numFmtId="175" formatCode="&quot;\&quot;#,##0.00;[Red]&quot;\&quot;\-#,##0.00"/>
    <numFmt numFmtId="176" formatCode="&quot;\&quot;#,##0;[Red]&quot;\&quot;\-#,##0"/>
    <numFmt numFmtId="177" formatCode="_-&quot;$&quot;* #,##0_-;\-&quot;$&quot;* #,##0_-;_-&quot;$&quot;* &quot;-&quot;_-;_-@_-"/>
    <numFmt numFmtId="178" formatCode="&quot;$&quot;\ #,##0;[Red]\-&quot;$&quot;\ #,##0"/>
    <numFmt numFmtId="179" formatCode="_-&quot;$&quot;* #,##0.00_-;\-&quot;$&quot;* #,##0.00_-;_-&quot;$&quot;* &quot;-&quot;??_-;_-@_-"/>
    <numFmt numFmtId="180" formatCode="_(* #,##0.000_);_(* \(#,##0.000\);_(* &quot;-&quot;??_);_(@_)"/>
    <numFmt numFmtId="181" formatCode="#,##0.000"/>
  </numFmts>
  <fonts count="117">
    <font>
      <sz val="10"/>
      <name val=".VnTime"/>
    </font>
    <font>
      <sz val="14"/>
      <color theme="1"/>
      <name val="Times New Roman"/>
      <family val="2"/>
    </font>
    <font>
      <sz val="14"/>
      <color theme="1"/>
      <name val="Times New Roman"/>
      <family val="2"/>
    </font>
    <font>
      <sz val="14"/>
      <color theme="1"/>
      <name val="Times New Roman"/>
      <family val="2"/>
    </font>
    <font>
      <sz val="10"/>
      <name val=".VnTime"/>
      <family val="2"/>
    </font>
    <font>
      <sz val="10"/>
      <name val="Times New Roman"/>
      <family val="1"/>
    </font>
    <font>
      <b/>
      <sz val="12"/>
      <name val="Times New Roman"/>
      <family val="1"/>
    </font>
    <font>
      <sz val="12"/>
      <name val="Times New Roman"/>
      <family val="1"/>
    </font>
    <font>
      <i/>
      <sz val="12"/>
      <name val="Times New Roman"/>
      <family val="1"/>
    </font>
    <font>
      <sz val="11"/>
      <name val="Times New Roman"/>
      <family val="1"/>
    </font>
    <font>
      <sz val="9"/>
      <name val="Times New Roman"/>
      <family val="1"/>
    </font>
    <font>
      <sz val="8"/>
      <name val=".VnTime"/>
      <family val="2"/>
    </font>
    <font>
      <b/>
      <sz val="11"/>
      <name val="Times New Roman"/>
      <family val="1"/>
    </font>
    <font>
      <i/>
      <sz val="11"/>
      <name val="Times New Roman"/>
      <family val="1"/>
    </font>
    <font>
      <sz val="12"/>
      <name val=".VnTime"/>
      <family val="2"/>
    </font>
    <font>
      <b/>
      <sz val="10"/>
      <name val="Times New Roman"/>
      <family val="1"/>
    </font>
    <font>
      <sz val="10"/>
      <name val=".VnTime"/>
      <family val="2"/>
    </font>
    <font>
      <sz val="10"/>
      <name val="Arial"/>
      <family val="2"/>
    </font>
    <font>
      <sz val="9"/>
      <name val=".VnTime"/>
      <family val="2"/>
    </font>
    <font>
      <b/>
      <sz val="9"/>
      <name val=".VnTime"/>
      <family val="2"/>
    </font>
    <font>
      <sz val="10"/>
      <color indexed="10"/>
      <name val=".VnTime"/>
      <family val="2"/>
    </font>
    <font>
      <b/>
      <i/>
      <sz val="12"/>
      <name val="Times New Roman"/>
      <family val="1"/>
    </font>
    <font>
      <b/>
      <sz val="10"/>
      <name val=".VnTime"/>
      <family val="2"/>
    </font>
    <font>
      <sz val="11"/>
      <name val=".VnTime"/>
      <family val="2"/>
    </font>
    <font>
      <b/>
      <i/>
      <sz val="11"/>
      <name val="Times New Roman"/>
      <family val="1"/>
    </font>
    <font>
      <b/>
      <sz val="9"/>
      <name val="Times New Roman"/>
      <family val="1"/>
    </font>
    <font>
      <sz val="14"/>
      <name val=".VnTime"/>
      <family val="2"/>
    </font>
    <font>
      <sz val="11"/>
      <color indexed="8"/>
      <name val="Calibri"/>
      <family val="2"/>
    </font>
    <font>
      <i/>
      <sz val="10"/>
      <name val="Times New Roman"/>
      <family val="1"/>
    </font>
    <font>
      <b/>
      <sz val="10"/>
      <name val=".VnTimeH"/>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Times"/>
    </font>
    <font>
      <sz val="8"/>
      <name val="Arial"/>
      <family val="2"/>
    </font>
    <font>
      <b/>
      <sz val="12"/>
      <name val="Arial"/>
      <family val="2"/>
    </font>
    <font>
      <b/>
      <sz val="14"/>
      <name val=".VnTimeH"/>
      <family val="2"/>
    </font>
    <font>
      <u/>
      <sz val="9"/>
      <color indexed="12"/>
      <name val=".VnTime"/>
      <family val="2"/>
    </font>
    <font>
      <sz val="10"/>
      <name val=".VnAvant"/>
      <family val="2"/>
    </font>
    <font>
      <sz val="12"/>
      <name val="Arial"/>
      <family val="2"/>
    </font>
    <font>
      <sz val="12"/>
      <name val="VNtimes new roman"/>
      <family val="2"/>
    </font>
    <font>
      <sz val="10"/>
      <name val="Arial"/>
      <family val="2"/>
      <charset val="163"/>
    </font>
    <font>
      <sz val="14"/>
      <name val="System"/>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1"/>
      <color theme="1"/>
      <name val="Calibri"/>
      <family val="2"/>
      <charset val="163"/>
      <scheme val="minor"/>
    </font>
    <font>
      <sz val="10"/>
      <color rgb="FFFF0000"/>
      <name val=".VnTime"/>
      <family val="2"/>
    </font>
    <font>
      <sz val="9"/>
      <color rgb="FFFF0000"/>
      <name val=".VnTime"/>
      <family val="2"/>
    </font>
    <font>
      <sz val="9"/>
      <color rgb="FFFF0000"/>
      <name val="Times New Roman"/>
      <family val="1"/>
    </font>
    <font>
      <sz val="10"/>
      <color rgb="FFFF0000"/>
      <name val="Times New Roman"/>
      <family val="1"/>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4"/>
      <color theme="1"/>
      <name val="Times New Roman"/>
      <family val="2"/>
    </font>
    <font>
      <sz val="10"/>
      <name val=".VnTime"/>
      <family val="2"/>
    </font>
    <font>
      <sz val="11"/>
      <color theme="1"/>
      <name val="Calibri"/>
      <family val="2"/>
      <scheme val="minor"/>
    </font>
    <font>
      <i/>
      <sz val="10"/>
      <name val=".VnTime"/>
      <family val="2"/>
    </font>
    <font>
      <i/>
      <sz val="11"/>
      <color rgb="FFFF0000"/>
      <name val="Times New Roman"/>
      <family val="1"/>
    </font>
    <font>
      <i/>
      <sz val="10"/>
      <color rgb="FFFF0000"/>
      <name val=".VnTime"/>
      <family val="2"/>
    </font>
    <font>
      <i/>
      <sz val="9"/>
      <name val="Times New Roman"/>
      <family val="1"/>
    </font>
    <font>
      <i/>
      <sz val="10"/>
      <color rgb="FFFF0000"/>
      <name val="Times New Roman"/>
      <family val="1"/>
    </font>
    <font>
      <b/>
      <sz val="13"/>
      <name val="Times New Roman"/>
      <family val="1"/>
    </font>
    <font>
      <sz val="13"/>
      <name val="Times New Roman"/>
      <family val="1"/>
    </font>
    <font>
      <b/>
      <sz val="13"/>
      <color theme="1"/>
      <name val="Times New Roman"/>
      <family val="1"/>
    </font>
    <font>
      <sz val="13"/>
      <color theme="1"/>
      <name val="Times New Roman"/>
      <family val="1"/>
    </font>
    <font>
      <i/>
      <sz val="13"/>
      <color theme="1"/>
      <name val="Times New Roman"/>
      <family val="1"/>
    </font>
    <font>
      <i/>
      <sz val="13"/>
      <name val="Times New Roman"/>
      <family val="1"/>
    </font>
    <font>
      <b/>
      <i/>
      <sz val="10"/>
      <name val=".VnTime"/>
      <family val="2"/>
    </font>
    <font>
      <i/>
      <sz val="9"/>
      <name val=".VnTime"/>
      <family val="2"/>
    </font>
    <font>
      <sz val="11"/>
      <color rgb="FFFF000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name val=".VnTime"/>
      <family val="2"/>
    </font>
    <font>
      <sz val="10"/>
      <name val=".VnTime"/>
      <family val="2"/>
    </font>
    <font>
      <i/>
      <sz val="12"/>
      <name val=".VnTime"/>
      <family val="2"/>
    </font>
    <font>
      <b/>
      <sz val="11"/>
      <color theme="1"/>
      <name val="Times New Roman"/>
      <family val="1"/>
    </font>
    <font>
      <sz val="11"/>
      <color theme="1"/>
      <name val="Times New Roman"/>
      <family val="1"/>
    </font>
    <font>
      <b/>
      <i/>
      <sz val="11"/>
      <color theme="1"/>
      <name val="Times New Roman"/>
      <family val="1"/>
    </font>
    <font>
      <sz val="13"/>
      <name val=".VnTime"/>
      <family val="2"/>
    </font>
    <font>
      <b/>
      <sz val="13"/>
      <name val=".VnTime"/>
      <family val="2"/>
    </font>
    <font>
      <b/>
      <i/>
      <sz val="13"/>
      <name val="Times New Roman"/>
      <family val="1"/>
    </font>
    <font>
      <i/>
      <sz val="13"/>
      <name val=".VnTime"/>
      <family val="2"/>
    </font>
    <font>
      <b/>
      <i/>
      <sz val="13"/>
      <name val=".VnTime"/>
      <family val="2"/>
    </font>
    <font>
      <b/>
      <sz val="10"/>
      <color rgb="FFFF0000"/>
      <name val=".VnTime"/>
      <family val="2"/>
    </font>
    <font>
      <u/>
      <sz val="12"/>
      <color theme="1"/>
      <name val="Times New Roman"/>
      <family val="1"/>
    </font>
    <font>
      <sz val="12"/>
      <color theme="1"/>
      <name val="Calibri"/>
      <family val="2"/>
    </font>
    <font>
      <sz val="11"/>
      <name val="TimesNewRomanPSMT"/>
    </font>
    <font>
      <sz val="10"/>
      <color theme="1"/>
      <name val=".VnTime"/>
      <family val="2"/>
    </font>
    <font>
      <i/>
      <sz val="10"/>
      <color theme="1"/>
      <name val="Times New Roman"/>
      <family val="1"/>
    </font>
    <font>
      <b/>
      <sz val="10"/>
      <color theme="1"/>
      <name val=".VnTime"/>
      <family val="2"/>
    </font>
    <font>
      <sz val="11"/>
      <color theme="1"/>
      <name val=".VnTime"/>
      <family val="2"/>
    </font>
    <font>
      <i/>
      <sz val="11"/>
      <color theme="1"/>
      <name val="Times New Roman"/>
      <family val="1"/>
    </font>
    <font>
      <i/>
      <sz val="10"/>
      <color theme="1"/>
      <name val=".VnTime"/>
      <family val="2"/>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9" tint="-0.249977111117893"/>
        <bgColor indexed="64"/>
      </patternFill>
    </fill>
  </fills>
  <borders count="58">
    <border>
      <left/>
      <right/>
      <top/>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dotted">
        <color indexed="8"/>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dotted">
        <color indexed="8"/>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hair">
        <color indexed="64"/>
      </top>
      <bottom/>
      <diagonal/>
    </border>
    <border>
      <left style="thin">
        <color indexed="8"/>
      </left>
      <right style="thin">
        <color indexed="64"/>
      </right>
      <top style="hair">
        <color indexed="8"/>
      </top>
      <bottom style="hair">
        <color indexed="8"/>
      </bottom>
      <diagonal/>
    </border>
    <border>
      <left style="thin">
        <color indexed="8"/>
      </left>
      <right style="thin">
        <color indexed="8"/>
      </right>
      <top style="thin">
        <color indexed="64"/>
      </top>
      <bottom style="hair">
        <color indexed="8"/>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8"/>
      </left>
      <right style="thin">
        <color indexed="8"/>
      </right>
      <top style="hair">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8"/>
      </top>
      <bottom style="thin">
        <color indexed="64"/>
      </bottom>
      <diagonal/>
    </border>
    <border>
      <left style="thin">
        <color indexed="64"/>
      </left>
      <right/>
      <top style="thin">
        <color indexed="64"/>
      </top>
      <bottom/>
      <diagonal/>
    </border>
    <border>
      <left style="thin">
        <color indexed="64"/>
      </left>
      <right style="thin">
        <color indexed="64"/>
      </right>
      <top style="hair">
        <color indexed="8"/>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8"/>
      </left>
      <right style="thin">
        <color indexed="64"/>
      </right>
      <top/>
      <bottom/>
      <diagonal/>
    </border>
    <border>
      <left style="thin">
        <color indexed="8"/>
      </left>
      <right style="thin">
        <color indexed="64"/>
      </right>
      <top style="thin">
        <color indexed="64"/>
      </top>
      <bottom style="hair">
        <color indexed="8"/>
      </bottom>
      <diagonal/>
    </border>
    <border>
      <left style="thin">
        <color indexed="8"/>
      </left>
      <right style="thin">
        <color indexed="64"/>
      </right>
      <top style="hair">
        <color indexed="8"/>
      </top>
      <bottom/>
      <diagonal/>
    </border>
    <border>
      <left/>
      <right style="medium">
        <color indexed="64"/>
      </right>
      <top/>
      <bottom style="medium">
        <color indexed="64"/>
      </bottom>
      <diagonal/>
    </border>
  </borders>
  <cellStyleXfs count="175">
    <xf numFmtId="0" fontId="0" fillId="0" borderId="0"/>
    <xf numFmtId="0" fontId="29" fillId="0" borderId="1" applyFont="0" applyAlignment="0">
      <alignment horizontal="left"/>
    </xf>
    <xf numFmtId="0" fontId="30" fillId="2" borderId="0"/>
    <xf numFmtId="0" fontId="31" fillId="2" borderId="0"/>
    <xf numFmtId="0" fontId="32" fillId="2" borderId="0"/>
    <xf numFmtId="0" fontId="33" fillId="0" borderId="0">
      <alignment wrapText="1"/>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xf numFmtId="0" fontId="35" fillId="0" borderId="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169"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38" fontId="36" fillId="3" borderId="0" applyNumberFormat="0" applyBorder="0" applyAlignment="0" applyProtection="0"/>
    <xf numFmtId="0" fontId="37" fillId="0" borderId="2" applyNumberFormat="0" applyAlignment="0" applyProtection="0">
      <alignment horizontal="left" vertical="center"/>
    </xf>
    <xf numFmtId="0" fontId="37" fillId="0" borderId="3">
      <alignment horizontal="left" vertical="center"/>
    </xf>
    <xf numFmtId="49" fontId="38" fillId="0" borderId="4">
      <alignment vertical="center"/>
    </xf>
    <xf numFmtId="0" fontId="39" fillId="0" borderId="0" applyNumberFormat="0" applyFill="0" applyBorder="0" applyAlignment="0" applyProtection="0">
      <alignment vertical="top"/>
      <protection locked="0"/>
    </xf>
    <xf numFmtId="10" fontId="36" fillId="3" borderId="4" applyNumberFormat="0" applyBorder="0" applyAlignment="0" applyProtection="0"/>
    <xf numFmtId="170" fontId="40" fillId="0" borderId="5"/>
    <xf numFmtId="0" fontId="41" fillId="0" borderId="0" applyNumberFormat="0" applyFont="0" applyFill="0" applyAlignment="0"/>
    <xf numFmtId="171" fontId="42" fillId="0" borderId="0"/>
    <xf numFmtId="0" fontId="43" fillId="0" borderId="0"/>
    <xf numFmtId="0" fontId="16" fillId="0" borderId="0"/>
    <xf numFmtId="0" fontId="16" fillId="0" borderId="0"/>
    <xf numFmtId="0" fontId="17" fillId="0" borderId="0"/>
    <xf numFmtId="0" fontId="16" fillId="0" borderId="0"/>
    <xf numFmtId="0" fontId="5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6" fillId="0" borderId="0"/>
    <xf numFmtId="0" fontId="17" fillId="0" borderId="0"/>
    <xf numFmtId="3" fontId="44" fillId="0" borderId="0" applyFont="0" applyFill="0" applyBorder="0" applyAlignment="0" applyProtection="0"/>
    <xf numFmtId="10" fontId="17"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9" fontId="46" fillId="0" borderId="0" applyFont="0" applyFill="0" applyBorder="0" applyAlignment="0" applyProtection="0"/>
    <xf numFmtId="0" fontId="47" fillId="0" borderId="0"/>
    <xf numFmtId="0" fontId="41" fillId="0" borderId="0"/>
    <xf numFmtId="172" fontId="48" fillId="0" borderId="0" applyFont="0" applyFill="0" applyBorder="0" applyAlignment="0" applyProtection="0"/>
    <xf numFmtId="168" fontId="48"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5" fontId="49" fillId="0" borderId="0" applyFont="0" applyFill="0" applyBorder="0" applyAlignment="0" applyProtection="0"/>
    <xf numFmtId="176" fontId="49" fillId="0" borderId="0" applyFont="0" applyFill="0" applyBorder="0" applyAlignment="0" applyProtection="0"/>
    <xf numFmtId="0" fontId="50" fillId="0" borderId="0"/>
    <xf numFmtId="177" fontId="48" fillId="0" borderId="0" applyFont="0" applyFill="0" applyBorder="0" applyAlignment="0" applyProtection="0"/>
    <xf numFmtId="178" fontId="51" fillId="0" borderId="0" applyFont="0" applyFill="0" applyBorder="0" applyAlignment="0" applyProtection="0"/>
    <xf numFmtId="179" fontId="48"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7" fillId="0" borderId="0">
      <alignment vertical="center"/>
    </xf>
    <xf numFmtId="0" fontId="62" fillId="0" borderId="0"/>
    <xf numFmtId="0" fontId="62" fillId="0" borderId="0"/>
    <xf numFmtId="0" fontId="62" fillId="0" borderId="0"/>
    <xf numFmtId="0" fontId="62" fillId="0" borderId="0"/>
    <xf numFmtId="0" fontId="62" fillId="0" borderId="0"/>
    <xf numFmtId="43" fontId="4" fillId="0" borderId="0" applyFont="0" applyFill="0" applyBorder="0" applyAlignment="0" applyProtection="0"/>
    <xf numFmtId="0" fontId="17" fillId="0" borderId="0"/>
    <xf numFmtId="0" fontId="4" fillId="0" borderId="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0" fontId="3" fillId="0" borderId="0"/>
    <xf numFmtId="0" fontId="4" fillId="0" borderId="0"/>
    <xf numFmtId="0" fontId="4" fillId="0" borderId="0"/>
    <xf numFmtId="0" fontId="27"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6" borderId="0" applyNumberFormat="0" applyBorder="0" applyAlignment="0" applyProtection="0"/>
    <xf numFmtId="0" fontId="80" fillId="17"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4" borderId="0" applyNumberFormat="0" applyBorder="0" applyAlignment="0" applyProtection="0"/>
    <xf numFmtId="0" fontId="81" fillId="8" borderId="0" applyNumberFormat="0" applyBorder="0" applyAlignment="0" applyProtection="0"/>
    <xf numFmtId="0" fontId="82" fillId="25" borderId="31" applyNumberFormat="0" applyAlignment="0" applyProtection="0"/>
    <xf numFmtId="0" fontId="83" fillId="26" borderId="32" applyNumberFormat="0" applyAlignment="0" applyProtection="0"/>
    <xf numFmtId="43" fontId="1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4" fillId="0" borderId="0" applyNumberForma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0" fontId="85" fillId="9" borderId="0" applyNumberFormat="0" applyBorder="0" applyAlignment="0" applyProtection="0"/>
    <xf numFmtId="0" fontId="86" fillId="0" borderId="33" applyNumberFormat="0" applyFill="0" applyAlignment="0" applyProtection="0"/>
    <xf numFmtId="0" fontId="87" fillId="0" borderId="34" applyNumberFormat="0" applyFill="0" applyAlignment="0" applyProtection="0"/>
    <xf numFmtId="0" fontId="88" fillId="0" borderId="35" applyNumberFormat="0" applyFill="0" applyAlignment="0" applyProtection="0"/>
    <xf numFmtId="0" fontId="88" fillId="0" borderId="0" applyNumberFormat="0" applyFill="0" applyBorder="0" applyAlignment="0" applyProtection="0"/>
    <xf numFmtId="0" fontId="89" fillId="12" borderId="31" applyNumberFormat="0" applyAlignment="0" applyProtection="0"/>
    <xf numFmtId="0" fontId="89" fillId="12" borderId="31" applyNumberFormat="0" applyAlignment="0" applyProtection="0"/>
    <xf numFmtId="0" fontId="89" fillId="12" borderId="31" applyNumberFormat="0" applyAlignment="0" applyProtection="0"/>
    <xf numFmtId="0" fontId="89" fillId="12" borderId="31" applyNumberFormat="0" applyAlignment="0" applyProtection="0"/>
    <xf numFmtId="0" fontId="89" fillId="12" borderId="31" applyNumberFormat="0" applyAlignment="0" applyProtection="0"/>
    <xf numFmtId="0" fontId="90" fillId="0" borderId="36" applyNumberFormat="0" applyFill="0" applyAlignment="0" applyProtection="0"/>
    <xf numFmtId="0" fontId="91" fillId="27" borderId="0" applyNumberFormat="0" applyBorder="0" applyAlignment="0" applyProtection="0"/>
    <xf numFmtId="171" fontId="42" fillId="0" borderId="0"/>
    <xf numFmtId="0" fontId="17" fillId="0" borderId="0"/>
    <xf numFmtId="0" fontId="17" fillId="0" borderId="0"/>
    <xf numFmtId="0" fontId="17" fillId="0" borderId="0"/>
    <xf numFmtId="0" fontId="64" fillId="0" borderId="0"/>
    <xf numFmtId="0" fontId="17" fillId="0" borderId="0"/>
    <xf numFmtId="0" fontId="27" fillId="28" borderId="37" applyNumberFormat="0" applyFont="0" applyAlignment="0" applyProtection="0"/>
    <xf numFmtId="0" fontId="92" fillId="25" borderId="3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3" fillId="0" borderId="0" applyNumberFormat="0" applyFill="0" applyBorder="0" applyAlignment="0" applyProtection="0"/>
    <xf numFmtId="0" fontId="94" fillId="0" borderId="39" applyNumberFormat="0" applyFill="0" applyAlignment="0" applyProtection="0"/>
    <xf numFmtId="0" fontId="95" fillId="0" borderId="0" applyNumberFormat="0" applyFill="0" applyBorder="0" applyAlignment="0" applyProtection="0"/>
    <xf numFmtId="43" fontId="97" fillId="0" borderId="0" applyFont="0" applyFill="0" applyBorder="0" applyAlignment="0" applyProtection="0"/>
    <xf numFmtId="0" fontId="1" fillId="0" borderId="0"/>
    <xf numFmtId="43" fontId="4" fillId="0" borderId="0" applyFont="0" applyFill="0" applyBorder="0" applyAlignment="0" applyProtection="0"/>
  </cellStyleXfs>
  <cellXfs count="1363">
    <xf numFmtId="0" fontId="0" fillId="0" borderId="0" xfId="0"/>
    <xf numFmtId="0" fontId="0" fillId="0" borderId="0" xfId="0" applyAlignment="1">
      <alignment horizontal="center"/>
    </xf>
    <xf numFmtId="0" fontId="8" fillId="0" borderId="0" xfId="0" applyFont="1"/>
    <xf numFmtId="167" fontId="0" fillId="0" borderId="0" xfId="0" applyNumberFormat="1"/>
    <xf numFmtId="0" fontId="6" fillId="0" borderId="0" xfId="0" applyFont="1" applyAlignment="1">
      <alignment wrapText="1"/>
    </xf>
    <xf numFmtId="0" fontId="20" fillId="0" borderId="0" xfId="0" applyFont="1"/>
    <xf numFmtId="0" fontId="15" fillId="0" borderId="0" xfId="0" applyFont="1" applyBorder="1" applyAlignment="1">
      <alignment vertical="center" wrapText="1"/>
    </xf>
    <xf numFmtId="167" fontId="10" fillId="0" borderId="0" xfId="0" applyNumberFormat="1" applyFont="1" applyBorder="1" applyAlignment="1">
      <alignment horizontal="left" vertical="top" wrapText="1" indent="1"/>
    </xf>
    <xf numFmtId="43" fontId="10" fillId="0" borderId="0" xfId="0" applyNumberFormat="1" applyFont="1" applyFill="1" applyBorder="1" applyAlignment="1">
      <alignment horizontal="right" vertical="center" wrapText="1"/>
    </xf>
    <xf numFmtId="0" fontId="18" fillId="0" borderId="0" xfId="0" applyFont="1" applyBorder="1"/>
    <xf numFmtId="0" fontId="22" fillId="0" borderId="0" xfId="0" applyFont="1"/>
    <xf numFmtId="0" fontId="54" fillId="0" borderId="0" xfId="0" applyFont="1"/>
    <xf numFmtId="0" fontId="16" fillId="0" borderId="0" xfId="0" applyFont="1"/>
    <xf numFmtId="0" fontId="12" fillId="0" borderId="4" xfId="48" applyFont="1" applyFill="1" applyBorder="1" applyAlignment="1">
      <alignment horizontal="center" vertical="center" wrapText="1"/>
    </xf>
    <xf numFmtId="0" fontId="12" fillId="0" borderId="4" xfId="48" applyFont="1" applyFill="1" applyBorder="1" applyAlignment="1">
      <alignment horizontal="center" vertical="center"/>
    </xf>
    <xf numFmtId="165" fontId="6" fillId="0" borderId="6" xfId="0" applyNumberFormat="1" applyFont="1" applyBorder="1" applyAlignment="1">
      <alignment vertical="top" wrapText="1"/>
    </xf>
    <xf numFmtId="165" fontId="7" fillId="0" borderId="6" xfId="0" applyNumberFormat="1" applyFont="1" applyBorder="1" applyAlignment="1">
      <alignment vertical="top" wrapText="1"/>
    </xf>
    <xf numFmtId="165" fontId="8" fillId="0" borderId="6" xfId="0" applyNumberFormat="1" applyFont="1" applyBorder="1" applyAlignment="1">
      <alignment vertical="top" wrapText="1"/>
    </xf>
    <xf numFmtId="0" fontId="12" fillId="0" borderId="7" xfId="0" applyFont="1" applyBorder="1" applyAlignment="1">
      <alignment vertical="top" wrapText="1"/>
    </xf>
    <xf numFmtId="0" fontId="12" fillId="0" borderId="7" xfId="0" applyFont="1" applyBorder="1" applyAlignment="1">
      <alignment horizontal="left" vertical="top" wrapText="1" indent="1"/>
    </xf>
    <xf numFmtId="0" fontId="9" fillId="0" borderId="8" xfId="0" applyFont="1" applyBorder="1" applyAlignment="1">
      <alignment vertical="top" wrapText="1"/>
    </xf>
    <xf numFmtId="0" fontId="9" fillId="0" borderId="8" xfId="0" applyFont="1" applyBorder="1" applyAlignment="1">
      <alignment horizontal="left" vertical="top" wrapText="1" indent="1"/>
    </xf>
    <xf numFmtId="0" fontId="13" fillId="0" borderId="8" xfId="0" applyFont="1" applyBorder="1" applyAlignment="1">
      <alignment vertical="top" wrapText="1"/>
    </xf>
    <xf numFmtId="0" fontId="13" fillId="0" borderId="8" xfId="0" applyFont="1" applyBorder="1" applyAlignment="1">
      <alignment horizontal="left" vertical="top" wrapText="1" indent="1"/>
    </xf>
    <xf numFmtId="0" fontId="12" fillId="0" borderId="8" xfId="0" applyFont="1" applyBorder="1" applyAlignment="1">
      <alignment vertical="top" wrapText="1"/>
    </xf>
    <xf numFmtId="0" fontId="12" fillId="0" borderId="8" xfId="0" applyFont="1" applyBorder="1" applyAlignment="1">
      <alignment horizontal="left" vertical="top" wrapText="1" indent="1"/>
    </xf>
    <xf numFmtId="0" fontId="12" fillId="0" borderId="9" xfId="0" applyFont="1" applyBorder="1" applyAlignment="1">
      <alignment vertical="top" wrapText="1"/>
    </xf>
    <xf numFmtId="43" fontId="25" fillId="0" borderId="0" xfId="0" applyNumberFormat="1" applyFont="1" applyFill="1" applyBorder="1" applyAlignment="1">
      <alignment horizontal="right" vertical="center" wrapText="1"/>
    </xf>
    <xf numFmtId="0" fontId="19" fillId="0" borderId="0" xfId="0" applyFont="1" applyBorder="1"/>
    <xf numFmtId="165" fontId="6" fillId="0" borderId="10" xfId="0" applyNumberFormat="1" applyFont="1" applyBorder="1" applyAlignment="1">
      <alignment horizontal="center" vertical="top" wrapText="1"/>
    </xf>
    <xf numFmtId="0" fontId="7" fillId="0" borderId="0" xfId="0" applyFont="1"/>
    <xf numFmtId="0" fontId="5" fillId="0" borderId="0" xfId="0" applyFont="1"/>
    <xf numFmtId="0" fontId="12" fillId="0" borderId="0" xfId="0" applyFont="1"/>
    <xf numFmtId="0" fontId="55" fillId="0" borderId="0" xfId="0" applyFont="1" applyBorder="1"/>
    <xf numFmtId="43" fontId="56" fillId="0" borderId="0" xfId="0" applyNumberFormat="1" applyFont="1" applyFill="1" applyBorder="1" applyAlignment="1">
      <alignment horizontal="right" vertical="center" wrapText="1"/>
    </xf>
    <xf numFmtId="165" fontId="6" fillId="0" borderId="4" xfId="0" applyNumberFormat="1" applyFont="1" applyBorder="1" applyAlignment="1">
      <alignment horizontal="right" vertical="top" wrapText="1"/>
    </xf>
    <xf numFmtId="167" fontId="5" fillId="0" borderId="0" xfId="0" applyNumberFormat="1" applyFont="1"/>
    <xf numFmtId="0" fontId="15" fillId="0" borderId="0" xfId="0" applyFont="1"/>
    <xf numFmtId="0" fontId="9" fillId="0" borderId="9" xfId="0" applyFont="1" applyBorder="1" applyAlignment="1">
      <alignment horizontal="left" vertical="top" wrapText="1" indent="1"/>
    </xf>
    <xf numFmtId="167" fontId="15" fillId="0" borderId="0" xfId="0" applyNumberFormat="1" applyFont="1"/>
    <xf numFmtId="167" fontId="18" fillId="0" borderId="0" xfId="0" applyNumberFormat="1"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3" fontId="12" fillId="0" borderId="7" xfId="12" applyFont="1" applyBorder="1" applyAlignment="1">
      <alignment horizontal="right" vertical="center" wrapText="1"/>
    </xf>
    <xf numFmtId="43" fontId="9" fillId="0" borderId="8" xfId="12" applyFont="1" applyBorder="1" applyAlignment="1">
      <alignment horizontal="right" vertical="center" wrapText="1"/>
    </xf>
    <xf numFmtId="43" fontId="12" fillId="0" borderId="8" xfId="12" applyFont="1" applyBorder="1" applyAlignment="1">
      <alignment horizontal="right" vertical="center" wrapText="1"/>
    </xf>
    <xf numFmtId="0" fontId="57" fillId="0" borderId="0" xfId="0" applyFont="1"/>
    <xf numFmtId="43" fontId="12" fillId="0" borderId="4" xfId="12" applyFont="1" applyBorder="1" applyAlignment="1">
      <alignment horizontal="right" vertical="center" wrapText="1"/>
    </xf>
    <xf numFmtId="43" fontId="9" fillId="0" borderId="9" xfId="12" applyFont="1" applyBorder="1" applyAlignment="1">
      <alignment horizontal="right" vertical="center" wrapText="1"/>
    </xf>
    <xf numFmtId="0" fontId="14" fillId="0" borderId="0" xfId="0" applyFont="1"/>
    <xf numFmtId="165" fontId="7" fillId="0" borderId="6" xfId="0" applyNumberFormat="1" applyFont="1" applyBorder="1" applyAlignment="1">
      <alignment vertical="center" wrapText="1"/>
    </xf>
    <xf numFmtId="0" fontId="16" fillId="0" borderId="0" xfId="0" applyFont="1" applyAlignment="1">
      <alignment horizontal="right"/>
    </xf>
    <xf numFmtId="165" fontId="16" fillId="0" borderId="0" xfId="0" applyNumberFormat="1" applyFont="1" applyAlignment="1">
      <alignment horizontal="right"/>
    </xf>
    <xf numFmtId="167" fontId="7" fillId="0" borderId="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2" fontId="6" fillId="0" borderId="14" xfId="0" applyNumberFormat="1" applyFont="1" applyBorder="1" applyAlignment="1">
      <alignment horizontal="right"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2" fontId="7" fillId="0" borderId="12" xfId="0" applyNumberFormat="1" applyFont="1" applyBorder="1" applyAlignment="1">
      <alignment horizontal="right" vertical="center" wrapText="1"/>
    </xf>
    <xf numFmtId="2" fontId="7" fillId="0" borderId="12" xfId="0" applyNumberFormat="1" applyFont="1" applyBorder="1" applyAlignment="1">
      <alignment horizontal="right" vertical="center"/>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2" fontId="6" fillId="0" borderId="12" xfId="0" applyNumberFormat="1" applyFont="1" applyBorder="1" applyAlignment="1">
      <alignment horizontal="right" vertical="center" wrapText="1"/>
    </xf>
    <xf numFmtId="0" fontId="7" fillId="0" borderId="1" xfId="32" applyFont="1" applyBorder="1" applyAlignment="1">
      <alignment horizontal="left" vertical="top" wrapText="1" indent="1"/>
    </xf>
    <xf numFmtId="0" fontId="9" fillId="0" borderId="1" xfId="32" applyFont="1" applyBorder="1" applyAlignment="1">
      <alignment vertical="top" wrapText="1"/>
    </xf>
    <xf numFmtId="0" fontId="8" fillId="0" borderId="1" xfId="32" applyFont="1" applyBorder="1" applyAlignment="1">
      <alignment horizontal="left" vertical="top" wrapText="1" indent="1"/>
    </xf>
    <xf numFmtId="0" fontId="13" fillId="0" borderId="1" xfId="32" applyFont="1" applyBorder="1" applyAlignment="1">
      <alignment vertical="top" wrapText="1"/>
    </xf>
    <xf numFmtId="0" fontId="7" fillId="4" borderId="1" xfId="32" applyFont="1" applyFill="1" applyBorder="1" applyAlignment="1">
      <alignment horizontal="left" vertical="top" wrapText="1" indent="1"/>
    </xf>
    <xf numFmtId="43" fontId="7" fillId="4" borderId="15" xfId="16" applyFont="1" applyFill="1" applyBorder="1" applyAlignment="1">
      <alignment horizontal="right" vertical="center" wrapText="1"/>
    </xf>
    <xf numFmtId="166" fontId="7" fillId="0" borderId="6" xfId="0" applyNumberFormat="1" applyFont="1" applyBorder="1" applyAlignment="1">
      <alignment horizontal="center" vertical="center" wrapText="1"/>
    </xf>
    <xf numFmtId="167" fontId="6" fillId="0" borderId="6" xfId="0" applyNumberFormat="1" applyFont="1" applyBorder="1" applyAlignment="1">
      <alignment horizontal="center" vertical="center" wrapText="1"/>
    </xf>
    <xf numFmtId="0" fontId="5" fillId="0" borderId="0" xfId="0" applyFont="1" applyAlignment="1">
      <alignment horizontal="center" vertical="center"/>
    </xf>
    <xf numFmtId="0" fontId="9" fillId="4" borderId="1" xfId="32" applyFont="1" applyFill="1" applyBorder="1" applyAlignment="1">
      <alignment horizontal="center" vertical="center" wrapText="1"/>
    </xf>
    <xf numFmtId="0" fontId="23" fillId="0" borderId="0" xfId="0" applyFont="1" applyAlignment="1">
      <alignment horizontal="center" vertical="center"/>
    </xf>
    <xf numFmtId="0" fontId="12"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0" borderId="0" xfId="0" applyAlignment="1">
      <alignment horizontal="center" vertical="center"/>
    </xf>
    <xf numFmtId="2" fontId="16" fillId="0" borderId="0" xfId="0" applyNumberFormat="1" applyFont="1"/>
    <xf numFmtId="43" fontId="9" fillId="0" borderId="1" xfId="12" applyFont="1" applyBorder="1" applyAlignment="1">
      <alignment horizontal="right" vertical="center" wrapText="1"/>
    </xf>
    <xf numFmtId="0" fontId="59" fillId="0" borderId="0" xfId="0" applyFont="1" applyAlignment="1">
      <alignment vertical="center"/>
    </xf>
    <xf numFmtId="0" fontId="58" fillId="0" borderId="0" xfId="0" applyFont="1" applyAlignment="1">
      <alignment vertical="center"/>
    </xf>
    <xf numFmtId="2" fontId="59" fillId="0" borderId="0" xfId="0" applyNumberFormat="1" applyFont="1" applyAlignment="1">
      <alignment vertical="center"/>
    </xf>
    <xf numFmtId="4" fontId="59" fillId="0" borderId="0" xfId="0" applyNumberFormat="1" applyFont="1" applyAlignment="1">
      <alignment vertical="center"/>
    </xf>
    <xf numFmtId="2" fontId="58" fillId="0" borderId="0" xfId="0" applyNumberFormat="1" applyFont="1" applyAlignment="1">
      <alignment vertical="center"/>
    </xf>
    <xf numFmtId="4" fontId="58" fillId="0" borderId="0" xfId="0" applyNumberFormat="1" applyFont="1" applyAlignment="1">
      <alignment vertical="center"/>
    </xf>
    <xf numFmtId="4" fontId="60" fillId="0" borderId="0" xfId="0" applyNumberFormat="1" applyFont="1" applyAlignment="1">
      <alignment vertical="center"/>
    </xf>
    <xf numFmtId="2" fontId="61" fillId="0" borderId="0" xfId="0" applyNumberFormat="1" applyFont="1" applyAlignment="1">
      <alignment vertical="center"/>
    </xf>
    <xf numFmtId="0" fontId="60" fillId="0" borderId="0" xfId="0" applyFont="1" applyAlignment="1">
      <alignment vertical="center"/>
    </xf>
    <xf numFmtId="164" fontId="58" fillId="0" borderId="0" xfId="0" applyNumberFormat="1" applyFont="1" applyAlignment="1">
      <alignment vertical="center"/>
    </xf>
    <xf numFmtId="43" fontId="0" fillId="0" borderId="0" xfId="0" applyNumberFormat="1"/>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165" fontId="6" fillId="0" borderId="7" xfId="0" applyNumberFormat="1" applyFont="1" applyBorder="1" applyAlignment="1">
      <alignment horizontal="right" vertical="top" wrapText="1" indent="1"/>
    </xf>
    <xf numFmtId="165" fontId="7" fillId="0" borderId="8" xfId="0" applyNumberFormat="1" applyFont="1" applyBorder="1" applyAlignment="1">
      <alignment horizontal="right" vertical="top" wrapText="1" indent="1"/>
    </xf>
    <xf numFmtId="165" fontId="8" fillId="0" borderId="8" xfId="0" applyNumberFormat="1" applyFont="1" applyBorder="1" applyAlignment="1">
      <alignment horizontal="right" vertical="top" wrapText="1" indent="1"/>
    </xf>
    <xf numFmtId="165" fontId="6" fillId="0" borderId="8" xfId="0" applyNumberFormat="1" applyFont="1" applyBorder="1" applyAlignment="1">
      <alignment horizontal="right" vertical="top" wrapText="1" indent="1"/>
    </xf>
    <xf numFmtId="43" fontId="12" fillId="0" borderId="7" xfId="0" applyNumberFormat="1" applyFont="1" applyBorder="1" applyAlignment="1">
      <alignment horizontal="left" vertical="top" wrapText="1" indent="1"/>
    </xf>
    <xf numFmtId="0" fontId="13" fillId="4" borderId="1" xfId="32" applyFont="1" applyFill="1" applyBorder="1" applyAlignment="1">
      <alignment horizontal="center" vertical="center" wrapText="1"/>
    </xf>
    <xf numFmtId="43" fontId="13" fillId="0" borderId="1" xfId="12" applyFont="1" applyBorder="1" applyAlignment="1">
      <alignment horizontal="right" vertical="center" wrapText="1"/>
    </xf>
    <xf numFmtId="0" fontId="65" fillId="0" borderId="0" xfId="32" applyFont="1"/>
    <xf numFmtId="0" fontId="8" fillId="0" borderId="1" xfId="32" applyFont="1" applyFill="1" applyBorder="1" applyAlignment="1">
      <alignment horizontal="left" vertical="top" wrapText="1" indent="1"/>
    </xf>
    <xf numFmtId="43" fontId="66" fillId="0" borderId="1" xfId="12" applyFont="1" applyBorder="1" applyAlignment="1">
      <alignment horizontal="right" vertical="center" wrapText="1"/>
    </xf>
    <xf numFmtId="0" fontId="4" fillId="4" borderId="0" xfId="0" applyFont="1" applyFill="1"/>
    <xf numFmtId="0" fontId="7" fillId="4" borderId="0" xfId="0" applyFont="1" applyFill="1" applyBorder="1" applyAlignment="1">
      <alignment horizontal="center" vertical="center" wrapText="1"/>
    </xf>
    <xf numFmtId="0" fontId="4" fillId="0" borderId="0" xfId="32" applyFont="1"/>
    <xf numFmtId="0" fontId="13" fillId="0" borderId="8" xfId="0" applyFont="1" applyBorder="1" applyAlignment="1">
      <alignment horizontal="center" vertical="center" wrapText="1"/>
    </xf>
    <xf numFmtId="43" fontId="24" fillId="0" borderId="7" xfId="0" applyNumberFormat="1" applyFont="1" applyBorder="1" applyAlignment="1">
      <alignment horizontal="left" vertical="top" wrapText="1" indent="1"/>
    </xf>
    <xf numFmtId="0" fontId="65" fillId="0" borderId="0" xfId="0" applyFont="1"/>
    <xf numFmtId="43" fontId="68" fillId="0" borderId="0" xfId="0" applyNumberFormat="1" applyFont="1" applyFill="1" applyBorder="1" applyAlignment="1">
      <alignment horizontal="right" vertical="center" wrapText="1"/>
    </xf>
    <xf numFmtId="0" fontId="5" fillId="4" borderId="0" xfId="0" applyFont="1" applyFill="1" applyAlignment="1">
      <alignment horizontal="center"/>
    </xf>
    <xf numFmtId="0" fontId="5" fillId="4" borderId="0" xfId="0" applyFont="1" applyFill="1"/>
    <xf numFmtId="0" fontId="7" fillId="4" borderId="0" xfId="0" applyFont="1" applyFill="1" applyBorder="1"/>
    <xf numFmtId="0" fontId="7" fillId="4" borderId="0" xfId="0" applyFont="1" applyFill="1"/>
    <xf numFmtId="0" fontId="7" fillId="4" borderId="0" xfId="0" applyNumberFormat="1" applyFont="1" applyFill="1" applyBorder="1" applyAlignment="1">
      <alignment horizontal="center" vertical="center" wrapText="1"/>
    </xf>
    <xf numFmtId="167" fontId="10" fillId="4" borderId="0" xfId="0" applyNumberFormat="1" applyFont="1" applyFill="1" applyBorder="1" applyAlignment="1">
      <alignment horizontal="center" vertical="top" wrapText="1"/>
    </xf>
    <xf numFmtId="167" fontId="5" fillId="4" borderId="0" xfId="0" applyNumberFormat="1" applyFont="1" applyFill="1"/>
    <xf numFmtId="167" fontId="25" fillId="4" borderId="0" xfId="0" applyNumberFormat="1" applyFont="1" applyFill="1" applyBorder="1" applyAlignment="1">
      <alignment horizontal="center" vertical="top" wrapText="1"/>
    </xf>
    <xf numFmtId="167" fontId="15" fillId="4" borderId="0" xfId="0" applyNumberFormat="1" applyFont="1" applyFill="1"/>
    <xf numFmtId="0" fontId="12" fillId="4" borderId="0" xfId="0" applyFont="1" applyFill="1" applyBorder="1"/>
    <xf numFmtId="0" fontId="12" fillId="4" borderId="0" xfId="0" applyFont="1" applyFill="1"/>
    <xf numFmtId="165" fontId="7" fillId="4" borderId="6" xfId="0" applyNumberFormat="1" applyFont="1" applyFill="1" applyBorder="1" applyAlignment="1">
      <alignment horizontal="center" vertical="top" wrapText="1"/>
    </xf>
    <xf numFmtId="165" fontId="7" fillId="4" borderId="6" xfId="0" applyNumberFormat="1" applyFont="1" applyFill="1" applyBorder="1" applyAlignment="1">
      <alignment horizontal="right" vertical="center" wrapText="1"/>
    </xf>
    <xf numFmtId="165" fontId="7" fillId="4" borderId="6" xfId="0" applyNumberFormat="1" applyFont="1" applyFill="1" applyBorder="1" applyAlignment="1">
      <alignment horizontal="right" vertical="center"/>
    </xf>
    <xf numFmtId="165" fontId="7" fillId="4" borderId="26" xfId="0" applyNumberFormat="1" applyFont="1" applyFill="1" applyBorder="1" applyAlignment="1">
      <alignment horizontal="right" vertical="center" wrapText="1"/>
    </xf>
    <xf numFmtId="0" fontId="5" fillId="4" borderId="0" xfId="0" applyFont="1" applyFill="1" applyBorder="1"/>
    <xf numFmtId="165" fontId="8" fillId="4" borderId="6" xfId="0" applyNumberFormat="1" applyFont="1" applyFill="1" applyBorder="1" applyAlignment="1">
      <alignment horizontal="center" vertical="top" wrapText="1"/>
    </xf>
    <xf numFmtId="0" fontId="57" fillId="4" borderId="0" xfId="0" applyFont="1" applyFill="1" applyBorder="1"/>
    <xf numFmtId="0" fontId="57" fillId="4" borderId="0" xfId="0" applyFont="1" applyFill="1"/>
    <xf numFmtId="4" fontId="5" fillId="4" borderId="0" xfId="0" applyNumberFormat="1" applyFont="1" applyFill="1" applyBorder="1"/>
    <xf numFmtId="165" fontId="6" fillId="4" borderId="6" xfId="0" applyNumberFormat="1" applyFont="1" applyFill="1" applyBorder="1" applyAlignment="1">
      <alignment horizontal="center" vertical="top" wrapText="1"/>
    </xf>
    <xf numFmtId="0" fontId="15" fillId="4" borderId="0" xfId="0" applyFont="1" applyFill="1" applyBorder="1"/>
    <xf numFmtId="0" fontId="15" fillId="4" borderId="0" xfId="0" applyFont="1" applyFill="1"/>
    <xf numFmtId="0" fontId="4" fillId="0" borderId="0" xfId="0" applyFont="1"/>
    <xf numFmtId="4" fontId="22" fillId="4" borderId="0" xfId="0" applyNumberFormat="1" applyFont="1" applyFill="1"/>
    <xf numFmtId="4" fontId="4" fillId="4" borderId="0" xfId="0" applyNumberFormat="1" applyFont="1" applyFill="1"/>
    <xf numFmtId="4" fontId="22" fillId="0" borderId="0" xfId="0" applyNumberFormat="1" applyFont="1"/>
    <xf numFmtId="2" fontId="4" fillId="0" borderId="0" xfId="0" applyNumberFormat="1" applyFont="1"/>
    <xf numFmtId="4" fontId="4" fillId="0" borderId="0" xfId="0" applyNumberFormat="1" applyFont="1"/>
    <xf numFmtId="0" fontId="4" fillId="0" borderId="0" xfId="0" applyFont="1" applyBorder="1" applyAlignment="1">
      <alignment horizontal="center" vertical="center"/>
    </xf>
    <xf numFmtId="165" fontId="0" fillId="0" borderId="0" xfId="0" applyNumberFormat="1"/>
    <xf numFmtId="165" fontId="7" fillId="0" borderId="4" xfId="0" applyNumberFormat="1" applyFont="1" applyFill="1" applyBorder="1" applyAlignment="1">
      <alignment horizontal="right" vertical="center"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165" fontId="14" fillId="0" borderId="4" xfId="0" applyNumberFormat="1" applyFont="1" applyBorder="1" applyAlignment="1">
      <alignment horizontal="right"/>
    </xf>
    <xf numFmtId="165" fontId="7" fillId="0" borderId="4" xfId="0" applyNumberFormat="1" applyFont="1" applyBorder="1" applyAlignment="1">
      <alignment horizontal="right" vertical="top"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2" fontId="7" fillId="0" borderId="4" xfId="0" applyNumberFormat="1" applyFont="1" applyBorder="1" applyAlignment="1">
      <alignment horizontal="left" vertical="top" wrapText="1"/>
    </xf>
    <xf numFmtId="0" fontId="65" fillId="0" borderId="0" xfId="95" applyFont="1"/>
    <xf numFmtId="43" fontId="8" fillId="0" borderId="15" xfId="96" applyFont="1" applyFill="1" applyBorder="1" applyAlignment="1">
      <alignment horizontal="right" vertical="center" wrapText="1"/>
    </xf>
    <xf numFmtId="0" fontId="13" fillId="0" borderId="1" xfId="95" applyFont="1" applyBorder="1" applyAlignment="1">
      <alignment vertical="top" wrapText="1"/>
    </xf>
    <xf numFmtId="0" fontId="13" fillId="4" borderId="1" xfId="95" applyFont="1" applyFill="1" applyBorder="1" applyAlignment="1">
      <alignment horizontal="center" vertical="center" wrapText="1"/>
    </xf>
    <xf numFmtId="0" fontId="8" fillId="0" borderId="4" xfId="0" applyFont="1" applyBorder="1" applyAlignment="1">
      <alignment vertical="top" wrapText="1"/>
    </xf>
    <xf numFmtId="167" fontId="6" fillId="0" borderId="4" xfId="0" applyNumberFormat="1" applyFont="1" applyBorder="1" applyAlignment="1">
      <alignment horizontal="center" vertical="top" wrapText="1"/>
    </xf>
    <xf numFmtId="167" fontId="6" fillId="0" borderId="4" xfId="0" applyNumberFormat="1" applyFont="1" applyBorder="1" applyAlignment="1">
      <alignment horizontal="left" vertical="top" wrapText="1" indent="1"/>
    </xf>
    <xf numFmtId="165" fontId="6" fillId="0" borderId="4" xfId="0" applyNumberFormat="1" applyFont="1" applyFill="1" applyBorder="1" applyAlignment="1">
      <alignment horizontal="right" vertical="center" wrapText="1"/>
    </xf>
    <xf numFmtId="165" fontId="7" fillId="0" borderId="4" xfId="0" applyNumberFormat="1" applyFont="1" applyFill="1" applyBorder="1" applyAlignment="1">
      <alignment horizontal="right" vertical="center"/>
    </xf>
    <xf numFmtId="165" fontId="7" fillId="0" borderId="4" xfId="15" applyNumberFormat="1" applyFont="1" applyFill="1" applyBorder="1" applyAlignment="1">
      <alignment horizontal="right" wrapText="1"/>
    </xf>
    <xf numFmtId="165" fontId="7" fillId="0" borderId="4" xfId="12" applyNumberFormat="1" applyFont="1" applyFill="1" applyBorder="1" applyAlignment="1">
      <alignment horizontal="right" vertical="center" wrapText="1"/>
    </xf>
    <xf numFmtId="165" fontId="7" fillId="0" borderId="4" xfId="0" applyNumberFormat="1" applyFont="1" applyBorder="1" applyAlignment="1">
      <alignment horizontal="right" vertical="center"/>
    </xf>
    <xf numFmtId="165" fontId="21" fillId="0" borderId="4" xfId="0" applyNumberFormat="1" applyFont="1" applyFill="1" applyBorder="1" applyAlignment="1">
      <alignment horizontal="right" vertical="center" wrapText="1"/>
    </xf>
    <xf numFmtId="0" fontId="70" fillId="0" borderId="4" xfId="0" applyFont="1" applyBorder="1" applyAlignment="1">
      <alignment horizontal="center" vertical="center" wrapText="1"/>
    </xf>
    <xf numFmtId="0" fontId="71" fillId="0" borderId="4" xfId="0" applyFont="1" applyBorder="1" applyAlignment="1">
      <alignment horizontal="center" vertical="center"/>
    </xf>
    <xf numFmtId="0" fontId="71" fillId="0" borderId="4" xfId="0" applyFont="1" applyBorder="1" applyAlignment="1">
      <alignment vertical="center"/>
    </xf>
    <xf numFmtId="43" fontId="71" fillId="0" borderId="4" xfId="12" applyFont="1" applyBorder="1" applyAlignment="1">
      <alignment horizontal="right" vertical="center" wrapText="1"/>
    </xf>
    <xf numFmtId="2" fontId="71" fillId="0" borderId="4" xfId="0" applyNumberFormat="1" applyFont="1" applyBorder="1" applyAlignment="1">
      <alignment horizontal="right" vertical="center"/>
    </xf>
    <xf numFmtId="2" fontId="71" fillId="4" borderId="4" xfId="0" applyNumberFormat="1" applyFont="1" applyFill="1" applyBorder="1" applyAlignment="1">
      <alignment horizontal="right" vertical="center"/>
    </xf>
    <xf numFmtId="4" fontId="70" fillId="0" borderId="4" xfId="0" applyNumberFormat="1" applyFont="1" applyBorder="1" applyAlignment="1">
      <alignment horizontal="right" vertical="center"/>
    </xf>
    <xf numFmtId="43" fontId="16" fillId="0" borderId="0" xfId="0" applyNumberFormat="1" applyFont="1"/>
    <xf numFmtId="167" fontId="12" fillId="0" borderId="18" xfId="0" applyNumberFormat="1" applyFont="1" applyBorder="1" applyAlignment="1">
      <alignment horizontal="center" vertical="center" wrapText="1"/>
    </xf>
    <xf numFmtId="167" fontId="12" fillId="0" borderId="18" xfId="0" applyNumberFormat="1" applyFont="1" applyBorder="1" applyAlignment="1">
      <alignment horizontal="center" vertical="top" wrapText="1"/>
    </xf>
    <xf numFmtId="165" fontId="6" fillId="0" borderId="18" xfId="0" applyNumberFormat="1" applyFont="1" applyBorder="1" applyAlignment="1">
      <alignment horizontal="right" vertical="top" wrapText="1"/>
    </xf>
    <xf numFmtId="43" fontId="12" fillId="0" borderId="18" xfId="12" applyFont="1" applyBorder="1" applyAlignment="1">
      <alignment horizontal="right" vertical="center" wrapText="1"/>
    </xf>
    <xf numFmtId="167" fontId="73" fillId="0" borderId="4" xfId="0" applyNumberFormat="1" applyFont="1" applyBorder="1" applyAlignment="1">
      <alignment horizontal="center" vertical="center" wrapText="1"/>
    </xf>
    <xf numFmtId="0" fontId="73" fillId="0" borderId="4" xfId="0" applyFont="1" applyBorder="1" applyAlignment="1">
      <alignment horizontal="center" vertical="center" wrapText="1"/>
    </xf>
    <xf numFmtId="4" fontId="72" fillId="0" borderId="4" xfId="0" applyNumberFormat="1" applyFont="1" applyBorder="1" applyAlignment="1">
      <alignment horizontal="right" vertical="center" wrapText="1"/>
    </xf>
    <xf numFmtId="4" fontId="72" fillId="0" borderId="4" xfId="12" applyNumberFormat="1" applyFont="1" applyBorder="1" applyAlignment="1">
      <alignment horizontal="right" vertical="center" wrapText="1"/>
    </xf>
    <xf numFmtId="0" fontId="72" fillId="0" borderId="4" xfId="0" applyFont="1" applyBorder="1" applyAlignment="1">
      <alignment horizontal="left" vertical="center" wrapText="1"/>
    </xf>
    <xf numFmtId="4" fontId="72" fillId="0" borderId="4" xfId="0" applyNumberFormat="1" applyFont="1" applyBorder="1" applyAlignment="1">
      <alignment horizontal="right" vertical="center"/>
    </xf>
    <xf numFmtId="0" fontId="71" fillId="0" borderId="4" xfId="0" applyFont="1" applyBorder="1" applyAlignment="1">
      <alignment vertical="center" wrapText="1"/>
    </xf>
    <xf numFmtId="4" fontId="73" fillId="0" borderId="4" xfId="0" applyNumberFormat="1" applyFont="1" applyBorder="1" applyAlignment="1">
      <alignment horizontal="right" vertical="center"/>
    </xf>
    <xf numFmtId="4" fontId="73" fillId="0" borderId="4" xfId="0" applyNumberFormat="1" applyFont="1" applyBorder="1" applyAlignment="1">
      <alignment horizontal="right" vertical="center" wrapText="1"/>
    </xf>
    <xf numFmtId="4" fontId="73" fillId="0" borderId="4" xfId="12" applyNumberFormat="1" applyFont="1" applyBorder="1" applyAlignment="1">
      <alignment horizontal="right" vertical="center" wrapText="1"/>
    </xf>
    <xf numFmtId="0" fontId="74" fillId="0" borderId="4" xfId="0" applyFont="1" applyBorder="1" applyAlignment="1">
      <alignment horizontal="center" vertical="center" wrapText="1"/>
    </xf>
    <xf numFmtId="0" fontId="75" fillId="0" borderId="4" xfId="0" applyFont="1" applyBorder="1" applyAlignment="1">
      <alignment vertical="center" wrapText="1"/>
    </xf>
    <xf numFmtId="4" fontId="74" fillId="0" borderId="4" xfId="0" applyNumberFormat="1" applyFont="1" applyBorder="1" applyAlignment="1">
      <alignment horizontal="right" vertical="center"/>
    </xf>
    <xf numFmtId="4" fontId="74" fillId="0" borderId="4" xfId="0" applyNumberFormat="1" applyFont="1" applyBorder="1" applyAlignment="1">
      <alignment horizontal="right" vertical="center" wrapText="1"/>
    </xf>
    <xf numFmtId="4" fontId="74" fillId="0" borderId="4" xfId="12" applyNumberFormat="1" applyFont="1" applyBorder="1" applyAlignment="1">
      <alignment horizontal="right" vertical="center" wrapText="1"/>
    </xf>
    <xf numFmtId="0" fontId="70" fillId="0" borderId="4" xfId="0" applyFont="1" applyBorder="1" applyAlignment="1">
      <alignment vertical="center" wrapText="1"/>
    </xf>
    <xf numFmtId="0" fontId="71" fillId="0" borderId="4" xfId="47" applyFont="1" applyBorder="1" applyAlignment="1">
      <alignment vertical="center" wrapText="1"/>
    </xf>
    <xf numFmtId="0" fontId="71" fillId="0" borderId="4" xfId="47" applyFont="1" applyBorder="1" applyAlignment="1">
      <alignment horizontal="center" vertical="center" wrapText="1"/>
    </xf>
    <xf numFmtId="0" fontId="72" fillId="0" borderId="4" xfId="0" applyFont="1" applyBorder="1" applyAlignment="1">
      <alignment horizontal="center" vertical="center" wrapText="1"/>
    </xf>
    <xf numFmtId="0" fontId="73" fillId="0" borderId="4" xfId="0" applyFont="1" applyBorder="1" applyAlignment="1">
      <alignment horizontal="left" vertical="center" wrapText="1"/>
    </xf>
    <xf numFmtId="0" fontId="72" fillId="0" borderId="0" xfId="0" applyFont="1" applyAlignment="1">
      <alignment vertical="center"/>
    </xf>
    <xf numFmtId="0" fontId="73" fillId="0" borderId="0" xfId="0" applyFont="1" applyAlignment="1">
      <alignment vertical="center"/>
    </xf>
    <xf numFmtId="0" fontId="73" fillId="0" borderId="4" xfId="0" applyFont="1" applyBorder="1" applyAlignment="1">
      <alignment vertical="center"/>
    </xf>
    <xf numFmtId="0" fontId="72" fillId="0" borderId="4" xfId="0" applyFont="1" applyBorder="1" applyAlignment="1">
      <alignment vertical="center"/>
    </xf>
    <xf numFmtId="43" fontId="12" fillId="0" borderId="28" xfId="0" applyNumberFormat="1" applyFont="1" applyBorder="1" applyAlignment="1">
      <alignment horizontal="left" vertical="top" wrapText="1" indent="1"/>
    </xf>
    <xf numFmtId="43" fontId="24" fillId="0" borderId="28" xfId="0" applyNumberFormat="1" applyFont="1" applyBorder="1" applyAlignment="1">
      <alignment horizontal="left" vertical="top" wrapText="1" indent="1"/>
    </xf>
    <xf numFmtId="43" fontId="13" fillId="0" borderId="19" xfId="12" applyFont="1" applyBorder="1" applyAlignment="1">
      <alignment horizontal="right" vertical="center" wrapText="1"/>
    </xf>
    <xf numFmtId="0" fontId="77" fillId="0" borderId="0" xfId="0" applyFont="1" applyBorder="1"/>
    <xf numFmtId="43" fontId="9" fillId="0" borderId="7" xfId="0" applyNumberFormat="1" applyFont="1" applyBorder="1" applyAlignment="1">
      <alignment horizontal="left" vertical="top" wrapText="1" indent="1"/>
    </xf>
    <xf numFmtId="43" fontId="9" fillId="0" borderId="28" xfId="0" applyNumberFormat="1" applyFont="1" applyBorder="1" applyAlignment="1">
      <alignment horizontal="left" vertical="top" wrapText="1" indent="1"/>
    </xf>
    <xf numFmtId="43" fontId="78" fillId="0" borderId="1" xfId="12" applyFont="1" applyBorder="1" applyAlignment="1">
      <alignment horizontal="right" vertical="center" wrapText="1"/>
    </xf>
    <xf numFmtId="43" fontId="9" fillId="0" borderId="19" xfId="12" applyFont="1" applyBorder="1" applyAlignment="1">
      <alignment horizontal="right" vertical="center" wrapText="1"/>
    </xf>
    <xf numFmtId="0" fontId="67" fillId="0" borderId="0" xfId="0" applyFont="1"/>
    <xf numFmtId="167" fontId="12" fillId="0" borderId="18" xfId="0" applyNumberFormat="1" applyFont="1" applyBorder="1" applyAlignment="1">
      <alignment horizontal="left" vertical="top" wrapText="1"/>
    </xf>
    <xf numFmtId="0" fontId="12" fillId="0" borderId="29" xfId="0" applyFont="1" applyBorder="1" applyAlignment="1">
      <alignment horizontal="center" vertical="center" wrapText="1"/>
    </xf>
    <xf numFmtId="0" fontId="12" fillId="0" borderId="29" xfId="0" applyFont="1" applyBorder="1" applyAlignment="1">
      <alignment vertical="top" wrapText="1"/>
    </xf>
    <xf numFmtId="0" fontId="9" fillId="0" borderId="29" xfId="0" applyFont="1" applyBorder="1" applyAlignment="1">
      <alignment horizontal="left" vertical="top" wrapText="1" indent="1"/>
    </xf>
    <xf numFmtId="43" fontId="9" fillId="0" borderId="29" xfId="12" applyFont="1" applyBorder="1" applyAlignment="1">
      <alignment horizontal="right" vertical="center" wrapText="1"/>
    </xf>
    <xf numFmtId="0" fontId="12" fillId="0" borderId="19" xfId="0" applyFont="1" applyFill="1" applyBorder="1" applyAlignment="1">
      <alignment vertical="top" wrapText="1"/>
    </xf>
    <xf numFmtId="0" fontId="7" fillId="0" borderId="0" xfId="0" applyFont="1" applyAlignment="1">
      <alignment horizontal="left"/>
    </xf>
    <xf numFmtId="0" fontId="7" fillId="0" borderId="20" xfId="0" applyFont="1" applyBorder="1" applyAlignment="1">
      <alignment horizontal="center" vertical="center" wrapText="1"/>
    </xf>
    <xf numFmtId="0" fontId="7" fillId="0" borderId="20" xfId="0" applyFont="1" applyBorder="1" applyAlignment="1">
      <alignment horizontal="left" vertical="center" wrapText="1"/>
    </xf>
    <xf numFmtId="2" fontId="7" fillId="0" borderId="20" xfId="0" applyNumberFormat="1" applyFont="1" applyBorder="1" applyAlignment="1">
      <alignment horizontal="right" vertical="center" wrapText="1"/>
    </xf>
    <xf numFmtId="2" fontId="7" fillId="0" borderId="20" xfId="0" applyNumberFormat="1" applyFont="1" applyBorder="1" applyAlignment="1">
      <alignment horizontal="right" vertical="center"/>
    </xf>
    <xf numFmtId="0" fontId="6" fillId="0" borderId="4" xfId="48" applyFont="1" applyFill="1" applyBorder="1" applyAlignment="1">
      <alignment horizontal="center" vertical="center" wrapText="1"/>
    </xf>
    <xf numFmtId="0" fontId="7" fillId="0" borderId="1" xfId="0" applyFont="1" applyBorder="1"/>
    <xf numFmtId="0" fontId="7" fillId="0" borderId="16" xfId="0" applyFont="1" applyBorder="1"/>
    <xf numFmtId="0" fontId="6" fillId="0" borderId="16" xfId="0" applyFont="1" applyBorder="1"/>
    <xf numFmtId="2" fontId="8" fillId="0" borderId="12" xfId="0" applyNumberFormat="1" applyFont="1" applyBorder="1" applyAlignment="1">
      <alignment horizontal="right" vertical="center" wrapText="1"/>
    </xf>
    <xf numFmtId="2" fontId="8" fillId="0" borderId="12" xfId="0" applyNumberFormat="1" applyFont="1" applyBorder="1" applyAlignment="1">
      <alignment horizontal="right" vertical="center"/>
    </xf>
    <xf numFmtId="166" fontId="7" fillId="0" borderId="30" xfId="0" applyNumberFormat="1" applyFont="1" applyBorder="1" applyAlignment="1">
      <alignment horizontal="center" vertical="center" wrapText="1"/>
    </xf>
    <xf numFmtId="165" fontId="7" fillId="0" borderId="30" xfId="0" applyNumberFormat="1" applyFont="1" applyBorder="1" applyAlignment="1">
      <alignment vertical="top" wrapText="1"/>
    </xf>
    <xf numFmtId="165" fontId="7" fillId="4" borderId="30" xfId="0" applyNumberFormat="1" applyFont="1" applyFill="1" applyBorder="1" applyAlignment="1">
      <alignment horizontal="center" vertical="top" wrapText="1"/>
    </xf>
    <xf numFmtId="165" fontId="7" fillId="4" borderId="6" xfId="0" applyNumberFormat="1" applyFont="1" applyFill="1" applyBorder="1" applyAlignment="1">
      <alignment horizontal="right"/>
    </xf>
    <xf numFmtId="0" fontId="7" fillId="4" borderId="0" xfId="0" applyFont="1" applyFill="1" applyAlignment="1">
      <alignment horizontal="center"/>
    </xf>
    <xf numFmtId="0" fontId="6" fillId="4" borderId="4" xfId="48" applyFont="1" applyFill="1" applyBorder="1" applyAlignment="1">
      <alignment horizontal="center" vertical="center" wrapText="1"/>
    </xf>
    <xf numFmtId="0" fontId="6" fillId="4" borderId="4" xfId="48" applyFont="1" applyFill="1" applyBorder="1" applyAlignment="1">
      <alignment horizontal="center" vertical="center"/>
    </xf>
    <xf numFmtId="167" fontId="7" fillId="0" borderId="11" xfId="0" applyNumberFormat="1" applyFont="1" applyBorder="1" applyAlignment="1">
      <alignment horizontal="center" vertical="center" wrapText="1"/>
    </xf>
    <xf numFmtId="167" fontId="7" fillId="0" borderId="11" xfId="0" applyNumberFormat="1" applyFont="1" applyBorder="1" applyAlignment="1">
      <alignment horizontal="center" vertical="top" wrapText="1"/>
    </xf>
    <xf numFmtId="167" fontId="7" fillId="4" borderId="11" xfId="0" applyNumberFormat="1" applyFont="1" applyFill="1" applyBorder="1" applyAlignment="1">
      <alignment horizontal="center" vertical="top" wrapText="1"/>
    </xf>
    <xf numFmtId="167" fontId="7" fillId="4" borderId="24" xfId="0" applyNumberFormat="1" applyFont="1" applyFill="1" applyBorder="1" applyAlignment="1">
      <alignment vertical="top" wrapText="1"/>
    </xf>
    <xf numFmtId="167" fontId="7" fillId="4" borderId="24" xfId="0" applyNumberFormat="1" applyFont="1" applyFill="1" applyBorder="1" applyAlignment="1">
      <alignment horizontal="center" vertical="top" wrapText="1"/>
    </xf>
    <xf numFmtId="165" fontId="6" fillId="0" borderId="10" xfId="0" applyNumberFormat="1" applyFont="1" applyBorder="1" applyAlignment="1">
      <alignment horizontal="center" vertical="center" wrapText="1"/>
    </xf>
    <xf numFmtId="165" fontId="6" fillId="4" borderId="10" xfId="0" applyNumberFormat="1" applyFont="1" applyFill="1" applyBorder="1" applyAlignment="1">
      <alignment horizontal="center" vertical="top" wrapText="1"/>
    </xf>
    <xf numFmtId="4" fontId="6" fillId="4" borderId="27" xfId="0" applyNumberFormat="1" applyFont="1" applyFill="1" applyBorder="1" applyAlignment="1">
      <alignment horizontal="right" vertical="center" wrapText="1"/>
    </xf>
    <xf numFmtId="4" fontId="6" fillId="4" borderId="6" xfId="0" applyNumberFormat="1" applyFont="1" applyFill="1" applyBorder="1" applyAlignment="1">
      <alignment horizontal="right" vertical="center" wrapText="1"/>
    </xf>
    <xf numFmtId="4" fontId="7" fillId="4" borderId="6" xfId="0" applyNumberFormat="1" applyFont="1" applyFill="1" applyBorder="1" applyAlignment="1">
      <alignment horizontal="right" vertical="center" wrapText="1"/>
    </xf>
    <xf numFmtId="4" fontId="7" fillId="4" borderId="6" xfId="0" applyNumberFormat="1" applyFont="1" applyFill="1" applyBorder="1"/>
    <xf numFmtId="4" fontId="7" fillId="4" borderId="30" xfId="0" applyNumberFormat="1" applyFont="1" applyFill="1" applyBorder="1" applyAlignment="1">
      <alignment horizontal="right"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xf>
    <xf numFmtId="0" fontId="7" fillId="4" borderId="1" xfId="0" applyFont="1" applyFill="1" applyBorder="1"/>
    <xf numFmtId="4" fontId="7" fillId="4" borderId="1" xfId="0" applyNumberFormat="1" applyFont="1" applyFill="1" applyBorder="1"/>
    <xf numFmtId="165" fontId="7" fillId="4" borderId="1" xfId="0" applyNumberFormat="1" applyFont="1" applyFill="1" applyBorder="1"/>
    <xf numFmtId="0" fontId="7" fillId="0" borderId="16" xfId="0" applyFont="1" applyBorder="1" applyAlignment="1">
      <alignment horizontal="center" vertical="center"/>
    </xf>
    <xf numFmtId="0" fontId="7" fillId="4" borderId="16" xfId="0" applyFont="1" applyFill="1" applyBorder="1" applyAlignment="1">
      <alignment horizontal="center"/>
    </xf>
    <xf numFmtId="0" fontId="7" fillId="4" borderId="16" xfId="0" applyFont="1" applyFill="1" applyBorder="1"/>
    <xf numFmtId="43" fontId="59" fillId="0" borderId="0" xfId="12" applyNumberFormat="1" applyFont="1" applyAlignment="1">
      <alignment vertical="center"/>
    </xf>
    <xf numFmtId="43" fontId="59" fillId="0" borderId="0" xfId="0" applyNumberFormat="1" applyFont="1" applyAlignment="1">
      <alignment vertical="center"/>
    </xf>
    <xf numFmtId="43" fontId="58" fillId="0" borderId="0" xfId="12" applyNumberFormat="1" applyFont="1" applyAlignment="1">
      <alignment vertical="center"/>
    </xf>
    <xf numFmtId="43" fontId="58" fillId="0" borderId="0" xfId="0" applyNumberFormat="1" applyFont="1" applyAlignment="1">
      <alignment vertical="center"/>
    </xf>
    <xf numFmtId="43" fontId="60" fillId="0" borderId="0" xfId="0" applyNumberFormat="1" applyFont="1" applyAlignment="1">
      <alignment vertical="center"/>
    </xf>
    <xf numFmtId="167" fontId="6" fillId="4" borderId="4" xfId="0" applyNumberFormat="1" applyFont="1" applyFill="1" applyBorder="1" applyAlignment="1">
      <alignment horizontal="center" vertical="top" wrapText="1"/>
    </xf>
    <xf numFmtId="0" fontId="6" fillId="4" borderId="4" xfId="0" applyFont="1" applyFill="1" applyBorder="1" applyAlignment="1">
      <alignment horizontal="left" vertical="top" wrapText="1" indent="1"/>
    </xf>
    <xf numFmtId="0" fontId="7" fillId="4" borderId="4" xfId="0" applyFont="1" applyFill="1" applyBorder="1" applyAlignment="1">
      <alignment horizontal="left" vertical="top" wrapText="1" indent="1"/>
    </xf>
    <xf numFmtId="0" fontId="8" fillId="4" borderId="4" xfId="0" applyFont="1" applyFill="1" applyBorder="1" applyAlignment="1">
      <alignment horizontal="left" vertical="top" wrapText="1" indent="1"/>
    </xf>
    <xf numFmtId="0" fontId="8" fillId="4" borderId="1" xfId="95" applyFont="1" applyFill="1" applyBorder="1" applyAlignment="1">
      <alignment horizontal="left" vertical="top" wrapText="1" indent="1"/>
    </xf>
    <xf numFmtId="0" fontId="0" fillId="4" borderId="0" xfId="0" applyFill="1"/>
    <xf numFmtId="0" fontId="8" fillId="0" borderId="4" xfId="0" applyFont="1" applyBorder="1" applyAlignment="1">
      <alignment horizontal="left" vertical="top" wrapText="1"/>
    </xf>
    <xf numFmtId="165" fontId="8" fillId="0" borderId="4" xfId="0" applyNumberFormat="1" applyFont="1" applyBorder="1" applyAlignment="1">
      <alignment horizontal="right" vertical="top" wrapText="1"/>
    </xf>
    <xf numFmtId="165" fontId="8" fillId="0" borderId="4" xfId="0" applyNumberFormat="1" applyFont="1" applyFill="1" applyBorder="1" applyAlignment="1">
      <alignment horizontal="right" vertical="center" wrapText="1"/>
    </xf>
    <xf numFmtId="165" fontId="98" fillId="0" borderId="4" xfId="0" applyNumberFormat="1" applyFont="1" applyBorder="1" applyAlignment="1">
      <alignment horizontal="right"/>
    </xf>
    <xf numFmtId="165" fontId="8" fillId="0" borderId="4" xfId="12" applyNumberFormat="1" applyFont="1" applyFill="1" applyBorder="1" applyAlignment="1">
      <alignment horizontal="right" vertical="center" wrapText="1"/>
    </xf>
    <xf numFmtId="165" fontId="65" fillId="0" borderId="0" xfId="0" applyNumberFormat="1" applyFont="1"/>
    <xf numFmtId="0" fontId="9" fillId="4" borderId="1" xfId="95" applyFont="1" applyFill="1" applyBorder="1" applyAlignment="1">
      <alignment horizontal="center" vertical="center" wrapText="1"/>
    </xf>
    <xf numFmtId="0" fontId="9" fillId="0" borderId="1" xfId="95" applyFont="1" applyBorder="1" applyAlignment="1">
      <alignment vertical="top" wrapText="1"/>
    </xf>
    <xf numFmtId="0" fontId="7" fillId="4" borderId="1" xfId="95" applyFont="1" applyFill="1" applyBorder="1" applyAlignment="1">
      <alignment horizontal="left" vertical="top" wrapText="1" indent="1"/>
    </xf>
    <xf numFmtId="43" fontId="7" fillId="0" borderId="15" xfId="96" applyFont="1" applyFill="1" applyBorder="1" applyAlignment="1">
      <alignment horizontal="right" vertical="center" wrapText="1"/>
    </xf>
    <xf numFmtId="0" fontId="4" fillId="0" borderId="0" xfId="95" applyFont="1"/>
    <xf numFmtId="2" fontId="8" fillId="0" borderId="4" xfId="0" applyNumberFormat="1" applyFont="1" applyBorder="1" applyAlignment="1">
      <alignment horizontal="left" vertical="top" wrapText="1"/>
    </xf>
    <xf numFmtId="165" fontId="8" fillId="0" borderId="4" xfId="0" applyNumberFormat="1" applyFont="1" applyFill="1" applyBorder="1" applyAlignment="1">
      <alignment horizontal="right" vertical="center"/>
    </xf>
    <xf numFmtId="165" fontId="8" fillId="0" borderId="4" xfId="0" applyNumberFormat="1" applyFont="1" applyBorder="1" applyAlignment="1">
      <alignment horizontal="right" vertical="center"/>
    </xf>
    <xf numFmtId="165" fontId="7" fillId="4" borderId="4" xfId="0" applyNumberFormat="1" applyFont="1" applyFill="1" applyBorder="1" applyAlignment="1">
      <alignment horizontal="right" vertical="top" wrapText="1"/>
    </xf>
    <xf numFmtId="165" fontId="0" fillId="4" borderId="0" xfId="0" applyNumberFormat="1" applyFill="1"/>
    <xf numFmtId="0" fontId="12" fillId="4" borderId="4" xfId="48" applyFont="1" applyFill="1" applyBorder="1" applyAlignment="1">
      <alignment horizontal="center" vertical="center" wrapText="1"/>
    </xf>
    <xf numFmtId="0" fontId="12" fillId="4" borderId="4" xfId="48" applyFont="1" applyFill="1" applyBorder="1" applyAlignment="1">
      <alignment horizontal="center" vertical="center"/>
    </xf>
    <xf numFmtId="167" fontId="6" fillId="4" borderId="4" xfId="0" applyNumberFormat="1" applyFont="1" applyFill="1" applyBorder="1" applyAlignment="1">
      <alignment horizontal="left" vertical="top" wrapText="1" indent="1"/>
    </xf>
    <xf numFmtId="165" fontId="12" fillId="4" borderId="4" xfId="0" applyNumberFormat="1" applyFont="1" applyFill="1" applyBorder="1" applyAlignment="1">
      <alignment horizontal="right" vertical="top" wrapText="1"/>
    </xf>
    <xf numFmtId="0" fontId="22" fillId="4" borderId="0" xfId="0" applyFont="1" applyFill="1"/>
    <xf numFmtId="0" fontId="6" fillId="4" borderId="4" xfId="0" applyFont="1" applyFill="1" applyBorder="1" applyAlignment="1">
      <alignment horizontal="left" vertical="top" wrapText="1"/>
    </xf>
    <xf numFmtId="0" fontId="6" fillId="4" borderId="4" xfId="0" applyFont="1" applyFill="1" applyBorder="1" applyAlignment="1">
      <alignment vertical="top" wrapText="1"/>
    </xf>
    <xf numFmtId="0" fontId="7" fillId="4" borderId="4" xfId="0" applyFont="1" applyFill="1" applyBorder="1" applyAlignment="1">
      <alignment horizontal="left" vertical="top" wrapText="1"/>
    </xf>
    <xf numFmtId="0" fontId="7" fillId="4" borderId="4" xfId="0" applyFont="1" applyFill="1" applyBorder="1" applyAlignment="1">
      <alignment vertical="top" wrapText="1"/>
    </xf>
    <xf numFmtId="165" fontId="9" fillId="4" borderId="4" xfId="0" applyNumberFormat="1" applyFont="1" applyFill="1" applyBorder="1" applyAlignment="1">
      <alignment horizontal="right" vertical="center" wrapText="1"/>
    </xf>
    <xf numFmtId="165" fontId="9" fillId="4" borderId="4" xfId="0" applyNumberFormat="1" applyFont="1" applyFill="1" applyBorder="1" applyAlignment="1">
      <alignment horizontal="right" vertical="center"/>
    </xf>
    <xf numFmtId="165" fontId="23" fillId="4" borderId="4" xfId="0" applyNumberFormat="1" applyFont="1" applyFill="1" applyBorder="1" applyAlignment="1">
      <alignment horizontal="right"/>
    </xf>
    <xf numFmtId="0" fontId="8" fillId="4" borderId="4" xfId="0" applyFont="1" applyFill="1" applyBorder="1" applyAlignment="1">
      <alignment vertical="top" wrapText="1"/>
    </xf>
    <xf numFmtId="2" fontId="0" fillId="4" borderId="0" xfId="0" applyNumberFormat="1" applyFill="1"/>
    <xf numFmtId="165" fontId="9" fillId="4" borderId="4" xfId="0" applyNumberFormat="1" applyFont="1" applyFill="1" applyBorder="1" applyAlignment="1">
      <alignment horizontal="right" vertical="top" wrapText="1"/>
    </xf>
    <xf numFmtId="165" fontId="9" fillId="4" borderId="4" xfId="12" applyNumberFormat="1" applyFont="1" applyFill="1" applyBorder="1" applyAlignment="1">
      <alignment horizontal="right" vertical="center" wrapText="1"/>
    </xf>
    <xf numFmtId="0" fontId="13" fillId="4" borderId="1" xfId="95" applyFont="1" applyFill="1" applyBorder="1" applyAlignment="1">
      <alignment vertical="top" wrapText="1"/>
    </xf>
    <xf numFmtId="43" fontId="66" fillId="4" borderId="1" xfId="12" applyFont="1" applyFill="1" applyBorder="1" applyAlignment="1">
      <alignment horizontal="right" vertical="center" wrapText="1"/>
    </xf>
    <xf numFmtId="43" fontId="13" fillId="4" borderId="1" xfId="12" applyFont="1" applyFill="1" applyBorder="1" applyAlignment="1">
      <alignment horizontal="right" vertical="center" wrapText="1"/>
    </xf>
    <xf numFmtId="43" fontId="8" fillId="4" borderId="15" xfId="96" applyFont="1" applyFill="1" applyBorder="1" applyAlignment="1">
      <alignment horizontal="right" vertical="center" wrapText="1"/>
    </xf>
    <xf numFmtId="0" fontId="65" fillId="4" borderId="0" xfId="95" applyFont="1" applyFill="1"/>
    <xf numFmtId="2" fontId="7" fillId="4" borderId="4" xfId="0" applyNumberFormat="1" applyFont="1" applyFill="1" applyBorder="1" applyAlignment="1">
      <alignment horizontal="left" vertical="top" wrapText="1"/>
    </xf>
    <xf numFmtId="165" fontId="23" fillId="4" borderId="4" xfId="0" applyNumberFormat="1" applyFont="1" applyFill="1" applyBorder="1" applyAlignment="1">
      <alignment horizontal="right" vertical="center"/>
    </xf>
    <xf numFmtId="165" fontId="9" fillId="4" borderId="4" xfId="15" applyNumberFormat="1" applyFont="1" applyFill="1" applyBorder="1" applyAlignment="1">
      <alignment horizontal="right" wrapText="1"/>
    </xf>
    <xf numFmtId="165" fontId="12" fillId="4" borderId="4" xfId="0" applyNumberFormat="1" applyFont="1" applyFill="1" applyBorder="1" applyAlignment="1">
      <alignment horizontal="right" vertical="center" wrapText="1"/>
    </xf>
    <xf numFmtId="0" fontId="9" fillId="4" borderId="1" xfId="95" applyFont="1" applyFill="1" applyBorder="1" applyAlignment="1">
      <alignment vertical="top" wrapText="1"/>
    </xf>
    <xf numFmtId="43" fontId="78" fillId="4" borderId="1" xfId="12" applyFont="1" applyFill="1" applyBorder="1" applyAlignment="1">
      <alignment horizontal="right" vertical="center" wrapText="1"/>
    </xf>
    <xf numFmtId="43" fontId="9" fillId="4" borderId="1" xfId="12" applyFont="1" applyFill="1" applyBorder="1" applyAlignment="1">
      <alignment horizontal="right" vertical="center" wrapText="1"/>
    </xf>
    <xf numFmtId="43" fontId="7" fillId="4" borderId="15" xfId="96" applyFont="1" applyFill="1" applyBorder="1" applyAlignment="1">
      <alignment horizontal="right" vertical="center" wrapText="1"/>
    </xf>
    <xf numFmtId="0" fontId="4" fillId="4" borderId="0" xfId="95" applyFont="1" applyFill="1"/>
    <xf numFmtId="2" fontId="8" fillId="4" borderId="4" xfId="0" applyNumberFormat="1" applyFont="1" applyFill="1" applyBorder="1" applyAlignment="1">
      <alignment horizontal="left" vertical="top" wrapText="1"/>
    </xf>
    <xf numFmtId="165" fontId="13" fillId="4" borderId="4" xfId="0" applyNumberFormat="1" applyFont="1" applyFill="1" applyBorder="1" applyAlignment="1">
      <alignment horizontal="right" vertical="top" wrapText="1"/>
    </xf>
    <xf numFmtId="165" fontId="13" fillId="4" borderId="4" xfId="0" applyNumberFormat="1" applyFont="1" applyFill="1" applyBorder="1" applyAlignment="1">
      <alignment horizontal="right" vertical="center" wrapText="1"/>
    </xf>
    <xf numFmtId="0" fontId="65" fillId="4" borderId="0" xfId="0" applyFont="1" applyFill="1"/>
    <xf numFmtId="0" fontId="8" fillId="4" borderId="4" xfId="0" applyFont="1" applyFill="1" applyBorder="1" applyAlignment="1">
      <alignment horizontal="left" vertical="top" wrapText="1"/>
    </xf>
    <xf numFmtId="165" fontId="13" fillId="4" borderId="4" xfId="0" applyNumberFormat="1" applyFont="1" applyFill="1" applyBorder="1" applyAlignment="1">
      <alignment horizontal="right" vertical="center"/>
    </xf>
    <xf numFmtId="165" fontId="13" fillId="4" borderId="4" xfId="12" applyNumberFormat="1" applyFont="1" applyFill="1" applyBorder="1" applyAlignment="1">
      <alignment horizontal="right" vertical="center" wrapText="1"/>
    </xf>
    <xf numFmtId="165" fontId="96" fillId="0" borderId="4" xfId="0" applyNumberFormat="1" applyFont="1" applyBorder="1" applyAlignment="1">
      <alignment horizontal="right"/>
    </xf>
    <xf numFmtId="2" fontId="22" fillId="0" borderId="0" xfId="0" applyNumberFormat="1" applyFont="1"/>
    <xf numFmtId="4" fontId="6" fillId="0" borderId="4" xfId="12" applyNumberFormat="1" applyFont="1" applyBorder="1" applyAlignment="1">
      <alignment horizontal="right" vertical="center" wrapText="1"/>
    </xf>
    <xf numFmtId="4" fontId="7" fillId="0" borderId="4" xfId="12" applyNumberFormat="1" applyFont="1" applyBorder="1" applyAlignment="1">
      <alignment horizontal="right" vertical="center" wrapText="1"/>
    </xf>
    <xf numFmtId="4" fontId="6" fillId="0" borderId="4" xfId="12" applyNumberFormat="1" applyFont="1" applyBorder="1" applyAlignment="1">
      <alignment horizontal="right" vertical="center"/>
    </xf>
    <xf numFmtId="0" fontId="6"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4" fontId="7" fillId="0" borderId="4" xfId="12" applyNumberFormat="1" applyFont="1" applyBorder="1" applyAlignment="1">
      <alignment horizontal="right" vertical="center"/>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4" fontId="8" fillId="0" borderId="4" xfId="12" applyNumberFormat="1" applyFont="1" applyBorder="1" applyAlignment="1">
      <alignment horizontal="right" vertical="center"/>
    </xf>
    <xf numFmtId="0" fontId="7" fillId="4"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0" borderId="4" xfId="0" applyFont="1" applyBorder="1"/>
    <xf numFmtId="0" fontId="6" fillId="0" borderId="4" xfId="0" applyFont="1" applyBorder="1"/>
    <xf numFmtId="0" fontId="7" fillId="0" borderId="4" xfId="0" applyFont="1" applyBorder="1" applyAlignment="1">
      <alignment horizontal="center"/>
    </xf>
    <xf numFmtId="0" fontId="6" fillId="0" borderId="4" xfId="0" applyFont="1" applyBorder="1" applyAlignment="1">
      <alignment horizontal="center"/>
    </xf>
    <xf numFmtId="0" fontId="4" fillId="0" borderId="0" xfId="0" applyFont="1" applyAlignment="1">
      <alignment horizontal="center"/>
    </xf>
    <xf numFmtId="4" fontId="8" fillId="0" borderId="4" xfId="12" applyNumberFormat="1" applyFont="1" applyBorder="1" applyAlignment="1">
      <alignment horizontal="right" vertical="center" wrapText="1"/>
    </xf>
    <xf numFmtId="2" fontId="65" fillId="0" borderId="0" xfId="0" applyNumberFormat="1" applyFont="1"/>
    <xf numFmtId="4" fontId="76" fillId="0" borderId="0" xfId="0" applyNumberFormat="1" applyFont="1"/>
    <xf numFmtId="43" fontId="13" fillId="0" borderId="8" xfId="12" applyFont="1" applyBorder="1" applyAlignment="1">
      <alignment horizontal="right" vertical="center" wrapText="1"/>
    </xf>
    <xf numFmtId="167" fontId="7" fillId="0" borderId="6" xfId="0" applyNumberFormat="1" applyFont="1" applyBorder="1" applyAlignment="1">
      <alignment horizontal="center" vertical="center" wrapText="1"/>
    </xf>
    <xf numFmtId="2" fontId="7" fillId="0" borderId="1" xfId="0" applyNumberFormat="1" applyFont="1" applyBorder="1"/>
    <xf numFmtId="43" fontId="12" fillId="0" borderId="28" xfId="12" applyFont="1" applyBorder="1" applyAlignment="1">
      <alignment horizontal="right" vertical="center" wrapText="1"/>
    </xf>
    <xf numFmtId="0" fontId="7" fillId="0" borderId="0" xfId="0" applyFont="1" applyAlignment="1">
      <alignment horizontal="center"/>
    </xf>
    <xf numFmtId="0" fontId="7" fillId="0" borderId="1" xfId="0" applyFont="1" applyBorder="1" applyAlignment="1">
      <alignment horizontal="center"/>
    </xf>
    <xf numFmtId="0" fontId="6" fillId="0" borderId="16" xfId="0" applyFont="1" applyBorder="1" applyAlignment="1">
      <alignment horizontal="center"/>
    </xf>
    <xf numFmtId="43" fontId="6" fillId="4" borderId="1" xfId="12" applyFont="1" applyFill="1" applyBorder="1" applyAlignment="1">
      <alignment horizontal="right" vertical="center" wrapText="1"/>
    </xf>
    <xf numFmtId="0" fontId="7" fillId="4" borderId="1" xfId="32" applyFont="1" applyFill="1" applyBorder="1" applyAlignment="1">
      <alignment vertical="top" wrapText="1"/>
    </xf>
    <xf numFmtId="0" fontId="14" fillId="4" borderId="0" xfId="32" applyFont="1" applyFill="1" applyBorder="1"/>
    <xf numFmtId="0" fontId="14" fillId="4" borderId="0" xfId="32" applyFont="1" applyFill="1"/>
    <xf numFmtId="0" fontId="8" fillId="4" borderId="1" xfId="32" applyFont="1" applyFill="1" applyBorder="1" applyAlignment="1">
      <alignment horizontal="center" vertical="center" wrapText="1"/>
    </xf>
    <xf numFmtId="0" fontId="4" fillId="4" borderId="0" xfId="95" applyFont="1" applyFill="1" applyBorder="1" applyAlignment="1">
      <alignment horizontal="center" vertical="center"/>
    </xf>
    <xf numFmtId="0" fontId="12" fillId="4" borderId="13" xfId="95" applyFont="1" applyFill="1" applyBorder="1" applyAlignment="1">
      <alignment vertical="center" wrapText="1"/>
    </xf>
    <xf numFmtId="0" fontId="12" fillId="4" borderId="18" xfId="95" applyFont="1" applyFill="1" applyBorder="1" applyAlignment="1">
      <alignment horizontal="center" vertical="center" wrapText="1"/>
    </xf>
    <xf numFmtId="4" fontId="12" fillId="4" borderId="18" xfId="12" applyNumberFormat="1" applyFont="1" applyFill="1" applyBorder="1" applyAlignment="1">
      <alignment horizontal="right" vertical="center" wrapText="1"/>
    </xf>
    <xf numFmtId="4" fontId="12" fillId="4" borderId="18" xfId="12" applyNumberFormat="1" applyFont="1" applyFill="1" applyBorder="1" applyAlignment="1">
      <alignment horizontal="right" vertical="center"/>
    </xf>
    <xf numFmtId="4" fontId="22" fillId="4" borderId="0" xfId="95" applyNumberFormat="1" applyFont="1" applyFill="1"/>
    <xf numFmtId="0" fontId="22" fillId="4" borderId="0" xfId="95" applyFont="1" applyFill="1"/>
    <xf numFmtId="0" fontId="22" fillId="0" borderId="0" xfId="95" applyFont="1"/>
    <xf numFmtId="0" fontId="12" fillId="4" borderId="1" xfId="95" applyFont="1" applyFill="1" applyBorder="1" applyAlignment="1">
      <alignment horizontal="center" vertical="center" wrapText="1"/>
    </xf>
    <xf numFmtId="0" fontId="12" fillId="4" borderId="1" xfId="95" applyFont="1" applyFill="1" applyBorder="1" applyAlignment="1">
      <alignment horizontal="left" vertical="center" wrapText="1"/>
    </xf>
    <xf numFmtId="4" fontId="12" fillId="4" borderId="1" xfId="12" applyNumberFormat="1" applyFont="1" applyFill="1" applyBorder="1" applyAlignment="1">
      <alignment horizontal="right" vertical="center" wrapText="1"/>
    </xf>
    <xf numFmtId="4" fontId="12" fillId="4" borderId="1" xfId="12" applyNumberFormat="1" applyFont="1" applyFill="1" applyBorder="1" applyAlignment="1">
      <alignment horizontal="right" vertical="center"/>
    </xf>
    <xf numFmtId="4" fontId="9" fillId="4" borderId="1" xfId="12" applyNumberFormat="1" applyFont="1" applyFill="1" applyBorder="1" applyAlignment="1">
      <alignment horizontal="right" vertical="center" wrapText="1"/>
    </xf>
    <xf numFmtId="4" fontId="9" fillId="4" borderId="1" xfId="12" applyNumberFormat="1" applyFont="1" applyFill="1" applyBorder="1" applyAlignment="1">
      <alignment horizontal="right" vertical="center"/>
    </xf>
    <xf numFmtId="4" fontId="13" fillId="4" borderId="1" xfId="12" applyNumberFormat="1" applyFont="1" applyFill="1" applyBorder="1" applyAlignment="1">
      <alignment horizontal="right" vertical="center" wrapText="1"/>
    </xf>
    <xf numFmtId="4" fontId="13" fillId="4" borderId="1" xfId="12" applyNumberFormat="1" applyFont="1" applyFill="1" applyBorder="1" applyAlignment="1">
      <alignment horizontal="right" vertical="center"/>
    </xf>
    <xf numFmtId="4" fontId="4" fillId="4" borderId="0" xfId="95" applyNumberFormat="1" applyFont="1" applyFill="1"/>
    <xf numFmtId="0" fontId="6" fillId="6" borderId="4" xfId="0" applyFont="1" applyFill="1" applyBorder="1" applyAlignment="1">
      <alignment horizontal="center" vertical="center" wrapText="1"/>
    </xf>
    <xf numFmtId="0" fontId="4" fillId="0" borderId="0" xfId="0" applyFont="1" applyBorder="1" applyAlignment="1">
      <alignment horizontal="center" vertical="center"/>
    </xf>
    <xf numFmtId="0" fontId="6" fillId="0" borderId="4" xfId="0" applyFont="1" applyBorder="1" applyAlignment="1">
      <alignment horizontal="center" vertical="center" wrapText="1"/>
    </xf>
    <xf numFmtId="2" fontId="7" fillId="0" borderId="4" xfId="0" applyNumberFormat="1" applyFont="1" applyBorder="1"/>
    <xf numFmtId="0" fontId="6" fillId="0" borderId="4" xfId="0" applyFont="1" applyBorder="1" applyAlignment="1">
      <alignment horizontal="center" vertical="center"/>
    </xf>
    <xf numFmtId="3" fontId="99" fillId="4" borderId="4" xfId="80" applyNumberFormat="1" applyFont="1" applyFill="1" applyBorder="1" applyAlignment="1">
      <alignment horizontal="center" vertical="center" wrapText="1"/>
    </xf>
    <xf numFmtId="3" fontId="101" fillId="4" borderId="4" xfId="80" applyNumberFormat="1" applyFont="1" applyFill="1" applyBorder="1" applyAlignment="1">
      <alignment horizontal="center" vertical="center" wrapText="1"/>
    </xf>
    <xf numFmtId="0" fontId="100" fillId="4" borderId="0" xfId="0" applyFont="1" applyFill="1" applyBorder="1" applyAlignment="1">
      <alignment horizontal="center" vertical="center" wrapText="1"/>
    </xf>
    <xf numFmtId="43" fontId="14" fillId="4" borderId="0" xfId="32" applyNumberFormat="1" applyFont="1" applyFill="1"/>
    <xf numFmtId="0" fontId="7" fillId="4" borderId="0" xfId="32" applyFont="1" applyFill="1"/>
    <xf numFmtId="0" fontId="6" fillId="4" borderId="17" xfId="48" applyFont="1" applyFill="1" applyBorder="1" applyAlignment="1">
      <alignment horizontal="center" vertical="center" wrapText="1"/>
    </xf>
    <xf numFmtId="0" fontId="6" fillId="4" borderId="17" xfId="48" applyFont="1" applyFill="1" applyBorder="1" applyAlignment="1">
      <alignment horizontal="center" vertical="center"/>
    </xf>
    <xf numFmtId="0" fontId="6" fillId="4" borderId="15" xfId="48" applyFont="1" applyFill="1" applyBorder="1" applyAlignment="1">
      <alignment horizontal="center" vertical="center"/>
    </xf>
    <xf numFmtId="167" fontId="7" fillId="4" borderId="25" xfId="32" applyNumberFormat="1" applyFont="1" applyFill="1" applyBorder="1" applyAlignment="1">
      <alignment horizontal="center" vertical="center" wrapText="1"/>
    </xf>
    <xf numFmtId="165" fontId="7" fillId="4" borderId="15" xfId="32" applyNumberFormat="1" applyFont="1" applyFill="1" applyBorder="1" applyAlignment="1">
      <alignment horizontal="center" vertical="center" wrapText="1"/>
    </xf>
    <xf numFmtId="0" fontId="14" fillId="4" borderId="0" xfId="32" applyFont="1" applyFill="1" applyBorder="1" applyAlignment="1">
      <alignment horizontal="center" vertical="center"/>
    </xf>
    <xf numFmtId="0" fontId="14" fillId="4" borderId="0" xfId="32" applyFont="1" applyFill="1" applyAlignment="1">
      <alignment horizontal="center" vertical="center"/>
    </xf>
    <xf numFmtId="167" fontId="7" fillId="4" borderId="1" xfId="32" applyNumberFormat="1" applyFont="1" applyFill="1" applyBorder="1" applyAlignment="1">
      <alignment horizontal="center" vertical="center" wrapText="1"/>
    </xf>
    <xf numFmtId="167" fontId="7" fillId="4" borderId="1" xfId="32" applyNumberFormat="1" applyFont="1" applyFill="1" applyBorder="1" applyAlignment="1">
      <alignment horizontal="right" vertical="center" wrapText="1"/>
    </xf>
    <xf numFmtId="165" fontId="7" fillId="4" borderId="1" xfId="32" applyNumberFormat="1" applyFont="1" applyFill="1" applyBorder="1" applyAlignment="1">
      <alignment horizontal="right" vertical="center" wrapText="1"/>
    </xf>
    <xf numFmtId="165" fontId="7" fillId="4" borderId="15" xfId="32" applyNumberFormat="1" applyFont="1" applyFill="1" applyBorder="1" applyAlignment="1">
      <alignment horizontal="right" vertical="center" wrapText="1"/>
    </xf>
    <xf numFmtId="0" fontId="14" fillId="4" borderId="0" xfId="32" applyFont="1" applyFill="1" applyBorder="1" applyAlignment="1">
      <alignment horizontal="right" vertical="center"/>
    </xf>
    <xf numFmtId="0" fontId="14" fillId="4" borderId="0" xfId="32" applyFont="1" applyFill="1" applyAlignment="1">
      <alignment horizontal="right" vertical="center"/>
    </xf>
    <xf numFmtId="0" fontId="6" fillId="4" borderId="1" xfId="32" applyFont="1" applyFill="1" applyBorder="1" applyAlignment="1">
      <alignment horizontal="center" vertical="center" wrapText="1"/>
    </xf>
    <xf numFmtId="0" fontId="6" fillId="4" borderId="1" xfId="32" applyFont="1" applyFill="1" applyBorder="1" applyAlignment="1">
      <alignment vertical="top" wrapText="1"/>
    </xf>
    <xf numFmtId="0" fontId="6" fillId="4" borderId="1" xfId="32" applyFont="1" applyFill="1" applyBorder="1" applyAlignment="1">
      <alignment horizontal="left" vertical="top" wrapText="1" indent="1"/>
    </xf>
    <xf numFmtId="0" fontId="7" fillId="4" borderId="1" xfId="32" applyFont="1" applyFill="1" applyBorder="1" applyAlignment="1">
      <alignment horizontal="center" vertical="center" wrapText="1"/>
    </xf>
    <xf numFmtId="43" fontId="7" fillId="4" borderId="1" xfId="12" applyFont="1" applyFill="1" applyBorder="1" applyAlignment="1">
      <alignment horizontal="right" vertical="center" wrapText="1"/>
    </xf>
    <xf numFmtId="43" fontId="14" fillId="4" borderId="0" xfId="32" applyNumberFormat="1" applyFont="1" applyFill="1" applyBorder="1"/>
    <xf numFmtId="0" fontId="8" fillId="4" borderId="1" xfId="32" applyFont="1" applyFill="1" applyBorder="1" applyAlignment="1">
      <alignment vertical="top" wrapText="1"/>
    </xf>
    <xf numFmtId="0" fontId="8" fillId="4" borderId="1" xfId="32" applyFont="1" applyFill="1" applyBorder="1" applyAlignment="1">
      <alignment horizontal="left" vertical="top" wrapText="1" indent="1"/>
    </xf>
    <xf numFmtId="2" fontId="14" fillId="4" borderId="0" xfId="32" applyNumberFormat="1" applyFont="1" applyFill="1" applyBorder="1"/>
    <xf numFmtId="43" fontId="8" fillId="4" borderId="1" xfId="12" applyFont="1" applyFill="1" applyBorder="1" applyAlignment="1">
      <alignment horizontal="right" vertical="center" wrapText="1"/>
    </xf>
    <xf numFmtId="43" fontId="8" fillId="4" borderId="15" xfId="16" applyFont="1" applyFill="1" applyBorder="1" applyAlignment="1">
      <alignment horizontal="right" vertical="center" wrapText="1"/>
    </xf>
    <xf numFmtId="2" fontId="98" fillId="4" borderId="0" xfId="32" applyNumberFormat="1" applyFont="1" applyFill="1" applyBorder="1"/>
    <xf numFmtId="0" fontId="98" fillId="4" borderId="0" xfId="32" applyFont="1" applyFill="1"/>
    <xf numFmtId="0" fontId="98" fillId="4" borderId="0" xfId="32" applyFont="1" applyFill="1" applyBorder="1"/>
    <xf numFmtId="0" fontId="6" fillId="4" borderId="16" xfId="32" applyFont="1" applyFill="1" applyBorder="1" applyAlignment="1">
      <alignment horizontal="center" vertical="center" wrapText="1"/>
    </xf>
    <xf numFmtId="0" fontId="6" fillId="4" borderId="16" xfId="32" applyFont="1" applyFill="1" applyBorder="1" applyAlignment="1">
      <alignment vertical="top" wrapText="1"/>
    </xf>
    <xf numFmtId="0" fontId="6" fillId="4" borderId="16" xfId="32" applyFont="1" applyFill="1" applyBorder="1" applyAlignment="1">
      <alignment horizontal="left" vertical="top" wrapText="1" indent="1"/>
    </xf>
    <xf numFmtId="43" fontId="6" fillId="4" borderId="16" xfId="12" applyFont="1" applyFill="1" applyBorder="1" applyAlignment="1">
      <alignment horizontal="right" vertical="center" wrapText="1"/>
    </xf>
    <xf numFmtId="2" fontId="14" fillId="4" borderId="0" xfId="32" applyNumberFormat="1" applyFont="1" applyFill="1"/>
    <xf numFmtId="43" fontId="7" fillId="4" borderId="0" xfId="12" applyFont="1" applyFill="1" applyBorder="1" applyAlignment="1">
      <alignment horizontal="right" vertical="center" wrapText="1"/>
    </xf>
    <xf numFmtId="180" fontId="7" fillId="4" borderId="0" xfId="12" applyNumberFormat="1" applyFont="1" applyFill="1" applyBorder="1" applyAlignment="1">
      <alignment horizontal="right" vertical="center" wrapText="1"/>
    </xf>
    <xf numFmtId="0" fontId="5" fillId="4" borderId="0" xfId="0" applyFont="1" applyFill="1" applyAlignment="1">
      <alignment horizontal="center" vertical="center"/>
    </xf>
    <xf numFmtId="4" fontId="7" fillId="4" borderId="44" xfId="0" applyNumberFormat="1" applyFont="1" applyFill="1" applyBorder="1" applyAlignment="1">
      <alignment horizontal="right" vertical="center" wrapText="1"/>
    </xf>
    <xf numFmtId="2" fontId="6" fillId="0" borderId="4" xfId="0" applyNumberFormat="1" applyFont="1" applyBorder="1"/>
    <xf numFmtId="2" fontId="6" fillId="0" borderId="42" xfId="0" applyNumberFormat="1" applyFont="1" applyBorder="1" applyAlignment="1">
      <alignment horizontal="right" vertical="center" wrapText="1"/>
    </xf>
    <xf numFmtId="4" fontId="102" fillId="0" borderId="0" xfId="95" applyNumberFormat="1" applyFont="1" applyFill="1"/>
    <xf numFmtId="4" fontId="103" fillId="0" borderId="0" xfId="95" applyNumberFormat="1" applyFont="1" applyFill="1"/>
    <xf numFmtId="4" fontId="102" fillId="4" borderId="0" xfId="95" applyNumberFormat="1" applyFont="1" applyFill="1"/>
    <xf numFmtId="4" fontId="102" fillId="0" borderId="0" xfId="95" applyNumberFormat="1" applyFont="1"/>
    <xf numFmtId="4" fontId="103" fillId="4" borderId="0" xfId="95" applyNumberFormat="1" applyFont="1" applyFill="1"/>
    <xf numFmtId="4" fontId="103" fillId="0" borderId="0" xfId="95" applyNumberFormat="1" applyFont="1"/>
    <xf numFmtId="4" fontId="71" fillId="6" borderId="4" xfId="95" applyNumberFormat="1" applyFont="1" applyFill="1" applyBorder="1" applyAlignment="1">
      <alignment horizontal="justify" vertical="center" wrapText="1"/>
    </xf>
    <xf numFmtId="4" fontId="71" fillId="4" borderId="4" xfId="95" applyNumberFormat="1" applyFont="1" applyFill="1" applyBorder="1" applyAlignment="1">
      <alignment horizontal="center" vertical="center" wrapText="1"/>
    </xf>
    <xf numFmtId="4" fontId="104" fillId="6" borderId="4" xfId="95" applyNumberFormat="1" applyFont="1" applyFill="1" applyBorder="1" applyAlignment="1">
      <alignment horizontal="center" vertical="center" wrapText="1"/>
    </xf>
    <xf numFmtId="4" fontId="104" fillId="6" borderId="4" xfId="95" applyNumberFormat="1" applyFont="1" applyFill="1" applyBorder="1" applyAlignment="1">
      <alignment horizontal="justify" vertical="center" wrapText="1"/>
    </xf>
    <xf numFmtId="4" fontId="71" fillId="5" borderId="4" xfId="95" applyNumberFormat="1" applyFont="1" applyFill="1" applyBorder="1" applyAlignment="1">
      <alignment horizontal="right" vertical="center" wrapText="1"/>
    </xf>
    <xf numFmtId="4" fontId="71" fillId="6" borderId="4" xfId="95" applyNumberFormat="1" applyFont="1" applyFill="1" applyBorder="1" applyAlignment="1">
      <alignment horizontal="right" vertical="center" wrapText="1"/>
    </xf>
    <xf numFmtId="4" fontId="71" fillId="4" borderId="4" xfId="95" applyNumberFormat="1" applyFont="1" applyFill="1" applyBorder="1" applyAlignment="1">
      <alignment horizontal="right" vertical="center" wrapText="1"/>
    </xf>
    <xf numFmtId="4" fontId="70" fillId="4" borderId="4" xfId="95" applyNumberFormat="1" applyFont="1" applyFill="1" applyBorder="1" applyAlignment="1">
      <alignment horizontal="right" vertical="center" wrapText="1"/>
    </xf>
    <xf numFmtId="4" fontId="75" fillId="4" borderId="4" xfId="95" applyNumberFormat="1" applyFont="1" applyFill="1" applyBorder="1" applyAlignment="1">
      <alignment horizontal="justify" vertical="center" wrapText="1"/>
    </xf>
    <xf numFmtId="4" fontId="75" fillId="4" borderId="4" xfId="95" applyNumberFormat="1" applyFont="1" applyFill="1" applyBorder="1" applyAlignment="1">
      <alignment horizontal="center" vertical="center" wrapText="1"/>
    </xf>
    <xf numFmtId="4" fontId="75" fillId="4" borderId="4" xfId="95" applyNumberFormat="1" applyFont="1" applyFill="1" applyBorder="1" applyAlignment="1">
      <alignment horizontal="right" vertical="center" wrapText="1"/>
    </xf>
    <xf numFmtId="4" fontId="75" fillId="6" borderId="4" xfId="95" applyNumberFormat="1" applyFont="1" applyFill="1" applyBorder="1" applyAlignment="1">
      <alignment horizontal="center" vertical="center" wrapText="1"/>
    </xf>
    <xf numFmtId="4" fontId="105" fillId="4" borderId="0" xfId="95" applyNumberFormat="1" applyFont="1" applyFill="1"/>
    <xf numFmtId="4" fontId="104" fillId="6" borderId="4" xfId="95" applyNumberFormat="1" applyFont="1" applyFill="1" applyBorder="1" applyAlignment="1">
      <alignment horizontal="right" vertical="center" wrapText="1"/>
    </xf>
    <xf numFmtId="4" fontId="104" fillId="4" borderId="4" xfId="95" applyNumberFormat="1" applyFont="1" applyFill="1" applyBorder="1" applyAlignment="1">
      <alignment horizontal="right" vertical="center" wrapText="1"/>
    </xf>
    <xf numFmtId="4" fontId="106" fillId="0" borderId="0" xfId="95" applyNumberFormat="1" applyFont="1"/>
    <xf numFmtId="4" fontId="71" fillId="0" borderId="4" xfId="95" applyNumberFormat="1" applyFont="1" applyFill="1" applyBorder="1" applyAlignment="1">
      <alignment horizontal="center" vertical="center" wrapText="1"/>
    </xf>
    <xf numFmtId="4" fontId="71" fillId="0" borderId="4" xfId="95" applyNumberFormat="1" applyFont="1" applyFill="1" applyBorder="1" applyAlignment="1">
      <alignment horizontal="justify" vertical="center" wrapText="1"/>
    </xf>
    <xf numFmtId="4" fontId="71" fillId="0" borderId="4" xfId="95" applyNumberFormat="1" applyFont="1" applyFill="1" applyBorder="1" applyAlignment="1">
      <alignment horizontal="right" vertical="center" wrapText="1"/>
    </xf>
    <xf numFmtId="4" fontId="70" fillId="6" borderId="4" xfId="95" applyNumberFormat="1" applyFont="1" applyFill="1" applyBorder="1" applyAlignment="1">
      <alignment horizontal="justify" vertical="center" wrapText="1"/>
    </xf>
    <xf numFmtId="4" fontId="70" fillId="6" borderId="4" xfId="95" applyNumberFormat="1" applyFont="1" applyFill="1" applyBorder="1" applyAlignment="1">
      <alignment horizontal="right" vertical="center" wrapText="1"/>
    </xf>
    <xf numFmtId="4" fontId="102" fillId="0" borderId="0" xfId="95" applyNumberFormat="1" applyFont="1" applyAlignment="1">
      <alignment horizontal="center"/>
    </xf>
    <xf numFmtId="0" fontId="6" fillId="4" borderId="1" xfId="32" applyFont="1" applyFill="1" applyBorder="1" applyAlignment="1">
      <alignment horizontal="center" vertical="center" wrapText="1"/>
    </xf>
    <xf numFmtId="0" fontId="6" fillId="4" borderId="16" xfId="32" applyFont="1" applyFill="1" applyBorder="1" applyAlignment="1">
      <alignment horizontal="center" vertical="center" wrapText="1"/>
    </xf>
    <xf numFmtId="2" fontId="14" fillId="0" borderId="0" xfId="0" applyNumberFormat="1" applyFont="1"/>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165" fontId="107" fillId="0" borderId="0" xfId="0" applyNumberFormat="1" applyFont="1"/>
    <xf numFmtId="43" fontId="22" fillId="0" borderId="0" xfId="0" applyNumberFormat="1" applyFont="1"/>
    <xf numFmtId="165" fontId="54" fillId="0" borderId="0" xfId="0" applyNumberFormat="1" applyFont="1"/>
    <xf numFmtId="165" fontId="67" fillId="0" borderId="0" xfId="0" applyNumberFormat="1" applyFont="1"/>
    <xf numFmtId="43" fontId="76" fillId="0" borderId="0" xfId="0" applyNumberFormat="1" applyFont="1"/>
    <xf numFmtId="43" fontId="4" fillId="0" borderId="0" xfId="0" applyNumberFormat="1" applyFont="1"/>
    <xf numFmtId="0" fontId="7" fillId="0" borderId="1" xfId="95" applyFont="1" applyBorder="1" applyAlignment="1">
      <alignment horizontal="left" vertical="top" wrapText="1" indent="1"/>
    </xf>
    <xf numFmtId="0" fontId="8" fillId="0" borderId="1" xfId="95" applyFont="1" applyFill="1" applyBorder="1" applyAlignment="1">
      <alignment horizontal="left" vertical="top" wrapText="1" indent="1"/>
    </xf>
    <xf numFmtId="0" fontId="8" fillId="0" borderId="1" xfId="95" applyFont="1" applyBorder="1" applyAlignment="1">
      <alignment horizontal="left" vertical="top" wrapText="1" indent="1"/>
    </xf>
    <xf numFmtId="0" fontId="4" fillId="0" borderId="0" xfId="0" applyFont="1" applyAlignment="1">
      <alignment horizontal="right"/>
    </xf>
    <xf numFmtId="165" fontId="4" fillId="0" borderId="0" xfId="0" applyNumberFormat="1" applyFont="1" applyAlignment="1">
      <alignment horizontal="right"/>
    </xf>
    <xf numFmtId="0" fontId="58" fillId="4" borderId="0" xfId="0" applyFont="1" applyFill="1" applyBorder="1" applyAlignment="1">
      <alignment horizontal="left" vertical="center" wrapText="1"/>
    </xf>
    <xf numFmtId="0" fontId="58" fillId="4" borderId="0" xfId="0" applyFont="1" applyFill="1" applyBorder="1" applyAlignment="1">
      <alignment horizontal="center" vertical="center" wrapText="1"/>
    </xf>
    <xf numFmtId="4" fontId="58" fillId="4" borderId="0" xfId="0" applyNumberFormat="1" applyFont="1" applyFill="1" applyBorder="1" applyAlignment="1">
      <alignment horizontal="left" vertical="center" wrapText="1"/>
    </xf>
    <xf numFmtId="0" fontId="58" fillId="4" borderId="0" xfId="0" applyFont="1" applyFill="1" applyBorder="1" applyAlignment="1">
      <alignment vertical="center" wrapText="1"/>
    </xf>
    <xf numFmtId="0" fontId="99" fillId="4" borderId="45" xfId="0" applyFont="1" applyFill="1" applyBorder="1" applyAlignment="1">
      <alignment horizontal="center" wrapText="1"/>
    </xf>
    <xf numFmtId="0" fontId="59" fillId="4" borderId="22" xfId="0" applyFont="1" applyFill="1" applyBorder="1" applyAlignment="1">
      <alignment horizontal="left" wrapText="1"/>
    </xf>
    <xf numFmtId="0" fontId="59" fillId="4" borderId="22" xfId="0" applyFont="1" applyFill="1" applyBorder="1" applyAlignment="1">
      <alignment wrapText="1"/>
    </xf>
    <xf numFmtId="0" fontId="59" fillId="4" borderId="22" xfId="0" applyFont="1" applyFill="1" applyBorder="1" applyAlignment="1">
      <alignment horizontal="center" wrapText="1"/>
    </xf>
    <xf numFmtId="4" fontId="59" fillId="4" borderId="22" xfId="0" applyNumberFormat="1" applyFont="1" applyFill="1" applyBorder="1" applyAlignment="1">
      <alignment wrapText="1"/>
    </xf>
    <xf numFmtId="0" fontId="59" fillId="4" borderId="46" xfId="0" applyFont="1" applyFill="1" applyBorder="1" applyAlignment="1">
      <alignment wrapText="1"/>
    </xf>
    <xf numFmtId="0" fontId="59" fillId="4" borderId="1" xfId="78" applyFont="1" applyFill="1" applyBorder="1" applyAlignment="1">
      <alignment horizontal="center" vertical="center" wrapText="1"/>
    </xf>
    <xf numFmtId="167" fontId="100" fillId="4" borderId="1" xfId="78" applyNumberFormat="1" applyFont="1" applyFill="1" applyBorder="1" applyAlignment="1">
      <alignment horizontal="center" vertical="center" wrapText="1"/>
    </xf>
    <xf numFmtId="167" fontId="58" fillId="4" borderId="1" xfId="78" applyNumberFormat="1" applyFont="1" applyFill="1" applyBorder="1" applyAlignment="1">
      <alignment horizontal="left" vertical="center" wrapText="1"/>
    </xf>
    <xf numFmtId="2" fontId="58" fillId="4" borderId="1" xfId="78" applyNumberFormat="1" applyFont="1" applyFill="1" applyBorder="1" applyAlignment="1">
      <alignment horizontal="center" vertical="center" wrapText="1"/>
    </xf>
    <xf numFmtId="167" fontId="58" fillId="4" borderId="1" xfId="78" applyNumberFormat="1" applyFont="1" applyFill="1" applyBorder="1" applyAlignment="1">
      <alignment horizontal="center" vertical="center" wrapText="1"/>
    </xf>
    <xf numFmtId="4" fontId="58" fillId="4" borderId="1" xfId="78" applyNumberFormat="1" applyFont="1" applyFill="1" applyBorder="1" applyAlignment="1">
      <alignment horizontal="center" vertical="center" wrapText="1"/>
    </xf>
    <xf numFmtId="167" fontId="100" fillId="4" borderId="25" xfId="78" applyNumberFormat="1" applyFont="1" applyFill="1" applyBorder="1" applyAlignment="1">
      <alignment horizontal="center" vertical="center" wrapText="1"/>
    </xf>
    <xf numFmtId="167" fontId="58" fillId="4" borderId="25" xfId="78" applyNumberFormat="1" applyFont="1" applyFill="1" applyBorder="1" applyAlignment="1">
      <alignment horizontal="left" vertical="center" wrapText="1"/>
    </xf>
    <xf numFmtId="167" fontId="58" fillId="4" borderId="25" xfId="78" applyNumberFormat="1" applyFont="1" applyFill="1" applyBorder="1" applyAlignment="1">
      <alignment horizontal="center" vertical="center" wrapText="1"/>
    </xf>
    <xf numFmtId="2" fontId="58" fillId="4" borderId="25" xfId="78" applyNumberFormat="1" applyFont="1" applyFill="1" applyBorder="1" applyAlignment="1">
      <alignment vertical="center" wrapText="1"/>
    </xf>
    <xf numFmtId="167" fontId="58" fillId="4" borderId="25" xfId="78" applyNumberFormat="1" applyFont="1" applyFill="1" applyBorder="1" applyAlignment="1">
      <alignment vertical="center" wrapText="1"/>
    </xf>
    <xf numFmtId="165" fontId="58" fillId="4" borderId="25" xfId="78" applyNumberFormat="1" applyFont="1" applyFill="1" applyBorder="1" applyAlignment="1">
      <alignment vertical="center" wrapText="1"/>
    </xf>
    <xf numFmtId="165" fontId="59" fillId="4" borderId="25" xfId="78" applyNumberFormat="1" applyFont="1" applyFill="1" applyBorder="1" applyAlignment="1">
      <alignment vertical="center" wrapText="1"/>
    </xf>
    <xf numFmtId="166" fontId="59" fillId="4" borderId="25" xfId="78" applyNumberFormat="1" applyFont="1" applyFill="1" applyBorder="1" applyAlignment="1">
      <alignment vertical="center" wrapText="1"/>
    </xf>
    <xf numFmtId="4" fontId="59" fillId="4" borderId="25" xfId="46" applyNumberFormat="1" applyFont="1" applyFill="1" applyBorder="1" applyAlignment="1">
      <alignment vertical="center" wrapText="1"/>
    </xf>
    <xf numFmtId="4" fontId="59" fillId="4" borderId="25" xfId="46" applyNumberFormat="1" applyFont="1" applyFill="1" applyBorder="1" applyAlignment="1">
      <alignment horizontal="center" vertical="center" wrapText="1"/>
    </xf>
    <xf numFmtId="3" fontId="99" fillId="4" borderId="5" xfId="80" applyNumberFormat="1" applyFont="1" applyFill="1" applyBorder="1" applyAlignment="1">
      <alignment horizontal="center" vertical="center" wrapText="1"/>
    </xf>
    <xf numFmtId="4" fontId="59" fillId="4" borderId="5" xfId="80" applyNumberFormat="1" applyFont="1" applyFill="1" applyBorder="1" applyAlignment="1">
      <alignment horizontal="left" vertical="center" wrapText="1"/>
    </xf>
    <xf numFmtId="167" fontId="58" fillId="4" borderId="5" xfId="78" applyNumberFormat="1" applyFont="1" applyFill="1" applyBorder="1" applyAlignment="1">
      <alignment horizontal="center" vertical="center" wrapText="1"/>
    </xf>
    <xf numFmtId="2" fontId="58" fillId="4" borderId="5" xfId="78" applyNumberFormat="1" applyFont="1" applyFill="1" applyBorder="1" applyAlignment="1">
      <alignment vertical="center" wrapText="1"/>
    </xf>
    <xf numFmtId="167" fontId="58" fillId="4" borderId="5" xfId="78" applyNumberFormat="1" applyFont="1" applyFill="1" applyBorder="1" applyAlignment="1">
      <alignment vertical="center" wrapText="1"/>
    </xf>
    <xf numFmtId="165" fontId="59" fillId="4" borderId="5" xfId="78" applyNumberFormat="1" applyFont="1" applyFill="1" applyBorder="1" applyAlignment="1">
      <alignment vertical="center" wrapText="1"/>
    </xf>
    <xf numFmtId="4" fontId="59" fillId="4" borderId="5" xfId="46" applyNumberFormat="1" applyFont="1" applyFill="1" applyBorder="1" applyAlignment="1">
      <alignment vertical="center" wrapText="1"/>
    </xf>
    <xf numFmtId="165" fontId="59" fillId="4" borderId="5" xfId="46" applyNumberFormat="1" applyFont="1" applyFill="1" applyBorder="1" applyAlignment="1">
      <alignment vertical="center" wrapText="1"/>
    </xf>
    <xf numFmtId="3" fontId="99" fillId="4" borderId="1" xfId="80" applyNumberFormat="1" applyFont="1" applyFill="1" applyBorder="1" applyAlignment="1">
      <alignment horizontal="center" vertical="center" wrapText="1"/>
    </xf>
    <xf numFmtId="4" fontId="59" fillId="4" borderId="1" xfId="80" applyNumberFormat="1" applyFont="1" applyFill="1" applyBorder="1" applyAlignment="1">
      <alignment horizontal="left" vertical="center" wrapText="1"/>
    </xf>
    <xf numFmtId="167" fontId="58" fillId="4" borderId="1" xfId="80" applyNumberFormat="1" applyFont="1" applyFill="1" applyBorder="1" applyAlignment="1">
      <alignment horizontal="center" vertical="center" wrapText="1"/>
    </xf>
    <xf numFmtId="165" fontId="59" fillId="4" borderId="1" xfId="80" applyNumberFormat="1" applyFont="1" applyFill="1" applyBorder="1" applyAlignment="1">
      <alignment vertical="center" wrapText="1"/>
    </xf>
    <xf numFmtId="4" fontId="59" fillId="4" borderId="1" xfId="80" applyNumberFormat="1" applyFont="1" applyFill="1" applyBorder="1" applyAlignment="1">
      <alignment vertical="center" wrapText="1"/>
    </xf>
    <xf numFmtId="167" fontId="59" fillId="4" borderId="1" xfId="80" applyNumberFormat="1" applyFont="1" applyFill="1" applyBorder="1" applyAlignment="1">
      <alignment vertical="center" wrapText="1"/>
    </xf>
    <xf numFmtId="3" fontId="100" fillId="4" borderId="1" xfId="80" applyNumberFormat="1" applyFont="1" applyFill="1" applyBorder="1" applyAlignment="1">
      <alignment horizontal="center" vertical="center" wrapText="1"/>
    </xf>
    <xf numFmtId="4" fontId="58" fillId="4" borderId="1" xfId="80" applyNumberFormat="1" applyFont="1" applyFill="1" applyBorder="1" applyAlignment="1">
      <alignment horizontal="left" vertical="center" wrapText="1"/>
    </xf>
    <xf numFmtId="167" fontId="58" fillId="4" borderId="1" xfId="80" applyNumberFormat="1" applyFont="1" applyFill="1" applyBorder="1" applyAlignment="1">
      <alignment horizontal="right" vertical="center" wrapText="1"/>
    </xf>
    <xf numFmtId="165" fontId="58" fillId="4" borderId="1" xfId="80" applyNumberFormat="1" applyFont="1" applyFill="1" applyBorder="1" applyAlignment="1">
      <alignment vertical="center" wrapText="1"/>
    </xf>
    <xf numFmtId="4" fontId="58" fillId="4" borderId="1" xfId="80" applyNumberFormat="1" applyFont="1" applyFill="1" applyBorder="1" applyAlignment="1">
      <alignment vertical="center" wrapText="1"/>
    </xf>
    <xf numFmtId="167" fontId="58" fillId="4" borderId="1" xfId="80" applyNumberFormat="1" applyFont="1" applyFill="1" applyBorder="1" applyAlignment="1">
      <alignment vertical="center" wrapText="1"/>
    </xf>
    <xf numFmtId="4" fontId="58" fillId="4" borderId="1" xfId="78" applyNumberFormat="1" applyFont="1" applyFill="1" applyBorder="1" applyAlignment="1">
      <alignment horizontal="left" vertical="center" wrapText="1"/>
    </xf>
    <xf numFmtId="4" fontId="58" fillId="4" borderId="1" xfId="78" applyNumberFormat="1" applyFont="1" applyFill="1" applyBorder="1" applyAlignment="1">
      <alignment horizontal="right" vertical="center" wrapText="1"/>
    </xf>
    <xf numFmtId="4" fontId="58" fillId="4" borderId="1" xfId="80" applyNumberFormat="1" applyFont="1" applyFill="1" applyBorder="1" applyAlignment="1">
      <alignment horizontal="right" vertical="center" wrapText="1"/>
    </xf>
    <xf numFmtId="165" fontId="58" fillId="4" borderId="1" xfId="80" applyNumberFormat="1" applyFont="1" applyFill="1" applyBorder="1" applyAlignment="1">
      <alignment horizontal="right" vertical="center" wrapText="1"/>
    </xf>
    <xf numFmtId="4" fontId="58" fillId="4" borderId="1" xfId="78" applyNumberFormat="1" applyFont="1" applyFill="1" applyBorder="1" applyAlignment="1">
      <alignment vertical="center" wrapText="1"/>
    </xf>
    <xf numFmtId="3" fontId="100" fillId="4" borderId="16" xfId="80" applyNumberFormat="1" applyFont="1" applyFill="1" applyBorder="1" applyAlignment="1">
      <alignment horizontal="center" vertical="center" wrapText="1"/>
    </xf>
    <xf numFmtId="4" fontId="58" fillId="4" borderId="16" xfId="80" applyNumberFormat="1" applyFont="1" applyFill="1" applyBorder="1" applyAlignment="1">
      <alignment horizontal="left" vertical="center" wrapText="1"/>
    </xf>
    <xf numFmtId="167" fontId="58" fillId="4" borderId="16" xfId="80" applyNumberFormat="1" applyFont="1" applyFill="1" applyBorder="1" applyAlignment="1">
      <alignment horizontal="right" vertical="center" wrapText="1"/>
    </xf>
    <xf numFmtId="167" fontId="58" fillId="4" borderId="16" xfId="80" applyNumberFormat="1" applyFont="1" applyFill="1" applyBorder="1" applyAlignment="1">
      <alignment horizontal="center" vertical="center" wrapText="1"/>
    </xf>
    <xf numFmtId="165" fontId="58" fillId="4" borderId="16" xfId="80" applyNumberFormat="1" applyFont="1" applyFill="1" applyBorder="1" applyAlignment="1">
      <alignment vertical="center" wrapText="1"/>
    </xf>
    <xf numFmtId="165" fontId="58" fillId="4" borderId="25" xfId="80" applyNumberFormat="1" applyFont="1" applyFill="1" applyBorder="1" applyAlignment="1">
      <alignment vertical="center" wrapText="1"/>
    </xf>
    <xf numFmtId="4" fontId="58" fillId="4" borderId="16" xfId="80" applyNumberFormat="1" applyFont="1" applyFill="1" applyBorder="1" applyAlignment="1">
      <alignment vertical="center" wrapText="1"/>
    </xf>
    <xf numFmtId="167" fontId="58" fillId="4" borderId="16" xfId="80" applyNumberFormat="1" applyFont="1" applyFill="1" applyBorder="1" applyAlignment="1">
      <alignment vertical="center" wrapText="1"/>
    </xf>
    <xf numFmtId="4" fontId="59" fillId="4" borderId="4" xfId="80" applyNumberFormat="1" applyFont="1" applyFill="1" applyBorder="1" applyAlignment="1">
      <alignment horizontal="left" vertical="center" wrapText="1"/>
    </xf>
    <xf numFmtId="167" fontId="58" fillId="4" borderId="4" xfId="80" applyNumberFormat="1" applyFont="1" applyFill="1" applyBorder="1" applyAlignment="1">
      <alignment horizontal="right" vertical="center" wrapText="1"/>
    </xf>
    <xf numFmtId="167" fontId="58" fillId="4" borderId="4" xfId="80" applyNumberFormat="1" applyFont="1" applyFill="1" applyBorder="1" applyAlignment="1">
      <alignment horizontal="center" vertical="center" wrapText="1"/>
    </xf>
    <xf numFmtId="165" fontId="58" fillId="4" borderId="4" xfId="80" applyNumberFormat="1" applyFont="1" applyFill="1" applyBorder="1" applyAlignment="1">
      <alignment vertical="center" wrapText="1"/>
    </xf>
    <xf numFmtId="165" fontId="59" fillId="4" borderId="4" xfId="80" applyNumberFormat="1" applyFont="1" applyFill="1" applyBorder="1" applyAlignment="1">
      <alignment vertical="center" wrapText="1"/>
    </xf>
    <xf numFmtId="4" fontId="59" fillId="4" borderId="4" xfId="80" applyNumberFormat="1" applyFont="1" applyFill="1" applyBorder="1" applyAlignment="1">
      <alignment vertical="center" wrapText="1"/>
    </xf>
    <xf numFmtId="167" fontId="59" fillId="4" borderId="4" xfId="80" applyNumberFormat="1" applyFont="1" applyFill="1" applyBorder="1" applyAlignment="1">
      <alignment vertical="center" wrapText="1"/>
    </xf>
    <xf numFmtId="4" fontId="60" fillId="4" borderId="4" xfId="80" applyNumberFormat="1" applyFont="1" applyFill="1" applyBorder="1" applyAlignment="1">
      <alignment horizontal="left" vertical="center" wrapText="1"/>
    </xf>
    <xf numFmtId="4" fontId="61" fillId="4" borderId="4" xfId="80" applyNumberFormat="1" applyFont="1" applyFill="1" applyBorder="1" applyAlignment="1">
      <alignment horizontal="left" vertical="center" wrapText="1"/>
    </xf>
    <xf numFmtId="3" fontId="101" fillId="4" borderId="17" xfId="80" applyNumberFormat="1" applyFont="1" applyFill="1" applyBorder="1" applyAlignment="1">
      <alignment horizontal="center" vertical="center" wrapText="1"/>
    </xf>
    <xf numFmtId="0" fontId="61" fillId="4" borderId="17" xfId="34" applyFont="1" applyFill="1" applyBorder="1" applyAlignment="1">
      <alignment horizontal="left" vertical="center" wrapText="1"/>
    </xf>
    <xf numFmtId="4" fontId="58" fillId="4" borderId="17" xfId="80" applyNumberFormat="1" applyFont="1" applyFill="1" applyBorder="1" applyAlignment="1">
      <alignment horizontal="right" vertical="center" wrapText="1"/>
    </xf>
    <xf numFmtId="4" fontId="58" fillId="4" borderId="17" xfId="80" applyNumberFormat="1" applyFont="1" applyFill="1" applyBorder="1" applyAlignment="1">
      <alignment horizontal="center" vertical="center" wrapText="1"/>
    </xf>
    <xf numFmtId="165" fontId="58" fillId="4" borderId="17" xfId="80" applyNumberFormat="1" applyFont="1" applyFill="1" applyBorder="1" applyAlignment="1">
      <alignment vertical="center" wrapText="1"/>
    </xf>
    <xf numFmtId="165" fontId="58" fillId="4" borderId="17" xfId="80" applyNumberFormat="1" applyFont="1" applyFill="1" applyBorder="1" applyAlignment="1">
      <alignment horizontal="right" vertical="center" wrapText="1"/>
    </xf>
    <xf numFmtId="4" fontId="58" fillId="4" borderId="17" xfId="78" applyNumberFormat="1" applyFont="1" applyFill="1" applyBorder="1" applyAlignment="1">
      <alignment vertical="center" wrapText="1"/>
    </xf>
    <xf numFmtId="3" fontId="100" fillId="4" borderId="17" xfId="80" applyNumberFormat="1" applyFont="1" applyFill="1" applyBorder="1" applyAlignment="1">
      <alignment horizontal="center" vertical="center" wrapText="1"/>
    </xf>
    <xf numFmtId="0" fontId="58" fillId="4" borderId="17" xfId="34" applyFont="1" applyFill="1" applyBorder="1" applyAlignment="1">
      <alignment horizontal="left" vertical="center" wrapText="1"/>
    </xf>
    <xf numFmtId="0" fontId="58" fillId="4" borderId="1" xfId="85" applyFont="1" applyFill="1" applyBorder="1" applyAlignment="1">
      <alignment horizontal="right" vertical="center" wrapText="1"/>
    </xf>
    <xf numFmtId="0" fontId="58" fillId="4" borderId="1" xfId="85" applyFont="1" applyFill="1" applyBorder="1" applyAlignment="1">
      <alignment horizontal="center" vertical="center" wrapText="1"/>
    </xf>
    <xf numFmtId="2" fontId="58" fillId="4" borderId="1" xfId="85" applyNumberFormat="1" applyFont="1" applyFill="1" applyBorder="1" applyAlignment="1">
      <alignment vertical="center" wrapText="1"/>
    </xf>
    <xf numFmtId="0" fontId="100" fillId="4" borderId="1" xfId="0" applyFont="1" applyFill="1" applyBorder="1" applyAlignment="1">
      <alignment horizontal="center" vertical="center" wrapText="1"/>
    </xf>
    <xf numFmtId="0" fontId="58" fillId="4" borderId="1" xfId="85" applyFont="1" applyFill="1" applyBorder="1" applyAlignment="1">
      <alignment horizontal="left" vertical="center" wrapText="1"/>
    </xf>
    <xf numFmtId="165" fontId="58" fillId="4" borderId="1" xfId="85" applyNumberFormat="1" applyFont="1" applyFill="1" applyBorder="1" applyAlignment="1">
      <alignment vertical="center" wrapText="1"/>
    </xf>
    <xf numFmtId="4" fontId="58" fillId="4" borderId="1" xfId="85" applyNumberFormat="1" applyFont="1" applyFill="1" applyBorder="1" applyAlignment="1">
      <alignment vertical="center" wrapText="1"/>
    </xf>
    <xf numFmtId="0" fontId="58" fillId="4" borderId="1" xfId="85" applyFont="1" applyFill="1" applyBorder="1" applyAlignment="1">
      <alignment vertical="center" wrapText="1"/>
    </xf>
    <xf numFmtId="0" fontId="58" fillId="4" borderId="0" xfId="0" applyFont="1" applyFill="1" applyBorder="1" applyAlignment="1">
      <alignment vertical="center"/>
    </xf>
    <xf numFmtId="0" fontId="58" fillId="4" borderId="16" xfId="34" applyFont="1" applyFill="1" applyBorder="1" applyAlignment="1">
      <alignment horizontal="left" vertical="center" wrapText="1"/>
    </xf>
    <xf numFmtId="4" fontId="58" fillId="4" borderId="16" xfId="80" applyNumberFormat="1" applyFont="1" applyFill="1" applyBorder="1" applyAlignment="1">
      <alignment horizontal="right" vertical="center" wrapText="1"/>
    </xf>
    <xf numFmtId="4" fontId="58" fillId="4" borderId="16" xfId="80" applyNumberFormat="1" applyFont="1" applyFill="1" applyBorder="1" applyAlignment="1">
      <alignment horizontal="center" vertical="center" wrapText="1"/>
    </xf>
    <xf numFmtId="4" fontId="58" fillId="4" borderId="16" xfId="34" applyNumberFormat="1" applyFont="1" applyFill="1" applyBorder="1" applyAlignment="1">
      <alignment vertical="center" wrapText="1"/>
    </xf>
    <xf numFmtId="0" fontId="61" fillId="4" borderId="17" xfId="34" applyFont="1" applyFill="1" applyBorder="1" applyAlignment="1">
      <alignment horizontal="left" vertical="center" wrapText="1" shrinkToFit="1"/>
    </xf>
    <xf numFmtId="4" fontId="61" fillId="4" borderId="17" xfId="80" applyNumberFormat="1" applyFont="1" applyFill="1" applyBorder="1" applyAlignment="1">
      <alignment horizontal="right" vertical="center" wrapText="1"/>
    </xf>
    <xf numFmtId="4" fontId="61" fillId="4" borderId="17" xfId="80" applyNumberFormat="1" applyFont="1" applyFill="1" applyBorder="1" applyAlignment="1">
      <alignment horizontal="center" vertical="center" wrapText="1"/>
    </xf>
    <xf numFmtId="165" fontId="61" fillId="4" borderId="17" xfId="80" applyNumberFormat="1" applyFont="1" applyFill="1" applyBorder="1" applyAlignment="1">
      <alignment vertical="center" wrapText="1"/>
    </xf>
    <xf numFmtId="4" fontId="61" fillId="4" borderId="17" xfId="80" applyNumberFormat="1" applyFont="1" applyFill="1" applyBorder="1" applyAlignment="1">
      <alignment vertical="center" wrapText="1"/>
    </xf>
    <xf numFmtId="167" fontId="61" fillId="4" borderId="17" xfId="80" applyNumberFormat="1" applyFont="1" applyFill="1" applyBorder="1" applyAlignment="1">
      <alignment vertical="center" wrapText="1"/>
    </xf>
    <xf numFmtId="0" fontId="61" fillId="4" borderId="0" xfId="0" applyFont="1" applyFill="1" applyBorder="1" applyAlignment="1">
      <alignment vertical="center" wrapText="1"/>
    </xf>
    <xf numFmtId="0" fontId="58" fillId="4" borderId="1" xfId="34" applyFont="1" applyFill="1" applyBorder="1" applyAlignment="1">
      <alignment horizontal="left" vertical="center" wrapText="1" shrinkToFit="1"/>
    </xf>
    <xf numFmtId="2" fontId="58" fillId="4" borderId="1" xfId="0" applyNumberFormat="1" applyFont="1" applyFill="1" applyBorder="1" applyAlignment="1">
      <alignment vertical="center" wrapText="1" shrinkToFit="1"/>
    </xf>
    <xf numFmtId="0" fontId="58" fillId="4" borderId="1" xfId="34" applyFont="1" applyFill="1" applyBorder="1" applyAlignment="1">
      <alignment vertical="center" wrapText="1" shrinkToFit="1"/>
    </xf>
    <xf numFmtId="0" fontId="58" fillId="4" borderId="1" xfId="34" applyFont="1" applyFill="1" applyBorder="1" applyAlignment="1">
      <alignment horizontal="left" vertical="center" wrapText="1"/>
    </xf>
    <xf numFmtId="4" fontId="58" fillId="4" borderId="1" xfId="80" applyNumberFormat="1" applyFont="1" applyFill="1" applyBorder="1" applyAlignment="1">
      <alignment horizontal="center" vertical="center" wrapText="1"/>
    </xf>
    <xf numFmtId="0" fontId="58" fillId="4" borderId="19" xfId="34" applyFont="1" applyFill="1" applyBorder="1" applyAlignment="1">
      <alignment horizontal="left" vertical="center" wrapText="1"/>
    </xf>
    <xf numFmtId="4" fontId="58" fillId="4" borderId="25" xfId="80" applyNumberFormat="1" applyFont="1" applyFill="1" applyBorder="1" applyAlignment="1">
      <alignment horizontal="right" vertical="center" wrapText="1"/>
    </xf>
    <xf numFmtId="4" fontId="58" fillId="4" borderId="25" xfId="80" applyNumberFormat="1" applyFont="1" applyFill="1" applyBorder="1" applyAlignment="1">
      <alignment horizontal="center" vertical="center" wrapText="1"/>
    </xf>
    <xf numFmtId="165" fontId="58" fillId="4" borderId="25" xfId="80" applyNumberFormat="1" applyFont="1" applyFill="1" applyBorder="1" applyAlignment="1">
      <alignment horizontal="right" vertical="center" wrapText="1"/>
    </xf>
    <xf numFmtId="4" fontId="58" fillId="4" borderId="16" xfId="78" applyNumberFormat="1" applyFont="1" applyFill="1" applyBorder="1" applyAlignment="1">
      <alignment horizontal="right" vertical="center" wrapText="1"/>
    </xf>
    <xf numFmtId="4" fontId="58" fillId="4" borderId="16" xfId="78" applyNumberFormat="1" applyFont="1" applyFill="1" applyBorder="1" applyAlignment="1">
      <alignment horizontal="center" vertical="center" wrapText="1"/>
    </xf>
    <xf numFmtId="165" fontId="58" fillId="4" borderId="16" xfId="80" applyNumberFormat="1" applyFont="1" applyFill="1" applyBorder="1" applyAlignment="1">
      <alignment horizontal="right" vertical="center" wrapText="1"/>
    </xf>
    <xf numFmtId="4" fontId="58" fillId="4" borderId="16" xfId="78" applyNumberFormat="1" applyFont="1" applyFill="1" applyBorder="1" applyAlignment="1">
      <alignment vertical="center" wrapText="1"/>
    </xf>
    <xf numFmtId="165" fontId="61" fillId="4" borderId="17" xfId="80" applyNumberFormat="1" applyFont="1" applyFill="1" applyBorder="1" applyAlignment="1">
      <alignment horizontal="right" vertical="center" wrapText="1"/>
    </xf>
    <xf numFmtId="4" fontId="61" fillId="4" borderId="17" xfId="78" applyNumberFormat="1" applyFont="1" applyFill="1" applyBorder="1" applyAlignment="1">
      <alignment vertical="center" wrapText="1"/>
    </xf>
    <xf numFmtId="4" fontId="58" fillId="4" borderId="1" xfId="34" applyNumberFormat="1" applyFont="1" applyFill="1" applyBorder="1" applyAlignment="1">
      <alignment horizontal="left" vertical="center" wrapText="1"/>
    </xf>
    <xf numFmtId="4" fontId="58" fillId="4" borderId="25" xfId="78" applyNumberFormat="1" applyFont="1" applyFill="1" applyBorder="1" applyAlignment="1">
      <alignment horizontal="left" vertical="center" wrapText="1"/>
    </xf>
    <xf numFmtId="4" fontId="58" fillId="4" borderId="25" xfId="78" applyNumberFormat="1" applyFont="1" applyFill="1" applyBorder="1" applyAlignment="1">
      <alignment vertical="center" wrapText="1"/>
    </xf>
    <xf numFmtId="3" fontId="108" fillId="4" borderId="16" xfId="78" applyNumberFormat="1" applyFont="1" applyFill="1" applyBorder="1" applyAlignment="1">
      <alignment horizontal="left" vertical="center" wrapText="1"/>
    </xf>
    <xf numFmtId="4" fontId="108" fillId="4" borderId="16" xfId="78" applyNumberFormat="1" applyFont="1" applyFill="1" applyBorder="1" applyAlignment="1">
      <alignment horizontal="right" vertical="center" wrapText="1"/>
    </xf>
    <xf numFmtId="4" fontId="108" fillId="4" borderId="16" xfId="78" applyNumberFormat="1" applyFont="1" applyFill="1" applyBorder="1" applyAlignment="1">
      <alignment horizontal="center" vertical="center" wrapText="1"/>
    </xf>
    <xf numFmtId="165" fontId="108" fillId="4" borderId="16" xfId="80" applyNumberFormat="1" applyFont="1" applyFill="1" applyBorder="1" applyAlignment="1">
      <alignment vertical="center" wrapText="1"/>
    </xf>
    <xf numFmtId="4" fontId="108" fillId="4" borderId="16" xfId="80" applyNumberFormat="1" applyFont="1" applyFill="1" applyBorder="1" applyAlignment="1">
      <alignment horizontal="right" vertical="center" wrapText="1"/>
    </xf>
    <xf numFmtId="165" fontId="108" fillId="4" borderId="16" xfId="80" applyNumberFormat="1" applyFont="1" applyFill="1" applyBorder="1" applyAlignment="1">
      <alignment horizontal="right" vertical="center" wrapText="1"/>
    </xf>
    <xf numFmtId="4" fontId="108" fillId="4" borderId="16" xfId="78" applyNumberFormat="1" applyFont="1" applyFill="1" applyBorder="1" applyAlignment="1">
      <alignment vertical="center" wrapText="1"/>
    </xf>
    <xf numFmtId="4" fontId="61" fillId="4" borderId="17" xfId="80" applyNumberFormat="1" applyFont="1" applyFill="1" applyBorder="1" applyAlignment="1">
      <alignment horizontal="left" vertical="center" wrapText="1"/>
    </xf>
    <xf numFmtId="167" fontId="58" fillId="4" borderId="17" xfId="80" applyNumberFormat="1" applyFont="1" applyFill="1" applyBorder="1" applyAlignment="1">
      <alignment horizontal="right" vertical="center" wrapText="1"/>
    </xf>
    <xf numFmtId="167" fontId="58" fillId="4" borderId="17" xfId="80" applyNumberFormat="1" applyFont="1" applyFill="1" applyBorder="1" applyAlignment="1">
      <alignment horizontal="center" vertical="center" wrapText="1"/>
    </xf>
    <xf numFmtId="165" fontId="59" fillId="4" borderId="17" xfId="80" applyNumberFormat="1" applyFont="1" applyFill="1" applyBorder="1" applyAlignment="1">
      <alignment vertical="center" wrapText="1"/>
    </xf>
    <xf numFmtId="4" fontId="59" fillId="4" borderId="17" xfId="80" applyNumberFormat="1" applyFont="1" applyFill="1" applyBorder="1" applyAlignment="1">
      <alignment vertical="center" wrapText="1"/>
    </xf>
    <xf numFmtId="167" fontId="59" fillId="4" borderId="17" xfId="80" applyNumberFormat="1" applyFont="1" applyFill="1" applyBorder="1" applyAlignment="1">
      <alignment vertical="center" wrapText="1"/>
    </xf>
    <xf numFmtId="3" fontId="101" fillId="4" borderId="1" xfId="80" applyNumberFormat="1" applyFont="1" applyFill="1" applyBorder="1" applyAlignment="1">
      <alignment horizontal="center" vertical="center" wrapText="1"/>
    </xf>
    <xf numFmtId="4" fontId="61" fillId="4" borderId="1" xfId="80" applyNumberFormat="1" applyFont="1" applyFill="1" applyBorder="1" applyAlignment="1">
      <alignment horizontal="left" vertical="center" wrapText="1"/>
    </xf>
    <xf numFmtId="4" fontId="58" fillId="4" borderId="1" xfId="83" applyNumberFormat="1" applyFont="1" applyFill="1" applyBorder="1" applyAlignment="1">
      <alignment vertical="center" wrapText="1"/>
    </xf>
    <xf numFmtId="4" fontId="58" fillId="4" borderId="1" xfId="34" applyNumberFormat="1" applyFont="1" applyFill="1" applyBorder="1" applyAlignment="1">
      <alignment vertical="center" wrapText="1"/>
    </xf>
    <xf numFmtId="3" fontId="100" fillId="4" borderId="19" xfId="80" applyNumberFormat="1" applyFont="1" applyFill="1" applyBorder="1" applyAlignment="1">
      <alignment horizontal="center" vertical="center" wrapText="1"/>
    </xf>
    <xf numFmtId="4" fontId="58" fillId="4" borderId="1" xfId="81" applyNumberFormat="1" applyFont="1" applyFill="1" applyBorder="1" applyAlignment="1">
      <alignment horizontal="right" vertical="center" wrapText="1"/>
    </xf>
    <xf numFmtId="2" fontId="58" fillId="4" borderId="1" xfId="84" applyNumberFormat="1" applyFont="1" applyFill="1" applyBorder="1" applyAlignment="1">
      <alignment vertical="center" wrapText="1"/>
    </xf>
    <xf numFmtId="0" fontId="58" fillId="4" borderId="1" xfId="84" applyFont="1" applyFill="1" applyBorder="1" applyAlignment="1">
      <alignment horizontal="right" vertical="center" wrapText="1"/>
    </xf>
    <xf numFmtId="0" fontId="58" fillId="4" borderId="1" xfId="84" applyFont="1" applyFill="1" applyBorder="1" applyAlignment="1">
      <alignment horizontal="center" vertical="center" wrapText="1"/>
    </xf>
    <xf numFmtId="165" fontId="58" fillId="4" borderId="1" xfId="84" applyNumberFormat="1" applyFont="1" applyFill="1" applyBorder="1" applyAlignment="1">
      <alignment vertical="center" wrapText="1"/>
    </xf>
    <xf numFmtId="4" fontId="58" fillId="4" borderId="1" xfId="84" applyNumberFormat="1" applyFont="1" applyFill="1" applyBorder="1" applyAlignment="1">
      <alignment vertical="center" wrapText="1"/>
    </xf>
    <xf numFmtId="0" fontId="58" fillId="4" borderId="1" xfId="84" applyFont="1" applyFill="1" applyBorder="1" applyAlignment="1">
      <alignment vertical="center" wrapText="1"/>
    </xf>
    <xf numFmtId="167" fontId="58" fillId="4" borderId="1" xfId="80" applyNumberFormat="1" applyFont="1" applyFill="1" applyBorder="1" applyAlignment="1">
      <alignment horizontal="left" vertical="center" wrapText="1"/>
    </xf>
    <xf numFmtId="0" fontId="100" fillId="4" borderId="25" xfId="0" applyFont="1" applyFill="1" applyBorder="1" applyAlignment="1">
      <alignment horizontal="center" vertical="center" wrapText="1"/>
    </xf>
    <xf numFmtId="167" fontId="58" fillId="4" borderId="25" xfId="80" applyNumberFormat="1" applyFont="1" applyFill="1" applyBorder="1" applyAlignment="1">
      <alignment horizontal="left" vertical="center" wrapText="1"/>
    </xf>
    <xf numFmtId="0" fontId="58" fillId="4" borderId="1" xfId="91" applyFont="1" applyFill="1" applyBorder="1" applyAlignment="1">
      <alignment horizontal="right" vertical="center" wrapText="1"/>
    </xf>
    <xf numFmtId="0" fontId="58" fillId="4" borderId="1" xfId="91" applyFont="1" applyFill="1" applyBorder="1" applyAlignment="1">
      <alignment horizontal="center" vertical="center" wrapText="1"/>
    </xf>
    <xf numFmtId="2" fontId="58" fillId="4" borderId="1" xfId="91" applyNumberFormat="1" applyFont="1" applyFill="1" applyBorder="1" applyAlignment="1">
      <alignment wrapText="1"/>
    </xf>
    <xf numFmtId="165" fontId="58" fillId="4" borderId="1" xfId="91" applyNumberFormat="1" applyFont="1" applyFill="1" applyBorder="1" applyAlignment="1">
      <alignment wrapText="1"/>
    </xf>
    <xf numFmtId="4" fontId="58" fillId="4" borderId="1" xfId="91" applyNumberFormat="1" applyFont="1" applyFill="1" applyBorder="1" applyAlignment="1">
      <alignment wrapText="1"/>
    </xf>
    <xf numFmtId="0" fontId="58" fillId="4" borderId="1" xfId="91" applyFont="1" applyFill="1" applyBorder="1" applyAlignment="1">
      <alignment wrapText="1"/>
    </xf>
    <xf numFmtId="0" fontId="100" fillId="4" borderId="17" xfId="0" applyFont="1" applyFill="1" applyBorder="1" applyAlignment="1">
      <alignment horizontal="center" vertical="center" wrapText="1"/>
    </xf>
    <xf numFmtId="0" fontId="58" fillId="4" borderId="17" xfId="91" applyFont="1" applyFill="1" applyBorder="1" applyAlignment="1">
      <alignment horizontal="left" vertical="center" wrapText="1"/>
    </xf>
    <xf numFmtId="0" fontId="58" fillId="4" borderId="1" xfId="87" applyFont="1" applyFill="1" applyBorder="1" applyAlignment="1">
      <alignment horizontal="left" vertical="center" wrapText="1"/>
    </xf>
    <xf numFmtId="0" fontId="58" fillId="4" borderId="1" xfId="87" applyFont="1" applyFill="1" applyBorder="1" applyAlignment="1">
      <alignment horizontal="right" vertical="center" wrapText="1"/>
    </xf>
    <xf numFmtId="0" fontId="58" fillId="4" borderId="1" xfId="87" applyFont="1" applyFill="1" applyBorder="1" applyAlignment="1">
      <alignment horizontal="center" vertical="center" wrapText="1"/>
    </xf>
    <xf numFmtId="2" fontId="58" fillId="4" borderId="1" xfId="87" applyNumberFormat="1" applyFont="1" applyFill="1" applyBorder="1" applyAlignment="1">
      <alignment vertical="center" wrapText="1"/>
    </xf>
    <xf numFmtId="165" fontId="58" fillId="4" borderId="1" xfId="87" applyNumberFormat="1" applyFont="1" applyFill="1" applyBorder="1" applyAlignment="1">
      <alignment vertical="center" wrapText="1"/>
    </xf>
    <xf numFmtId="4" fontId="58" fillId="4" borderId="1" xfId="87" applyNumberFormat="1" applyFont="1" applyFill="1" applyBorder="1" applyAlignment="1">
      <alignment vertical="center" wrapText="1"/>
    </xf>
    <xf numFmtId="0" fontId="58" fillId="4" borderId="1" xfId="87" applyFont="1" applyFill="1" applyBorder="1" applyAlignment="1">
      <alignment vertical="center" wrapText="1"/>
    </xf>
    <xf numFmtId="0" fontId="100" fillId="4" borderId="16" xfId="0" applyFont="1" applyFill="1" applyBorder="1" applyAlignment="1">
      <alignment horizontal="center" vertical="center" wrapText="1"/>
    </xf>
    <xf numFmtId="0" fontId="58" fillId="4" borderId="16" xfId="87" applyFont="1" applyFill="1" applyBorder="1" applyAlignment="1">
      <alignment horizontal="left" vertical="center" wrapText="1"/>
    </xf>
    <xf numFmtId="0" fontId="58" fillId="4" borderId="16" xfId="87" applyFont="1" applyFill="1" applyBorder="1" applyAlignment="1">
      <alignment horizontal="right" vertical="center" wrapText="1"/>
    </xf>
    <xf numFmtId="0" fontId="58" fillId="4" borderId="16" xfId="87" applyFont="1" applyFill="1" applyBorder="1" applyAlignment="1">
      <alignment horizontal="center" vertical="center" wrapText="1"/>
    </xf>
    <xf numFmtId="2" fontId="58" fillId="4" borderId="16" xfId="87" applyNumberFormat="1" applyFont="1" applyFill="1" applyBorder="1" applyAlignment="1">
      <alignment vertical="center" wrapText="1"/>
    </xf>
    <xf numFmtId="165" fontId="58" fillId="4" borderId="16" xfId="87" applyNumberFormat="1" applyFont="1" applyFill="1" applyBorder="1" applyAlignment="1">
      <alignment vertical="center" wrapText="1"/>
    </xf>
    <xf numFmtId="4" fontId="58" fillId="4" borderId="16" xfId="87" applyNumberFormat="1" applyFont="1" applyFill="1" applyBorder="1" applyAlignment="1">
      <alignment vertical="center" wrapText="1"/>
    </xf>
    <xf numFmtId="0" fontId="58" fillId="4" borderId="16" xfId="87" applyFont="1" applyFill="1" applyBorder="1" applyAlignment="1">
      <alignment vertical="center" wrapText="1"/>
    </xf>
    <xf numFmtId="4" fontId="61" fillId="4" borderId="17" xfId="34" applyNumberFormat="1" applyFont="1" applyFill="1" applyBorder="1" applyAlignment="1">
      <alignment vertical="center" wrapText="1"/>
    </xf>
    <xf numFmtId="166" fontId="58" fillId="4" borderId="1" xfId="80" applyNumberFormat="1" applyFont="1" applyFill="1" applyBorder="1" applyAlignment="1">
      <alignment vertical="center" wrapText="1"/>
    </xf>
    <xf numFmtId="166" fontId="58" fillId="4" borderId="16" xfId="80" applyNumberFormat="1" applyFont="1" applyFill="1" applyBorder="1" applyAlignment="1">
      <alignment vertical="center" wrapText="1"/>
    </xf>
    <xf numFmtId="3" fontId="100" fillId="4" borderId="5" xfId="80" applyNumberFormat="1" applyFont="1" applyFill="1" applyBorder="1" applyAlignment="1">
      <alignment horizontal="center" vertical="center" wrapText="1"/>
    </xf>
    <xf numFmtId="167" fontId="58" fillId="4" borderId="5" xfId="80" applyNumberFormat="1" applyFont="1" applyFill="1" applyBorder="1" applyAlignment="1">
      <alignment horizontal="right" vertical="center" wrapText="1"/>
    </xf>
    <xf numFmtId="167" fontId="58" fillId="4" borderId="5" xfId="80" applyNumberFormat="1" applyFont="1" applyFill="1" applyBorder="1" applyAlignment="1">
      <alignment horizontal="center" vertical="center" wrapText="1"/>
    </xf>
    <xf numFmtId="165" fontId="58" fillId="4" borderId="5" xfId="80" applyNumberFormat="1" applyFont="1" applyFill="1" applyBorder="1" applyAlignment="1">
      <alignment vertical="center" wrapText="1"/>
    </xf>
    <xf numFmtId="166" fontId="58" fillId="4" borderId="5" xfId="80" applyNumberFormat="1" applyFont="1" applyFill="1" applyBorder="1" applyAlignment="1">
      <alignment vertical="center" wrapText="1"/>
    </xf>
    <xf numFmtId="4" fontId="58" fillId="4" borderId="5" xfId="80" applyNumberFormat="1" applyFont="1" applyFill="1" applyBorder="1" applyAlignment="1">
      <alignment vertical="center" wrapText="1"/>
    </xf>
    <xf numFmtId="0" fontId="58" fillId="4" borderId="5" xfId="87" applyFont="1" applyFill="1" applyBorder="1" applyAlignment="1">
      <alignment vertical="center" wrapText="1"/>
    </xf>
    <xf numFmtId="167" fontId="61" fillId="4" borderId="17" xfId="80" applyNumberFormat="1" applyFont="1" applyFill="1" applyBorder="1" applyAlignment="1">
      <alignment horizontal="right" vertical="center" wrapText="1"/>
    </xf>
    <xf numFmtId="167" fontId="61" fillId="4" borderId="17" xfId="80" applyNumberFormat="1" applyFont="1" applyFill="1" applyBorder="1" applyAlignment="1">
      <alignment horizontal="center" vertical="center" wrapText="1"/>
    </xf>
    <xf numFmtId="4" fontId="58" fillId="4" borderId="17" xfId="80" applyNumberFormat="1" applyFont="1" applyFill="1" applyBorder="1" applyAlignment="1">
      <alignment vertical="center" wrapText="1"/>
    </xf>
    <xf numFmtId="167" fontId="58" fillId="4" borderId="17" xfId="80" applyNumberFormat="1" applyFont="1" applyFill="1" applyBorder="1" applyAlignment="1">
      <alignment vertical="center" wrapText="1"/>
    </xf>
    <xf numFmtId="4" fontId="58" fillId="4" borderId="16" xfId="78" applyNumberFormat="1" applyFont="1" applyFill="1" applyBorder="1" applyAlignment="1">
      <alignment horizontal="left" vertical="center" wrapText="1"/>
    </xf>
    <xf numFmtId="0" fontId="61" fillId="4" borderId="17" xfId="34" applyFont="1" applyFill="1" applyBorder="1" applyAlignment="1">
      <alignment vertical="center" wrapText="1" shrinkToFit="1"/>
    </xf>
    <xf numFmtId="0" fontId="58" fillId="4" borderId="1" xfId="81" applyFont="1" applyFill="1" applyBorder="1" applyAlignment="1">
      <alignment horizontal="left" vertical="center" wrapText="1"/>
    </xf>
    <xf numFmtId="0" fontId="58" fillId="4" borderId="1" xfId="81" applyFont="1" applyFill="1" applyBorder="1" applyAlignment="1">
      <alignment horizontal="right" vertical="center" wrapText="1"/>
    </xf>
    <xf numFmtId="0" fontId="58" fillId="4" borderId="1" xfId="78" applyNumberFormat="1" applyFont="1" applyFill="1" applyBorder="1" applyAlignment="1">
      <alignment horizontal="center" vertical="center" wrapText="1"/>
    </xf>
    <xf numFmtId="2" fontId="58" fillId="4" borderId="1" xfId="81" applyNumberFormat="1" applyFont="1" applyFill="1" applyBorder="1" applyAlignment="1">
      <alignment wrapText="1"/>
    </xf>
    <xf numFmtId="165" fontId="58" fillId="4" borderId="1" xfId="80" applyNumberFormat="1" applyFont="1" applyFill="1" applyBorder="1" applyAlignment="1">
      <alignment wrapText="1"/>
    </xf>
    <xf numFmtId="4" fontId="58" fillId="4" borderId="1" xfId="81" applyNumberFormat="1" applyFont="1" applyFill="1" applyBorder="1" applyAlignment="1">
      <alignment wrapText="1"/>
    </xf>
    <xf numFmtId="165" fontId="58" fillId="4" borderId="1" xfId="81" applyNumberFormat="1" applyFont="1" applyFill="1" applyBorder="1" applyAlignment="1">
      <alignment wrapText="1"/>
    </xf>
    <xf numFmtId="0" fontId="58" fillId="4" borderId="0" xfId="0" applyFont="1" applyFill="1" applyBorder="1"/>
    <xf numFmtId="4" fontId="58" fillId="4" borderId="1" xfId="14" applyNumberFormat="1" applyFont="1" applyFill="1" applyBorder="1" applyAlignment="1">
      <alignment horizontal="right" vertical="center" wrapText="1" shrinkToFit="1"/>
    </xf>
    <xf numFmtId="0" fontId="58" fillId="4" borderId="1" xfId="81" applyFont="1" applyFill="1" applyBorder="1" applyAlignment="1">
      <alignment wrapText="1"/>
    </xf>
    <xf numFmtId="4" fontId="58" fillId="4" borderId="1" xfId="0" applyNumberFormat="1" applyFont="1" applyFill="1" applyBorder="1" applyAlignment="1">
      <alignment horizontal="left" vertical="center" wrapText="1"/>
    </xf>
    <xf numFmtId="165" fontId="109" fillId="4" borderId="0" xfId="0" applyNumberFormat="1" applyFont="1" applyFill="1" applyAlignment="1">
      <alignment horizontal="right"/>
    </xf>
    <xf numFmtId="165" fontId="58" fillId="4" borderId="1" xfId="78" applyNumberFormat="1" applyFont="1" applyFill="1" applyBorder="1" applyAlignment="1">
      <alignment horizontal="right" vertical="center" wrapText="1"/>
    </xf>
    <xf numFmtId="4" fontId="58" fillId="4" borderId="1" xfId="85" applyNumberFormat="1" applyFont="1" applyFill="1" applyBorder="1" applyAlignment="1">
      <alignment horizontal="right" vertical="center" wrapText="1"/>
    </xf>
    <xf numFmtId="0" fontId="109" fillId="4" borderId="0" xfId="0" applyFont="1" applyFill="1" applyAlignment="1">
      <alignment horizontal="right"/>
    </xf>
    <xf numFmtId="0" fontId="58" fillId="4" borderId="25" xfId="34" applyFont="1" applyFill="1" applyBorder="1" applyAlignment="1">
      <alignment horizontal="left" vertical="center" wrapText="1"/>
    </xf>
    <xf numFmtId="0" fontId="58" fillId="4" borderId="25" xfId="87" applyFont="1" applyFill="1" applyBorder="1" applyAlignment="1">
      <alignment vertical="center" wrapText="1"/>
    </xf>
    <xf numFmtId="3" fontId="100" fillId="4" borderId="13" xfId="80" applyNumberFormat="1" applyFont="1" applyFill="1" applyBorder="1" applyAlignment="1">
      <alignment horizontal="center" vertical="center" wrapText="1"/>
    </xf>
    <xf numFmtId="3" fontId="58" fillId="4" borderId="13" xfId="78" applyNumberFormat="1" applyFont="1" applyFill="1" applyBorder="1" applyAlignment="1">
      <alignment horizontal="left" vertical="center" wrapText="1"/>
    </xf>
    <xf numFmtId="4" fontId="58" fillId="4" borderId="13" xfId="78" applyNumberFormat="1" applyFont="1" applyFill="1" applyBorder="1" applyAlignment="1">
      <alignment horizontal="right" vertical="center" wrapText="1"/>
    </xf>
    <xf numFmtId="4" fontId="58" fillId="4" borderId="13" xfId="78" applyNumberFormat="1" applyFont="1" applyFill="1" applyBorder="1" applyAlignment="1">
      <alignment horizontal="center" vertical="center" wrapText="1"/>
    </xf>
    <xf numFmtId="165" fontId="58" fillId="4" borderId="13" xfId="80" applyNumberFormat="1" applyFont="1" applyFill="1" applyBorder="1" applyAlignment="1">
      <alignment vertical="center" wrapText="1"/>
    </xf>
    <xf numFmtId="4" fontId="58" fillId="4" borderId="13" xfId="80" applyNumberFormat="1" applyFont="1" applyFill="1" applyBorder="1" applyAlignment="1">
      <alignment horizontal="right" vertical="center" wrapText="1"/>
    </xf>
    <xf numFmtId="165" fontId="58" fillId="4" borderId="13" xfId="80" applyNumberFormat="1" applyFont="1" applyFill="1" applyBorder="1" applyAlignment="1">
      <alignment horizontal="right" vertical="center" wrapText="1"/>
    </xf>
    <xf numFmtId="4" fontId="58" fillId="4" borderId="13" xfId="78" applyNumberFormat="1" applyFont="1" applyFill="1" applyBorder="1" applyAlignment="1">
      <alignment vertical="center" wrapText="1"/>
    </xf>
    <xf numFmtId="0" fontId="101" fillId="4" borderId="17" xfId="0" applyFont="1" applyFill="1" applyBorder="1" applyAlignment="1">
      <alignment horizontal="center" vertical="center" wrapText="1"/>
    </xf>
    <xf numFmtId="0" fontId="61" fillId="4" borderId="17" xfId="85" applyFont="1" applyFill="1" applyBorder="1" applyAlignment="1">
      <alignment horizontal="left" vertical="center" wrapText="1"/>
    </xf>
    <xf numFmtId="0" fontId="61" fillId="4" borderId="17" xfId="85" applyFont="1" applyFill="1" applyBorder="1" applyAlignment="1">
      <alignment horizontal="right" vertical="center" wrapText="1"/>
    </xf>
    <xf numFmtId="0" fontId="61" fillId="4" borderId="17" xfId="85" applyFont="1" applyFill="1" applyBorder="1" applyAlignment="1">
      <alignment horizontal="center" vertical="center" wrapText="1"/>
    </xf>
    <xf numFmtId="2" fontId="61" fillId="4" borderId="17" xfId="85" applyNumberFormat="1" applyFont="1" applyFill="1" applyBorder="1" applyAlignment="1">
      <alignment vertical="center" wrapText="1"/>
    </xf>
    <xf numFmtId="165" fontId="61" fillId="4" borderId="17" xfId="85" applyNumberFormat="1" applyFont="1" applyFill="1" applyBorder="1" applyAlignment="1">
      <alignment vertical="center" wrapText="1"/>
    </xf>
    <xf numFmtId="4" fontId="61" fillId="4" borderId="17" xfId="85" applyNumberFormat="1" applyFont="1" applyFill="1" applyBorder="1" applyAlignment="1">
      <alignment vertical="center" wrapText="1"/>
    </xf>
    <xf numFmtId="0" fontId="61" fillId="4" borderId="17" xfId="85" applyFont="1" applyFill="1" applyBorder="1" applyAlignment="1">
      <alignment vertical="center" wrapText="1"/>
    </xf>
    <xf numFmtId="0" fontId="61" fillId="4" borderId="0" xfId="0" applyFont="1" applyFill="1" applyBorder="1" applyAlignment="1">
      <alignment vertical="center"/>
    </xf>
    <xf numFmtId="0" fontId="58" fillId="4" borderId="25" xfId="85" applyFont="1" applyFill="1" applyBorder="1" applyAlignment="1">
      <alignment horizontal="left" vertical="center" wrapText="1"/>
    </xf>
    <xf numFmtId="0" fontId="58" fillId="4" borderId="25" xfId="85" applyFont="1" applyFill="1" applyBorder="1" applyAlignment="1">
      <alignment horizontal="right" vertical="center" wrapText="1"/>
    </xf>
    <xf numFmtId="0" fontId="58" fillId="4" borderId="25" xfId="85" applyFont="1" applyFill="1" applyBorder="1" applyAlignment="1">
      <alignment horizontal="center" vertical="center" wrapText="1"/>
    </xf>
    <xf numFmtId="2" fontId="58" fillId="4" borderId="25" xfId="85" applyNumberFormat="1" applyFont="1" applyFill="1" applyBorder="1" applyAlignment="1">
      <alignment vertical="center" wrapText="1"/>
    </xf>
    <xf numFmtId="165" fontId="58" fillId="4" borderId="25" xfId="85" applyNumberFormat="1" applyFont="1" applyFill="1" applyBorder="1" applyAlignment="1">
      <alignment vertical="center" wrapText="1"/>
    </xf>
    <xf numFmtId="4" fontId="58" fillId="4" borderId="25" xfId="85" applyNumberFormat="1" applyFont="1" applyFill="1" applyBorder="1" applyAlignment="1">
      <alignment vertical="center" wrapText="1"/>
    </xf>
    <xf numFmtId="0" fontId="58" fillId="4" borderId="25" xfId="85" applyFont="1" applyFill="1" applyBorder="1" applyAlignment="1">
      <alignment vertical="center" wrapText="1"/>
    </xf>
    <xf numFmtId="0" fontId="58" fillId="4" borderId="16" xfId="85" applyFont="1" applyFill="1" applyBorder="1" applyAlignment="1">
      <alignment horizontal="right" vertical="center" wrapText="1"/>
    </xf>
    <xf numFmtId="0" fontId="58" fillId="4" borderId="16" xfId="85" applyFont="1" applyFill="1" applyBorder="1" applyAlignment="1">
      <alignment horizontal="center" vertical="center" wrapText="1"/>
    </xf>
    <xf numFmtId="2" fontId="58" fillId="4" borderId="16" xfId="85" applyNumberFormat="1" applyFont="1" applyFill="1" applyBorder="1" applyAlignment="1">
      <alignment vertical="center" wrapText="1"/>
    </xf>
    <xf numFmtId="165" fontId="58" fillId="4" borderId="16" xfId="85" applyNumberFormat="1" applyFont="1" applyFill="1" applyBorder="1" applyAlignment="1">
      <alignment vertical="center" wrapText="1"/>
    </xf>
    <xf numFmtId="4" fontId="58" fillId="4" borderId="16" xfId="85" applyNumberFormat="1" applyFont="1" applyFill="1" applyBorder="1" applyAlignment="1">
      <alignment vertical="center" wrapText="1"/>
    </xf>
    <xf numFmtId="0" fontId="58" fillId="4" borderId="16" xfId="85" applyFont="1" applyFill="1" applyBorder="1" applyAlignment="1">
      <alignment vertical="center" wrapText="1"/>
    </xf>
    <xf numFmtId="4" fontId="61" fillId="4" borderId="17" xfId="78" applyNumberFormat="1" applyFont="1" applyFill="1" applyBorder="1" applyAlignment="1">
      <alignment horizontal="left" vertical="center" wrapText="1"/>
    </xf>
    <xf numFmtId="4" fontId="58" fillId="4" borderId="17" xfId="78" applyNumberFormat="1" applyFont="1" applyFill="1" applyBorder="1" applyAlignment="1">
      <alignment horizontal="right" vertical="center" wrapText="1"/>
    </xf>
    <xf numFmtId="4" fontId="58" fillId="4" borderId="17" xfId="78" applyNumberFormat="1" applyFont="1" applyFill="1" applyBorder="1" applyAlignment="1">
      <alignment horizontal="center" vertical="center" wrapText="1"/>
    </xf>
    <xf numFmtId="0" fontId="58" fillId="4" borderId="16" xfId="34" applyFont="1" applyFill="1" applyBorder="1" applyAlignment="1">
      <alignment horizontal="left" vertical="center" wrapText="1" shrinkToFit="1"/>
    </xf>
    <xf numFmtId="4" fontId="61" fillId="4" borderId="17" xfId="0" applyNumberFormat="1" applyFont="1" applyFill="1" applyBorder="1" applyAlignment="1">
      <alignment horizontal="left" vertical="center" wrapText="1"/>
    </xf>
    <xf numFmtId="4" fontId="58" fillId="4" borderId="17" xfId="81" applyNumberFormat="1" applyFont="1" applyFill="1" applyBorder="1" applyAlignment="1">
      <alignment horizontal="right" vertical="center" wrapText="1"/>
    </xf>
    <xf numFmtId="3" fontId="61" fillId="4" borderId="17" xfId="78" applyNumberFormat="1" applyFont="1" applyFill="1" applyBorder="1" applyAlignment="1">
      <alignment horizontal="left" vertical="center" wrapText="1"/>
    </xf>
    <xf numFmtId="3" fontId="58" fillId="4" borderId="16" xfId="78" applyNumberFormat="1" applyFont="1" applyFill="1" applyBorder="1" applyAlignment="1">
      <alignment horizontal="left" vertical="center" wrapText="1"/>
    </xf>
    <xf numFmtId="165" fontId="61" fillId="4" borderId="5" xfId="80" applyNumberFormat="1" applyFont="1" applyFill="1" applyBorder="1" applyAlignment="1">
      <alignment vertical="center" wrapText="1"/>
    </xf>
    <xf numFmtId="0" fontId="58" fillId="4" borderId="16" xfId="85" applyFont="1" applyFill="1" applyBorder="1" applyAlignment="1">
      <alignment horizontal="left" vertical="center" wrapText="1"/>
    </xf>
    <xf numFmtId="4" fontId="61" fillId="4" borderId="5" xfId="81" applyNumberFormat="1" applyFont="1" applyFill="1" applyBorder="1" applyAlignment="1">
      <alignment horizontal="right" vertical="center" wrapText="1"/>
    </xf>
    <xf numFmtId="4" fontId="58" fillId="4" borderId="1" xfId="88" applyNumberFormat="1" applyFont="1" applyFill="1" applyBorder="1" applyAlignment="1">
      <alignment horizontal="left" vertical="center" wrapText="1"/>
    </xf>
    <xf numFmtId="0" fontId="58" fillId="4" borderId="1" xfId="82" applyFont="1" applyFill="1" applyBorder="1" applyAlignment="1">
      <alignment horizontal="left" vertical="center" wrapText="1"/>
    </xf>
    <xf numFmtId="0" fontId="58" fillId="4" borderId="1" xfId="82" applyFont="1" applyFill="1" applyBorder="1" applyAlignment="1">
      <alignment horizontal="right" vertical="center" wrapText="1"/>
    </xf>
    <xf numFmtId="0" fontId="58" fillId="4" borderId="1" xfId="82" applyFont="1" applyFill="1" applyBorder="1" applyAlignment="1">
      <alignment horizontal="center" vertical="center" wrapText="1"/>
    </xf>
    <xf numFmtId="2" fontId="58" fillId="4" borderId="1" xfId="82" applyNumberFormat="1" applyFont="1" applyFill="1" applyBorder="1" applyAlignment="1">
      <alignment vertical="center" wrapText="1"/>
    </xf>
    <xf numFmtId="4" fontId="58" fillId="4" borderId="1" xfId="82" applyNumberFormat="1" applyFont="1" applyFill="1" applyBorder="1" applyAlignment="1">
      <alignment vertical="center" wrapText="1"/>
    </xf>
    <xf numFmtId="165" fontId="58" fillId="4" borderId="1" xfId="82" applyNumberFormat="1" applyFont="1" applyFill="1" applyBorder="1" applyAlignment="1">
      <alignment vertical="center" wrapText="1"/>
    </xf>
    <xf numFmtId="0" fontId="58" fillId="4" borderId="1" xfId="82" applyFont="1" applyFill="1" applyBorder="1" applyAlignment="1">
      <alignment vertical="center" wrapText="1"/>
    </xf>
    <xf numFmtId="4" fontId="58" fillId="4" borderId="1" xfId="82" applyNumberFormat="1" applyFont="1" applyFill="1" applyBorder="1" applyAlignment="1">
      <alignment horizontal="right" vertical="center" wrapText="1"/>
    </xf>
    <xf numFmtId="165" fontId="58" fillId="4" borderId="1" xfId="82" applyNumberFormat="1" applyFont="1" applyFill="1" applyBorder="1" applyAlignment="1">
      <alignment horizontal="right" vertical="center" wrapText="1"/>
    </xf>
    <xf numFmtId="167" fontId="58" fillId="4" borderId="25" xfId="80" applyNumberFormat="1" applyFont="1" applyFill="1" applyBorder="1" applyAlignment="1">
      <alignment vertical="center" wrapText="1"/>
    </xf>
    <xf numFmtId="4" fontId="58" fillId="4" borderId="25" xfId="14" applyNumberFormat="1" applyFont="1" applyFill="1" applyBorder="1" applyAlignment="1">
      <alignment horizontal="right" vertical="center" wrapText="1" shrinkToFit="1"/>
    </xf>
    <xf numFmtId="165" fontId="58" fillId="4" borderId="16" xfId="78" applyNumberFormat="1" applyFont="1" applyFill="1" applyBorder="1" applyAlignment="1">
      <alignment horizontal="right" vertical="center" wrapText="1"/>
    </xf>
    <xf numFmtId="4" fontId="58" fillId="4" borderId="5" xfId="14" applyNumberFormat="1" applyFont="1" applyFill="1" applyBorder="1" applyAlignment="1">
      <alignment horizontal="right" vertical="center" wrapText="1" shrinkToFit="1"/>
    </xf>
    <xf numFmtId="165" fontId="61" fillId="4" borderId="17" xfId="78" applyNumberFormat="1" applyFont="1" applyFill="1" applyBorder="1" applyAlignment="1">
      <alignment horizontal="right" vertical="center" wrapText="1"/>
    </xf>
    <xf numFmtId="167" fontId="61" fillId="4" borderId="19" xfId="80" applyNumberFormat="1" applyFont="1" applyFill="1" applyBorder="1" applyAlignment="1">
      <alignment vertical="center" wrapText="1"/>
    </xf>
    <xf numFmtId="165" fontId="58" fillId="4" borderId="25" xfId="78" applyNumberFormat="1" applyFont="1" applyFill="1" applyBorder="1" applyAlignment="1">
      <alignment horizontal="right" vertical="center" wrapText="1"/>
    </xf>
    <xf numFmtId="165" fontId="61" fillId="4" borderId="1" xfId="80" applyNumberFormat="1" applyFont="1" applyFill="1" applyBorder="1" applyAlignment="1">
      <alignment vertical="center" wrapText="1"/>
    </xf>
    <xf numFmtId="165" fontId="61" fillId="4" borderId="1" xfId="80" applyNumberFormat="1" applyFont="1" applyFill="1" applyBorder="1" applyAlignment="1">
      <alignment horizontal="right" vertical="center" wrapText="1"/>
    </xf>
    <xf numFmtId="165" fontId="61" fillId="4" borderId="1" xfId="78" applyNumberFormat="1" applyFont="1" applyFill="1" applyBorder="1" applyAlignment="1">
      <alignment horizontal="right" vertical="center" wrapText="1"/>
    </xf>
    <xf numFmtId="4" fontId="58" fillId="4" borderId="16" xfId="14" applyNumberFormat="1" applyFont="1" applyFill="1" applyBorder="1" applyAlignment="1">
      <alignment horizontal="right" vertical="center" wrapText="1" shrinkToFit="1"/>
    </xf>
    <xf numFmtId="3" fontId="101" fillId="4" borderId="4" xfId="78" applyNumberFormat="1" applyFont="1" applyFill="1" applyBorder="1" applyAlignment="1">
      <alignment horizontal="center" vertical="center" wrapText="1"/>
    </xf>
    <xf numFmtId="4" fontId="61" fillId="4" borderId="4" xfId="78" applyNumberFormat="1" applyFont="1" applyFill="1" applyBorder="1" applyAlignment="1">
      <alignment horizontal="left" vertical="center" wrapText="1"/>
    </xf>
    <xf numFmtId="167" fontId="60" fillId="4" borderId="4" xfId="80" applyNumberFormat="1" applyFont="1" applyFill="1" applyBorder="1" applyAlignment="1">
      <alignment horizontal="right" vertical="center" wrapText="1"/>
    </xf>
    <xf numFmtId="167" fontId="60" fillId="4" borderId="4" xfId="80" applyNumberFormat="1" applyFont="1" applyFill="1" applyBorder="1" applyAlignment="1">
      <alignment horizontal="center" vertical="center" wrapText="1"/>
    </xf>
    <xf numFmtId="165" fontId="61" fillId="4" borderId="4" xfId="80" applyNumberFormat="1" applyFont="1" applyFill="1" applyBorder="1" applyAlignment="1">
      <alignment vertical="center" wrapText="1"/>
    </xf>
    <xf numFmtId="165" fontId="58" fillId="4" borderId="18" xfId="80" applyNumberFormat="1" applyFont="1" applyFill="1" applyBorder="1" applyAlignment="1">
      <alignment vertical="center" wrapText="1"/>
    </xf>
    <xf numFmtId="4" fontId="61" fillId="4" borderId="4" xfId="80" applyNumberFormat="1" applyFont="1" applyFill="1" applyBorder="1" applyAlignment="1">
      <alignment vertical="center" wrapText="1"/>
    </xf>
    <xf numFmtId="167" fontId="61" fillId="4" borderId="4" xfId="80" applyNumberFormat="1" applyFont="1" applyFill="1" applyBorder="1" applyAlignment="1">
      <alignment vertical="center" wrapText="1"/>
    </xf>
    <xf numFmtId="0" fontId="60" fillId="4" borderId="0" xfId="0" applyFont="1" applyFill="1" applyBorder="1" applyAlignment="1">
      <alignment vertical="center" wrapText="1"/>
    </xf>
    <xf numFmtId="3" fontId="58" fillId="4" borderId="1" xfId="78" applyNumberFormat="1" applyFont="1" applyFill="1" applyBorder="1" applyAlignment="1">
      <alignment horizontal="left" vertical="center" wrapText="1"/>
    </xf>
    <xf numFmtId="4" fontId="61" fillId="4" borderId="17" xfId="34" applyNumberFormat="1" applyFont="1" applyFill="1" applyBorder="1" applyAlignment="1">
      <alignment horizontal="left" vertical="center" wrapText="1" shrinkToFit="1"/>
    </xf>
    <xf numFmtId="3" fontId="58" fillId="4" borderId="19" xfId="78" applyNumberFormat="1" applyFont="1" applyFill="1" applyBorder="1" applyAlignment="1">
      <alignment horizontal="left" vertical="center" wrapText="1"/>
    </xf>
    <xf numFmtId="4" fontId="58" fillId="4" borderId="25" xfId="78" applyNumberFormat="1" applyFont="1" applyFill="1" applyBorder="1" applyAlignment="1">
      <alignment horizontal="right" vertical="center" wrapText="1"/>
    </xf>
    <xf numFmtId="4" fontId="58" fillId="4" borderId="25" xfId="78" applyNumberFormat="1" applyFont="1" applyFill="1" applyBorder="1" applyAlignment="1">
      <alignment horizontal="center" vertical="center" wrapText="1"/>
    </xf>
    <xf numFmtId="3" fontId="101" fillId="4" borderId="5" xfId="80" applyNumberFormat="1" applyFont="1" applyFill="1" applyBorder="1" applyAlignment="1">
      <alignment horizontal="center" vertical="center" wrapText="1"/>
    </xf>
    <xf numFmtId="4" fontId="61" fillId="4" borderId="5" xfId="34" applyNumberFormat="1" applyFont="1" applyFill="1" applyBorder="1" applyAlignment="1">
      <alignment horizontal="left" vertical="center" wrapText="1" shrinkToFit="1"/>
    </xf>
    <xf numFmtId="4" fontId="58" fillId="4" borderId="5" xfId="78" applyNumberFormat="1" applyFont="1" applyFill="1" applyBorder="1" applyAlignment="1">
      <alignment horizontal="right" vertical="center" wrapText="1"/>
    </xf>
    <xf numFmtId="4" fontId="58" fillId="4" borderId="5" xfId="78" applyNumberFormat="1" applyFont="1" applyFill="1" applyBorder="1" applyAlignment="1">
      <alignment horizontal="center" vertical="center" wrapText="1"/>
    </xf>
    <xf numFmtId="4" fontId="58" fillId="4" borderId="5" xfId="80" applyNumberFormat="1" applyFont="1" applyFill="1" applyBorder="1" applyAlignment="1">
      <alignment horizontal="right" vertical="center" wrapText="1"/>
    </xf>
    <xf numFmtId="165" fontId="58" fillId="4" borderId="5" xfId="80" applyNumberFormat="1" applyFont="1" applyFill="1" applyBorder="1" applyAlignment="1">
      <alignment horizontal="right" vertical="center" wrapText="1"/>
    </xf>
    <xf numFmtId="4" fontId="58" fillId="4" borderId="5" xfId="78" applyNumberFormat="1" applyFont="1" applyFill="1" applyBorder="1" applyAlignment="1">
      <alignment vertical="center" wrapText="1"/>
    </xf>
    <xf numFmtId="2" fontId="58" fillId="4" borderId="1" xfId="95" applyNumberFormat="1" applyFont="1" applyFill="1" applyBorder="1" applyAlignment="1">
      <alignment vertical="center" wrapText="1"/>
    </xf>
    <xf numFmtId="165" fontId="58" fillId="4" borderId="1" xfId="95" applyNumberFormat="1" applyFont="1" applyFill="1" applyBorder="1" applyAlignment="1">
      <alignment vertical="center" wrapText="1"/>
    </xf>
    <xf numFmtId="4" fontId="58" fillId="4" borderId="1" xfId="95" applyNumberFormat="1" applyFont="1" applyFill="1" applyBorder="1" applyAlignment="1">
      <alignment vertical="center" wrapText="1"/>
    </xf>
    <xf numFmtId="165" fontId="58" fillId="4" borderId="1" xfId="78" applyNumberFormat="1" applyFont="1" applyFill="1" applyBorder="1" applyAlignment="1">
      <alignment wrapText="1" shrinkToFit="1"/>
    </xf>
    <xf numFmtId="4" fontId="58" fillId="4" borderId="1" xfId="78" applyNumberFormat="1" applyFont="1" applyFill="1" applyBorder="1" applyAlignment="1">
      <alignment wrapText="1"/>
    </xf>
    <xf numFmtId="165" fontId="58" fillId="4" borderId="1" xfId="78" applyNumberFormat="1" applyFont="1" applyFill="1" applyBorder="1" applyAlignment="1">
      <alignment wrapText="1"/>
    </xf>
    <xf numFmtId="165" fontId="58" fillId="4" borderId="1" xfId="78" applyNumberFormat="1" applyFont="1" applyFill="1" applyBorder="1" applyAlignment="1">
      <alignment vertical="center" wrapText="1"/>
    </xf>
    <xf numFmtId="165" fontId="58" fillId="4" borderId="1" xfId="78" applyNumberFormat="1" applyFont="1" applyFill="1" applyBorder="1" applyAlignment="1">
      <alignment vertical="center" wrapText="1" shrinkToFit="1"/>
    </xf>
    <xf numFmtId="0" fontId="58" fillId="4" borderId="1" xfId="78" applyFont="1" applyFill="1" applyBorder="1" applyAlignment="1">
      <alignment vertical="center" wrapText="1"/>
    </xf>
    <xf numFmtId="0" fontId="58" fillId="4" borderId="1" xfId="95" applyFont="1" applyFill="1" applyBorder="1" applyAlignment="1">
      <alignment vertical="center" wrapText="1"/>
    </xf>
    <xf numFmtId="2" fontId="58" fillId="4" borderId="1" xfId="78" applyNumberFormat="1" applyFont="1" applyFill="1" applyBorder="1" applyAlignment="1">
      <alignment vertical="center" wrapText="1"/>
    </xf>
    <xf numFmtId="0" fontId="58" fillId="4" borderId="16" xfId="81" applyFont="1" applyFill="1" applyBorder="1" applyAlignment="1">
      <alignment horizontal="left" vertical="center" wrapText="1"/>
    </xf>
    <xf numFmtId="165" fontId="58" fillId="4" borderId="16" xfId="78" applyNumberFormat="1" applyFont="1" applyFill="1" applyBorder="1" applyAlignment="1">
      <alignment vertical="center" wrapText="1"/>
    </xf>
    <xf numFmtId="0" fontId="58" fillId="4" borderId="17" xfId="34" applyFont="1" applyFill="1" applyBorder="1" applyAlignment="1">
      <alignment vertical="center" wrapText="1" shrinkToFit="1"/>
    </xf>
    <xf numFmtId="167" fontId="100" fillId="4" borderId="1" xfId="80" applyNumberFormat="1" applyFont="1" applyFill="1" applyBorder="1" applyAlignment="1">
      <alignment horizontal="center" vertical="center" wrapText="1"/>
    </xf>
    <xf numFmtId="0" fontId="58" fillId="4" borderId="1" xfId="0" applyFont="1" applyFill="1" applyBorder="1" applyAlignment="1">
      <alignment horizontal="left" vertical="center" wrapText="1"/>
    </xf>
    <xf numFmtId="0" fontId="58" fillId="4" borderId="1" xfId="0" applyFont="1" applyFill="1" applyBorder="1" applyAlignment="1">
      <alignment horizontal="right" vertical="center" wrapText="1"/>
    </xf>
    <xf numFmtId="0" fontId="58" fillId="4" borderId="1" xfId="0" applyFont="1" applyFill="1" applyBorder="1" applyAlignment="1">
      <alignment horizontal="center" vertical="center" wrapText="1"/>
    </xf>
    <xf numFmtId="2" fontId="58" fillId="4" borderId="1" xfId="0" applyNumberFormat="1" applyFont="1" applyFill="1" applyBorder="1" applyAlignment="1">
      <alignment vertical="center" wrapText="1"/>
    </xf>
    <xf numFmtId="165" fontId="58" fillId="4" borderId="1" xfId="0" applyNumberFormat="1" applyFont="1" applyFill="1" applyBorder="1" applyAlignment="1">
      <alignment vertical="center" wrapText="1"/>
    </xf>
    <xf numFmtId="4" fontId="58" fillId="4" borderId="1" xfId="0" applyNumberFormat="1" applyFont="1" applyFill="1" applyBorder="1" applyAlignment="1">
      <alignment vertical="center" wrapText="1"/>
    </xf>
    <xf numFmtId="0" fontId="58" fillId="4" borderId="1" xfId="0" applyFont="1" applyFill="1" applyBorder="1" applyAlignment="1">
      <alignment vertical="center" wrapText="1"/>
    </xf>
    <xf numFmtId="0" fontId="58" fillId="4" borderId="16" xfId="0" applyFont="1" applyFill="1" applyBorder="1" applyAlignment="1">
      <alignment horizontal="left" vertical="center" wrapText="1"/>
    </xf>
    <xf numFmtId="0" fontId="58" fillId="4" borderId="16" xfId="0" applyFont="1" applyFill="1" applyBorder="1" applyAlignment="1">
      <alignment horizontal="right" vertical="center" wrapText="1"/>
    </xf>
    <xf numFmtId="0" fontId="58" fillId="4" borderId="16" xfId="0" applyFont="1" applyFill="1" applyBorder="1" applyAlignment="1">
      <alignment horizontal="center" vertical="center" wrapText="1"/>
    </xf>
    <xf numFmtId="2" fontId="58" fillId="4" borderId="25" xfId="0" applyNumberFormat="1" applyFont="1" applyFill="1" applyBorder="1" applyAlignment="1">
      <alignment vertical="center" wrapText="1"/>
    </xf>
    <xf numFmtId="165" fontId="58" fillId="4" borderId="16" xfId="0" applyNumberFormat="1" applyFont="1" applyFill="1" applyBorder="1" applyAlignment="1">
      <alignment vertical="center" wrapText="1"/>
    </xf>
    <xf numFmtId="4" fontId="58" fillId="4" borderId="16" xfId="0" applyNumberFormat="1" applyFont="1" applyFill="1" applyBorder="1" applyAlignment="1">
      <alignment vertical="center" wrapText="1"/>
    </xf>
    <xf numFmtId="0" fontId="58" fillId="4" borderId="16" xfId="0" applyFont="1" applyFill="1" applyBorder="1" applyAlignment="1">
      <alignment vertical="center" wrapText="1"/>
    </xf>
    <xf numFmtId="3" fontId="99" fillId="4" borderId="17" xfId="80" applyNumberFormat="1" applyFont="1" applyFill="1" applyBorder="1" applyAlignment="1">
      <alignment horizontal="center" vertical="center" wrapText="1"/>
    </xf>
    <xf numFmtId="3" fontId="100" fillId="4" borderId="25" xfId="80" applyNumberFormat="1" applyFont="1" applyFill="1" applyBorder="1" applyAlignment="1">
      <alignment horizontal="center" vertical="center" wrapText="1"/>
    </xf>
    <xf numFmtId="0" fontId="58" fillId="4" borderId="25" xfId="34" applyFont="1" applyFill="1" applyBorder="1" applyAlignment="1">
      <alignment horizontal="left" vertical="center" wrapText="1" shrinkToFit="1"/>
    </xf>
    <xf numFmtId="4" fontId="58" fillId="4" borderId="25" xfId="80" applyNumberFormat="1" applyFont="1" applyFill="1" applyBorder="1" applyAlignment="1">
      <alignment vertical="center" wrapText="1"/>
    </xf>
    <xf numFmtId="0" fontId="61" fillId="4" borderId="5" xfId="34" applyFont="1" applyFill="1" applyBorder="1" applyAlignment="1">
      <alignment horizontal="left" vertical="center" wrapText="1" shrinkToFit="1"/>
    </xf>
    <xf numFmtId="4" fontId="58" fillId="4" borderId="5" xfId="80" applyNumberFormat="1" applyFont="1" applyFill="1" applyBorder="1" applyAlignment="1">
      <alignment horizontal="center" vertical="center" wrapText="1"/>
    </xf>
    <xf numFmtId="167" fontId="58" fillId="4" borderId="5" xfId="80" applyNumberFormat="1" applyFont="1" applyFill="1" applyBorder="1" applyAlignment="1">
      <alignment vertical="center" wrapText="1"/>
    </xf>
    <xf numFmtId="3" fontId="100" fillId="4" borderId="16" xfId="78" applyNumberFormat="1" applyFont="1" applyFill="1" applyBorder="1" applyAlignment="1">
      <alignment horizontal="center" vertical="center" wrapText="1"/>
    </xf>
    <xf numFmtId="0" fontId="58" fillId="4" borderId="22" xfId="0" applyFont="1" applyFill="1" applyBorder="1" applyAlignment="1">
      <alignment vertical="center" wrapText="1"/>
    </xf>
    <xf numFmtId="167" fontId="100" fillId="4" borderId="13" xfId="80" applyNumberFormat="1" applyFont="1" applyFill="1" applyBorder="1" applyAlignment="1">
      <alignment horizontal="center" vertical="center" wrapText="1"/>
    </xf>
    <xf numFmtId="0" fontId="58" fillId="4" borderId="13" xfId="0" applyFont="1" applyFill="1" applyBorder="1" applyAlignment="1">
      <alignment horizontal="left" vertical="center" wrapText="1"/>
    </xf>
    <xf numFmtId="0" fontId="58" fillId="4" borderId="13" xfId="0" applyFont="1" applyFill="1" applyBorder="1" applyAlignment="1">
      <alignment horizontal="right" vertical="center" wrapText="1"/>
    </xf>
    <xf numFmtId="0" fontId="58" fillId="4" borderId="13" xfId="0" applyFont="1" applyFill="1" applyBorder="1" applyAlignment="1">
      <alignment horizontal="center" vertical="center" wrapText="1"/>
    </xf>
    <xf numFmtId="165" fontId="58" fillId="4" borderId="19" xfId="80" applyNumberFormat="1" applyFont="1" applyFill="1" applyBorder="1" applyAlignment="1">
      <alignment vertical="center" wrapText="1"/>
    </xf>
    <xf numFmtId="2" fontId="58" fillId="4" borderId="19" xfId="0" applyNumberFormat="1" applyFont="1" applyFill="1" applyBorder="1" applyAlignment="1">
      <alignment vertical="center" wrapText="1"/>
    </xf>
    <xf numFmtId="165" fontId="58" fillId="4" borderId="13" xfId="0" applyNumberFormat="1" applyFont="1" applyFill="1" applyBorder="1" applyAlignment="1">
      <alignment vertical="center" wrapText="1"/>
    </xf>
    <xf numFmtId="0" fontId="58" fillId="4" borderId="13" xfId="0" applyFont="1" applyFill="1" applyBorder="1" applyAlignment="1">
      <alignment vertical="center" wrapText="1"/>
    </xf>
    <xf numFmtId="167" fontId="101" fillId="4" borderId="17" xfId="80" applyNumberFormat="1" applyFont="1" applyFill="1" applyBorder="1" applyAlignment="1">
      <alignment horizontal="center" vertical="center" wrapText="1"/>
    </xf>
    <xf numFmtId="0" fontId="61" fillId="4" borderId="17" xfId="0" applyFont="1" applyFill="1" applyBorder="1" applyAlignment="1">
      <alignment horizontal="left" vertical="center" wrapText="1"/>
    </xf>
    <xf numFmtId="0" fontId="61" fillId="4" borderId="17" xfId="0" applyFont="1" applyFill="1" applyBorder="1" applyAlignment="1">
      <alignment horizontal="center" vertical="center" wrapText="1"/>
    </xf>
    <xf numFmtId="2" fontId="61" fillId="4" borderId="5" xfId="0" applyNumberFormat="1" applyFont="1" applyFill="1" applyBorder="1" applyAlignment="1">
      <alignment vertical="center" wrapText="1"/>
    </xf>
    <xf numFmtId="165" fontId="61" fillId="4" borderId="17" xfId="0" applyNumberFormat="1" applyFont="1" applyFill="1" applyBorder="1" applyAlignment="1">
      <alignment vertical="center" wrapText="1"/>
    </xf>
    <xf numFmtId="4" fontId="61" fillId="4" borderId="17" xfId="0" applyNumberFormat="1" applyFont="1" applyFill="1" applyBorder="1" applyAlignment="1">
      <alignment vertical="center" wrapText="1"/>
    </xf>
    <xf numFmtId="0" fontId="61" fillId="4" borderId="17" xfId="0" applyFont="1" applyFill="1" applyBorder="1" applyAlignment="1">
      <alignment vertical="center" wrapText="1"/>
    </xf>
    <xf numFmtId="0" fontId="61" fillId="4" borderId="1" xfId="34" applyFont="1" applyFill="1" applyBorder="1" applyAlignment="1">
      <alignment horizontal="left" vertical="center" wrapText="1"/>
    </xf>
    <xf numFmtId="167" fontId="61" fillId="4" borderId="1" xfId="80" applyNumberFormat="1" applyFont="1" applyFill="1" applyBorder="1" applyAlignment="1">
      <alignment horizontal="right" vertical="center" wrapText="1"/>
    </xf>
    <xf numFmtId="167" fontId="61" fillId="4" borderId="1" xfId="80" applyNumberFormat="1" applyFont="1" applyFill="1" applyBorder="1" applyAlignment="1">
      <alignment horizontal="center" vertical="center" wrapText="1"/>
    </xf>
    <xf numFmtId="4" fontId="61" fillId="4" borderId="1" xfId="80" applyNumberFormat="1" applyFont="1" applyFill="1" applyBorder="1" applyAlignment="1">
      <alignment vertical="center" wrapText="1"/>
    </xf>
    <xf numFmtId="167" fontId="61" fillId="4" borderId="1" xfId="80" applyNumberFormat="1" applyFont="1" applyFill="1" applyBorder="1" applyAlignment="1">
      <alignment vertical="center" wrapText="1"/>
    </xf>
    <xf numFmtId="2" fontId="58" fillId="4" borderId="1" xfId="0" applyNumberFormat="1" applyFont="1" applyFill="1" applyBorder="1" applyAlignment="1">
      <alignment horizontal="right" vertical="center" wrapText="1" shrinkToFit="1"/>
    </xf>
    <xf numFmtId="2" fontId="58" fillId="4" borderId="1" xfId="0" applyNumberFormat="1" applyFont="1" applyFill="1" applyBorder="1" applyAlignment="1">
      <alignment horizontal="center" vertical="center" wrapText="1" shrinkToFit="1"/>
    </xf>
    <xf numFmtId="0" fontId="58" fillId="4" borderId="1" xfId="92" applyFont="1" applyFill="1" applyBorder="1" applyAlignment="1">
      <alignment horizontal="left" vertical="center" wrapText="1"/>
    </xf>
    <xf numFmtId="0" fontId="58" fillId="4" borderId="1" xfId="92" applyFont="1" applyFill="1" applyBorder="1" applyAlignment="1">
      <alignment horizontal="right" vertical="center" wrapText="1"/>
    </xf>
    <xf numFmtId="0" fontId="58" fillId="4" borderId="1" xfId="92" applyFont="1" applyFill="1" applyBorder="1" applyAlignment="1">
      <alignment horizontal="center" vertical="center" wrapText="1"/>
    </xf>
    <xf numFmtId="2" fontId="58" fillId="4" borderId="1" xfId="92" applyNumberFormat="1" applyFont="1" applyFill="1" applyBorder="1" applyAlignment="1">
      <alignment vertical="center" wrapText="1"/>
    </xf>
    <xf numFmtId="165" fontId="58" fillId="4" borderId="1" xfId="92" applyNumberFormat="1" applyFont="1" applyFill="1" applyBorder="1" applyAlignment="1">
      <alignment vertical="center" wrapText="1"/>
    </xf>
    <xf numFmtId="4" fontId="58" fillId="4" borderId="1" xfId="92" applyNumberFormat="1" applyFont="1" applyFill="1" applyBorder="1" applyAlignment="1">
      <alignment vertical="center" wrapText="1"/>
    </xf>
    <xf numFmtId="0" fontId="58" fillId="4" borderId="1" xfId="92" applyFont="1" applyFill="1" applyBorder="1" applyAlignment="1">
      <alignment vertical="center" wrapText="1"/>
    </xf>
    <xf numFmtId="0" fontId="61" fillId="4" borderId="5" xfId="34" applyFont="1" applyFill="1" applyBorder="1" applyAlignment="1">
      <alignment horizontal="left" vertical="center" wrapText="1"/>
    </xf>
    <xf numFmtId="167" fontId="61" fillId="4" borderId="5" xfId="80" applyNumberFormat="1" applyFont="1" applyFill="1" applyBorder="1" applyAlignment="1">
      <alignment horizontal="right" vertical="center" wrapText="1"/>
    </xf>
    <xf numFmtId="167" fontId="61" fillId="4" borderId="5" xfId="80" applyNumberFormat="1" applyFont="1" applyFill="1" applyBorder="1" applyAlignment="1">
      <alignment horizontal="center" vertical="center" wrapText="1"/>
    </xf>
    <xf numFmtId="4" fontId="61" fillId="4" borderId="5" xfId="80" applyNumberFormat="1" applyFont="1" applyFill="1" applyBorder="1" applyAlignment="1">
      <alignment vertical="center" wrapText="1"/>
    </xf>
    <xf numFmtId="167" fontId="61" fillId="4" borderId="5" xfId="80" applyNumberFormat="1" applyFont="1" applyFill="1" applyBorder="1" applyAlignment="1">
      <alignment vertical="center" wrapText="1"/>
    </xf>
    <xf numFmtId="167" fontId="58" fillId="4" borderId="25" xfId="80" applyNumberFormat="1" applyFont="1" applyFill="1" applyBorder="1" applyAlignment="1">
      <alignment horizontal="right" vertical="center" wrapText="1"/>
    </xf>
    <xf numFmtId="167" fontId="58" fillId="4" borderId="25" xfId="80" applyNumberFormat="1" applyFont="1" applyFill="1" applyBorder="1" applyAlignment="1">
      <alignment horizontal="center" vertical="center" wrapText="1"/>
    </xf>
    <xf numFmtId="0" fontId="101" fillId="4" borderId="5" xfId="0" applyFont="1" applyFill="1" applyBorder="1" applyAlignment="1">
      <alignment horizontal="center" vertical="center" wrapText="1"/>
    </xf>
    <xf numFmtId="0" fontId="61" fillId="4" borderId="5" xfId="92" applyFont="1" applyFill="1" applyBorder="1" applyAlignment="1">
      <alignment horizontal="left" vertical="center" wrapText="1"/>
    </xf>
    <xf numFmtId="0" fontId="61" fillId="4" borderId="5" xfId="92" applyFont="1" applyFill="1" applyBorder="1" applyAlignment="1">
      <alignment horizontal="right" vertical="center" wrapText="1"/>
    </xf>
    <xf numFmtId="0" fontId="61" fillId="4" borderId="5" xfId="92" applyFont="1" applyFill="1" applyBorder="1" applyAlignment="1">
      <alignment horizontal="center" vertical="center" wrapText="1"/>
    </xf>
    <xf numFmtId="2" fontId="61" fillId="4" borderId="5" xfId="92" applyNumberFormat="1" applyFont="1" applyFill="1" applyBorder="1" applyAlignment="1">
      <alignment vertical="center" wrapText="1"/>
    </xf>
    <xf numFmtId="165" fontId="61" fillId="4" borderId="5" xfId="92" applyNumberFormat="1" applyFont="1" applyFill="1" applyBorder="1" applyAlignment="1">
      <alignment vertical="center" wrapText="1"/>
    </xf>
    <xf numFmtId="4" fontId="61" fillId="4" borderId="5" xfId="92" applyNumberFormat="1" applyFont="1" applyFill="1" applyBorder="1" applyAlignment="1">
      <alignment vertical="center" wrapText="1"/>
    </xf>
    <xf numFmtId="0" fontId="61" fillId="4" borderId="5" xfId="92" applyFont="1" applyFill="1" applyBorder="1" applyAlignment="1">
      <alignment vertical="center" wrapText="1"/>
    </xf>
    <xf numFmtId="0" fontId="61" fillId="4" borderId="0" xfId="0" applyFont="1" applyFill="1" applyBorder="1"/>
    <xf numFmtId="0" fontId="61" fillId="4" borderId="5" xfId="0" applyFont="1" applyFill="1" applyBorder="1" applyAlignment="1">
      <alignment horizontal="left" vertical="center" wrapText="1"/>
    </xf>
    <xf numFmtId="167" fontId="101" fillId="4" borderId="5" xfId="80" applyNumberFormat="1" applyFont="1" applyFill="1" applyBorder="1" applyAlignment="1">
      <alignment horizontal="center" vertical="center" wrapText="1"/>
    </xf>
    <xf numFmtId="0" fontId="61" fillId="4" borderId="5" xfId="0" applyFont="1" applyFill="1" applyBorder="1" applyAlignment="1">
      <alignment horizontal="right" vertical="center" wrapText="1"/>
    </xf>
    <xf numFmtId="0" fontId="61" fillId="4" borderId="5" xfId="0" applyFont="1" applyFill="1" applyBorder="1" applyAlignment="1">
      <alignment horizontal="center" vertical="center" wrapText="1"/>
    </xf>
    <xf numFmtId="165" fontId="61" fillId="4" borderId="5" xfId="0" applyNumberFormat="1" applyFont="1" applyFill="1" applyBorder="1" applyAlignment="1">
      <alignment vertical="center" wrapText="1"/>
    </xf>
    <xf numFmtId="4" fontId="61" fillId="4" borderId="5" xfId="0" applyNumberFormat="1" applyFont="1" applyFill="1" applyBorder="1" applyAlignment="1">
      <alignment vertical="center" wrapText="1"/>
    </xf>
    <xf numFmtId="0" fontId="61" fillId="4" borderId="5" xfId="0" applyFont="1" applyFill="1" applyBorder="1" applyAlignment="1">
      <alignment vertical="center" wrapText="1"/>
    </xf>
    <xf numFmtId="4" fontId="58" fillId="4" borderId="25" xfId="0" applyNumberFormat="1" applyFont="1" applyFill="1" applyBorder="1" applyAlignment="1">
      <alignment horizontal="left" vertical="center" wrapText="1"/>
    </xf>
    <xf numFmtId="2" fontId="58" fillId="4" borderId="25" xfId="0" applyNumberFormat="1" applyFont="1" applyFill="1" applyBorder="1" applyAlignment="1">
      <alignment horizontal="right" vertical="center" wrapText="1" shrinkToFit="1"/>
    </xf>
    <xf numFmtId="2" fontId="58" fillId="4" borderId="25" xfId="0" applyNumberFormat="1" applyFont="1" applyFill="1" applyBorder="1" applyAlignment="1">
      <alignment horizontal="center" vertical="center" wrapText="1" shrinkToFit="1"/>
    </xf>
    <xf numFmtId="2" fontId="58" fillId="4" borderId="25" xfId="0" applyNumberFormat="1" applyFont="1" applyFill="1" applyBorder="1" applyAlignment="1">
      <alignment vertical="center" wrapText="1" shrinkToFit="1"/>
    </xf>
    <xf numFmtId="0" fontId="58" fillId="4" borderId="25" xfId="34" applyFont="1" applyFill="1" applyBorder="1" applyAlignment="1">
      <alignment vertical="center" wrapText="1" shrinkToFit="1"/>
    </xf>
    <xf numFmtId="4" fontId="61" fillId="4" borderId="5" xfId="0" applyNumberFormat="1" applyFont="1" applyFill="1" applyBorder="1" applyAlignment="1">
      <alignment horizontal="left" vertical="center" wrapText="1"/>
    </xf>
    <xf numFmtId="2" fontId="61" fillId="4" borderId="5" xfId="0" applyNumberFormat="1" applyFont="1" applyFill="1" applyBorder="1" applyAlignment="1">
      <alignment horizontal="right" vertical="center" wrapText="1" shrinkToFit="1"/>
    </xf>
    <xf numFmtId="2" fontId="61" fillId="4" borderId="5" xfId="0" applyNumberFormat="1" applyFont="1" applyFill="1" applyBorder="1" applyAlignment="1">
      <alignment horizontal="center" vertical="center" wrapText="1" shrinkToFit="1"/>
    </xf>
    <xf numFmtId="2" fontId="61" fillId="4" borderId="5" xfId="0" applyNumberFormat="1" applyFont="1" applyFill="1" applyBorder="1" applyAlignment="1">
      <alignment vertical="center" wrapText="1" shrinkToFit="1"/>
    </xf>
    <xf numFmtId="0" fontId="61" fillId="4" borderId="5" xfId="34" applyFont="1" applyFill="1" applyBorder="1" applyAlignment="1">
      <alignment vertical="center" wrapText="1" shrinkToFit="1"/>
    </xf>
    <xf numFmtId="0" fontId="58" fillId="4" borderId="25" xfId="86" applyFont="1" applyFill="1" applyBorder="1" applyAlignment="1">
      <alignment horizontal="left" vertical="center" wrapText="1"/>
    </xf>
    <xf numFmtId="0" fontId="58" fillId="4" borderId="25" xfId="86" applyFont="1" applyFill="1" applyBorder="1" applyAlignment="1">
      <alignment horizontal="right" vertical="center" wrapText="1"/>
    </xf>
    <xf numFmtId="0" fontId="58" fillId="4" borderId="25" xfId="86" applyFont="1" applyFill="1" applyBorder="1" applyAlignment="1">
      <alignment horizontal="center" vertical="center" wrapText="1"/>
    </xf>
    <xf numFmtId="2" fontId="58" fillId="4" borderId="25" xfId="86" applyNumberFormat="1" applyFont="1" applyFill="1" applyBorder="1" applyAlignment="1">
      <alignment vertical="center" wrapText="1"/>
    </xf>
    <xf numFmtId="165" fontId="58" fillId="4" borderId="25" xfId="86" applyNumberFormat="1" applyFont="1" applyFill="1" applyBorder="1" applyAlignment="1">
      <alignment vertical="center" wrapText="1"/>
    </xf>
    <xf numFmtId="4" fontId="58" fillId="4" borderId="25" xfId="86" applyNumberFormat="1" applyFont="1" applyFill="1" applyBorder="1" applyAlignment="1">
      <alignment vertical="center" wrapText="1"/>
    </xf>
    <xf numFmtId="165" fontId="61" fillId="4" borderId="25" xfId="86" applyNumberFormat="1" applyFont="1" applyFill="1" applyBorder="1" applyAlignment="1">
      <alignment vertical="center" wrapText="1"/>
    </xf>
    <xf numFmtId="0" fontId="58" fillId="4" borderId="25" xfId="86" applyFont="1" applyFill="1" applyBorder="1" applyAlignment="1">
      <alignment vertical="center" wrapText="1"/>
    </xf>
    <xf numFmtId="0" fontId="58" fillId="4" borderId="5" xfId="34" applyFont="1" applyFill="1" applyBorder="1" applyAlignment="1">
      <alignment vertical="center" wrapText="1" shrinkToFit="1"/>
    </xf>
    <xf numFmtId="0" fontId="99" fillId="4" borderId="4" xfId="0" applyFont="1" applyFill="1" applyBorder="1" applyAlignment="1">
      <alignment horizontal="center" vertical="center" wrapText="1"/>
    </xf>
    <xf numFmtId="0" fontId="59" fillId="4" borderId="4" xfId="0" applyFont="1" applyFill="1" applyBorder="1" applyAlignment="1">
      <alignment horizontal="left" vertical="center" wrapText="1"/>
    </xf>
    <xf numFmtId="0" fontId="59" fillId="4" borderId="4" xfId="0" applyFont="1" applyFill="1" applyBorder="1" applyAlignment="1">
      <alignment horizontal="center" vertical="center" wrapText="1"/>
    </xf>
    <xf numFmtId="0" fontId="58" fillId="4" borderId="4" xfId="0" applyFont="1" applyFill="1" applyBorder="1" applyAlignment="1">
      <alignment horizontal="center" vertical="center" wrapText="1"/>
    </xf>
    <xf numFmtId="43" fontId="99" fillId="4" borderId="4" xfId="174" applyFont="1" applyFill="1" applyBorder="1" applyAlignment="1">
      <alignment vertical="center" wrapText="1"/>
    </xf>
    <xf numFmtId="165" fontId="99" fillId="4" borderId="4" xfId="80" applyNumberFormat="1" applyFont="1" applyFill="1" applyBorder="1" applyAlignment="1">
      <alignment vertical="center" wrapText="1"/>
    </xf>
    <xf numFmtId="0" fontId="58" fillId="4" borderId="4" xfId="0" applyFont="1" applyFill="1" applyBorder="1" applyAlignment="1">
      <alignment vertical="center" wrapText="1"/>
    </xf>
    <xf numFmtId="43" fontId="58" fillId="4" borderId="0" xfId="0" applyNumberFormat="1" applyFont="1" applyFill="1" applyBorder="1" applyAlignment="1">
      <alignment vertical="center" wrapText="1"/>
    </xf>
    <xf numFmtId="3" fontId="58" fillId="4" borderId="0" xfId="0" applyNumberFormat="1" applyFont="1" applyFill="1" applyBorder="1" applyAlignment="1">
      <alignment horizontal="left" vertical="center" wrapText="1"/>
    </xf>
    <xf numFmtId="3" fontId="58" fillId="4" borderId="0" xfId="0" applyNumberFormat="1" applyFont="1" applyFill="1" applyBorder="1" applyAlignment="1">
      <alignment vertical="center" wrapText="1"/>
    </xf>
    <xf numFmtId="4" fontId="58" fillId="4" borderId="0" xfId="0" applyNumberFormat="1" applyFont="1" applyFill="1" applyBorder="1" applyAlignment="1">
      <alignment vertical="center" wrapText="1"/>
    </xf>
    <xf numFmtId="4" fontId="76" fillId="4" borderId="0" xfId="95" applyNumberFormat="1" applyFont="1" applyFill="1"/>
    <xf numFmtId="4" fontId="65" fillId="4" borderId="0" xfId="95" applyNumberFormat="1" applyFont="1" applyFill="1"/>
    <xf numFmtId="4" fontId="12" fillId="4" borderId="16" xfId="12" applyNumberFormat="1" applyFont="1" applyFill="1" applyBorder="1" applyAlignment="1">
      <alignment horizontal="right" vertical="center" wrapText="1"/>
    </xf>
    <xf numFmtId="4" fontId="12" fillId="4" borderId="16" xfId="12" applyNumberFormat="1" applyFont="1" applyFill="1" applyBorder="1" applyAlignment="1">
      <alignment horizontal="right" vertical="center"/>
    </xf>
    <xf numFmtId="0" fontId="70" fillId="0" borderId="4" xfId="0" applyFont="1" applyBorder="1" applyAlignment="1">
      <alignment horizontal="center" vertical="center"/>
    </xf>
    <xf numFmtId="49" fontId="9" fillId="4" borderId="4" xfId="0" applyNumberFormat="1" applyFont="1" applyFill="1" applyBorder="1" applyAlignment="1">
      <alignment vertical="center" wrapText="1"/>
    </xf>
    <xf numFmtId="3" fontId="9" fillId="4" borderId="4" xfId="78" applyNumberFormat="1" applyFont="1" applyFill="1" applyBorder="1" applyAlignment="1">
      <alignment horizontal="center" vertical="center" wrapText="1"/>
    </xf>
    <xf numFmtId="4" fontId="9" fillId="4" borderId="4" xfId="78" applyNumberFormat="1" applyFont="1" applyFill="1" applyBorder="1" applyAlignment="1">
      <alignment vertical="center" wrapText="1"/>
    </xf>
    <xf numFmtId="4" fontId="9" fillId="4" borderId="4" xfId="78" applyNumberFormat="1" applyFont="1" applyFill="1" applyBorder="1" applyAlignment="1">
      <alignment horizontal="center" vertical="center" wrapText="1"/>
    </xf>
    <xf numFmtId="4" fontId="9" fillId="4" borderId="4" xfId="78" applyNumberFormat="1" applyFont="1" applyFill="1" applyBorder="1" applyAlignment="1">
      <alignment horizontal="right" vertical="center" wrapText="1"/>
    </xf>
    <xf numFmtId="4" fontId="9" fillId="4" borderId="4" xfId="78" applyNumberFormat="1" applyFont="1" applyFill="1" applyBorder="1" applyAlignment="1">
      <alignment horizontal="left" vertical="center" wrapText="1"/>
    </xf>
    <xf numFmtId="3" fontId="12" fillId="4" borderId="4" xfId="80" applyNumberFormat="1" applyFont="1" applyFill="1" applyBorder="1" applyAlignment="1">
      <alignment horizontal="center" vertical="center" wrapText="1"/>
    </xf>
    <xf numFmtId="4" fontId="12" fillId="4" borderId="4" xfId="80" applyNumberFormat="1" applyFont="1" applyFill="1" applyBorder="1" applyAlignment="1">
      <alignment horizontal="center" vertical="center" wrapText="1"/>
    </xf>
    <xf numFmtId="4" fontId="9" fillId="4" borderId="4" xfId="80" applyNumberFormat="1" applyFont="1" applyFill="1" applyBorder="1" applyAlignment="1">
      <alignment horizontal="center" vertical="center" wrapText="1"/>
    </xf>
    <xf numFmtId="4" fontId="12" fillId="4" borderId="4" xfId="80" applyNumberFormat="1" applyFont="1" applyFill="1" applyBorder="1" applyAlignment="1">
      <alignment horizontal="left" vertical="center" wrapText="1"/>
    </xf>
    <xf numFmtId="4" fontId="12" fillId="4" borderId="4" xfId="80" applyNumberFormat="1" applyFont="1" applyFill="1" applyBorder="1" applyAlignment="1">
      <alignment vertical="center" wrapText="1"/>
    </xf>
    <xf numFmtId="4" fontId="12" fillId="4" borderId="4" xfId="80" applyNumberFormat="1" applyFont="1" applyFill="1" applyBorder="1" applyAlignment="1">
      <alignment horizontal="right" vertical="center" wrapText="1"/>
    </xf>
    <xf numFmtId="4" fontId="9" fillId="4" borderId="4" xfId="14" applyNumberFormat="1" applyFont="1" applyFill="1" applyBorder="1" applyAlignment="1">
      <alignment horizontal="right" vertical="center" wrapText="1" shrinkToFit="1"/>
    </xf>
    <xf numFmtId="4" fontId="9" fillId="4" borderId="4" xfId="80" applyNumberFormat="1" applyFont="1" applyFill="1" applyBorder="1" applyAlignment="1">
      <alignment horizontal="left" vertical="center" wrapText="1"/>
    </xf>
    <xf numFmtId="3" fontId="24" fillId="4" borderId="4" xfId="80" applyNumberFormat="1" applyFont="1" applyFill="1" applyBorder="1" applyAlignment="1">
      <alignment horizontal="center" vertical="center" wrapText="1"/>
    </xf>
    <xf numFmtId="4" fontId="24" fillId="4" borderId="4" xfId="80" applyNumberFormat="1" applyFont="1" applyFill="1" applyBorder="1" applyAlignment="1">
      <alignment vertical="center" wrapText="1"/>
    </xf>
    <xf numFmtId="4" fontId="9" fillId="4" borderId="4" xfId="34" applyNumberFormat="1" applyFont="1" applyFill="1" applyBorder="1" applyAlignment="1">
      <alignment horizontal="left" vertical="center" wrapText="1"/>
    </xf>
    <xf numFmtId="4" fontId="9" fillId="4" borderId="4" xfId="34" applyNumberFormat="1" applyFont="1" applyFill="1" applyBorder="1" applyAlignment="1">
      <alignment horizontal="left" vertical="center" wrapText="1" shrinkToFit="1"/>
    </xf>
    <xf numFmtId="0" fontId="9" fillId="4" borderId="4" xfId="0" applyFont="1" applyFill="1" applyBorder="1" applyAlignment="1">
      <alignment vertical="center" wrapText="1"/>
    </xf>
    <xf numFmtId="4" fontId="9" fillId="4" borderId="4" xfId="34" applyNumberFormat="1" applyFont="1" applyFill="1" applyBorder="1" applyAlignment="1">
      <alignment vertical="center" wrapText="1" shrinkToFit="1"/>
    </xf>
    <xf numFmtId="0" fontId="24" fillId="4" borderId="4" xfId="34" applyFont="1" applyFill="1" applyBorder="1" applyAlignment="1">
      <alignment horizontal="center" vertical="center" wrapText="1"/>
    </xf>
    <xf numFmtId="4" fontId="24" fillId="4" borderId="4" xfId="34" applyNumberFormat="1" applyFont="1" applyFill="1" applyBorder="1" applyAlignment="1">
      <alignment vertical="center" wrapText="1"/>
    </xf>
    <xf numFmtId="4" fontId="24" fillId="4" borderId="4" xfId="80" applyNumberFormat="1" applyFont="1" applyFill="1" applyBorder="1" applyAlignment="1">
      <alignment horizontal="center" vertical="center" wrapText="1"/>
    </xf>
    <xf numFmtId="4" fontId="24" fillId="4" borderId="4" xfId="34" applyNumberFormat="1" applyFont="1" applyFill="1" applyBorder="1" applyAlignment="1">
      <alignment horizontal="left" vertical="center" wrapText="1"/>
    </xf>
    <xf numFmtId="0" fontId="9" fillId="4" borderId="4" xfId="34" applyFont="1" applyFill="1" applyBorder="1" applyAlignment="1">
      <alignment horizontal="left" vertical="center" wrapText="1" shrinkToFit="1"/>
    </xf>
    <xf numFmtId="4" fontId="9" fillId="4" borderId="4" xfId="91" applyNumberFormat="1" applyFont="1" applyFill="1" applyBorder="1" applyAlignment="1">
      <alignment horizontal="center" vertical="center" wrapText="1"/>
    </xf>
    <xf numFmtId="4" fontId="9" fillId="4" borderId="4" xfId="92" applyNumberFormat="1" applyFont="1" applyFill="1" applyBorder="1" applyAlignment="1">
      <alignment horizontal="left" vertical="center" wrapText="1"/>
    </xf>
    <xf numFmtId="1" fontId="9" fillId="4" borderId="4" xfId="92" applyNumberFormat="1" applyFont="1" applyFill="1" applyBorder="1" applyAlignment="1">
      <alignment horizontal="center" vertical="center" wrapText="1"/>
    </xf>
    <xf numFmtId="4" fontId="12" fillId="4" borderId="4" xfId="34" applyNumberFormat="1" applyFont="1" applyFill="1" applyBorder="1" applyAlignment="1">
      <alignment horizontal="right" vertical="center" wrapText="1"/>
    </xf>
    <xf numFmtId="4" fontId="12" fillId="4" borderId="4" xfId="34" applyNumberFormat="1" applyFont="1" applyFill="1" applyBorder="1" applyAlignment="1">
      <alignment horizontal="left" vertical="center" wrapText="1"/>
    </xf>
    <xf numFmtId="0" fontId="9" fillId="4" borderId="0" xfId="34" applyFont="1" applyFill="1" applyAlignment="1">
      <alignment horizontal="center" vertical="center" wrapText="1"/>
    </xf>
    <xf numFmtId="0" fontId="9" fillId="4" borderId="0" xfId="34" applyFont="1" applyFill="1"/>
    <xf numFmtId="0" fontId="9" fillId="4" borderId="0" xfId="34" applyFont="1" applyFill="1" applyAlignment="1">
      <alignment vertical="center"/>
    </xf>
    <xf numFmtId="0" fontId="9" fillId="4" borderId="0" xfId="34" applyFont="1" applyFill="1" applyAlignment="1">
      <alignment horizontal="center"/>
    </xf>
    <xf numFmtId="167" fontId="9" fillId="4" borderId="4" xfId="78" applyNumberFormat="1" applyFont="1" applyFill="1" applyBorder="1" applyAlignment="1">
      <alignment horizontal="center" vertical="center" wrapText="1"/>
    </xf>
    <xf numFmtId="167" fontId="9" fillId="4" borderId="0" xfId="34" applyNumberFormat="1" applyFont="1" applyFill="1" applyAlignment="1">
      <alignment horizontal="center" vertical="center"/>
    </xf>
    <xf numFmtId="181" fontId="9" fillId="4" borderId="4" xfId="78" applyNumberFormat="1" applyFont="1" applyFill="1" applyBorder="1" applyAlignment="1">
      <alignment horizontal="right" vertical="center" wrapText="1"/>
    </xf>
    <xf numFmtId="4" fontId="12" fillId="4" borderId="4" xfId="46" applyNumberFormat="1" applyFont="1" applyFill="1" applyBorder="1" applyAlignment="1">
      <alignment horizontal="center" vertical="center" wrapText="1"/>
    </xf>
    <xf numFmtId="181" fontId="12" fillId="4" borderId="4" xfId="80" applyNumberFormat="1" applyFont="1" applyFill="1" applyBorder="1" applyAlignment="1">
      <alignment horizontal="right" vertical="center" wrapText="1"/>
    </xf>
    <xf numFmtId="181" fontId="9" fillId="4" borderId="4" xfId="80" applyNumberFormat="1" applyFont="1" applyFill="1" applyBorder="1" applyAlignment="1">
      <alignment horizontal="right" vertical="center" wrapText="1"/>
    </xf>
    <xf numFmtId="4" fontId="9" fillId="4" borderId="4" xfId="80" applyNumberFormat="1" applyFont="1" applyFill="1" applyBorder="1" applyAlignment="1">
      <alignment horizontal="right" vertical="center" wrapText="1"/>
    </xf>
    <xf numFmtId="4" fontId="9" fillId="4" borderId="4" xfId="82" applyNumberFormat="1" applyFont="1" applyFill="1" applyBorder="1" applyAlignment="1">
      <alignment horizontal="right" vertical="center" wrapText="1"/>
    </xf>
    <xf numFmtId="4" fontId="9" fillId="4" borderId="4" xfId="83" applyNumberFormat="1" applyFont="1" applyFill="1" applyBorder="1" applyAlignment="1">
      <alignment horizontal="left" vertical="center" wrapText="1"/>
    </xf>
    <xf numFmtId="181" fontId="9" fillId="4" borderId="4" xfId="81" applyNumberFormat="1" applyFont="1" applyFill="1" applyBorder="1" applyAlignment="1">
      <alignment horizontal="right" vertical="center" wrapText="1"/>
    </xf>
    <xf numFmtId="0" fontId="9" fillId="4" borderId="4" xfId="91" applyFont="1" applyFill="1" applyBorder="1" applyAlignment="1">
      <alignment horizontal="left" vertical="center" wrapText="1"/>
    </xf>
    <xf numFmtId="4" fontId="9" fillId="4" borderId="4" xfId="81" applyNumberFormat="1" applyFont="1" applyFill="1" applyBorder="1" applyAlignment="1">
      <alignment horizontal="right" vertical="center" wrapText="1"/>
    </xf>
    <xf numFmtId="0" fontId="23" fillId="4" borderId="0" xfId="34" applyFont="1" applyFill="1"/>
    <xf numFmtId="181" fontId="24" fillId="4" borderId="4" xfId="81" applyNumberFormat="1" applyFont="1" applyFill="1" applyBorder="1" applyAlignment="1">
      <alignment horizontal="right" vertical="center" wrapText="1"/>
    </xf>
    <xf numFmtId="4" fontId="24" fillId="4" borderId="4" xfId="80" applyNumberFormat="1" applyFont="1" applyFill="1" applyBorder="1" applyAlignment="1">
      <alignment horizontal="right" vertical="center" wrapText="1"/>
    </xf>
    <xf numFmtId="4" fontId="24" fillId="4" borderId="4" xfId="78" applyNumberFormat="1" applyFont="1" applyFill="1" applyBorder="1" applyAlignment="1">
      <alignment horizontal="right" vertical="center" wrapText="1"/>
    </xf>
    <xf numFmtId="0" fontId="24" fillId="4" borderId="0" xfId="34" applyFont="1" applyFill="1"/>
    <xf numFmtId="0" fontId="9" fillId="4" borderId="0" xfId="34" applyFont="1" applyFill="1" applyAlignment="1">
      <alignment vertical="center" wrapText="1"/>
    </xf>
    <xf numFmtId="181" fontId="12" fillId="4" borderId="4" xfId="34" applyNumberFormat="1" applyFont="1" applyFill="1" applyBorder="1" applyAlignment="1">
      <alignment horizontal="right" vertical="center" wrapText="1"/>
    </xf>
    <xf numFmtId="3" fontId="9" fillId="4" borderId="40" xfId="34" applyNumberFormat="1" applyFont="1" applyFill="1" applyBorder="1" applyAlignment="1">
      <alignment vertical="center"/>
    </xf>
    <xf numFmtId="0" fontId="9" fillId="4" borderId="0" xfId="34" applyFont="1" applyFill="1" applyAlignment="1">
      <alignment horizontal="right"/>
    </xf>
    <xf numFmtId="181" fontId="9" fillId="4" borderId="0" xfId="34" applyNumberFormat="1" applyFont="1" applyFill="1" applyAlignment="1">
      <alignment horizontal="right"/>
    </xf>
    <xf numFmtId="0" fontId="9" fillId="4" borderId="0" xfId="34" applyFont="1" applyFill="1" applyAlignment="1">
      <alignment horizontal="left"/>
    </xf>
    <xf numFmtId="3" fontId="9" fillId="4" borderId="0" xfId="34" applyNumberFormat="1" applyFont="1" applyFill="1" applyBorder="1" applyAlignment="1">
      <alignment vertical="center"/>
    </xf>
    <xf numFmtId="3" fontId="9" fillId="4" borderId="0" xfId="34" applyNumberFormat="1" applyFont="1" applyFill="1" applyAlignment="1">
      <alignment vertical="center"/>
    </xf>
    <xf numFmtId="3" fontId="9" fillId="4" borderId="0" xfId="34" applyNumberFormat="1" applyFont="1" applyFill="1" applyAlignment="1">
      <alignment horizontal="center"/>
    </xf>
    <xf numFmtId="4" fontId="9" fillId="4" borderId="0" xfId="34" applyNumberFormat="1" applyFont="1" applyFill="1" applyAlignment="1">
      <alignment horizontal="right"/>
    </xf>
    <xf numFmtId="0" fontId="9" fillId="4" borderId="0" xfId="34" applyFont="1" applyFill="1" applyBorder="1" applyAlignment="1">
      <alignment horizontal="center" wrapText="1"/>
    </xf>
    <xf numFmtId="4" fontId="9" fillId="4" borderId="0" xfId="34" applyNumberFormat="1" applyFont="1" applyFill="1" applyAlignment="1">
      <alignment vertical="center"/>
    </xf>
    <xf numFmtId="0" fontId="12" fillId="4" borderId="0" xfId="34" applyFont="1" applyFill="1" applyBorder="1" applyAlignment="1">
      <alignment horizontal="center"/>
    </xf>
    <xf numFmtId="37" fontId="9" fillId="4" borderId="4" xfId="78" applyNumberFormat="1" applyFont="1" applyFill="1" applyBorder="1" applyAlignment="1">
      <alignment horizontal="center" vertical="center" wrapText="1"/>
    </xf>
    <xf numFmtId="0" fontId="12" fillId="4" borderId="4" xfId="34" applyFont="1" applyFill="1" applyBorder="1" applyAlignment="1">
      <alignment vertical="center" wrapText="1"/>
    </xf>
    <xf numFmtId="0" fontId="9" fillId="4" borderId="4" xfId="34" applyFont="1" applyFill="1" applyBorder="1" applyAlignment="1">
      <alignment horizontal="center" vertical="center" wrapText="1"/>
    </xf>
    <xf numFmtId="4" fontId="9" fillId="4" borderId="4" xfId="34" applyNumberFormat="1" applyFont="1" applyFill="1" applyBorder="1" applyAlignment="1">
      <alignment vertical="center" wrapText="1"/>
    </xf>
    <xf numFmtId="165" fontId="10" fillId="4" borderId="0" xfId="0" applyNumberFormat="1" applyFont="1" applyFill="1" applyBorder="1" applyAlignment="1">
      <alignment horizontal="center" vertical="top" wrapText="1"/>
    </xf>
    <xf numFmtId="0" fontId="9" fillId="4" borderId="4" xfId="34" applyFont="1" applyFill="1" applyBorder="1" applyAlignment="1">
      <alignment horizontal="center" vertical="center" wrapText="1"/>
    </xf>
    <xf numFmtId="4" fontId="9" fillId="4" borderId="4" xfId="34" applyNumberFormat="1" applyFont="1" applyFill="1" applyBorder="1" applyAlignment="1">
      <alignment horizontal="center" vertical="center" wrapText="1"/>
    </xf>
    <xf numFmtId="4" fontId="12" fillId="4" borderId="4" xfId="78" applyNumberFormat="1" applyFont="1" applyFill="1" applyBorder="1" applyAlignment="1">
      <alignment horizontal="center" vertical="center" wrapText="1"/>
    </xf>
    <xf numFmtId="0" fontId="12" fillId="4" borderId="4" xfId="34" applyFont="1" applyFill="1" applyBorder="1" applyAlignment="1">
      <alignment horizontal="center" vertical="center" wrapText="1"/>
    </xf>
    <xf numFmtId="4" fontId="9" fillId="4" borderId="4" xfId="34" applyNumberFormat="1" applyFont="1" applyFill="1" applyBorder="1" applyAlignment="1">
      <alignment horizontal="center" vertical="center" wrapText="1"/>
    </xf>
    <xf numFmtId="4" fontId="9" fillId="4" borderId="4" xfId="34" applyNumberFormat="1" applyFont="1" applyFill="1" applyBorder="1" applyAlignment="1">
      <alignment vertical="center" wrapText="1"/>
    </xf>
    <xf numFmtId="0" fontId="9" fillId="4" borderId="4" xfId="34" applyFont="1" applyFill="1" applyBorder="1" applyAlignment="1">
      <alignment horizontal="left" vertical="center" wrapText="1"/>
    </xf>
    <xf numFmtId="167" fontId="9" fillId="4" borderId="4" xfId="34" applyNumberFormat="1" applyFont="1" applyFill="1" applyBorder="1" applyAlignment="1">
      <alignment horizontal="center" vertical="center"/>
    </xf>
    <xf numFmtId="0" fontId="9" fillId="4" borderId="4" xfId="34" applyFont="1" applyFill="1" applyBorder="1"/>
    <xf numFmtId="0" fontId="9" fillId="4" borderId="4" xfId="0" applyFont="1" applyFill="1" applyBorder="1" applyAlignment="1">
      <alignment horizontal="center" vertical="center" wrapText="1"/>
    </xf>
    <xf numFmtId="3" fontId="9" fillId="4" borderId="4" xfId="80" applyNumberFormat="1" applyFont="1" applyFill="1" applyBorder="1" applyAlignment="1">
      <alignment horizontal="center" vertical="center" wrapText="1"/>
    </xf>
    <xf numFmtId="0" fontId="9" fillId="4" borderId="4" xfId="34" applyFont="1" applyFill="1" applyBorder="1" applyAlignment="1">
      <alignment vertical="center" wrapText="1"/>
    </xf>
    <xf numFmtId="2" fontId="58" fillId="4" borderId="0" xfId="0" applyNumberFormat="1" applyFont="1" applyFill="1" applyBorder="1" applyAlignment="1">
      <alignment vertical="center" wrapText="1"/>
    </xf>
    <xf numFmtId="0" fontId="9" fillId="4" borderId="4" xfId="34" applyFont="1" applyFill="1" applyBorder="1" applyAlignment="1">
      <alignment wrapText="1"/>
    </xf>
    <xf numFmtId="0" fontId="23" fillId="4" borderId="4" xfId="34" applyFont="1" applyFill="1" applyBorder="1" applyAlignment="1">
      <alignment wrapText="1"/>
    </xf>
    <xf numFmtId="0" fontId="24" fillId="4" borderId="4" xfId="34" applyFont="1" applyFill="1" applyBorder="1" applyAlignment="1">
      <alignment wrapText="1"/>
    </xf>
    <xf numFmtId="2" fontId="4" fillId="4" borderId="0" xfId="95" applyNumberFormat="1" applyFont="1" applyFill="1"/>
    <xf numFmtId="0" fontId="9" fillId="4" borderId="18" xfId="34" applyFont="1" applyFill="1" applyBorder="1" applyAlignment="1">
      <alignment vertical="center" wrapText="1"/>
    </xf>
    <xf numFmtId="167" fontId="9" fillId="4" borderId="4" xfId="34" applyNumberFormat="1" applyFont="1" applyFill="1" applyBorder="1" applyAlignment="1">
      <alignment horizontal="center" vertical="center" wrapText="1"/>
    </xf>
    <xf numFmtId="0" fontId="70" fillId="0" borderId="4" xfId="0" applyFont="1" applyBorder="1" applyAlignment="1">
      <alignment horizontal="center" vertical="center"/>
    </xf>
    <xf numFmtId="0" fontId="71" fillId="0" borderId="0" xfId="0" applyFont="1"/>
    <xf numFmtId="0" fontId="70" fillId="0" borderId="0" xfId="0" applyFont="1"/>
    <xf numFmtId="4" fontId="71" fillId="0" borderId="0" xfId="0" applyNumberFormat="1" applyFont="1"/>
    <xf numFmtId="0" fontId="75" fillId="0" borderId="0" xfId="0" applyFont="1"/>
    <xf numFmtId="0" fontId="70" fillId="0" borderId="0" xfId="0" applyFont="1" applyAlignment="1">
      <alignment horizontal="center"/>
    </xf>
    <xf numFmtId="0" fontId="70" fillId="0" borderId="0" xfId="0" applyFont="1" applyAlignment="1">
      <alignment horizontal="center" wrapText="1"/>
    </xf>
    <xf numFmtId="0" fontId="71" fillId="0" borderId="0" xfId="0" applyFont="1" applyAlignment="1">
      <alignment wrapText="1"/>
    </xf>
    <xf numFmtId="0" fontId="70" fillId="0" borderId="0" xfId="0" applyFont="1" applyAlignment="1">
      <alignment wrapText="1"/>
    </xf>
    <xf numFmtId="0" fontId="71" fillId="0" borderId="0" xfId="0" applyFont="1" applyAlignment="1">
      <alignment horizontal="center"/>
    </xf>
    <xf numFmtId="0" fontId="71" fillId="0" borderId="0" xfId="0" applyFont="1" applyAlignment="1">
      <alignment horizontal="center" wrapText="1"/>
    </xf>
    <xf numFmtId="4" fontId="70" fillId="0" borderId="0" xfId="0" applyNumberFormat="1" applyFont="1"/>
    <xf numFmtId="0" fontId="70" fillId="0" borderId="4" xfId="0" applyFont="1" applyBorder="1" applyAlignment="1">
      <alignment vertical="center"/>
    </xf>
    <xf numFmtId="4" fontId="71" fillId="0" borderId="4" xfId="0" applyNumberFormat="1" applyFont="1" applyBorder="1" applyAlignment="1">
      <alignment horizontal="right" vertical="center"/>
    </xf>
    <xf numFmtId="2" fontId="71" fillId="0" borderId="4" xfId="0" applyNumberFormat="1" applyFont="1" applyBorder="1" applyAlignment="1">
      <alignment vertical="center"/>
    </xf>
    <xf numFmtId="0" fontId="75" fillId="0" borderId="4" xfId="0" applyFont="1" applyBorder="1" applyAlignment="1">
      <alignment vertical="center"/>
    </xf>
    <xf numFmtId="4" fontId="75" fillId="0" borderId="4" xfId="0" applyNumberFormat="1" applyFont="1" applyBorder="1" applyAlignment="1">
      <alignment horizontal="right" vertical="center"/>
    </xf>
    <xf numFmtId="2" fontId="75" fillId="0" borderId="4" xfId="0" applyNumberFormat="1" applyFont="1" applyBorder="1" applyAlignment="1">
      <alignment vertical="center"/>
    </xf>
    <xf numFmtId="4" fontId="70" fillId="0" borderId="4" xfId="0" applyNumberFormat="1" applyFont="1" applyBorder="1"/>
    <xf numFmtId="4" fontId="70" fillId="0" borderId="4" xfId="0" applyNumberFormat="1" applyFont="1" applyBorder="1" applyAlignment="1">
      <alignment horizontal="center" vertical="center" wrapText="1"/>
    </xf>
    <xf numFmtId="4" fontId="70" fillId="0" borderId="4" xfId="0" applyNumberFormat="1" applyFont="1" applyBorder="1" applyAlignment="1">
      <alignment horizontal="center" vertical="center"/>
    </xf>
    <xf numFmtId="4" fontId="70" fillId="0" borderId="4" xfId="0" applyNumberFormat="1" applyFont="1" applyBorder="1" applyAlignment="1">
      <alignment vertical="center"/>
    </xf>
    <xf numFmtId="4" fontId="70" fillId="0" borderId="4" xfId="0" applyNumberFormat="1" applyFont="1" applyBorder="1" applyAlignment="1">
      <alignment vertical="center" wrapText="1"/>
    </xf>
    <xf numFmtId="4" fontId="71" fillId="0" borderId="4" xfId="0" applyNumberFormat="1" applyFont="1" applyBorder="1" applyAlignment="1">
      <alignment vertical="center" wrapText="1"/>
    </xf>
    <xf numFmtId="4" fontId="24" fillId="4" borderId="4" xfId="80" applyNumberFormat="1"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0" xfId="34" applyFont="1" applyFill="1" applyAlignment="1">
      <alignment horizontal="left" vertical="center"/>
    </xf>
    <xf numFmtId="0" fontId="9" fillId="4" borderId="4" xfId="89" applyFont="1" applyFill="1" applyBorder="1" applyAlignment="1">
      <alignment horizontal="left" vertical="center" wrapText="1"/>
    </xf>
    <xf numFmtId="0" fontId="7" fillId="4" borderId="4" xfId="34" applyFont="1" applyFill="1" applyBorder="1" applyAlignment="1">
      <alignment horizontal="left" vertical="center" wrapText="1"/>
    </xf>
    <xf numFmtId="3" fontId="70" fillId="0" borderId="4" xfId="0" applyNumberFormat="1" applyFont="1" applyBorder="1" applyAlignment="1">
      <alignment horizontal="center" vertical="center" wrapText="1"/>
    </xf>
    <xf numFmtId="3" fontId="70" fillId="0" borderId="4" xfId="0" applyNumberFormat="1" applyFont="1" applyBorder="1" applyAlignment="1">
      <alignment vertical="center"/>
    </xf>
    <xf numFmtId="3" fontId="71" fillId="0" borderId="4" xfId="0" applyNumberFormat="1" applyFont="1" applyBorder="1" applyAlignment="1">
      <alignment horizontal="right" vertical="center"/>
    </xf>
    <xf numFmtId="3" fontId="70" fillId="0" borderId="4" xfId="0" applyNumberFormat="1" applyFont="1" applyBorder="1" applyAlignment="1">
      <alignment horizontal="right" vertical="center"/>
    </xf>
    <xf numFmtId="3" fontId="75" fillId="0" borderId="4" xfId="0" applyNumberFormat="1" applyFont="1" applyBorder="1" applyAlignment="1">
      <alignment horizontal="right" vertical="center"/>
    </xf>
    <xf numFmtId="3" fontId="70" fillId="0" borderId="0" xfId="0" applyNumberFormat="1" applyFont="1" applyAlignment="1">
      <alignment horizontal="center"/>
    </xf>
    <xf numFmtId="3" fontId="71" fillId="0" borderId="0" xfId="0" applyNumberFormat="1" applyFont="1"/>
    <xf numFmtId="3" fontId="70" fillId="0" borderId="0" xfId="0" applyNumberFormat="1" applyFont="1"/>
    <xf numFmtId="3" fontId="71" fillId="0" borderId="0" xfId="0" applyNumberFormat="1" applyFont="1" applyAlignment="1">
      <alignment horizontal="center"/>
    </xf>
    <xf numFmtId="0" fontId="110" fillId="4" borderId="4" xfId="0" applyFont="1" applyFill="1" applyBorder="1" applyAlignment="1">
      <alignment horizontal="left" vertical="center" wrapText="1"/>
    </xf>
    <xf numFmtId="3" fontId="9" fillId="4" borderId="4" xfId="34" applyNumberFormat="1" applyFont="1" applyFill="1" applyBorder="1" applyAlignment="1">
      <alignment horizontal="left" vertical="center" wrapText="1"/>
    </xf>
    <xf numFmtId="167" fontId="9" fillId="4" borderId="4" xfId="78" applyNumberFormat="1" applyFont="1" applyFill="1" applyBorder="1" applyAlignment="1">
      <alignment horizontal="left" vertical="center" wrapText="1"/>
    </xf>
    <xf numFmtId="4" fontId="9" fillId="4" borderId="4" xfId="81" applyNumberFormat="1" applyFont="1" applyFill="1" applyBorder="1" applyAlignment="1">
      <alignment horizontal="center" vertical="center" wrapText="1"/>
    </xf>
    <xf numFmtId="3" fontId="9" fillId="4" borderId="0" xfId="34" applyNumberFormat="1" applyFont="1" applyFill="1" applyAlignment="1">
      <alignment horizontal="left" vertical="center"/>
    </xf>
    <xf numFmtId="4" fontId="9" fillId="4" borderId="0" xfId="34" applyNumberFormat="1" applyFont="1" applyFill="1" applyAlignment="1">
      <alignment horizontal="left" vertical="center"/>
    </xf>
    <xf numFmtId="0" fontId="9" fillId="4" borderId="18" xfId="0" applyFont="1" applyFill="1" applyBorder="1" applyAlignment="1">
      <alignment horizontal="center" vertical="center" wrapText="1"/>
    </xf>
    <xf numFmtId="167" fontId="7" fillId="4" borderId="54" xfId="0" applyNumberFormat="1" applyFont="1" applyFill="1" applyBorder="1" applyAlignment="1">
      <alignment horizontal="center" vertical="top" wrapText="1"/>
    </xf>
    <xf numFmtId="4" fontId="6" fillId="4" borderId="55" xfId="0" applyNumberFormat="1" applyFont="1" applyFill="1" applyBorder="1" applyAlignment="1">
      <alignment horizontal="right" vertical="center" wrapText="1"/>
    </xf>
    <xf numFmtId="4" fontId="6" fillId="4" borderId="26" xfId="0" applyNumberFormat="1" applyFont="1" applyFill="1" applyBorder="1" applyAlignment="1">
      <alignment horizontal="right" vertical="center" wrapText="1"/>
    </xf>
    <xf numFmtId="4" fontId="7" fillId="4" borderId="26" xfId="0" applyNumberFormat="1" applyFont="1" applyFill="1" applyBorder="1" applyAlignment="1">
      <alignment horizontal="right" vertical="center" wrapText="1"/>
    </xf>
    <xf numFmtId="4" fontId="7" fillId="4" borderId="56" xfId="0" applyNumberFormat="1" applyFont="1" applyFill="1" applyBorder="1" applyAlignment="1">
      <alignment horizontal="right" vertical="center" wrapText="1"/>
    </xf>
    <xf numFmtId="4" fontId="71" fillId="29" borderId="4" xfId="95" applyNumberFormat="1" applyFont="1" applyFill="1" applyBorder="1" applyAlignment="1">
      <alignment horizontal="right" vertical="center" wrapText="1"/>
    </xf>
    <xf numFmtId="4" fontId="75" fillId="29" borderId="4" xfId="95" applyNumberFormat="1" applyFont="1" applyFill="1" applyBorder="1" applyAlignment="1">
      <alignment horizontal="right" vertical="center" wrapText="1"/>
    </xf>
    <xf numFmtId="4" fontId="104" fillId="29" borderId="4" xfId="95" applyNumberFormat="1" applyFont="1" applyFill="1" applyBorder="1" applyAlignment="1">
      <alignment horizontal="right" vertical="center" wrapText="1"/>
    </xf>
    <xf numFmtId="0" fontId="12" fillId="4" borderId="4" xfId="34" applyFont="1" applyFill="1" applyBorder="1" applyAlignment="1">
      <alignment horizontal="center" vertical="center" wrapText="1"/>
    </xf>
    <xf numFmtId="4" fontId="12" fillId="4" borderId="4" xfId="78" applyNumberFormat="1" applyFont="1" applyFill="1" applyBorder="1" applyAlignment="1">
      <alignment horizontal="center" vertical="center" wrapText="1"/>
    </xf>
    <xf numFmtId="4" fontId="12" fillId="4" borderId="23" xfId="78" applyNumberFormat="1" applyFont="1" applyFill="1" applyBorder="1" applyAlignment="1">
      <alignment horizontal="center" vertical="center" wrapText="1"/>
    </xf>
    <xf numFmtId="4" fontId="12" fillId="4" borderId="3" xfId="78" applyNumberFormat="1" applyFont="1" applyFill="1" applyBorder="1" applyAlignment="1">
      <alignment horizontal="center" vertical="center" wrapText="1"/>
    </xf>
    <xf numFmtId="4" fontId="12" fillId="4" borderId="21" xfId="78" applyNumberFormat="1" applyFont="1" applyFill="1" applyBorder="1" applyAlignment="1">
      <alignment horizontal="center" vertical="center" wrapText="1"/>
    </xf>
    <xf numFmtId="0" fontId="9" fillId="4" borderId="4" xfId="34" applyFont="1" applyFill="1" applyBorder="1" applyAlignment="1">
      <alignment horizontal="center" vertical="center" wrapText="1"/>
    </xf>
    <xf numFmtId="4" fontId="9" fillId="5" borderId="4" xfId="34" applyNumberFormat="1" applyFont="1" applyFill="1" applyBorder="1" applyAlignment="1">
      <alignment horizontal="left" vertical="center" wrapText="1" shrinkToFit="1"/>
    </xf>
    <xf numFmtId="4" fontId="9" fillId="30" borderId="4" xfId="34" applyNumberFormat="1" applyFont="1" applyFill="1" applyBorder="1" applyAlignment="1">
      <alignment horizontal="left" vertical="center" wrapText="1"/>
    </xf>
    <xf numFmtId="0" fontId="9" fillId="4" borderId="18" xfId="34" applyFont="1" applyFill="1" applyBorder="1" applyAlignment="1">
      <alignment horizontal="center" vertical="center" wrapText="1"/>
    </xf>
    <xf numFmtId="4" fontId="9" fillId="4" borderId="18" xfId="80" applyNumberFormat="1" applyFont="1" applyFill="1" applyBorder="1" applyAlignment="1">
      <alignment horizontal="left" vertical="center" wrapText="1"/>
    </xf>
    <xf numFmtId="0" fontId="6" fillId="0" borderId="4" xfId="0" applyFont="1" applyBorder="1" applyAlignment="1">
      <alignment horizontal="center" vertical="center" wrapText="1"/>
    </xf>
    <xf numFmtId="2" fontId="0" fillId="0" borderId="0" xfId="0" applyNumberFormat="1"/>
    <xf numFmtId="0" fontId="9" fillId="4" borderId="4" xfId="34" applyFont="1" applyFill="1" applyBorder="1" applyAlignment="1">
      <alignment horizontal="center" vertical="center" wrapText="1"/>
    </xf>
    <xf numFmtId="4" fontId="12" fillId="4" borderId="3" xfId="78" applyNumberFormat="1" applyFont="1" applyFill="1" applyBorder="1" applyAlignment="1">
      <alignment horizontal="center" vertical="center" wrapText="1"/>
    </xf>
    <xf numFmtId="0" fontId="9" fillId="4" borderId="21" xfId="89" applyFont="1" applyFill="1" applyBorder="1" applyAlignment="1">
      <alignment horizontal="left" vertical="center" wrapText="1"/>
    </xf>
    <xf numFmtId="4" fontId="12" fillId="5" borderId="4" xfId="46" applyNumberFormat="1" applyFont="1" applyFill="1" applyBorder="1" applyAlignment="1">
      <alignment horizontal="center" vertical="center" wrapText="1"/>
    </xf>
    <xf numFmtId="0" fontId="9" fillId="4" borderId="4" xfId="34" applyFont="1" applyFill="1" applyBorder="1" applyAlignment="1">
      <alignment horizontal="center" vertical="center" wrapText="1"/>
    </xf>
    <xf numFmtId="0" fontId="9" fillId="4" borderId="4" xfId="34" applyFont="1" applyFill="1" applyBorder="1" applyAlignment="1">
      <alignment horizontal="center" vertical="center" wrapText="1"/>
    </xf>
    <xf numFmtId="4" fontId="12" fillId="4" borderId="0" xfId="0" applyNumberFormat="1" applyFont="1" applyFill="1" applyBorder="1"/>
    <xf numFmtId="4" fontId="9" fillId="0" borderId="4" xfId="80" applyNumberFormat="1" applyFont="1" applyFill="1" applyBorder="1" applyAlignment="1">
      <alignment horizontal="center" vertical="center" wrapText="1"/>
    </xf>
    <xf numFmtId="4" fontId="9" fillId="0" borderId="4" xfId="14" applyNumberFormat="1" applyFont="1" applyFill="1" applyBorder="1" applyAlignment="1">
      <alignment horizontal="right" vertical="center" wrapText="1" shrinkToFit="1"/>
    </xf>
    <xf numFmtId="4" fontId="9" fillId="0" borderId="4" xfId="80" applyNumberFormat="1" applyFont="1" applyFill="1" applyBorder="1" applyAlignment="1">
      <alignment horizontal="right" vertical="center" wrapText="1"/>
    </xf>
    <xf numFmtId="181" fontId="9" fillId="0" borderId="4" xfId="82" applyNumberFormat="1" applyFont="1" applyFill="1" applyBorder="1" applyAlignment="1">
      <alignment horizontal="right" vertical="center" wrapText="1"/>
    </xf>
    <xf numFmtId="4" fontId="9" fillId="0" borderId="4" xfId="82" applyNumberFormat="1" applyFont="1" applyFill="1" applyBorder="1" applyAlignment="1">
      <alignment horizontal="right" vertical="center" wrapText="1"/>
    </xf>
    <xf numFmtId="4" fontId="9" fillId="0" borderId="4" xfId="34" applyNumberFormat="1" applyFont="1" applyFill="1" applyBorder="1" applyAlignment="1">
      <alignment horizontal="left" vertical="center" wrapText="1" shrinkToFit="1"/>
    </xf>
    <xf numFmtId="181" fontId="9" fillId="0" borderId="4" xfId="81" applyNumberFormat="1" applyFont="1" applyFill="1" applyBorder="1" applyAlignment="1">
      <alignment horizontal="right" vertical="center" wrapText="1"/>
    </xf>
    <xf numFmtId="0" fontId="7" fillId="0" borderId="4" xfId="34" applyFont="1" applyFill="1" applyBorder="1" applyAlignment="1">
      <alignment horizontal="left" vertical="center" wrapText="1"/>
    </xf>
    <xf numFmtId="0" fontId="12" fillId="4" borderId="4" xfId="34" applyFont="1" applyFill="1" applyBorder="1" applyAlignment="1">
      <alignment horizontal="center" vertical="center" wrapText="1"/>
    </xf>
    <xf numFmtId="0" fontId="12" fillId="4" borderId="18" xfId="34" applyFont="1" applyFill="1" applyBorder="1" applyAlignment="1">
      <alignment horizontal="center" vertical="center" wrapText="1"/>
    </xf>
    <xf numFmtId="0" fontId="9" fillId="4" borderId="4" xfId="34" applyFont="1" applyFill="1" applyBorder="1" applyAlignment="1">
      <alignment horizontal="center" vertical="center" wrapText="1"/>
    </xf>
    <xf numFmtId="0" fontId="9" fillId="4" borderId="23" xfId="34" applyFont="1" applyFill="1" applyBorder="1" applyAlignment="1">
      <alignment horizontal="center" vertical="center" wrapText="1"/>
    </xf>
    <xf numFmtId="4" fontId="12" fillId="4" borderId="4" xfId="14" applyNumberFormat="1" applyFont="1" applyFill="1" applyBorder="1" applyAlignment="1">
      <alignment horizontal="right" vertical="center" wrapText="1" shrinkToFit="1"/>
    </xf>
    <xf numFmtId="181" fontId="12" fillId="4" borderId="4" xfId="81" applyNumberFormat="1" applyFont="1" applyFill="1" applyBorder="1" applyAlignment="1">
      <alignment horizontal="right" vertical="center" wrapText="1"/>
    </xf>
    <xf numFmtId="4" fontId="12" fillId="4" borderId="4" xfId="78" applyNumberFormat="1" applyFont="1" applyFill="1" applyBorder="1" applyAlignment="1">
      <alignment horizontal="right" vertical="center" wrapText="1"/>
    </xf>
    <xf numFmtId="0" fontId="12" fillId="4" borderId="4" xfId="34" applyFont="1" applyFill="1" applyBorder="1" applyAlignment="1">
      <alignment wrapText="1"/>
    </xf>
    <xf numFmtId="0" fontId="12" fillId="4" borderId="0" xfId="34" applyFont="1" applyFill="1"/>
    <xf numFmtId="4" fontId="12" fillId="4" borderId="3" xfId="78" applyNumberFormat="1" applyFont="1" applyFill="1" applyBorder="1" applyAlignment="1">
      <alignment horizontal="center" vertical="center" wrapText="1"/>
    </xf>
    <xf numFmtId="4" fontId="12" fillId="4" borderId="21" xfId="78" applyNumberFormat="1" applyFont="1" applyFill="1" applyBorder="1" applyAlignment="1">
      <alignment horizontal="center" vertical="center" wrapText="1"/>
    </xf>
    <xf numFmtId="4" fontId="71" fillId="0" borderId="4" xfId="0" applyNumberFormat="1" applyFont="1" applyBorder="1" applyAlignment="1">
      <alignment vertical="center" wrapText="1"/>
    </xf>
    <xf numFmtId="0" fontId="71" fillId="0" borderId="4" xfId="0" applyFont="1" applyBorder="1" applyAlignment="1">
      <alignment horizontal="left" vertical="center"/>
    </xf>
    <xf numFmtId="0" fontId="111" fillId="4" borderId="0" xfId="0" applyFont="1" applyFill="1"/>
    <xf numFmtId="165" fontId="111" fillId="4" borderId="0" xfId="0" applyNumberFormat="1" applyFont="1" applyFill="1"/>
    <xf numFmtId="0" fontId="99" fillId="4" borderId="4" xfId="48" applyFont="1" applyFill="1" applyBorder="1" applyAlignment="1">
      <alignment horizontal="center" vertical="center" wrapText="1"/>
    </xf>
    <xf numFmtId="0" fontId="99" fillId="4" borderId="4" xfId="48" applyFont="1" applyFill="1" applyBorder="1" applyAlignment="1">
      <alignment horizontal="center" vertical="center"/>
    </xf>
    <xf numFmtId="167" fontId="59" fillId="4" borderId="4" xfId="0" applyNumberFormat="1" applyFont="1" applyFill="1" applyBorder="1" applyAlignment="1">
      <alignment horizontal="left" vertical="top" wrapText="1" indent="1"/>
    </xf>
    <xf numFmtId="167" fontId="59" fillId="4" borderId="4" xfId="0" applyNumberFormat="1" applyFont="1" applyFill="1" applyBorder="1" applyAlignment="1">
      <alignment horizontal="center" vertical="top" wrapText="1"/>
    </xf>
    <xf numFmtId="165" fontId="99" fillId="4" borderId="4" xfId="0" applyNumberFormat="1" applyFont="1" applyFill="1" applyBorder="1" applyAlignment="1">
      <alignment horizontal="right" vertical="top" wrapText="1"/>
    </xf>
    <xf numFmtId="0" fontId="113" fillId="4" borderId="0" xfId="0" applyFont="1" applyFill="1"/>
    <xf numFmtId="0" fontId="59" fillId="4" borderId="4" xfId="0" applyFont="1" applyFill="1" applyBorder="1" applyAlignment="1">
      <alignment horizontal="left" vertical="top" wrapText="1"/>
    </xf>
    <xf numFmtId="0" fontId="59" fillId="4" borderId="4" xfId="0" applyFont="1" applyFill="1" applyBorder="1" applyAlignment="1">
      <alignment vertical="top" wrapText="1"/>
    </xf>
    <xf numFmtId="0" fontId="59" fillId="4" borderId="4" xfId="0" applyFont="1" applyFill="1" applyBorder="1" applyAlignment="1">
      <alignment horizontal="left" vertical="top" wrapText="1" indent="1"/>
    </xf>
    <xf numFmtId="165" fontId="99" fillId="4" borderId="4" xfId="0" applyNumberFormat="1" applyFont="1" applyFill="1" applyBorder="1" applyAlignment="1">
      <alignment horizontal="right" vertical="center" wrapText="1"/>
    </xf>
    <xf numFmtId="0" fontId="58" fillId="4" borderId="4" xfId="0" applyFont="1" applyFill="1" applyBorder="1" applyAlignment="1">
      <alignment horizontal="left" vertical="top" wrapText="1"/>
    </xf>
    <xf numFmtId="0" fontId="58" fillId="4" borderId="4" xfId="0" applyFont="1" applyFill="1" applyBorder="1" applyAlignment="1">
      <alignment vertical="top" wrapText="1"/>
    </xf>
    <xf numFmtId="0" fontId="58" fillId="4" borderId="4" xfId="0" applyFont="1" applyFill="1" applyBorder="1" applyAlignment="1">
      <alignment horizontal="left" vertical="top" wrapText="1" indent="1"/>
    </xf>
    <xf numFmtId="165" fontId="100" fillId="4" borderId="4" xfId="0" applyNumberFormat="1" applyFont="1" applyFill="1" applyBorder="1" applyAlignment="1">
      <alignment horizontal="right" vertical="top" wrapText="1"/>
    </xf>
    <xf numFmtId="165" fontId="100" fillId="4" borderId="4" xfId="0" applyNumberFormat="1" applyFont="1" applyFill="1" applyBorder="1" applyAlignment="1">
      <alignment horizontal="right" vertical="center" wrapText="1"/>
    </xf>
    <xf numFmtId="165" fontId="100" fillId="4" borderId="4" xfId="0" applyNumberFormat="1" applyFont="1" applyFill="1" applyBorder="1" applyAlignment="1">
      <alignment horizontal="right" vertical="center"/>
    </xf>
    <xf numFmtId="165" fontId="114" fillId="4" borderId="4" xfId="0" applyNumberFormat="1" applyFont="1" applyFill="1" applyBorder="1" applyAlignment="1">
      <alignment horizontal="right"/>
    </xf>
    <xf numFmtId="0" fontId="60" fillId="4" borderId="4" xfId="0" applyFont="1" applyFill="1" applyBorder="1" applyAlignment="1">
      <alignment vertical="top" wrapText="1"/>
    </xf>
    <xf numFmtId="0" fontId="60" fillId="4" borderId="4" xfId="0" applyFont="1" applyFill="1" applyBorder="1" applyAlignment="1">
      <alignment horizontal="left" vertical="top" wrapText="1" indent="1"/>
    </xf>
    <xf numFmtId="2" fontId="111" fillId="4" borderId="0" xfId="0" applyNumberFormat="1" applyFont="1" applyFill="1"/>
    <xf numFmtId="165" fontId="100" fillId="4" borderId="4" xfId="12" applyNumberFormat="1" applyFont="1" applyFill="1" applyBorder="1" applyAlignment="1">
      <alignment horizontal="right" vertical="center" wrapText="1"/>
    </xf>
    <xf numFmtId="0" fontId="100" fillId="4" borderId="1" xfId="95" applyFont="1" applyFill="1" applyBorder="1" applyAlignment="1">
      <alignment horizontal="center" vertical="center" wrapText="1"/>
    </xf>
    <xf numFmtId="0" fontId="100" fillId="4" borderId="1" xfId="95" applyFont="1" applyFill="1" applyBorder="1" applyAlignment="1">
      <alignment vertical="top" wrapText="1"/>
    </xf>
    <xf numFmtId="0" fontId="58" fillId="4" borderId="1" xfId="95" applyFont="1" applyFill="1" applyBorder="1" applyAlignment="1">
      <alignment horizontal="left" vertical="top" wrapText="1" indent="1"/>
    </xf>
    <xf numFmtId="43" fontId="100" fillId="4" borderId="1" xfId="12" applyFont="1" applyFill="1" applyBorder="1" applyAlignment="1">
      <alignment horizontal="right" vertical="center" wrapText="1"/>
    </xf>
    <xf numFmtId="43" fontId="58" fillId="4" borderId="15" xfId="96" applyFont="1" applyFill="1" applyBorder="1" applyAlignment="1">
      <alignment horizontal="right" vertical="center" wrapText="1"/>
    </xf>
    <xf numFmtId="0" fontId="111" fillId="4" borderId="0" xfId="95" applyFont="1" applyFill="1"/>
    <xf numFmtId="0" fontId="115" fillId="4" borderId="1" xfId="95" applyFont="1" applyFill="1" applyBorder="1" applyAlignment="1">
      <alignment horizontal="center" vertical="center" wrapText="1"/>
    </xf>
    <xf numFmtId="0" fontId="115" fillId="4" borderId="1" xfId="95" applyFont="1" applyFill="1" applyBorder="1" applyAlignment="1">
      <alignment vertical="top" wrapText="1"/>
    </xf>
    <xf numFmtId="0" fontId="60" fillId="4" borderId="1" xfId="95" applyFont="1" applyFill="1" applyBorder="1" applyAlignment="1">
      <alignment horizontal="left" vertical="top" wrapText="1" indent="1"/>
    </xf>
    <xf numFmtId="43" fontId="115" fillId="4" borderId="1" xfId="12" applyFont="1" applyFill="1" applyBorder="1" applyAlignment="1">
      <alignment horizontal="right" vertical="center" wrapText="1"/>
    </xf>
    <xf numFmtId="43" fontId="60" fillId="4" borderId="15" xfId="96" applyFont="1" applyFill="1" applyBorder="1" applyAlignment="1">
      <alignment horizontal="right" vertical="center" wrapText="1"/>
    </xf>
    <xf numFmtId="0" fontId="116" fillId="4" borderId="0" xfId="95" applyFont="1" applyFill="1"/>
    <xf numFmtId="2" fontId="60" fillId="4" borderId="4" xfId="0" applyNumberFormat="1" applyFont="1" applyFill="1" applyBorder="1" applyAlignment="1">
      <alignment horizontal="left" vertical="top" wrapText="1"/>
    </xf>
    <xf numFmtId="165" fontId="115" fillId="4" borderId="4" xfId="0" applyNumberFormat="1" applyFont="1" applyFill="1" applyBorder="1" applyAlignment="1">
      <alignment horizontal="right" vertical="top" wrapText="1"/>
    </xf>
    <xf numFmtId="165" fontId="115" fillId="4" borderId="4" xfId="0" applyNumberFormat="1" applyFont="1" applyFill="1" applyBorder="1" applyAlignment="1">
      <alignment horizontal="right" vertical="center" wrapText="1"/>
    </xf>
    <xf numFmtId="0" fontId="116" fillId="4" borderId="0" xfId="0" applyFont="1" applyFill="1"/>
    <xf numFmtId="0" fontId="60" fillId="4" borderId="4" xfId="0" applyFont="1" applyFill="1" applyBorder="1" applyAlignment="1">
      <alignment horizontal="left" vertical="top" wrapText="1"/>
    </xf>
    <xf numFmtId="165" fontId="115" fillId="4" borderId="4" xfId="0" applyNumberFormat="1" applyFont="1" applyFill="1" applyBorder="1" applyAlignment="1">
      <alignment horizontal="right" vertical="center"/>
    </xf>
    <xf numFmtId="165" fontId="115" fillId="4" borderId="4" xfId="12" applyNumberFormat="1" applyFont="1" applyFill="1" applyBorder="1" applyAlignment="1">
      <alignment horizontal="right" vertical="center" wrapText="1"/>
    </xf>
    <xf numFmtId="2" fontId="58" fillId="4" borderId="4" xfId="0" applyNumberFormat="1" applyFont="1" applyFill="1" applyBorder="1" applyAlignment="1">
      <alignment horizontal="left" vertical="top" wrapText="1"/>
    </xf>
    <xf numFmtId="165" fontId="114" fillId="4" borderId="4" xfId="0" applyNumberFormat="1" applyFont="1" applyFill="1" applyBorder="1" applyAlignment="1">
      <alignment horizontal="right" vertical="center"/>
    </xf>
    <xf numFmtId="165" fontId="100" fillId="4" borderId="4" xfId="15" applyNumberFormat="1" applyFont="1" applyFill="1" applyBorder="1" applyAlignment="1">
      <alignment horizontal="right" wrapText="1"/>
    </xf>
    <xf numFmtId="165" fontId="100" fillId="5" borderId="4" xfId="0" applyNumberFormat="1" applyFont="1" applyFill="1" applyBorder="1" applyAlignment="1">
      <alignment horizontal="right" vertical="top" wrapText="1"/>
    </xf>
    <xf numFmtId="43" fontId="115" fillId="5" borderId="1" xfId="12" applyFont="1" applyFill="1" applyBorder="1" applyAlignment="1">
      <alignment horizontal="right" vertical="center" wrapText="1"/>
    </xf>
    <xf numFmtId="165" fontId="115" fillId="5" borderId="4" xfId="0" applyNumberFormat="1" applyFont="1" applyFill="1" applyBorder="1" applyAlignment="1">
      <alignment horizontal="right" vertical="top" wrapText="1"/>
    </xf>
    <xf numFmtId="165" fontId="7" fillId="5" borderId="4" xfId="0" applyNumberFormat="1" applyFont="1" applyFill="1" applyBorder="1" applyAlignment="1">
      <alignment horizontal="right" vertical="top" wrapText="1"/>
    </xf>
    <xf numFmtId="165" fontId="8" fillId="5" borderId="4" xfId="0" applyNumberFormat="1" applyFont="1" applyFill="1" applyBorder="1" applyAlignment="1">
      <alignment horizontal="right" vertical="top" wrapText="1"/>
    </xf>
    <xf numFmtId="43" fontId="13" fillId="5" borderId="1" xfId="12" applyFont="1" applyFill="1" applyBorder="1" applyAlignment="1">
      <alignment horizontal="right" vertical="center" wrapText="1"/>
    </xf>
    <xf numFmtId="0" fontId="71" fillId="6" borderId="57" xfId="0" applyFont="1" applyFill="1" applyBorder="1" applyAlignment="1">
      <alignment horizontal="right" vertical="center" wrapText="1"/>
    </xf>
    <xf numFmtId="3" fontId="12" fillId="4" borderId="18" xfId="78" applyNumberFormat="1" applyFont="1" applyFill="1" applyBorder="1" applyAlignment="1">
      <alignment horizontal="center" vertical="center" wrapText="1"/>
    </xf>
    <xf numFmtId="3" fontId="12" fillId="4" borderId="19" xfId="78" applyNumberFormat="1" applyFont="1" applyFill="1" applyBorder="1" applyAlignment="1">
      <alignment horizontal="center" vertical="center" wrapText="1"/>
    </xf>
    <xf numFmtId="3" fontId="12" fillId="4" borderId="13" xfId="78" applyNumberFormat="1" applyFont="1" applyFill="1" applyBorder="1" applyAlignment="1">
      <alignment horizontal="center" vertical="center" wrapText="1"/>
    </xf>
    <xf numFmtId="0" fontId="12" fillId="4" borderId="4" xfId="34" applyFont="1" applyFill="1" applyBorder="1" applyAlignment="1">
      <alignment horizontal="center" vertical="center" wrapText="1"/>
    </xf>
    <xf numFmtId="4" fontId="12" fillId="4" borderId="4" xfId="78" applyNumberFormat="1" applyFont="1" applyFill="1" applyBorder="1" applyAlignment="1">
      <alignment horizontal="center" vertical="center" wrapText="1"/>
    </xf>
    <xf numFmtId="0" fontId="9" fillId="4" borderId="18" xfId="34" applyFont="1" applyFill="1" applyBorder="1" applyAlignment="1">
      <alignment horizontal="center" vertical="center" wrapText="1"/>
    </xf>
    <xf numFmtId="0" fontId="9" fillId="4" borderId="19" xfId="34" applyFont="1" applyFill="1" applyBorder="1" applyAlignment="1">
      <alignment horizontal="center" vertical="center" wrapText="1"/>
    </xf>
    <xf numFmtId="0" fontId="9" fillId="4" borderId="13" xfId="34" applyFont="1" applyFill="1" applyBorder="1" applyAlignment="1">
      <alignment horizontal="center" vertical="center" wrapText="1"/>
    </xf>
    <xf numFmtId="0" fontId="9" fillId="4" borderId="4" xfId="34" applyFont="1" applyFill="1" applyBorder="1" applyAlignment="1">
      <alignment horizontal="center" vertical="center" wrapText="1"/>
    </xf>
    <xf numFmtId="4" fontId="70" fillId="6" borderId="4" xfId="95" applyNumberFormat="1" applyFont="1" applyFill="1" applyBorder="1" applyAlignment="1">
      <alignment horizontal="center" vertical="center" wrapText="1"/>
    </xf>
    <xf numFmtId="4" fontId="71" fillId="6" borderId="4" xfId="95" applyNumberFormat="1" applyFont="1" applyFill="1" applyBorder="1" applyAlignment="1">
      <alignment horizontal="center" vertical="center" wrapText="1"/>
    </xf>
    <xf numFmtId="4" fontId="70" fillId="4" borderId="4" xfId="95" applyNumberFormat="1" applyFont="1" applyFill="1" applyBorder="1" applyAlignment="1">
      <alignment horizontal="center" vertical="center" wrapText="1"/>
    </xf>
    <xf numFmtId="4" fontId="71" fillId="0" borderId="4" xfId="0" applyNumberFormat="1" applyFont="1" applyBorder="1" applyAlignment="1">
      <alignment vertical="center" wrapText="1"/>
    </xf>
    <xf numFmtId="181" fontId="12" fillId="4" borderId="23" xfId="78" applyNumberFormat="1" applyFont="1" applyFill="1" applyBorder="1" applyAlignment="1">
      <alignment horizontal="center" vertical="center" wrapText="1"/>
    </xf>
    <xf numFmtId="181" fontId="9" fillId="4" borderId="4" xfId="78" applyNumberFormat="1" applyFont="1" applyFill="1" applyBorder="1" applyAlignment="1">
      <alignment horizontal="center" vertical="center" wrapText="1"/>
    </xf>
    <xf numFmtId="181" fontId="9" fillId="4" borderId="4" xfId="82" applyNumberFormat="1" applyFont="1" applyFill="1" applyBorder="1" applyAlignment="1">
      <alignment horizontal="right" vertical="center" wrapText="1"/>
    </xf>
    <xf numFmtId="181" fontId="24" fillId="4" borderId="4" xfId="80" applyNumberFormat="1" applyFont="1" applyFill="1" applyBorder="1" applyAlignment="1">
      <alignment horizontal="right" vertical="center" wrapText="1"/>
    </xf>
    <xf numFmtId="3" fontId="9" fillId="4" borderId="18" xfId="80" applyNumberFormat="1" applyFont="1" applyFill="1" applyBorder="1" applyAlignment="1">
      <alignment horizontal="center" vertical="center" wrapText="1"/>
    </xf>
    <xf numFmtId="4" fontId="9" fillId="4" borderId="18" xfId="80" applyNumberFormat="1" applyFont="1" applyFill="1" applyBorder="1" applyAlignment="1">
      <alignment horizontal="left" vertical="center" wrapText="1"/>
    </xf>
    <xf numFmtId="4" fontId="9" fillId="4" borderId="4" xfId="88" applyNumberFormat="1" applyFont="1" applyFill="1" applyBorder="1" applyAlignment="1">
      <alignment horizontal="right" vertical="center" wrapText="1"/>
    </xf>
    <xf numFmtId="4" fontId="24" fillId="4" borderId="4" xfId="81" applyNumberFormat="1" applyFont="1" applyFill="1" applyBorder="1" applyAlignment="1">
      <alignment horizontal="right" vertical="center" wrapText="1"/>
    </xf>
    <xf numFmtId="0" fontId="24" fillId="4" borderId="23" xfId="34" applyFont="1" applyFill="1" applyBorder="1" applyAlignment="1">
      <alignment horizontal="center" vertical="center" wrapText="1"/>
    </xf>
    <xf numFmtId="0" fontId="24" fillId="4" borderId="3" xfId="34" applyFont="1" applyFill="1" applyBorder="1" applyAlignment="1">
      <alignment horizontal="center" vertical="center" wrapText="1"/>
    </xf>
    <xf numFmtId="4" fontId="24" fillId="4" borderId="21" xfId="34" applyNumberFormat="1" applyFont="1" applyFill="1" applyBorder="1" applyAlignment="1">
      <alignment horizontal="left" vertical="center" wrapText="1"/>
    </xf>
    <xf numFmtId="4" fontId="24" fillId="4" borderId="4" xfId="14" applyNumberFormat="1" applyFont="1" applyFill="1" applyBorder="1" applyAlignment="1">
      <alignment horizontal="right" vertical="center" wrapText="1" shrinkToFit="1"/>
    </xf>
    <xf numFmtId="3" fontId="13" fillId="4" borderId="4" xfId="80" applyNumberFormat="1" applyFont="1" applyFill="1" applyBorder="1" applyAlignment="1">
      <alignment horizontal="center" vertical="center" wrapText="1"/>
    </xf>
    <xf numFmtId="4" fontId="13" fillId="4" borderId="4" xfId="80" applyNumberFormat="1" applyFont="1" applyFill="1" applyBorder="1" applyAlignment="1">
      <alignment horizontal="left" vertical="center" wrapText="1"/>
    </xf>
    <xf numFmtId="4" fontId="9" fillId="4" borderId="18" xfId="34" applyNumberFormat="1" applyFont="1" applyFill="1" applyBorder="1" applyAlignment="1">
      <alignment horizontal="left" vertical="center" wrapText="1"/>
    </xf>
    <xf numFmtId="4" fontId="13" fillId="4" borderId="4" xfId="34" applyNumberFormat="1" applyFont="1" applyFill="1" applyBorder="1" applyAlignment="1">
      <alignment horizontal="left" vertical="center" wrapText="1"/>
    </xf>
    <xf numFmtId="0" fontId="9" fillId="4" borderId="3" xfId="34" applyFont="1" applyFill="1" applyBorder="1" applyAlignment="1">
      <alignment horizontal="center" vertical="center" wrapText="1"/>
    </xf>
    <xf numFmtId="4" fontId="9" fillId="4" borderId="21" xfId="34" applyNumberFormat="1" applyFont="1" applyFill="1" applyBorder="1" applyAlignment="1">
      <alignment horizontal="left" vertical="center" wrapText="1"/>
    </xf>
    <xf numFmtId="4" fontId="9" fillId="4" borderId="0" xfId="34" applyNumberFormat="1" applyFont="1" applyFill="1" applyAlignment="1">
      <alignment horizontal="center"/>
    </xf>
    <xf numFmtId="2" fontId="9" fillId="4" borderId="0" xfId="34" applyNumberFormat="1" applyFont="1" applyFill="1" applyAlignment="1">
      <alignment horizontal="right"/>
    </xf>
    <xf numFmtId="2" fontId="9" fillId="4" borderId="0" xfId="34" applyNumberFormat="1" applyFont="1" applyFill="1" applyAlignment="1">
      <alignment horizontal="left" vertical="center"/>
    </xf>
    <xf numFmtId="4" fontId="9" fillId="4" borderId="18" xfId="34" applyNumberFormat="1" applyFont="1" applyFill="1" applyBorder="1" applyAlignment="1">
      <alignment horizontal="center" vertical="center" wrapText="1"/>
    </xf>
    <xf numFmtId="0" fontId="9" fillId="4" borderId="18" xfId="34" applyFont="1" applyFill="1" applyBorder="1" applyAlignment="1">
      <alignment horizontal="left" vertical="center" wrapText="1" shrinkToFit="1"/>
    </xf>
    <xf numFmtId="0" fontId="9" fillId="4" borderId="18" xfId="34" applyFont="1" applyFill="1" applyBorder="1" applyAlignment="1">
      <alignment horizontal="left" vertical="center" wrapText="1"/>
    </xf>
    <xf numFmtId="0" fontId="9" fillId="4" borderId="18" xfId="34" applyFont="1" applyFill="1" applyBorder="1" applyAlignment="1">
      <alignment horizontal="center" vertical="center" wrapText="1" shrinkToFit="1"/>
    </xf>
    <xf numFmtId="0" fontId="23" fillId="4" borderId="18" xfId="34" applyFont="1" applyFill="1" applyBorder="1" applyAlignment="1">
      <alignment horizontal="center" vertical="center" wrapText="1"/>
    </xf>
    <xf numFmtId="4" fontId="9" fillId="5" borderId="4" xfId="91" applyNumberFormat="1" applyFont="1" applyFill="1" applyBorder="1" applyAlignment="1">
      <alignment horizontal="center" vertical="center" wrapText="1"/>
    </xf>
    <xf numFmtId="4" fontId="9" fillId="5" borderId="4" xfId="80" applyNumberFormat="1" applyFont="1" applyFill="1" applyBorder="1" applyAlignment="1">
      <alignment horizontal="center" vertical="center" wrapText="1"/>
    </xf>
    <xf numFmtId="0" fontId="9" fillId="4" borderId="4" xfId="34" applyFont="1" applyFill="1" applyBorder="1" applyAlignment="1">
      <alignment horizontal="center" vertical="center" wrapText="1"/>
    </xf>
    <xf numFmtId="0" fontId="9" fillId="5" borderId="4" xfId="34" applyFont="1" applyFill="1" applyBorder="1" applyAlignment="1">
      <alignment horizontal="center" vertical="center" wrapText="1"/>
    </xf>
    <xf numFmtId="165" fontId="18" fillId="0" borderId="0" xfId="0" applyNumberFormat="1" applyFont="1" applyBorder="1"/>
    <xf numFmtId="167" fontId="7" fillId="4" borderId="11" xfId="0" applyNumberFormat="1" applyFont="1" applyFill="1" applyBorder="1" applyAlignment="1">
      <alignment horizontal="center" vertical="center" wrapText="1"/>
    </xf>
    <xf numFmtId="165" fontId="6" fillId="4" borderId="10" xfId="0" applyNumberFormat="1" applyFont="1" applyFill="1" applyBorder="1" applyAlignment="1">
      <alignment horizontal="center" vertical="center" wrapText="1"/>
    </xf>
    <xf numFmtId="167" fontId="6" fillId="4" borderId="6" xfId="0" applyNumberFormat="1" applyFont="1" applyFill="1" applyBorder="1" applyAlignment="1">
      <alignment horizontal="center" vertical="center" wrapText="1"/>
    </xf>
    <xf numFmtId="165" fontId="6" fillId="4" borderId="6" xfId="0" applyNumberFormat="1" applyFont="1" applyFill="1" applyBorder="1" applyAlignment="1">
      <alignment vertical="top" wrapText="1"/>
    </xf>
    <xf numFmtId="166" fontId="7" fillId="4" borderId="6" xfId="0" applyNumberFormat="1" applyFont="1" applyFill="1" applyBorder="1" applyAlignment="1">
      <alignment horizontal="center" vertical="center" wrapText="1"/>
    </xf>
    <xf numFmtId="165" fontId="7" fillId="4" borderId="6" xfId="0" applyNumberFormat="1" applyFont="1" applyFill="1" applyBorder="1" applyAlignment="1">
      <alignment vertical="top" wrapText="1"/>
    </xf>
    <xf numFmtId="167" fontId="7" fillId="4" borderId="6" xfId="0" applyNumberFormat="1" applyFont="1" applyFill="1" applyBorder="1" applyAlignment="1">
      <alignment horizontal="center" vertical="center" wrapText="1"/>
    </xf>
    <xf numFmtId="165" fontId="7" fillId="4" borderId="6" xfId="0" applyNumberFormat="1" applyFont="1" applyFill="1" applyBorder="1" applyAlignment="1">
      <alignment vertical="center" wrapText="1"/>
    </xf>
    <xf numFmtId="166" fontId="7" fillId="4" borderId="30" xfId="0" applyNumberFormat="1" applyFont="1" applyFill="1" applyBorder="1" applyAlignment="1">
      <alignment horizontal="center" vertical="center" wrapText="1"/>
    </xf>
    <xf numFmtId="165" fontId="7" fillId="4" borderId="30" xfId="0" applyNumberFormat="1" applyFont="1" applyFill="1" applyBorder="1" applyAlignment="1">
      <alignment vertical="top" wrapText="1"/>
    </xf>
    <xf numFmtId="0" fontId="7" fillId="4" borderId="1" xfId="0" applyFont="1" applyFill="1" applyBorder="1" applyAlignment="1">
      <alignment horizontal="center" vertical="center"/>
    </xf>
    <xf numFmtId="2" fontId="7" fillId="4" borderId="1" xfId="0" applyNumberFormat="1" applyFont="1" applyFill="1" applyBorder="1"/>
    <xf numFmtId="0" fontId="7" fillId="4" borderId="16" xfId="0" applyFont="1" applyFill="1" applyBorder="1" applyAlignment="1">
      <alignment horizontal="center" vertical="center"/>
    </xf>
    <xf numFmtId="3" fontId="12" fillId="4" borderId="18" xfId="78" applyNumberFormat="1" applyFont="1" applyFill="1" applyBorder="1" applyAlignment="1">
      <alignment horizontal="center" vertical="center" wrapText="1"/>
    </xf>
    <xf numFmtId="3" fontId="12" fillId="4" borderId="19" xfId="78" applyNumberFormat="1" applyFont="1" applyFill="1" applyBorder="1" applyAlignment="1">
      <alignment horizontal="center" vertical="center" wrapText="1"/>
    </xf>
    <xf numFmtId="3" fontId="12" fillId="4" borderId="13" xfId="78" applyNumberFormat="1" applyFont="1" applyFill="1" applyBorder="1" applyAlignment="1">
      <alignment horizontal="center" vertical="center" wrapText="1"/>
    </xf>
    <xf numFmtId="0" fontId="12" fillId="4" borderId="4" xfId="34" applyFont="1" applyFill="1" applyBorder="1" applyAlignment="1">
      <alignment horizontal="center" vertical="center" wrapText="1"/>
    </xf>
    <xf numFmtId="4" fontId="12" fillId="4" borderId="4" xfId="78" applyNumberFormat="1" applyFont="1" applyFill="1" applyBorder="1" applyAlignment="1">
      <alignment horizontal="center" vertical="center" wrapText="1"/>
    </xf>
    <xf numFmtId="0" fontId="9" fillId="4" borderId="18" xfId="34" applyFont="1" applyFill="1" applyBorder="1" applyAlignment="1">
      <alignment horizontal="center" vertical="center" wrapText="1"/>
    </xf>
    <xf numFmtId="0" fontId="9" fillId="4" borderId="19" xfId="34" applyFont="1" applyFill="1" applyBorder="1" applyAlignment="1">
      <alignment horizontal="center" vertical="center" wrapText="1"/>
    </xf>
    <xf numFmtId="0" fontId="9" fillId="4" borderId="13" xfId="34" applyFont="1" applyFill="1" applyBorder="1" applyAlignment="1">
      <alignment horizontal="center" vertical="center" wrapText="1"/>
    </xf>
    <xf numFmtId="0" fontId="9" fillId="4" borderId="4" xfId="34" applyFont="1" applyFill="1" applyBorder="1" applyAlignment="1">
      <alignment horizontal="center" vertical="center" wrapText="1"/>
    </xf>
    <xf numFmtId="4" fontId="9" fillId="4" borderId="13" xfId="80" applyNumberFormat="1" applyFont="1" applyFill="1" applyBorder="1" applyAlignment="1">
      <alignment horizontal="left" vertical="center" wrapText="1"/>
    </xf>
    <xf numFmtId="3" fontId="9" fillId="4" borderId="18" xfId="80" applyNumberFormat="1" applyFont="1" applyFill="1" applyBorder="1" applyAlignment="1">
      <alignment horizontal="center" vertical="center" wrapText="1"/>
    </xf>
    <xf numFmtId="3" fontId="9" fillId="4" borderId="19" xfId="80" applyNumberFormat="1" applyFont="1" applyFill="1" applyBorder="1" applyAlignment="1">
      <alignment horizontal="center" vertical="center" wrapText="1"/>
    </xf>
    <xf numFmtId="3" fontId="9" fillId="4" borderId="13" xfId="80" applyNumberFormat="1" applyFont="1" applyFill="1" applyBorder="1" applyAlignment="1">
      <alignment horizontal="center" vertical="center" wrapText="1"/>
    </xf>
    <xf numFmtId="0" fontId="9" fillId="5" borderId="13" xfId="34" applyFont="1" applyFill="1" applyBorder="1" applyAlignment="1">
      <alignment horizontal="center" vertical="center" wrapText="1"/>
    </xf>
    <xf numFmtId="0" fontId="9" fillId="5" borderId="19" xfId="34" applyFont="1" applyFill="1" applyBorder="1" applyAlignment="1">
      <alignment horizontal="center" vertical="center" wrapText="1"/>
    </xf>
    <xf numFmtId="0" fontId="9" fillId="5" borderId="13" xfId="34"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8" xfId="34" applyFont="1" applyFill="1" applyBorder="1" applyAlignment="1">
      <alignment vertical="center" wrapText="1"/>
    </xf>
    <xf numFmtId="0" fontId="9" fillId="5" borderId="4" xfId="34" applyFont="1" applyFill="1" applyBorder="1" applyAlignment="1">
      <alignment vertical="center" wrapText="1"/>
    </xf>
    <xf numFmtId="167" fontId="58" fillId="4" borderId="1" xfId="78" applyNumberFormat="1" applyFont="1" applyFill="1" applyBorder="1" applyAlignment="1">
      <alignment horizontal="center" vertical="center" wrapText="1"/>
    </xf>
    <xf numFmtId="3" fontId="100" fillId="4" borderId="25" xfId="80" applyNumberFormat="1" applyFont="1" applyFill="1" applyBorder="1" applyAlignment="1">
      <alignment horizontal="center" vertical="center" wrapText="1"/>
    </xf>
    <xf numFmtId="3" fontId="100" fillId="4" borderId="13" xfId="80" applyNumberFormat="1" applyFont="1" applyFill="1" applyBorder="1" applyAlignment="1">
      <alignment horizontal="center" vertical="center" wrapText="1"/>
    </xf>
    <xf numFmtId="3" fontId="58" fillId="4" borderId="25" xfId="78" applyNumberFormat="1" applyFont="1" applyFill="1" applyBorder="1" applyAlignment="1">
      <alignment horizontal="left" vertical="center" wrapText="1"/>
    </xf>
    <xf numFmtId="3" fontId="58" fillId="4" borderId="13" xfId="78" applyNumberFormat="1" applyFont="1" applyFill="1" applyBorder="1" applyAlignment="1">
      <alignment horizontal="left" vertical="center" wrapText="1"/>
    </xf>
    <xf numFmtId="3" fontId="100" fillId="4" borderId="1" xfId="80" applyNumberFormat="1" applyFont="1" applyFill="1" applyBorder="1" applyAlignment="1">
      <alignment horizontal="center" vertical="center" wrapText="1"/>
    </xf>
    <xf numFmtId="0" fontId="59" fillId="4" borderId="0" xfId="0" applyFont="1" applyFill="1" applyBorder="1" applyAlignment="1">
      <alignment horizontal="left" vertical="center" wrapText="1"/>
    </xf>
    <xf numFmtId="0" fontId="59" fillId="4" borderId="43" xfId="0" applyFont="1" applyFill="1" applyBorder="1" applyAlignment="1">
      <alignment horizontal="center" vertical="center" wrapText="1"/>
    </xf>
    <xf numFmtId="0" fontId="59" fillId="4" borderId="40" xfId="0" applyFont="1" applyFill="1" applyBorder="1" applyAlignment="1">
      <alignment horizontal="center" vertical="center" wrapText="1"/>
    </xf>
    <xf numFmtId="4" fontId="59" fillId="4" borderId="40" xfId="0" applyNumberFormat="1" applyFont="1" applyFill="1" applyBorder="1" applyAlignment="1">
      <alignment horizontal="center" vertical="center" wrapText="1"/>
    </xf>
    <xf numFmtId="0" fontId="59" fillId="4" borderId="41" xfId="0" applyFont="1" applyFill="1" applyBorder="1" applyAlignment="1">
      <alignment horizontal="center" vertical="center" wrapText="1"/>
    </xf>
    <xf numFmtId="0" fontId="99" fillId="4" borderId="5" xfId="78" applyFont="1" applyFill="1" applyBorder="1" applyAlignment="1">
      <alignment horizontal="center" vertical="center" wrapText="1"/>
    </xf>
    <xf numFmtId="0" fontId="99" fillId="4" borderId="1" xfId="78" applyFont="1" applyFill="1" applyBorder="1" applyAlignment="1">
      <alignment horizontal="center" vertical="center" wrapText="1"/>
    </xf>
    <xf numFmtId="0" fontId="59" fillId="4" borderId="5" xfId="78" applyFont="1" applyFill="1" applyBorder="1" applyAlignment="1">
      <alignment horizontal="left" vertical="center" wrapText="1"/>
    </xf>
    <xf numFmtId="0" fontId="59" fillId="4" borderId="1" xfId="78" applyFont="1" applyFill="1" applyBorder="1" applyAlignment="1">
      <alignment horizontal="left" vertical="center" wrapText="1"/>
    </xf>
    <xf numFmtId="0" fontId="59" fillId="4" borderId="5" xfId="78" applyFont="1" applyFill="1" applyBorder="1" applyAlignment="1">
      <alignment horizontal="center" vertical="center" wrapText="1"/>
    </xf>
    <xf numFmtId="0" fontId="59" fillId="4" borderId="1" xfId="78" applyFont="1" applyFill="1" applyBorder="1" applyAlignment="1">
      <alignment horizontal="center" vertical="center" wrapText="1"/>
    </xf>
    <xf numFmtId="0" fontId="59" fillId="4" borderId="47" xfId="78" applyFont="1" applyFill="1" applyBorder="1" applyAlignment="1">
      <alignment horizontal="center" vertical="center" wrapText="1"/>
    </xf>
    <xf numFmtId="0" fontId="59" fillId="4" borderId="48" xfId="78" applyFont="1" applyFill="1" applyBorder="1" applyAlignment="1">
      <alignment horizontal="center" vertical="center" wrapText="1"/>
    </xf>
    <xf numFmtId="4" fontId="59" fillId="4" borderId="48" xfId="78" applyNumberFormat="1" applyFont="1" applyFill="1" applyBorder="1" applyAlignment="1">
      <alignment horizontal="center" vertical="center" wrapText="1"/>
    </xf>
    <xf numFmtId="0" fontId="59" fillId="4" borderId="49" xfId="78" applyFont="1" applyFill="1" applyBorder="1" applyAlignment="1">
      <alignment horizontal="center" vertical="center" wrapText="1"/>
    </xf>
    <xf numFmtId="0" fontId="59" fillId="4" borderId="50" xfId="78" applyFont="1" applyFill="1" applyBorder="1" applyAlignment="1">
      <alignment horizontal="center" vertical="center" wrapText="1"/>
    </xf>
    <xf numFmtId="0" fontId="59" fillId="4" borderId="51" xfId="78" applyFont="1" applyFill="1" applyBorder="1" applyAlignment="1">
      <alignment horizontal="center" vertical="center" wrapText="1"/>
    </xf>
    <xf numFmtId="4" fontId="59" fillId="4" borderId="51" xfId="78" applyNumberFormat="1" applyFont="1" applyFill="1" applyBorder="1" applyAlignment="1">
      <alignment horizontal="center" vertical="center" wrapText="1"/>
    </xf>
    <xf numFmtId="0" fontId="59" fillId="4" borderId="52" xfId="78" applyFont="1" applyFill="1" applyBorder="1" applyAlignment="1">
      <alignment horizontal="center" vertical="center" wrapText="1"/>
    </xf>
    <xf numFmtId="0" fontId="58" fillId="4" borderId="1" xfId="34" applyFont="1" applyFill="1" applyBorder="1" applyAlignment="1">
      <alignment horizontal="left" vertical="center" wrapText="1" shrinkToFit="1"/>
    </xf>
    <xf numFmtId="0" fontId="58" fillId="4" borderId="1" xfId="34" applyFont="1" applyFill="1" applyBorder="1" applyAlignment="1">
      <alignment horizontal="left" vertical="center" wrapText="1"/>
    </xf>
    <xf numFmtId="0" fontId="100" fillId="4" borderId="25" xfId="0" applyFont="1" applyFill="1" applyBorder="1" applyAlignment="1">
      <alignment horizontal="center" vertical="center" wrapText="1"/>
    </xf>
    <xf numFmtId="0" fontId="100" fillId="4" borderId="19" xfId="0" applyFont="1" applyFill="1" applyBorder="1" applyAlignment="1">
      <alignment horizontal="center" vertical="center" wrapText="1"/>
    </xf>
    <xf numFmtId="0" fontId="100" fillId="4" borderId="17" xfId="0" applyFont="1" applyFill="1" applyBorder="1" applyAlignment="1">
      <alignment horizontal="center" vertical="center" wrapText="1"/>
    </xf>
    <xf numFmtId="0" fontId="58" fillId="4" borderId="25" xfId="91" applyFont="1" applyFill="1" applyBorder="1" applyAlignment="1">
      <alignment horizontal="left" vertical="center" wrapText="1"/>
    </xf>
    <xf numFmtId="0" fontId="58" fillId="4" borderId="19" xfId="91" applyFont="1" applyFill="1" applyBorder="1" applyAlignment="1">
      <alignment horizontal="left" vertical="center" wrapText="1"/>
    </xf>
    <xf numFmtId="0" fontId="58" fillId="4" borderId="17" xfId="91" applyFont="1" applyFill="1" applyBorder="1" applyAlignment="1">
      <alignment horizontal="left" vertical="center" wrapText="1"/>
    </xf>
    <xf numFmtId="3" fontId="100" fillId="4" borderId="17" xfId="80" applyNumberFormat="1" applyFont="1" applyFill="1" applyBorder="1" applyAlignment="1">
      <alignment horizontal="center" vertical="center" wrapText="1"/>
    </xf>
    <xf numFmtId="0" fontId="58" fillId="4" borderId="25" xfId="84" applyFont="1" applyFill="1" applyBorder="1" applyAlignment="1">
      <alignment horizontal="left" vertical="center" wrapText="1"/>
    </xf>
    <xf numFmtId="0" fontId="58" fillId="4" borderId="17" xfId="84" applyFont="1" applyFill="1" applyBorder="1" applyAlignment="1">
      <alignment horizontal="left" vertical="center" wrapText="1"/>
    </xf>
    <xf numFmtId="3" fontId="58" fillId="4" borderId="1" xfId="78" applyNumberFormat="1" applyFont="1" applyFill="1" applyBorder="1" applyAlignment="1">
      <alignment horizontal="left" vertical="center" wrapText="1"/>
    </xf>
    <xf numFmtId="0" fontId="100" fillId="4" borderId="1" xfId="0" applyFont="1" applyFill="1" applyBorder="1" applyAlignment="1">
      <alignment horizontal="center" vertical="center" wrapText="1"/>
    </xf>
    <xf numFmtId="0" fontId="100" fillId="4" borderId="16" xfId="0" applyFont="1" applyFill="1" applyBorder="1" applyAlignment="1">
      <alignment horizontal="center" vertical="center" wrapText="1"/>
    </xf>
    <xf numFmtId="0" fontId="58" fillId="4" borderId="25" xfId="85" applyFont="1" applyFill="1" applyBorder="1" applyAlignment="1">
      <alignment horizontal="left" vertical="center" wrapText="1"/>
    </xf>
    <xf numFmtId="0" fontId="58" fillId="4" borderId="13" xfId="85" applyFont="1" applyFill="1" applyBorder="1" applyAlignment="1">
      <alignment horizontal="left" vertical="center" wrapText="1"/>
    </xf>
    <xf numFmtId="3" fontId="100" fillId="4" borderId="16" xfId="80" applyNumberFormat="1" applyFont="1" applyFill="1" applyBorder="1" applyAlignment="1">
      <alignment horizontal="center" vertical="center" wrapText="1"/>
    </xf>
    <xf numFmtId="0" fontId="58" fillId="4" borderId="25" xfId="34" applyFont="1" applyFill="1" applyBorder="1" applyAlignment="1">
      <alignment horizontal="center" vertical="center" wrapText="1"/>
    </xf>
    <xf numFmtId="0" fontId="58" fillId="4" borderId="19" xfId="34" applyFont="1" applyFill="1" applyBorder="1" applyAlignment="1">
      <alignment horizontal="center" vertical="center" wrapText="1"/>
    </xf>
    <xf numFmtId="0" fontId="58" fillId="4" borderId="13" xfId="34" applyFont="1" applyFill="1" applyBorder="1" applyAlignment="1">
      <alignment horizontal="center" vertical="center" wrapText="1"/>
    </xf>
    <xf numFmtId="3" fontId="100" fillId="4" borderId="19" xfId="80" applyNumberFormat="1" applyFont="1" applyFill="1" applyBorder="1" applyAlignment="1">
      <alignment horizontal="center" vertical="center" wrapText="1"/>
    </xf>
    <xf numFmtId="3" fontId="58" fillId="4" borderId="19" xfId="78" applyNumberFormat="1" applyFont="1" applyFill="1" applyBorder="1" applyAlignment="1">
      <alignment horizontal="left" vertical="center" wrapText="1"/>
    </xf>
    <xf numFmtId="3" fontId="58" fillId="4" borderId="17" xfId="78" applyNumberFormat="1" applyFont="1" applyFill="1" applyBorder="1" applyAlignment="1">
      <alignment horizontal="left" vertical="center" wrapText="1"/>
    </xf>
    <xf numFmtId="0" fontId="58" fillId="4" borderId="25" xfId="34" applyFont="1" applyFill="1" applyBorder="1" applyAlignment="1">
      <alignment horizontal="left" vertical="center" wrapText="1"/>
    </xf>
    <xf numFmtId="0" fontId="58" fillId="4" borderId="19" xfId="34" applyFont="1" applyFill="1" applyBorder="1" applyAlignment="1">
      <alignment horizontal="left" vertical="center" wrapText="1"/>
    </xf>
    <xf numFmtId="0" fontId="58" fillId="4" borderId="17" xfId="34" applyFont="1" applyFill="1" applyBorder="1" applyAlignment="1">
      <alignment horizontal="left" vertical="center" wrapText="1"/>
    </xf>
    <xf numFmtId="4" fontId="58" fillId="4" borderId="25" xfId="34" applyNumberFormat="1" applyFont="1" applyFill="1" applyBorder="1" applyAlignment="1">
      <alignment horizontal="left" vertical="center" wrapText="1" shrinkToFit="1"/>
    </xf>
    <xf numFmtId="4" fontId="58" fillId="4" borderId="17" xfId="34" applyNumberFormat="1" applyFont="1" applyFill="1" applyBorder="1" applyAlignment="1">
      <alignment horizontal="left" vertical="center" wrapText="1" shrinkToFit="1"/>
    </xf>
    <xf numFmtId="4" fontId="58" fillId="4" borderId="1" xfId="0" applyNumberFormat="1" applyFont="1" applyFill="1" applyBorder="1" applyAlignment="1">
      <alignment horizontal="left" vertical="center" wrapText="1"/>
    </xf>
    <xf numFmtId="0" fontId="58" fillId="4" borderId="25" xfId="81" applyFont="1" applyFill="1" applyBorder="1" applyAlignment="1">
      <alignment horizontal="left" vertical="center" wrapText="1"/>
    </xf>
    <xf numFmtId="0" fontId="58" fillId="4" borderId="17" xfId="81" applyFont="1" applyFill="1" applyBorder="1" applyAlignment="1">
      <alignment horizontal="left" vertical="center" wrapText="1"/>
    </xf>
    <xf numFmtId="0" fontId="5" fillId="0" borderId="40" xfId="0" applyFont="1" applyBorder="1" applyAlignment="1">
      <alignment horizontal="center" vertical="center"/>
    </xf>
    <xf numFmtId="0" fontId="12" fillId="0" borderId="0" xfId="0" applyFont="1" applyAlignment="1">
      <alignment horizontal="left"/>
    </xf>
    <xf numFmtId="0" fontId="12" fillId="0" borderId="0" xfId="0" applyFont="1" applyAlignment="1">
      <alignment horizontal="center"/>
    </xf>
    <xf numFmtId="0" fontId="13" fillId="0" borderId="22" xfId="0" applyFont="1" applyBorder="1" applyAlignment="1">
      <alignment horizontal="right"/>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horizontal="center" vertical="center" wrapText="1"/>
    </xf>
    <xf numFmtId="0" fontId="12" fillId="4" borderId="18" xfId="95" applyFont="1" applyFill="1" applyBorder="1" applyAlignment="1">
      <alignment horizontal="center" vertical="center" wrapText="1"/>
    </xf>
    <xf numFmtId="0" fontId="12" fillId="4" borderId="19" xfId="95" applyFont="1" applyFill="1" applyBorder="1" applyAlignment="1">
      <alignment horizontal="center" vertical="center" wrapText="1"/>
    </xf>
    <xf numFmtId="0" fontId="12" fillId="4" borderId="4" xfId="95" applyFont="1" applyFill="1" applyBorder="1" applyAlignment="1">
      <alignment horizontal="center" vertical="center" wrapText="1"/>
    </xf>
    <xf numFmtId="0" fontId="6" fillId="4" borderId="0" xfId="32" applyFont="1" applyFill="1" applyAlignment="1">
      <alignment horizontal="left" vertical="center"/>
    </xf>
    <xf numFmtId="0" fontId="6" fillId="4" borderId="0" xfId="32" applyFont="1" applyFill="1" applyAlignment="1">
      <alignment horizontal="center" vertical="center" wrapText="1"/>
    </xf>
    <xf numFmtId="0" fontId="8" fillId="4" borderId="0" xfId="32" applyFont="1" applyFill="1" applyBorder="1" applyAlignment="1">
      <alignment horizontal="right"/>
    </xf>
    <xf numFmtId="0" fontId="6" fillId="4" borderId="5" xfId="32" applyFont="1" applyFill="1" applyBorder="1" applyAlignment="1">
      <alignment horizontal="center" vertical="center" wrapText="1"/>
    </xf>
    <xf numFmtId="0" fontId="6" fillId="4" borderId="1" xfId="32" applyFont="1" applyFill="1" applyBorder="1" applyAlignment="1">
      <alignment horizontal="center" vertical="center" wrapText="1"/>
    </xf>
    <xf numFmtId="0" fontId="6" fillId="4" borderId="16" xfId="32" applyFont="1" applyFill="1" applyBorder="1" applyAlignment="1">
      <alignment horizontal="center" vertical="center" wrapText="1"/>
    </xf>
    <xf numFmtId="0" fontId="6" fillId="0" borderId="0" xfId="0" applyFont="1" applyAlignment="1">
      <alignment horizontal="center"/>
    </xf>
    <xf numFmtId="0" fontId="69" fillId="0" borderId="22" xfId="0" applyFont="1" applyBorder="1" applyAlignment="1">
      <alignment horizontal="right"/>
    </xf>
    <xf numFmtId="0" fontId="6"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Alignment="1">
      <alignment horizontal="center"/>
    </xf>
    <xf numFmtId="0" fontId="28" fillId="4" borderId="22" xfId="0" applyFont="1" applyFill="1" applyBorder="1" applyAlignment="1">
      <alignment horizontal="right"/>
    </xf>
    <xf numFmtId="0" fontId="4" fillId="0" borderId="0" xfId="0" applyFont="1" applyBorder="1" applyAlignment="1">
      <alignment horizontal="center" vertical="center"/>
    </xf>
    <xf numFmtId="0" fontId="6" fillId="0" borderId="2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1" xfId="0" applyFont="1" applyBorder="1" applyAlignment="1">
      <alignment horizontal="center" vertical="center" wrapText="1"/>
    </xf>
    <xf numFmtId="0" fontId="70" fillId="0" borderId="4" xfId="0" applyFont="1" applyBorder="1" applyAlignment="1">
      <alignment horizontal="center" vertical="center"/>
    </xf>
    <xf numFmtId="4" fontId="12" fillId="4" borderId="0" xfId="78" applyNumberFormat="1" applyFont="1" applyFill="1" applyBorder="1" applyAlignment="1">
      <alignment horizontal="left" vertical="center" wrapText="1"/>
    </xf>
    <xf numFmtId="4" fontId="12" fillId="4" borderId="0" xfId="78" applyNumberFormat="1" applyFont="1" applyFill="1" applyBorder="1" applyAlignment="1">
      <alignment horizontal="center" vertical="center" wrapText="1"/>
    </xf>
    <xf numFmtId="4" fontId="9" fillId="4" borderId="22" xfId="78" applyNumberFormat="1" applyFont="1" applyFill="1" applyBorder="1" applyAlignment="1">
      <alignment horizontal="right" vertical="center" wrapText="1"/>
    </xf>
    <xf numFmtId="3" fontId="12" fillId="4" borderId="18" xfId="78" applyNumberFormat="1" applyFont="1" applyFill="1" applyBorder="1" applyAlignment="1">
      <alignment horizontal="center" vertical="center" wrapText="1"/>
    </xf>
    <xf numFmtId="3" fontId="12" fillId="4" borderId="19" xfId="78" applyNumberFormat="1" applyFont="1" applyFill="1" applyBorder="1" applyAlignment="1">
      <alignment horizontal="center" vertical="center" wrapText="1"/>
    </xf>
    <xf numFmtId="3" fontId="12" fillId="4" borderId="13" xfId="78" applyNumberFormat="1" applyFont="1" applyFill="1" applyBorder="1" applyAlignment="1">
      <alignment horizontal="center" vertical="center" wrapText="1"/>
    </xf>
    <xf numFmtId="4" fontId="12" fillId="4" borderId="18" xfId="78" applyNumberFormat="1" applyFont="1" applyFill="1" applyBorder="1" applyAlignment="1">
      <alignment horizontal="left" vertical="center" wrapText="1"/>
    </xf>
    <xf numFmtId="4" fontId="12" fillId="4" borderId="19" xfId="78" applyNumberFormat="1" applyFont="1" applyFill="1" applyBorder="1" applyAlignment="1">
      <alignment horizontal="left" vertical="center" wrapText="1"/>
    </xf>
    <xf numFmtId="4" fontId="12" fillId="4" borderId="13" xfId="78" applyNumberFormat="1" applyFont="1" applyFill="1" applyBorder="1" applyAlignment="1">
      <alignment horizontal="left" vertical="center" wrapText="1"/>
    </xf>
    <xf numFmtId="4" fontId="12" fillId="4" borderId="18" xfId="78" applyNumberFormat="1" applyFont="1" applyFill="1" applyBorder="1" applyAlignment="1">
      <alignment horizontal="center" vertical="center" wrapText="1"/>
    </xf>
    <xf numFmtId="4" fontId="12" fillId="4" borderId="19" xfId="78" applyNumberFormat="1" applyFont="1" applyFill="1" applyBorder="1" applyAlignment="1">
      <alignment horizontal="center" vertical="center" wrapText="1"/>
    </xf>
    <xf numFmtId="4" fontId="12" fillId="4" borderId="13" xfId="78" applyNumberFormat="1" applyFont="1" applyFill="1" applyBorder="1" applyAlignment="1">
      <alignment horizontal="center" vertical="center" wrapText="1"/>
    </xf>
    <xf numFmtId="181" fontId="12" fillId="4" borderId="18" xfId="78" applyNumberFormat="1" applyFont="1" applyFill="1" applyBorder="1" applyAlignment="1">
      <alignment horizontal="center" vertical="center" wrapText="1"/>
    </xf>
    <xf numFmtId="181" fontId="12" fillId="4" borderId="19" xfId="78" applyNumberFormat="1" applyFont="1" applyFill="1" applyBorder="1" applyAlignment="1">
      <alignment horizontal="center" vertical="center" wrapText="1"/>
    </xf>
    <xf numFmtId="181" fontId="12" fillId="4" borderId="13" xfId="78" applyNumberFormat="1" applyFont="1" applyFill="1" applyBorder="1" applyAlignment="1">
      <alignment horizontal="center" vertical="center" wrapText="1"/>
    </xf>
    <xf numFmtId="4" fontId="12" fillId="4" borderId="43" xfId="78" applyNumberFormat="1" applyFont="1" applyFill="1" applyBorder="1" applyAlignment="1">
      <alignment horizontal="center" vertical="center" wrapText="1"/>
    </xf>
    <xf numFmtId="4" fontId="12" fillId="4" borderId="40" xfId="78" applyNumberFormat="1" applyFont="1" applyFill="1" applyBorder="1" applyAlignment="1">
      <alignment horizontal="center" vertical="center" wrapText="1"/>
    </xf>
    <xf numFmtId="4" fontId="12" fillId="4" borderId="41" xfId="78" applyNumberFormat="1" applyFont="1" applyFill="1" applyBorder="1" applyAlignment="1">
      <alignment horizontal="center" vertical="center" wrapText="1"/>
    </xf>
    <xf numFmtId="4" fontId="12" fillId="4" borderId="15" xfId="78" applyNumberFormat="1" applyFont="1" applyFill="1" applyBorder="1" applyAlignment="1">
      <alignment horizontal="center" vertical="center" wrapText="1"/>
    </xf>
    <xf numFmtId="4" fontId="12" fillId="4" borderId="53" xfId="78" applyNumberFormat="1" applyFont="1" applyFill="1" applyBorder="1" applyAlignment="1">
      <alignment horizontal="center" vertical="center" wrapText="1"/>
    </xf>
    <xf numFmtId="4" fontId="12" fillId="4" borderId="45" xfId="78" applyNumberFormat="1" applyFont="1" applyFill="1" applyBorder="1" applyAlignment="1">
      <alignment horizontal="center" vertical="center" wrapText="1"/>
    </xf>
    <xf numFmtId="4" fontId="12" fillId="4" borderId="22" xfId="78" applyNumberFormat="1" applyFont="1" applyFill="1" applyBorder="1" applyAlignment="1">
      <alignment horizontal="center" vertical="center" wrapText="1"/>
    </xf>
    <xf numFmtId="4" fontId="12" fillId="4" borderId="46" xfId="78" applyNumberFormat="1" applyFont="1" applyFill="1" applyBorder="1" applyAlignment="1">
      <alignment horizontal="center" vertical="center" wrapText="1"/>
    </xf>
    <xf numFmtId="4" fontId="12" fillId="4" borderId="23" xfId="34" applyNumberFormat="1" applyFont="1" applyFill="1" applyBorder="1" applyAlignment="1">
      <alignment horizontal="center" vertical="center" wrapText="1"/>
    </xf>
    <xf numFmtId="4" fontId="12" fillId="4" borderId="21" xfId="34" applyNumberFormat="1" applyFont="1" applyFill="1" applyBorder="1" applyAlignment="1">
      <alignment horizontal="center" vertical="center" wrapText="1"/>
    </xf>
    <xf numFmtId="0" fontId="12" fillId="4" borderId="4" xfId="34" applyFont="1" applyFill="1" applyBorder="1" applyAlignment="1">
      <alignment horizontal="center" vertical="center" wrapText="1"/>
    </xf>
    <xf numFmtId="0" fontId="12" fillId="4" borderId="18" xfId="34" applyFont="1" applyFill="1" applyBorder="1" applyAlignment="1">
      <alignment horizontal="center" vertical="center" wrapText="1"/>
    </xf>
    <xf numFmtId="0" fontId="12" fillId="4" borderId="19" xfId="34" applyFont="1" applyFill="1" applyBorder="1" applyAlignment="1">
      <alignment horizontal="center" vertical="center" wrapText="1"/>
    </xf>
    <xf numFmtId="0" fontId="12" fillId="4" borderId="13" xfId="34" applyFont="1" applyFill="1" applyBorder="1" applyAlignment="1">
      <alignment horizontal="center" vertical="center" wrapText="1"/>
    </xf>
    <xf numFmtId="0" fontId="72" fillId="0" borderId="22"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4" xfId="0" applyFont="1" applyBorder="1" applyAlignment="1">
      <alignment horizontal="center" vertical="center"/>
    </xf>
    <xf numFmtId="0" fontId="5" fillId="0" borderId="40" xfId="0" applyFont="1" applyBorder="1" applyAlignment="1">
      <alignment horizontal="left" vertical="center"/>
    </xf>
    <xf numFmtId="0" fontId="8" fillId="0" borderId="22" xfId="0"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left"/>
    </xf>
    <xf numFmtId="0" fontId="6" fillId="4" borderId="0" xfId="0" applyFont="1" applyFill="1" applyAlignment="1">
      <alignment horizontal="left"/>
    </xf>
    <xf numFmtId="0" fontId="6" fillId="4" borderId="0" xfId="0" applyFont="1" applyFill="1" applyBorder="1" applyAlignment="1">
      <alignment horizontal="center"/>
    </xf>
    <xf numFmtId="0" fontId="8" fillId="4" borderId="46" xfId="0" applyNumberFormat="1" applyFont="1" applyFill="1" applyBorder="1" applyAlignment="1">
      <alignment horizontal="right"/>
    </xf>
    <xf numFmtId="0" fontId="8" fillId="4" borderId="13" xfId="0" applyNumberFormat="1" applyFont="1" applyFill="1" applyBorder="1" applyAlignment="1">
      <alignment horizontal="right"/>
    </xf>
    <xf numFmtId="0" fontId="8" fillId="4" borderId="45" xfId="0" applyNumberFormat="1" applyFont="1" applyFill="1" applyBorder="1" applyAlignment="1">
      <alignment horizontal="right"/>
    </xf>
    <xf numFmtId="0" fontId="6" fillId="0" borderId="0" xfId="0" applyFont="1" applyBorder="1" applyAlignment="1">
      <alignment horizontal="center"/>
    </xf>
    <xf numFmtId="0" fontId="8" fillId="0" borderId="46" xfId="0" applyFont="1" applyBorder="1" applyAlignment="1">
      <alignment horizontal="right"/>
    </xf>
    <xf numFmtId="0" fontId="8" fillId="0" borderId="13" xfId="0" applyFont="1" applyBorder="1" applyAlignment="1">
      <alignment horizontal="right"/>
    </xf>
    <xf numFmtId="0" fontId="8" fillId="0" borderId="45" xfId="0" applyFont="1" applyBorder="1" applyAlignment="1">
      <alignment horizontal="right"/>
    </xf>
    <xf numFmtId="4" fontId="12" fillId="4" borderId="0" xfId="78" applyNumberFormat="1" applyFont="1" applyFill="1" applyBorder="1" applyAlignment="1">
      <alignment vertical="center" wrapText="1"/>
    </xf>
    <xf numFmtId="3" fontId="12" fillId="4" borderId="4" xfId="78" applyNumberFormat="1" applyFont="1" applyFill="1" applyBorder="1" applyAlignment="1">
      <alignment horizontal="center" vertical="center" wrapText="1"/>
    </xf>
    <xf numFmtId="4" fontId="12" fillId="4" borderId="4" xfId="78" applyNumberFormat="1" applyFont="1" applyFill="1" applyBorder="1" applyAlignment="1">
      <alignment vertical="center" wrapText="1"/>
    </xf>
    <xf numFmtId="4" fontId="12" fillId="4" borderId="4" xfId="78" applyNumberFormat="1" applyFont="1" applyFill="1" applyBorder="1" applyAlignment="1">
      <alignment horizontal="center" vertical="center" wrapText="1"/>
    </xf>
    <xf numFmtId="181" fontId="12" fillId="4" borderId="4" xfId="78" applyNumberFormat="1" applyFont="1" applyFill="1" applyBorder="1" applyAlignment="1">
      <alignment horizontal="center" vertical="center" wrapText="1"/>
    </xf>
    <xf numFmtId="4" fontId="12" fillId="4" borderId="4" xfId="34" applyNumberFormat="1" applyFont="1" applyFill="1" applyBorder="1" applyAlignment="1">
      <alignment vertical="center" wrapText="1"/>
    </xf>
    <xf numFmtId="0" fontId="9" fillId="4" borderId="18" xfId="34" applyFont="1" applyFill="1" applyBorder="1" applyAlignment="1">
      <alignment horizontal="center" vertical="center" wrapText="1"/>
    </xf>
    <xf numFmtId="0" fontId="9" fillId="4" borderId="19" xfId="34" applyFont="1" applyFill="1" applyBorder="1" applyAlignment="1">
      <alignment horizontal="center" vertical="center" wrapText="1"/>
    </xf>
    <xf numFmtId="0" fontId="9" fillId="4" borderId="13" xfId="34" applyFont="1" applyFill="1" applyBorder="1" applyAlignment="1">
      <alignment horizontal="center" vertical="center" wrapText="1"/>
    </xf>
    <xf numFmtId="4" fontId="12" fillId="4" borderId="4" xfId="78" applyNumberFormat="1" applyFont="1" applyFill="1" applyBorder="1" applyAlignment="1">
      <alignment horizontal="left" vertical="center" wrapText="1"/>
    </xf>
    <xf numFmtId="0" fontId="9" fillId="4" borderId="18" xfId="34" applyFont="1" applyFill="1" applyBorder="1" applyAlignment="1">
      <alignment horizontal="center" wrapText="1"/>
    </xf>
    <xf numFmtId="0" fontId="9" fillId="4" borderId="19" xfId="34" applyFont="1" applyFill="1" applyBorder="1" applyAlignment="1">
      <alignment horizontal="center" wrapText="1"/>
    </xf>
    <xf numFmtId="0" fontId="9" fillId="4" borderId="13" xfId="34" applyFont="1" applyFill="1" applyBorder="1" applyAlignment="1">
      <alignment horizontal="center" wrapText="1"/>
    </xf>
    <xf numFmtId="0" fontId="9" fillId="4" borderId="4" xfId="34" applyFont="1" applyFill="1" applyBorder="1" applyAlignment="1">
      <alignment horizontal="center" vertical="center" wrapText="1"/>
    </xf>
    <xf numFmtId="4" fontId="12" fillId="4" borderId="3" xfId="34" applyNumberFormat="1" applyFont="1" applyFill="1" applyBorder="1" applyAlignment="1">
      <alignment horizontal="center" vertical="center" wrapText="1"/>
    </xf>
    <xf numFmtId="0" fontId="23" fillId="4" borderId="18" xfId="34" applyFont="1" applyFill="1" applyBorder="1" applyAlignment="1">
      <alignment horizontal="center" vertical="center" wrapText="1"/>
    </xf>
    <xf numFmtId="0" fontId="23" fillId="4" borderId="19" xfId="34" applyFont="1" applyFill="1" applyBorder="1" applyAlignment="1">
      <alignment horizontal="center" vertical="center" wrapText="1"/>
    </xf>
    <xf numFmtId="0" fontId="23" fillId="4" borderId="13" xfId="34" applyFont="1" applyFill="1" applyBorder="1" applyAlignment="1">
      <alignment horizontal="center" vertical="center" wrapText="1"/>
    </xf>
    <xf numFmtId="0" fontId="9" fillId="5" borderId="18" xfId="34" applyFont="1" applyFill="1" applyBorder="1" applyAlignment="1">
      <alignment horizontal="center" vertical="center" wrapText="1"/>
    </xf>
    <xf numFmtId="0" fontId="9" fillId="5" borderId="19" xfId="34" applyFont="1" applyFill="1" applyBorder="1" applyAlignment="1">
      <alignment horizontal="center" vertical="center" wrapText="1"/>
    </xf>
    <xf numFmtId="0" fontId="9" fillId="5" borderId="13" xfId="34" applyFont="1" applyFill="1" applyBorder="1" applyAlignment="1">
      <alignment horizontal="center" vertical="center" wrapText="1"/>
    </xf>
    <xf numFmtId="0" fontId="9" fillId="5" borderId="18" xfId="34" applyFont="1" applyFill="1" applyBorder="1" applyAlignment="1">
      <alignment horizontal="center" vertical="center" wrapText="1" shrinkToFit="1"/>
    </xf>
    <xf numFmtId="0" fontId="9" fillId="5" borderId="19" xfId="34" applyFont="1" applyFill="1" applyBorder="1" applyAlignment="1">
      <alignment horizontal="center" vertical="center" wrapText="1" shrinkToFit="1"/>
    </xf>
    <xf numFmtId="0" fontId="9" fillId="5" borderId="13" xfId="34" applyFont="1" applyFill="1" applyBorder="1" applyAlignment="1">
      <alignment horizontal="center" vertical="center" wrapText="1" shrinkToFit="1"/>
    </xf>
    <xf numFmtId="0" fontId="9" fillId="4" borderId="18" xfId="34" applyFont="1" applyFill="1" applyBorder="1" applyAlignment="1">
      <alignment horizontal="left" vertical="center" wrapText="1"/>
    </xf>
    <xf numFmtId="0" fontId="9" fillId="4" borderId="19" xfId="34" applyFont="1" applyFill="1" applyBorder="1" applyAlignment="1">
      <alignment horizontal="left" vertical="center" wrapText="1"/>
    </xf>
    <xf numFmtId="0" fontId="9" fillId="4" borderId="13" xfId="34" applyFont="1" applyFill="1" applyBorder="1" applyAlignment="1">
      <alignment horizontal="left" vertical="center" wrapText="1"/>
    </xf>
    <xf numFmtId="4" fontId="9" fillId="4" borderId="18" xfId="34" applyNumberFormat="1" applyFont="1" applyFill="1" applyBorder="1" applyAlignment="1">
      <alignment horizontal="left" vertical="center" wrapText="1"/>
    </xf>
    <xf numFmtId="4" fontId="9" fillId="4" borderId="13" xfId="34" applyNumberFormat="1" applyFont="1" applyFill="1" applyBorder="1" applyAlignment="1">
      <alignment horizontal="left" vertical="center" wrapText="1"/>
    </xf>
    <xf numFmtId="4" fontId="9" fillId="4" borderId="18" xfId="80" applyNumberFormat="1" applyFont="1" applyFill="1" applyBorder="1" applyAlignment="1">
      <alignment horizontal="center" vertical="center" wrapText="1"/>
    </xf>
    <xf numFmtId="4" fontId="9" fillId="4" borderId="19" xfId="80" applyNumberFormat="1" applyFont="1" applyFill="1" applyBorder="1" applyAlignment="1">
      <alignment horizontal="center" vertical="center" wrapText="1"/>
    </xf>
    <xf numFmtId="4" fontId="9" fillId="4" borderId="13" xfId="80" applyNumberFormat="1" applyFont="1" applyFill="1" applyBorder="1" applyAlignment="1">
      <alignment horizontal="center" vertical="center" wrapText="1"/>
    </xf>
    <xf numFmtId="4" fontId="9" fillId="4" borderId="19" xfId="34" applyNumberFormat="1" applyFont="1" applyFill="1" applyBorder="1" applyAlignment="1">
      <alignment horizontal="left" vertical="center" wrapText="1"/>
    </xf>
    <xf numFmtId="3" fontId="9" fillId="4" borderId="18" xfId="80" applyNumberFormat="1" applyFont="1" applyFill="1" applyBorder="1" applyAlignment="1">
      <alignment horizontal="center" vertical="center" wrapText="1"/>
    </xf>
    <xf numFmtId="3" fontId="9" fillId="4" borderId="19" xfId="80" applyNumberFormat="1" applyFont="1" applyFill="1" applyBorder="1" applyAlignment="1">
      <alignment horizontal="center" vertical="center" wrapText="1"/>
    </xf>
    <xf numFmtId="3" fontId="9" fillId="4" borderId="13" xfId="80" applyNumberFormat="1" applyFont="1" applyFill="1" applyBorder="1" applyAlignment="1">
      <alignment horizontal="center" vertical="center" wrapText="1"/>
    </xf>
    <xf numFmtId="4" fontId="9" fillId="4" borderId="18" xfId="34" applyNumberFormat="1" applyFont="1" applyFill="1" applyBorder="1" applyAlignment="1">
      <alignment horizontal="center" vertical="center" wrapText="1"/>
    </xf>
    <xf numFmtId="4" fontId="9" fillId="4" borderId="13" xfId="34" applyNumberFormat="1" applyFont="1" applyFill="1" applyBorder="1" applyAlignment="1">
      <alignment horizontal="center" vertical="center" wrapText="1"/>
    </xf>
    <xf numFmtId="0" fontId="9" fillId="4" borderId="18" xfId="34" applyFont="1" applyFill="1" applyBorder="1" applyAlignment="1">
      <alignment horizontal="left" vertical="center" wrapText="1" shrinkToFit="1"/>
    </xf>
    <xf numFmtId="0" fontId="9" fillId="4" borderId="19" xfId="34" applyFont="1" applyFill="1" applyBorder="1" applyAlignment="1">
      <alignment horizontal="left" vertical="center" wrapText="1" shrinkToFit="1"/>
    </xf>
    <xf numFmtId="0" fontId="9" fillId="4" borderId="13" xfId="34" applyFont="1" applyFill="1" applyBorder="1" applyAlignment="1">
      <alignment horizontal="left" vertical="center" wrapText="1" shrinkToFit="1"/>
    </xf>
    <xf numFmtId="0" fontId="9" fillId="5" borderId="4" xfId="34" applyFont="1" applyFill="1" applyBorder="1" applyAlignment="1">
      <alignment horizontal="center" vertical="center" wrapText="1"/>
    </xf>
    <xf numFmtId="4" fontId="70" fillId="0" borderId="0" xfId="95" applyNumberFormat="1" applyFont="1" applyFill="1" applyAlignment="1">
      <alignment horizontal="left" vertical="center"/>
    </xf>
    <xf numFmtId="4" fontId="70" fillId="0" borderId="0" xfId="95" applyNumberFormat="1" applyFont="1" applyFill="1" applyAlignment="1">
      <alignment horizontal="center" vertical="center"/>
    </xf>
    <xf numFmtId="4" fontId="75" fillId="0" borderId="22" xfId="95" applyNumberFormat="1" applyFont="1" applyFill="1" applyBorder="1" applyAlignment="1">
      <alignment horizontal="right" vertical="center"/>
    </xf>
    <xf numFmtId="4" fontId="70" fillId="6" borderId="4" xfId="95" applyNumberFormat="1" applyFont="1" applyFill="1" applyBorder="1" applyAlignment="1">
      <alignment horizontal="center" vertical="center" wrapText="1"/>
    </xf>
    <xf numFmtId="4" fontId="71" fillId="6" borderId="4" xfId="95" applyNumberFormat="1" applyFont="1" applyFill="1" applyBorder="1" applyAlignment="1">
      <alignment horizontal="center" vertical="center" wrapText="1"/>
    </xf>
    <xf numFmtId="4" fontId="70" fillId="4" borderId="4" xfId="95" applyNumberFormat="1" applyFont="1" applyFill="1" applyBorder="1" applyAlignment="1">
      <alignment horizontal="center" vertical="center" wrapText="1"/>
    </xf>
    <xf numFmtId="0" fontId="59" fillId="4" borderId="0" xfId="0" applyFont="1" applyFill="1" applyAlignment="1">
      <alignment horizontal="center"/>
    </xf>
    <xf numFmtId="0" fontId="112" fillId="4" borderId="22" xfId="0" applyFont="1" applyFill="1" applyBorder="1" applyAlignment="1">
      <alignment horizontal="right"/>
    </xf>
    <xf numFmtId="0" fontId="59" fillId="4" borderId="4" xfId="0" applyFont="1" applyFill="1" applyBorder="1" applyAlignment="1">
      <alignment horizontal="center" vertical="center" wrapText="1"/>
    </xf>
    <xf numFmtId="0" fontId="70" fillId="0" borderId="0" xfId="0" applyFont="1" applyBorder="1" applyAlignment="1">
      <alignment horizontal="center"/>
    </xf>
    <xf numFmtId="0" fontId="70" fillId="0" borderId="0" xfId="0" applyFont="1" applyAlignment="1">
      <alignment horizontal="center"/>
    </xf>
    <xf numFmtId="4" fontId="71" fillId="0" borderId="4" xfId="0" applyNumberFormat="1" applyFont="1" applyBorder="1" applyAlignment="1">
      <alignment horizontal="left" vertical="center"/>
    </xf>
    <xf numFmtId="4" fontId="71" fillId="0" borderId="4" xfId="0" applyNumberFormat="1" applyFont="1" applyBorder="1" applyAlignment="1">
      <alignment vertical="center" wrapText="1"/>
    </xf>
    <xf numFmtId="0" fontId="71" fillId="0" borderId="4" xfId="0" applyFont="1" applyBorder="1" applyAlignment="1">
      <alignment horizontal="left" vertical="center"/>
    </xf>
  </cellXfs>
  <cellStyles count="175">
    <cellStyle name="1" xfId="1"/>
    <cellStyle name="1_Book1" xfId="2"/>
    <cellStyle name="2" xfId="3"/>
    <cellStyle name="20% - Accent1 2" xfId="98"/>
    <cellStyle name="20% - Accent2 2" xfId="99"/>
    <cellStyle name="20% - Accent3 2" xfId="100"/>
    <cellStyle name="20% - Accent4 2" xfId="101"/>
    <cellStyle name="20% - Accent5 2" xfId="102"/>
    <cellStyle name="20% - Accent6 2" xfId="103"/>
    <cellStyle name="3" xfId="4"/>
    <cellStyle name="4" xfId="5"/>
    <cellStyle name="40% - Accent1 2" xfId="104"/>
    <cellStyle name="40% - Accent2 2" xfId="105"/>
    <cellStyle name="40% - Accent3 2" xfId="106"/>
    <cellStyle name="40% - Accent4 2" xfId="107"/>
    <cellStyle name="40% - Accent5 2" xfId="108"/>
    <cellStyle name="40% - Accent6 2" xfId="109"/>
    <cellStyle name="60% - Accent1 2" xfId="110"/>
    <cellStyle name="60% - Accent2 2" xfId="111"/>
    <cellStyle name="60% - Accent3 2" xfId="112"/>
    <cellStyle name="60% - Accent4 2" xfId="113"/>
    <cellStyle name="60% - Accent5 2" xfId="114"/>
    <cellStyle name="60% - Accent6 2" xfId="115"/>
    <cellStyle name="Accent1 2" xfId="116"/>
    <cellStyle name="Accent2 2" xfId="117"/>
    <cellStyle name="Accent3 2" xfId="118"/>
    <cellStyle name="Accent4 2" xfId="119"/>
    <cellStyle name="Accent5 2" xfId="120"/>
    <cellStyle name="Accent6 2" xfId="121"/>
    <cellStyle name="AeE­ [0]_INQUIRY ¿µ¾÷AßAø " xfId="6"/>
    <cellStyle name="AeE­_INQUIRY ¿µ¾÷AßAø " xfId="7"/>
    <cellStyle name="AÞ¸¶ [0]_INQUIRY ¿?¾÷AßAø " xfId="8"/>
    <cellStyle name="AÞ¸¶_INQUIRY ¿?¾÷AßAø " xfId="9"/>
    <cellStyle name="AutoFormat-Optionen" xfId="93"/>
    <cellStyle name="Bad 2" xfId="122"/>
    <cellStyle name="C?AØ_¿?¾÷CoE² " xfId="10"/>
    <cellStyle name="C￥AØ_¿μ¾÷CoE² " xfId="11"/>
    <cellStyle name="Calculation 2" xfId="123"/>
    <cellStyle name="Check Cell 2" xfId="124"/>
    <cellStyle name="Comma" xfId="12" builtinId="3"/>
    <cellStyle name="Comma 10" xfId="172"/>
    <cellStyle name="Comma 10 2" xfId="174"/>
    <cellStyle name="Comma 2" xfId="13"/>
    <cellStyle name="Comma 2 4" xfId="14"/>
    <cellStyle name="Comma 3" xfId="15"/>
    <cellStyle name="Comma 3 2" xfId="125"/>
    <cellStyle name="Comma 4" xfId="76"/>
    <cellStyle name="Comma 4 2" xfId="126"/>
    <cellStyle name="Comma 5" xfId="16"/>
    <cellStyle name="Comma 5 2" xfId="96"/>
    <cellStyle name="Comma 5 2 2" xfId="127"/>
    <cellStyle name="Comma 5 3" xfId="128"/>
    <cellStyle name="Comma 5 4" xfId="129"/>
    <cellStyle name="Comma 6" xfId="79"/>
    <cellStyle name="Comma 6 2" xfId="130"/>
    <cellStyle name="Comma 6 3" xfId="131"/>
    <cellStyle name="Comma 6 4" xfId="132"/>
    <cellStyle name="Comma 7" xfId="17"/>
    <cellStyle name="Comma 8" xfId="133"/>
    <cellStyle name="Comma 9" xfId="134"/>
    <cellStyle name="Comma0" xfId="18"/>
    <cellStyle name="Comma0 2" xfId="135"/>
    <cellStyle name="Comma0 3" xfId="136"/>
    <cellStyle name="Currency0" xfId="19"/>
    <cellStyle name="Currency0 2" xfId="137"/>
    <cellStyle name="Currency0 3" xfId="138"/>
    <cellStyle name="Date" xfId="20"/>
    <cellStyle name="Date 2" xfId="139"/>
    <cellStyle name="Date 3" xfId="140"/>
    <cellStyle name="Dấu_phảy 2" xfId="94"/>
    <cellStyle name="Explanatory Text 2" xfId="141"/>
    <cellStyle name="Fixed" xfId="21"/>
    <cellStyle name="Fixed 2" xfId="142"/>
    <cellStyle name="Fixed 3" xfId="143"/>
    <cellStyle name="Good 2" xfId="144"/>
    <cellStyle name="Grey" xfId="22"/>
    <cellStyle name="Header1" xfId="23"/>
    <cellStyle name="Header2" xfId="24"/>
    <cellStyle name="Heading 1 2" xfId="145"/>
    <cellStyle name="Heading 2 2" xfId="146"/>
    <cellStyle name="Heading 3 2" xfId="147"/>
    <cellStyle name="Heading 4 2" xfId="148"/>
    <cellStyle name="Hoa-Scholl" xfId="25"/>
    <cellStyle name="Hyperlink 2" xfId="26"/>
    <cellStyle name="Input [yellow]" xfId="27"/>
    <cellStyle name="Input 2" xfId="149"/>
    <cellStyle name="Input 3" xfId="150"/>
    <cellStyle name="Input 4" xfId="151"/>
    <cellStyle name="Input 5" xfId="152"/>
    <cellStyle name="Input 6" xfId="153"/>
    <cellStyle name="Linked Cell 2" xfId="154"/>
    <cellStyle name="moi" xfId="28"/>
    <cellStyle name="n" xfId="29"/>
    <cellStyle name="Neutral 2" xfId="155"/>
    <cellStyle name="Normal" xfId="0" builtinId="0"/>
    <cellStyle name="Normal - Style1" xfId="30"/>
    <cellStyle name="Normal - Style1 2" xfId="156"/>
    <cellStyle name="Normal 10" xfId="157"/>
    <cellStyle name="Normal 11" xfId="158"/>
    <cellStyle name="Normal 11 2" xfId="31"/>
    <cellStyle name="Normal 12" xfId="159"/>
    <cellStyle name="Normal 13" xfId="32"/>
    <cellStyle name="Normal 13 2" xfId="95"/>
    <cellStyle name="Normal 15" xfId="33"/>
    <cellStyle name="Normal 15 2" xfId="86"/>
    <cellStyle name="Normal 16" xfId="34"/>
    <cellStyle name="Normal 17" xfId="77"/>
    <cellStyle name="Normal 19" xfId="35"/>
    <cellStyle name="Normal 19 2" xfId="91"/>
    <cellStyle name="Normal 2" xfId="71"/>
    <cellStyle name="Normal 2 2" xfId="89"/>
    <cellStyle name="Normal 2 4" xfId="36"/>
    <cellStyle name="Normal 21" xfId="37"/>
    <cellStyle name="Normal 21 2" xfId="82"/>
    <cellStyle name="Normal 23" xfId="38"/>
    <cellStyle name="Normal 23 2" xfId="88"/>
    <cellStyle name="Normal 26" xfId="39"/>
    <cellStyle name="Normal 26 2" xfId="83"/>
    <cellStyle name="Normal 28" xfId="40"/>
    <cellStyle name="Normal 28 2" xfId="87"/>
    <cellStyle name="Normal 29" xfId="41"/>
    <cellStyle name="Normal 29 2" xfId="85"/>
    <cellStyle name="Normal 3" xfId="72"/>
    <cellStyle name="Normal 30" xfId="42"/>
    <cellStyle name="Normal 30 2" xfId="81"/>
    <cellStyle name="Normal 31" xfId="43"/>
    <cellStyle name="Normal 31 2" xfId="84"/>
    <cellStyle name="Normal 32" xfId="44"/>
    <cellStyle name="Normal 32 2" xfId="92"/>
    <cellStyle name="Normal 4" xfId="45"/>
    <cellStyle name="Normal 4 2" xfId="78"/>
    <cellStyle name="Normal 5" xfId="73"/>
    <cellStyle name="Normal 5 2" xfId="90"/>
    <cellStyle name="Normal 5 2 2" xfId="97"/>
    <cellStyle name="Normal 5 2 2 2" xfId="173"/>
    <cellStyle name="Normal 6" xfId="74"/>
    <cellStyle name="Normal 7" xfId="75"/>
    <cellStyle name="Normal 8" xfId="160"/>
    <cellStyle name="Normal 9" xfId="161"/>
    <cellStyle name="Normal_Bieu 10 2" xfId="80"/>
    <cellStyle name="Normal_QHMau" xfId="46"/>
    <cellStyle name="Normal_Sheet1" xfId="47"/>
    <cellStyle name="Normal_TT.GR HT-QH " xfId="48"/>
    <cellStyle name="Note 2" xfId="162"/>
    <cellStyle name="Œ…‹æØ‚è [0.00]_ÆÂ¹²" xfId="49"/>
    <cellStyle name="Output 2" xfId="163"/>
    <cellStyle name="Percent [2]" xfId="50"/>
    <cellStyle name="Percent 2" xfId="164"/>
    <cellStyle name="Percent 3" xfId="165"/>
    <cellStyle name="Percent 4" xfId="166"/>
    <cellStyle name="Percent 5" xfId="167"/>
    <cellStyle name="Percent 6" xfId="168"/>
    <cellStyle name="Title 2" xfId="169"/>
    <cellStyle name="Total 2" xfId="170"/>
    <cellStyle name="Warning Text 2" xfId="171"/>
    <cellStyle name=" [0.00]_ Att. 1- Cover" xfId="68"/>
    <cellStyle name="_ Att. 1- Cover" xfId="69"/>
    <cellStyle name="?_ Att. 1- Cover" xfId="7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60"/>
    <cellStyle name="콤마_1202" xfId="61"/>
    <cellStyle name="통화 [0]_1202" xfId="62"/>
    <cellStyle name="통화_1202" xfId="63"/>
    <cellStyle name="표준_(정보부문)월별인원계획" xfId="64"/>
    <cellStyle name="一般_00Q3902REV.1" xfId="57"/>
    <cellStyle name="千分位[0]_00Q3902REV.1" xfId="58"/>
    <cellStyle name="千分位_00Q3902REV.1" xfId="59"/>
    <cellStyle name="貨幣 [0]_00Q3902REV.1" xfId="65"/>
    <cellStyle name="貨幣[0]_BRE" xfId="66"/>
    <cellStyle name="貨幣_00Q3902REV.1" xfId="6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'SS (2)'!$K$5</c:f>
              <c:strCache>
                <c:ptCount val="1"/>
              </c:strCache>
            </c:strRef>
          </c:tx>
          <c:invertIfNegative val="0"/>
          <c:dLbls>
            <c:dLbl>
              <c:idx val="0"/>
              <c:layout>
                <c:manualLayout>
                  <c:x val="-3.61111111111111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80-46F2-899F-6B9FD233C3E9}"/>
                </c:ext>
              </c:extLst>
            </c:dLbl>
            <c:dLbl>
              <c:idx val="1"/>
              <c:layout>
                <c:manualLayout>
                  <c:x val="-4.7222222222222276E-2"/>
                  <c:y val="4.6296296296295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80-46F2-899F-6B9FD233C3E9}"/>
                </c:ext>
              </c:extLst>
            </c:dLbl>
            <c:dLbl>
              <c:idx val="2"/>
              <c:layout>
                <c:manualLayout>
                  <c:x val="-3.888888888888889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'SS (2)'!$J$6:$J$8</c:f>
            </c:multiLvlStrRef>
          </c:cat>
          <c:val>
            <c:numRef>
              <c:f>'SS (2)'!$K$6:$K$8</c:f>
            </c:numRef>
          </c:val>
          <c:extLst>
            <c:ext xmlns:c16="http://schemas.microsoft.com/office/drawing/2014/chart" uri="{C3380CC4-5D6E-409C-BE32-E72D297353CC}">
              <c16:uniqueId val="{00000003-0080-46F2-899F-6B9FD233C3E9}"/>
            </c:ext>
          </c:extLst>
        </c:ser>
        <c:ser>
          <c:idx val="1"/>
          <c:order val="1"/>
          <c:tx>
            <c:strRef>
              <c:f>'SS (2)'!$L$5</c:f>
              <c:strCache>
                <c:ptCount val="1"/>
              </c:strCache>
            </c:strRef>
          </c:tx>
          <c:invertIfNegative val="0"/>
          <c:dLbls>
            <c:dLbl>
              <c:idx val="0"/>
              <c:layout>
                <c:manualLayout>
                  <c:x val="6.6666666666666638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'SS (2)'!$J$6:$J$8</c:f>
            </c:multiLvlStrRef>
          </c:cat>
          <c:val>
            <c:numRef>
              <c:f>'SS (2)'!$L$6:$L$8</c:f>
            </c:numRef>
          </c:val>
          <c:extLst>
            <c:ext xmlns:c16="http://schemas.microsoft.com/office/drawing/2014/chart" uri="{C3380CC4-5D6E-409C-BE32-E72D297353CC}">
              <c16:uniqueId val="{00000005-0080-46F2-899F-6B9FD233C3E9}"/>
            </c:ext>
          </c:extLst>
        </c:ser>
        <c:dLbls>
          <c:showLegendKey val="0"/>
          <c:showVal val="1"/>
          <c:showCatName val="0"/>
          <c:showSerName val="0"/>
          <c:showPercent val="0"/>
          <c:showBubbleSize val="0"/>
        </c:dLbls>
        <c:gapWidth val="150"/>
        <c:overlap val="-25"/>
        <c:axId val="138885376"/>
        <c:axId val="138903552"/>
      </c:barChart>
      <c:catAx>
        <c:axId val="138885376"/>
        <c:scaling>
          <c:orientation val="minMax"/>
        </c:scaling>
        <c:delete val="0"/>
        <c:axPos val="b"/>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138903552"/>
        <c:crosses val="autoZero"/>
        <c:auto val="1"/>
        <c:lblAlgn val="ctr"/>
        <c:lblOffset val="100"/>
        <c:noMultiLvlLbl val="0"/>
      </c:catAx>
      <c:valAx>
        <c:axId val="138903552"/>
        <c:scaling>
          <c:orientation val="minMax"/>
        </c:scaling>
        <c:delete val="1"/>
        <c:axPos val="l"/>
        <c:numFmt formatCode="###,000" sourceLinked="1"/>
        <c:majorTickMark val="none"/>
        <c:minorTickMark val="none"/>
        <c:tickLblPos val="nextTo"/>
        <c:crossAx val="138885376"/>
        <c:crosses val="autoZero"/>
        <c:crossBetween val="between"/>
      </c:valAx>
    </c:plotArea>
    <c:legend>
      <c:legendPos val="t"/>
      <c:overlay val="0"/>
      <c:txPr>
        <a:bodyPr/>
        <a:lstStyle/>
        <a:p>
          <a:pPr>
            <a:defRPr sz="14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'B2'!$J$8</c:f>
              <c:strCache>
                <c:ptCount val="1"/>
                <c:pt idx="0">
                  <c:v>Kế hoạch sử dụng đất năm 2023 (ha)</c:v>
                </c:pt>
              </c:strCache>
            </c:strRef>
          </c:tx>
          <c:invertIfNegative val="0"/>
          <c:dLbls>
            <c:dLbl>
              <c:idx val="0"/>
              <c:layout>
                <c:manualLayout>
                  <c:x val="-2.1206095867583125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33-44D2-979B-27F8613838D4}"/>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33-44D2-979B-27F8613838D4}"/>
                </c:ext>
              </c:extLst>
            </c:dLbl>
            <c:dLbl>
              <c:idx val="2"/>
              <c:layout>
                <c:manualLayout>
                  <c:x val="2.7567924627858065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33-44D2-979B-27F8613838D4}"/>
                </c:ext>
              </c:extLst>
            </c:dLbl>
            <c:spPr>
              <a:noFill/>
              <a:ln>
                <a:noFill/>
              </a:ln>
              <a:effectLst/>
            </c:spPr>
            <c:txPr>
              <a:bodyPr/>
              <a:lstStyle/>
              <a:p>
                <a:pPr>
                  <a:defRPr sz="13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'B2'!$I$9:$I$11</c:f>
              <c:strCache>
                <c:ptCount val="3"/>
                <c:pt idx="0">
                  <c:v>Đất nông nghiệp</c:v>
                </c:pt>
                <c:pt idx="1">
                  <c:v>Đất phi nông nghiệp</c:v>
                </c:pt>
                <c:pt idx="2">
                  <c:v>Đất chưa sử dụng</c:v>
                </c:pt>
              </c:strCache>
            </c:strRef>
          </c:cat>
          <c:val>
            <c:numRef>
              <c:f>'B2'!$J$9:$J$11</c:f>
              <c:numCache>
                <c:formatCode>_(* #,##0.00_);_(* \(#,##0.00\);_(* "-"??_);_(@_)</c:formatCode>
                <c:ptCount val="3"/>
                <c:pt idx="0">
                  <c:v>134491.54</c:v>
                </c:pt>
                <c:pt idx="1">
                  <c:v>8525.9599999999991</c:v>
                </c:pt>
                <c:pt idx="2">
                  <c:v>155.36000000000001</c:v>
                </c:pt>
              </c:numCache>
            </c:numRef>
          </c:val>
          <c:extLst>
            <c:ext xmlns:c16="http://schemas.microsoft.com/office/drawing/2014/chart" uri="{C3380CC4-5D6E-409C-BE32-E72D297353CC}">
              <c16:uniqueId val="{00000003-1F33-44D2-979B-27F8613838D4}"/>
            </c:ext>
          </c:extLst>
        </c:ser>
        <c:ser>
          <c:idx val="1"/>
          <c:order val="1"/>
          <c:tx>
            <c:strRef>
              <c:f>'B2'!$K$8</c:f>
              <c:strCache>
                <c:ptCount val="1"/>
                <c:pt idx="0">
                  <c:v>Kết quả thực hiện đến ngày 30/9/2023</c:v>
                </c:pt>
              </c:strCache>
            </c:strRef>
          </c:tx>
          <c:invertIfNegative val="0"/>
          <c:dLbls>
            <c:dLbl>
              <c:idx val="0"/>
              <c:layout>
                <c:manualLayout>
                  <c:x val="5.3015239668957818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33-44D2-979B-27F8613838D4}"/>
                </c:ext>
              </c:extLst>
            </c:dLbl>
            <c:dLbl>
              <c:idx val="1"/>
              <c:layout>
                <c:manualLayout>
                  <c:x val="2.9688534214616376E-2"/>
                  <c:y val="-2.7777777777777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33-44D2-979B-27F8613838D4}"/>
                </c:ext>
              </c:extLst>
            </c:dLbl>
            <c:dLbl>
              <c:idx val="2"/>
              <c:layout>
                <c:manualLayout>
                  <c:x val="4.0291582148407938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33-44D2-979B-27F8613838D4}"/>
                </c:ext>
              </c:extLst>
            </c:dLbl>
            <c:spPr>
              <a:noFill/>
              <a:ln>
                <a:noFill/>
              </a:ln>
              <a:effectLst/>
            </c:spPr>
            <c:txPr>
              <a:bodyPr/>
              <a:lstStyle/>
              <a:p>
                <a:pPr>
                  <a:defRPr sz="13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'B2'!$I$9:$I$11</c:f>
              <c:strCache>
                <c:ptCount val="3"/>
                <c:pt idx="0">
                  <c:v>Đất nông nghiệp</c:v>
                </c:pt>
                <c:pt idx="1">
                  <c:v>Đất phi nông nghiệp</c:v>
                </c:pt>
                <c:pt idx="2">
                  <c:v>Đất chưa sử dụng</c:v>
                </c:pt>
              </c:strCache>
            </c:strRef>
          </c:cat>
          <c:val>
            <c:numRef>
              <c:f>'B2'!$K$9:$K$11</c:f>
              <c:numCache>
                <c:formatCode>_(* #,##0.00_);_(* \(#,##0.00\);_(* "-"??_);_(@_)</c:formatCode>
                <c:ptCount val="3"/>
                <c:pt idx="0">
                  <c:v>134734.37</c:v>
                </c:pt>
                <c:pt idx="1">
                  <c:v>8267.58</c:v>
                </c:pt>
                <c:pt idx="2">
                  <c:v>170.91000000000003</c:v>
                </c:pt>
              </c:numCache>
            </c:numRef>
          </c:val>
          <c:extLst>
            <c:ext xmlns:c16="http://schemas.microsoft.com/office/drawing/2014/chart" uri="{C3380CC4-5D6E-409C-BE32-E72D297353CC}">
              <c16:uniqueId val="{00000007-1F33-44D2-979B-27F8613838D4}"/>
            </c:ext>
          </c:extLst>
        </c:ser>
        <c:dLbls>
          <c:showLegendKey val="0"/>
          <c:showVal val="1"/>
          <c:showCatName val="0"/>
          <c:showSerName val="0"/>
          <c:showPercent val="0"/>
          <c:showBubbleSize val="0"/>
        </c:dLbls>
        <c:gapWidth val="75"/>
        <c:shape val="box"/>
        <c:axId val="139979008"/>
        <c:axId val="139866112"/>
        <c:axId val="0"/>
      </c:bar3DChart>
      <c:catAx>
        <c:axId val="139979008"/>
        <c:scaling>
          <c:orientation val="minMax"/>
        </c:scaling>
        <c:delete val="0"/>
        <c:axPos val="b"/>
        <c:numFmt formatCode="General" sourceLinked="0"/>
        <c:majorTickMark val="none"/>
        <c:minorTickMark val="none"/>
        <c:tickLblPos val="nextTo"/>
        <c:txPr>
          <a:bodyPr/>
          <a:lstStyle/>
          <a:p>
            <a:pPr>
              <a:defRPr sz="1300">
                <a:latin typeface="Times New Roman" pitchFamily="18" charset="0"/>
                <a:cs typeface="Times New Roman" pitchFamily="18" charset="0"/>
              </a:defRPr>
            </a:pPr>
            <a:endParaRPr lang="en-US"/>
          </a:p>
        </c:txPr>
        <c:crossAx val="139866112"/>
        <c:crosses val="autoZero"/>
        <c:auto val="1"/>
        <c:lblAlgn val="ctr"/>
        <c:lblOffset val="100"/>
        <c:noMultiLvlLbl val="0"/>
      </c:catAx>
      <c:valAx>
        <c:axId val="139866112"/>
        <c:scaling>
          <c:orientation val="minMax"/>
        </c:scaling>
        <c:delete val="1"/>
        <c:axPos val="l"/>
        <c:numFmt formatCode="_(* #,##0.00_);_(* \(#,##0.00\);_(* &quot;-&quot;??_);_(@_)" sourceLinked="1"/>
        <c:majorTickMark val="none"/>
        <c:minorTickMark val="none"/>
        <c:tickLblPos val="nextTo"/>
        <c:crossAx val="139979008"/>
        <c:crosses val="autoZero"/>
        <c:crossBetween val="between"/>
      </c:valAx>
    </c:plotArea>
    <c:legend>
      <c:legendPos val="b"/>
      <c:overlay val="0"/>
      <c:txPr>
        <a:bodyPr/>
        <a:lstStyle/>
        <a:p>
          <a:pPr>
            <a:defRPr sz="13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SS!$I$4</c:f>
              <c:strCache>
                <c:ptCount val="1"/>
                <c:pt idx="0">
                  <c:v>Hiện trạng sử dụng đất đến năm 2023</c:v>
                </c:pt>
              </c:strCache>
            </c:strRef>
          </c:tx>
          <c:invertIfNegative val="0"/>
          <c:dLbls>
            <c:dLbl>
              <c:idx val="0"/>
              <c:layout>
                <c:manualLayout>
                  <c:x val="-3.61111111111111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80-46F2-899F-6B9FD233C3E9}"/>
                </c:ext>
              </c:extLst>
            </c:dLbl>
            <c:dLbl>
              <c:idx val="1"/>
              <c:layout>
                <c:manualLayout>
                  <c:x val="-4.7222222222222276E-2"/>
                  <c:y val="4.6296296296295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80-46F2-899F-6B9FD233C3E9}"/>
                </c:ext>
              </c:extLst>
            </c:dLbl>
            <c:dLbl>
              <c:idx val="2"/>
              <c:layout>
                <c:manualLayout>
                  <c:x val="-3.888888888888889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SS!$H$5:$H$7</c:f>
              <c:strCache>
                <c:ptCount val="3"/>
                <c:pt idx="0">
                  <c:v>Đất nông nghiệp</c:v>
                </c:pt>
                <c:pt idx="1">
                  <c:v>Đất phi nông nghiệp</c:v>
                </c:pt>
                <c:pt idx="2">
                  <c:v>Đất chưa sử dụng</c:v>
                </c:pt>
              </c:strCache>
            </c:strRef>
          </c:cat>
          <c:val>
            <c:numRef>
              <c:f>SS!$I$5:$I$7</c:f>
              <c:numCache>
                <c:formatCode>#,##0.00</c:formatCode>
                <c:ptCount val="3"/>
                <c:pt idx="0">
                  <c:v>134734.37</c:v>
                </c:pt>
                <c:pt idx="1">
                  <c:v>8267.58</c:v>
                </c:pt>
                <c:pt idx="2">
                  <c:v>170.91000000000003</c:v>
                </c:pt>
              </c:numCache>
            </c:numRef>
          </c:val>
          <c:extLst>
            <c:ext xmlns:c16="http://schemas.microsoft.com/office/drawing/2014/chart" uri="{C3380CC4-5D6E-409C-BE32-E72D297353CC}">
              <c16:uniqueId val="{00000003-0080-46F2-899F-6B9FD233C3E9}"/>
            </c:ext>
          </c:extLst>
        </c:ser>
        <c:ser>
          <c:idx val="1"/>
          <c:order val="1"/>
          <c:tx>
            <c:strRef>
              <c:f>SS!$J$4</c:f>
              <c:strCache>
                <c:ptCount val="1"/>
                <c:pt idx="0">
                  <c:v>Kế hoạch sử dụng đất năm 2024</c:v>
                </c:pt>
              </c:strCache>
            </c:strRef>
          </c:tx>
          <c:invertIfNegative val="0"/>
          <c:dLbls>
            <c:dLbl>
              <c:idx val="0"/>
              <c:layout>
                <c:manualLayout>
                  <c:x val="6.6666666666666638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80-46F2-899F-6B9FD233C3E9}"/>
                </c:ext>
              </c:extLst>
            </c:dLbl>
            <c:spPr>
              <a:noFill/>
              <a:ln>
                <a:noFill/>
              </a:ln>
              <a:effectLst/>
            </c:spPr>
            <c:txPr>
              <a:bodyPr/>
              <a:lstStyle/>
              <a:p>
                <a:pPr>
                  <a:defRPr sz="12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SS!$H$5:$H$7</c:f>
              <c:strCache>
                <c:ptCount val="3"/>
                <c:pt idx="0">
                  <c:v>Đất nông nghiệp</c:v>
                </c:pt>
                <c:pt idx="1">
                  <c:v>Đất phi nông nghiệp</c:v>
                </c:pt>
                <c:pt idx="2">
                  <c:v>Đất chưa sử dụng</c:v>
                </c:pt>
              </c:strCache>
            </c:strRef>
          </c:cat>
          <c:val>
            <c:numRef>
              <c:f>SS!$J$5:$J$7</c:f>
              <c:numCache>
                <c:formatCode>#,##0.00</c:formatCode>
                <c:ptCount val="3"/>
                <c:pt idx="0">
                  <c:v>134501.56999999998</c:v>
                </c:pt>
                <c:pt idx="1">
                  <c:v>8516.7099999999991</c:v>
                </c:pt>
                <c:pt idx="2">
                  <c:v>154.58000000000001</c:v>
                </c:pt>
              </c:numCache>
            </c:numRef>
          </c:val>
          <c:extLst>
            <c:ext xmlns:c16="http://schemas.microsoft.com/office/drawing/2014/chart" uri="{C3380CC4-5D6E-409C-BE32-E72D297353CC}">
              <c16:uniqueId val="{00000005-0080-46F2-899F-6B9FD233C3E9}"/>
            </c:ext>
          </c:extLst>
        </c:ser>
        <c:dLbls>
          <c:showLegendKey val="0"/>
          <c:showVal val="1"/>
          <c:showCatName val="0"/>
          <c:showSerName val="0"/>
          <c:showPercent val="0"/>
          <c:showBubbleSize val="0"/>
        </c:dLbls>
        <c:gapWidth val="150"/>
        <c:overlap val="-25"/>
        <c:axId val="140323072"/>
        <c:axId val="140341248"/>
      </c:barChart>
      <c:catAx>
        <c:axId val="140323072"/>
        <c:scaling>
          <c:orientation val="minMax"/>
        </c:scaling>
        <c:delete val="0"/>
        <c:axPos val="b"/>
        <c:numFmt formatCode="General" sourceLinked="0"/>
        <c:majorTickMark val="none"/>
        <c:minorTickMark val="none"/>
        <c:tickLblPos val="nextTo"/>
        <c:txPr>
          <a:bodyPr/>
          <a:lstStyle/>
          <a:p>
            <a:pPr>
              <a:defRPr sz="1400">
                <a:latin typeface="Times New Roman" pitchFamily="18" charset="0"/>
                <a:cs typeface="Times New Roman" pitchFamily="18" charset="0"/>
              </a:defRPr>
            </a:pPr>
            <a:endParaRPr lang="en-US"/>
          </a:p>
        </c:txPr>
        <c:crossAx val="140341248"/>
        <c:crosses val="autoZero"/>
        <c:auto val="1"/>
        <c:lblAlgn val="ctr"/>
        <c:lblOffset val="100"/>
        <c:noMultiLvlLbl val="0"/>
      </c:catAx>
      <c:valAx>
        <c:axId val="140341248"/>
        <c:scaling>
          <c:orientation val="minMax"/>
        </c:scaling>
        <c:delete val="1"/>
        <c:axPos val="l"/>
        <c:numFmt formatCode="#,##0.00" sourceLinked="1"/>
        <c:majorTickMark val="none"/>
        <c:minorTickMark val="none"/>
        <c:tickLblPos val="nextTo"/>
        <c:crossAx val="140323072"/>
        <c:crosses val="autoZero"/>
        <c:crossBetween val="between"/>
      </c:valAx>
    </c:plotArea>
    <c:legend>
      <c:legendPos val="t"/>
      <c:overlay val="0"/>
      <c:txPr>
        <a:bodyPr/>
        <a:lstStyle/>
        <a:p>
          <a:pPr>
            <a:defRPr sz="1400">
              <a:latin typeface="Times New Roman" pitchFamily="18" charset="0"/>
              <a:cs typeface="Times New Roman" pitchFamily="18"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466724</xdr:colOff>
      <xdr:row>4</xdr:row>
      <xdr:rowOff>119062</xdr:rowOff>
    </xdr:from>
    <xdr:to>
      <xdr:col>20</xdr:col>
      <xdr:colOff>342899</xdr:colOff>
      <xdr:row>19</xdr:row>
      <xdr:rowOff>23812</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1012030</xdr:colOff>
      <xdr:row>8</xdr:row>
      <xdr:rowOff>92869</xdr:rowOff>
    </xdr:from>
    <xdr:to>
      <xdr:col>12</xdr:col>
      <xdr:colOff>226218</xdr:colOff>
      <xdr:row>20</xdr:row>
      <xdr:rowOff>61913</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504824</xdr:colOff>
      <xdr:row>3</xdr:row>
      <xdr:rowOff>100012</xdr:rowOff>
    </xdr:from>
    <xdr:to>
      <xdr:col>18</xdr:col>
      <xdr:colOff>380999</xdr:colOff>
      <xdr:row>18</xdr:row>
      <xdr:rowOff>4762</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Y%20HO&#7840;CH%20S&#7916;%20D&#7908;NG%20&#272;&#7844;T%202021-2030/HUY&#7878;N%20SA%20TH&#7846;Y/HO%20SO%20QHSD&#272;%202021-2030%20SA%20THAY/B&#225;o%20c&#225;o%20TM%20QHSD&#272;%20&#273;&#7871;n%202030%20huy&#7879;n%20Sa%20Th&#7847;y/Bi&#7875;u%20QHSD&#272;%20&#273;&#7871;n%202030%20huy&#7879;n%20Sa%20Th&#7847;y%20Q&#272;%201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2)"/>
      <sheetName val="biến động"/>
      <sheetName val="CƠ CẤU"/>
      <sheetName val="Sheet3"/>
      <sheetName val="B1"/>
      <sheetName val="B2"/>
      <sheetName val="B3"/>
      <sheetName val="B4"/>
      <sheetName val="B5"/>
      <sheetName val="B10"/>
      <sheetName val="B11 "/>
      <sheetName val="QH-KQ"/>
      <sheetName val="B12"/>
      <sheetName val="CÔng Tăng"/>
      <sheetName val="Cộng giảm"/>
      <sheetName val="Nháp 2"/>
      <sheetName val="Sheet5"/>
    </sheetNames>
    <sheetDataSet>
      <sheetData sheetId="0"/>
      <sheetData sheetId="1"/>
      <sheetData sheetId="2"/>
      <sheetData sheetId="3"/>
      <sheetData sheetId="4">
        <row r="10">
          <cell r="E10">
            <v>1075.51</v>
          </cell>
        </row>
        <row r="11">
          <cell r="E11">
            <v>96.75</v>
          </cell>
          <cell r="F11">
            <v>89.95</v>
          </cell>
          <cell r="G11">
            <v>87.13</v>
          </cell>
          <cell r="H11">
            <v>209.85</v>
          </cell>
          <cell r="I11">
            <v>59.34</v>
          </cell>
          <cell r="J11">
            <v>82.13</v>
          </cell>
          <cell r="K11">
            <v>139.66999999999999</v>
          </cell>
          <cell r="L11">
            <v>149.88999999999999</v>
          </cell>
          <cell r="M11">
            <v>94.44</v>
          </cell>
          <cell r="N11">
            <v>47.8</v>
          </cell>
          <cell r="O11">
            <v>149.16999999999999</v>
          </cell>
        </row>
        <row r="12">
          <cell r="E12">
            <v>88.31</v>
          </cell>
          <cell r="F12">
            <v>39.06</v>
          </cell>
          <cell r="G12">
            <v>37.83</v>
          </cell>
          <cell r="H12">
            <v>69.62</v>
          </cell>
          <cell r="I12">
            <v>34.01</v>
          </cell>
          <cell r="J12">
            <v>45.38</v>
          </cell>
          <cell r="K12">
            <v>139.36000000000001</v>
          </cell>
          <cell r="L12">
            <v>82.81</v>
          </cell>
          <cell r="M12">
            <v>19.97</v>
          </cell>
          <cell r="N12">
            <v>37.67</v>
          </cell>
          <cell r="O12">
            <v>143.81</v>
          </cell>
        </row>
        <row r="13">
          <cell r="E13">
            <v>75.989999999999995</v>
          </cell>
          <cell r="F13">
            <v>675</v>
          </cell>
          <cell r="G13">
            <v>1539.76</v>
          </cell>
          <cell r="H13">
            <v>1494.95</v>
          </cell>
          <cell r="I13">
            <v>1780.87</v>
          </cell>
          <cell r="J13">
            <v>748.92000000000007</v>
          </cell>
          <cell r="K13">
            <v>597.01</v>
          </cell>
          <cell r="L13">
            <v>918.83</v>
          </cell>
          <cell r="M13">
            <v>1210.96</v>
          </cell>
          <cell r="N13">
            <v>4218.54</v>
          </cell>
          <cell r="O13">
            <v>2181.58</v>
          </cell>
        </row>
        <row r="14">
          <cell r="E14">
            <v>800.49</v>
          </cell>
          <cell r="F14">
            <v>3193.41</v>
          </cell>
          <cell r="G14">
            <v>8074.39</v>
          </cell>
          <cell r="H14">
            <v>3384.31</v>
          </cell>
          <cell r="I14">
            <v>1342.16</v>
          </cell>
          <cell r="J14">
            <v>1822.45</v>
          </cell>
          <cell r="K14">
            <v>2267.48</v>
          </cell>
          <cell r="L14">
            <v>2389.64</v>
          </cell>
          <cell r="M14">
            <v>1169.31</v>
          </cell>
          <cell r="N14">
            <v>1048.04</v>
          </cell>
          <cell r="O14">
            <v>1792.28</v>
          </cell>
        </row>
        <row r="15">
          <cell r="E15">
            <v>1792.279296875</v>
          </cell>
          <cell r="F15">
            <v>1792.279296875</v>
          </cell>
          <cell r="G15">
            <v>3830.71</v>
          </cell>
          <cell r="H15">
            <v>3830.708984375</v>
          </cell>
          <cell r="I15">
            <v>3830.708984375</v>
          </cell>
          <cell r="J15">
            <v>3830.708984375</v>
          </cell>
          <cell r="K15">
            <v>3830.708984375</v>
          </cell>
          <cell r="L15">
            <v>3830.708984375</v>
          </cell>
          <cell r="M15">
            <v>3830.708984375</v>
          </cell>
          <cell r="N15">
            <v>9417.99</v>
          </cell>
          <cell r="O15">
            <v>73.900000000000006</v>
          </cell>
        </row>
        <row r="16">
          <cell r="E16">
            <v>73.260000000000005</v>
          </cell>
          <cell r="F16">
            <v>73.25994873046875</v>
          </cell>
          <cell r="G16">
            <v>17584</v>
          </cell>
          <cell r="H16">
            <v>21352.13</v>
          </cell>
          <cell r="I16">
            <v>21352.125</v>
          </cell>
          <cell r="J16">
            <v>21352.125</v>
          </cell>
          <cell r="K16">
            <v>1538.22</v>
          </cell>
          <cell r="L16">
            <v>2478.63</v>
          </cell>
          <cell r="M16">
            <v>2478.62890625</v>
          </cell>
          <cell r="N16">
            <v>2478.62890625</v>
          </cell>
          <cell r="O16">
            <v>2478.62890625</v>
          </cell>
        </row>
        <row r="17">
          <cell r="E17">
            <v>16.5</v>
          </cell>
          <cell r="F17">
            <v>842.72</v>
          </cell>
          <cell r="G17">
            <v>26369.21</v>
          </cell>
          <cell r="H17">
            <v>2863.6</v>
          </cell>
          <cell r="I17">
            <v>69.67</v>
          </cell>
          <cell r="J17">
            <v>316.3</v>
          </cell>
          <cell r="K17">
            <v>1015.59</v>
          </cell>
          <cell r="L17">
            <v>279.31</v>
          </cell>
          <cell r="M17">
            <v>41.21</v>
          </cell>
          <cell r="N17">
            <v>2410.87</v>
          </cell>
          <cell r="O17">
            <v>30.95</v>
          </cell>
        </row>
        <row r="18">
          <cell r="E18">
            <v>9.57</v>
          </cell>
          <cell r="F18">
            <v>622.98</v>
          </cell>
          <cell r="G18">
            <v>24452.27</v>
          </cell>
          <cell r="H18">
            <v>1344.23</v>
          </cell>
          <cell r="I18">
            <v>58.8</v>
          </cell>
          <cell r="J18">
            <v>314.8</v>
          </cell>
          <cell r="K18">
            <v>740.52</v>
          </cell>
          <cell r="L18">
            <v>279.31</v>
          </cell>
          <cell r="M18">
            <v>41.21</v>
          </cell>
          <cell r="N18">
            <v>1790.9</v>
          </cell>
          <cell r="O18">
            <v>7.36</v>
          </cell>
        </row>
        <row r="19">
          <cell r="E19">
            <v>8.7100000000000009</v>
          </cell>
          <cell r="F19">
            <v>3.67</v>
          </cell>
          <cell r="G19">
            <v>13.47</v>
          </cell>
          <cell r="H19">
            <v>25.23</v>
          </cell>
          <cell r="I19">
            <v>4.3</v>
          </cell>
          <cell r="J19">
            <v>17.190000000000001</v>
          </cell>
          <cell r="K19">
            <v>16.97</v>
          </cell>
          <cell r="L19">
            <v>22.97</v>
          </cell>
          <cell r="M19">
            <v>6.54</v>
          </cell>
          <cell r="N19">
            <v>0.74</v>
          </cell>
          <cell r="O19">
            <v>2.9</v>
          </cell>
        </row>
        <row r="20">
          <cell r="E20">
            <v>2.8999996185302734</v>
          </cell>
          <cell r="F20">
            <v>2.8999996185302734</v>
          </cell>
          <cell r="G20">
            <v>2.8999996185302734</v>
          </cell>
          <cell r="H20">
            <v>2.8999996185302734</v>
          </cell>
          <cell r="I20">
            <v>2.8999996185302734</v>
          </cell>
          <cell r="J20">
            <v>2.8999996185302734</v>
          </cell>
          <cell r="K20">
            <v>2.8999996185302734</v>
          </cell>
          <cell r="L20">
            <v>2.8999996185302734</v>
          </cell>
          <cell r="M20">
            <v>2.8999996185302734</v>
          </cell>
          <cell r="N20">
            <v>2.8999996185302734</v>
          </cell>
          <cell r="O20">
            <v>2.8999996185302734</v>
          </cell>
        </row>
        <row r="21">
          <cell r="E21">
            <v>3.81</v>
          </cell>
          <cell r="F21">
            <v>1.2</v>
          </cell>
          <cell r="G21">
            <v>86.8</v>
          </cell>
          <cell r="H21">
            <v>1.7</v>
          </cell>
          <cell r="I21">
            <v>1.6999998092651367</v>
          </cell>
          <cell r="J21">
            <v>3.3</v>
          </cell>
          <cell r="K21">
            <v>3.2999992370605469</v>
          </cell>
          <cell r="L21">
            <v>3.2999992370605469</v>
          </cell>
          <cell r="M21">
            <v>3.2999992370605469</v>
          </cell>
          <cell r="N21">
            <v>3.2999992370605469</v>
          </cell>
          <cell r="O21">
            <v>3.2999992370605469</v>
          </cell>
        </row>
        <row r="22">
          <cell r="E22">
            <v>317.62</v>
          </cell>
          <cell r="F22">
            <v>1452.65</v>
          </cell>
          <cell r="G22">
            <v>794.98</v>
          </cell>
          <cell r="H22">
            <v>459.54999999999995</v>
          </cell>
          <cell r="I22">
            <v>770.88000000000011</v>
          </cell>
          <cell r="J22">
            <v>738.05000000000007</v>
          </cell>
          <cell r="K22">
            <v>259.47000000000003</v>
          </cell>
          <cell r="L22">
            <v>288.02</v>
          </cell>
          <cell r="M22">
            <v>1319.8799999999999</v>
          </cell>
          <cell r="N22">
            <v>1376.4199999999998</v>
          </cell>
          <cell r="O22">
            <v>467.67</v>
          </cell>
        </row>
        <row r="23">
          <cell r="E23">
            <v>24.38</v>
          </cell>
          <cell r="F23">
            <v>51.01</v>
          </cell>
          <cell r="G23">
            <v>24.44</v>
          </cell>
          <cell r="H23">
            <v>17.7</v>
          </cell>
          <cell r="I23">
            <v>17.699996948242188</v>
          </cell>
          <cell r="J23">
            <v>17.699996948242188</v>
          </cell>
          <cell r="K23">
            <v>17.699996948242188</v>
          </cell>
          <cell r="L23">
            <v>17.699996948242188</v>
          </cell>
          <cell r="M23">
            <v>17.699996948242188</v>
          </cell>
          <cell r="N23">
            <v>17.699996948242188</v>
          </cell>
          <cell r="O23">
            <v>17.699996948242188</v>
          </cell>
        </row>
        <row r="24">
          <cell r="E24">
            <v>0.97</v>
          </cell>
          <cell r="F24">
            <v>0.96999979019165039</v>
          </cell>
          <cell r="G24">
            <v>0.96999979019165039</v>
          </cell>
          <cell r="H24">
            <v>0.96999979019165039</v>
          </cell>
          <cell r="I24">
            <v>0.96999979019165039</v>
          </cell>
          <cell r="J24">
            <v>0.96999979019165039</v>
          </cell>
          <cell r="K24">
            <v>0.96999979019165039</v>
          </cell>
          <cell r="L24">
            <v>0.96999979019165039</v>
          </cell>
          <cell r="M24">
            <v>0.96999979019165039</v>
          </cell>
          <cell r="N24">
            <v>0.96999979019165039</v>
          </cell>
          <cell r="O24">
            <v>0.96999979019165039</v>
          </cell>
        </row>
        <row r="25">
          <cell r="E25">
            <v>0.96999979019165039</v>
          </cell>
          <cell r="F25">
            <v>0.96999979019165039</v>
          </cell>
          <cell r="G25">
            <v>0.96999979019165039</v>
          </cell>
          <cell r="H25">
            <v>0.96999979019165039</v>
          </cell>
          <cell r="I25">
            <v>0.96999979019165039</v>
          </cell>
          <cell r="J25">
            <v>0.96999979019165039</v>
          </cell>
          <cell r="K25">
            <v>0.96999979019165039</v>
          </cell>
          <cell r="L25">
            <v>0.96999979019165039</v>
          </cell>
          <cell r="M25">
            <v>0.96999979019165039</v>
          </cell>
          <cell r="N25">
            <v>0.96999979019165039</v>
          </cell>
          <cell r="O25">
            <v>0.96999979019165039</v>
          </cell>
        </row>
        <row r="26">
          <cell r="E26">
            <v>0.96999979019165039</v>
          </cell>
          <cell r="F26">
            <v>0.96999979019165039</v>
          </cell>
          <cell r="G26">
            <v>0.96999979019165039</v>
          </cell>
          <cell r="H26">
            <v>0.96999979019165039</v>
          </cell>
          <cell r="I26">
            <v>0.96999979019165039</v>
          </cell>
          <cell r="J26">
            <v>0.96999979019165039</v>
          </cell>
          <cell r="K26">
            <v>0.96999979019165039</v>
          </cell>
          <cell r="L26">
            <v>0.96999979019165039</v>
          </cell>
          <cell r="M26">
            <v>0.96999979019165039</v>
          </cell>
          <cell r="N26">
            <v>0.96999979019165039</v>
          </cell>
          <cell r="O26">
            <v>0.96999979019165039</v>
          </cell>
        </row>
        <row r="27">
          <cell r="E27">
            <v>2.0499999999999998</v>
          </cell>
          <cell r="F27">
            <v>2.0499992370605469</v>
          </cell>
          <cell r="G27">
            <v>0.39</v>
          </cell>
          <cell r="H27">
            <v>0.32</v>
          </cell>
          <cell r="I27">
            <v>0.31</v>
          </cell>
          <cell r="J27">
            <v>0.30999994277954102</v>
          </cell>
          <cell r="K27">
            <v>0.36</v>
          </cell>
          <cell r="L27">
            <v>1.34</v>
          </cell>
          <cell r="M27">
            <v>1.3399991989135742</v>
          </cell>
          <cell r="N27">
            <v>1.3399991989135742</v>
          </cell>
          <cell r="O27">
            <v>0.1</v>
          </cell>
        </row>
        <row r="28">
          <cell r="E28">
            <v>9.9999964237213135E-2</v>
          </cell>
          <cell r="F28">
            <v>2.99</v>
          </cell>
          <cell r="G28">
            <v>4.7699999999999996</v>
          </cell>
          <cell r="H28">
            <v>1.31</v>
          </cell>
          <cell r="I28">
            <v>27.2</v>
          </cell>
          <cell r="J28">
            <v>0.41</v>
          </cell>
          <cell r="K28">
            <v>18.79</v>
          </cell>
          <cell r="L28">
            <v>0.32</v>
          </cell>
          <cell r="M28">
            <v>0.31999993324279785</v>
          </cell>
          <cell r="N28">
            <v>0.31999993324279785</v>
          </cell>
          <cell r="O28">
            <v>0.31999993324279785</v>
          </cell>
        </row>
        <row r="29">
          <cell r="E29">
            <v>0.31999993324279785</v>
          </cell>
          <cell r="F29">
            <v>0.31999993324279785</v>
          </cell>
          <cell r="G29">
            <v>0.31999993324279785</v>
          </cell>
          <cell r="H29">
            <v>0.31999993324279785</v>
          </cell>
          <cell r="I29">
            <v>0.31999993324279785</v>
          </cell>
          <cell r="J29">
            <v>0.31999993324279785</v>
          </cell>
          <cell r="K29">
            <v>4.66</v>
          </cell>
          <cell r="L29">
            <v>4.6599998474121094</v>
          </cell>
          <cell r="M29">
            <v>4.6599998474121094</v>
          </cell>
          <cell r="N29">
            <v>4.6599998474121094</v>
          </cell>
          <cell r="O29">
            <v>4.6599998474121094</v>
          </cell>
        </row>
        <row r="30">
          <cell r="E30">
            <v>4.6599998474121094</v>
          </cell>
          <cell r="F30">
            <v>4.6599998474121094</v>
          </cell>
          <cell r="G30">
            <v>5.08</v>
          </cell>
          <cell r="H30">
            <v>5.0799980163574219</v>
          </cell>
          <cell r="I30">
            <v>11.09</v>
          </cell>
          <cell r="J30">
            <v>5.04</v>
          </cell>
          <cell r="K30">
            <v>5.0399971008300781</v>
          </cell>
          <cell r="L30">
            <v>5.0399971008300781</v>
          </cell>
          <cell r="M30">
            <v>0.1</v>
          </cell>
          <cell r="N30">
            <v>9.9999964237213135E-2</v>
          </cell>
          <cell r="O30">
            <v>1.43</v>
          </cell>
        </row>
        <row r="31">
          <cell r="E31">
            <v>118.7</v>
          </cell>
          <cell r="F31">
            <v>1196.2700000000002</v>
          </cell>
          <cell r="G31">
            <v>395.47</v>
          </cell>
          <cell r="H31">
            <v>233.88</v>
          </cell>
          <cell r="I31">
            <v>634.93000000000006</v>
          </cell>
          <cell r="J31">
            <v>622.84</v>
          </cell>
          <cell r="K31">
            <v>98.4</v>
          </cell>
          <cell r="L31">
            <v>110.52000000000001</v>
          </cell>
          <cell r="M31">
            <v>1219.99</v>
          </cell>
          <cell r="N31">
            <v>1248.3799999999999</v>
          </cell>
          <cell r="O31">
            <v>205.56000000000003</v>
          </cell>
        </row>
        <row r="32">
          <cell r="E32">
            <v>72.27</v>
          </cell>
          <cell r="F32">
            <v>112.54</v>
          </cell>
          <cell r="G32">
            <v>374.69</v>
          </cell>
          <cell r="H32">
            <v>164.38</v>
          </cell>
          <cell r="I32">
            <v>62.36</v>
          </cell>
          <cell r="J32">
            <v>53.3</v>
          </cell>
          <cell r="K32">
            <v>41.83</v>
          </cell>
          <cell r="L32">
            <v>75.069999999999993</v>
          </cell>
          <cell r="M32">
            <v>37.880000000000003</v>
          </cell>
          <cell r="N32">
            <v>93.46</v>
          </cell>
          <cell r="O32">
            <v>70.36</v>
          </cell>
        </row>
        <row r="33">
          <cell r="E33">
            <v>3.57</v>
          </cell>
          <cell r="F33">
            <v>1.68</v>
          </cell>
          <cell r="G33">
            <v>0.05</v>
          </cell>
          <cell r="H33">
            <v>3.41</v>
          </cell>
          <cell r="I33">
            <v>36.11</v>
          </cell>
          <cell r="J33">
            <v>14.1</v>
          </cell>
          <cell r="K33">
            <v>2.54</v>
          </cell>
          <cell r="L33">
            <v>3.51</v>
          </cell>
          <cell r="M33">
            <v>14.7</v>
          </cell>
          <cell r="N33">
            <v>2.4</v>
          </cell>
          <cell r="O33">
            <v>8</v>
          </cell>
        </row>
        <row r="34">
          <cell r="E34">
            <v>5.85</v>
          </cell>
          <cell r="F34">
            <v>5.8499984741210938</v>
          </cell>
          <cell r="G34">
            <v>5.8499984741210938</v>
          </cell>
          <cell r="H34">
            <v>5.8499984741210938</v>
          </cell>
          <cell r="I34">
            <v>5.8499984741210938</v>
          </cell>
          <cell r="J34">
            <v>5.8499984741210938</v>
          </cell>
          <cell r="K34">
            <v>0.12</v>
          </cell>
          <cell r="L34">
            <v>0.11999994516372681</v>
          </cell>
          <cell r="M34">
            <v>0.11999994516372681</v>
          </cell>
          <cell r="N34">
            <v>0.11999994516372681</v>
          </cell>
          <cell r="O34">
            <v>0.21</v>
          </cell>
        </row>
        <row r="35">
          <cell r="E35">
            <v>1.93</v>
          </cell>
          <cell r="F35">
            <v>0.21</v>
          </cell>
          <cell r="G35">
            <v>1</v>
          </cell>
          <cell r="H35">
            <v>0.22</v>
          </cell>
          <cell r="I35">
            <v>0.17</v>
          </cell>
          <cell r="J35">
            <v>0.15</v>
          </cell>
          <cell r="K35">
            <v>0.16</v>
          </cell>
          <cell r="L35">
            <v>0.15</v>
          </cell>
          <cell r="M35">
            <v>0.18</v>
          </cell>
          <cell r="N35">
            <v>0.45</v>
          </cell>
          <cell r="O35">
            <v>0.34</v>
          </cell>
        </row>
        <row r="36">
          <cell r="E36">
            <v>18.170000000000002</v>
          </cell>
          <cell r="F36">
            <v>5.13</v>
          </cell>
          <cell r="G36">
            <v>5.96</v>
          </cell>
          <cell r="H36">
            <v>3.23</v>
          </cell>
          <cell r="I36">
            <v>5.6</v>
          </cell>
          <cell r="J36">
            <v>2.46</v>
          </cell>
          <cell r="K36">
            <v>4.8499999999999996</v>
          </cell>
          <cell r="L36">
            <v>4.26</v>
          </cell>
          <cell r="M36">
            <v>2.89</v>
          </cell>
          <cell r="N36">
            <v>4.05</v>
          </cell>
          <cell r="O36">
            <v>4.93</v>
          </cell>
        </row>
        <row r="37">
          <cell r="E37">
            <v>4.08</v>
          </cell>
          <cell r="F37">
            <v>2.41</v>
          </cell>
          <cell r="G37">
            <v>1.63</v>
          </cell>
          <cell r="H37">
            <v>0.28000000000000003</v>
          </cell>
          <cell r="I37">
            <v>1.23</v>
          </cell>
          <cell r="J37">
            <v>2.91</v>
          </cell>
          <cell r="K37">
            <v>1.32</v>
          </cell>
          <cell r="L37">
            <v>0.68</v>
          </cell>
          <cell r="M37">
            <v>0.67999982833862305</v>
          </cell>
          <cell r="N37">
            <v>0.67999982833862305</v>
          </cell>
          <cell r="O37">
            <v>2.13</v>
          </cell>
        </row>
        <row r="38">
          <cell r="E38">
            <v>0.28999999999999998</v>
          </cell>
          <cell r="F38">
            <v>1064.98</v>
          </cell>
          <cell r="G38">
            <v>1.31</v>
          </cell>
          <cell r="H38">
            <v>51.5</v>
          </cell>
          <cell r="I38">
            <v>501.75</v>
          </cell>
          <cell r="J38">
            <v>544.51</v>
          </cell>
          <cell r="K38">
            <v>35.36</v>
          </cell>
          <cell r="L38">
            <v>35.3599853515625</v>
          </cell>
          <cell r="M38">
            <v>1161.31</v>
          </cell>
          <cell r="N38">
            <v>1144.77</v>
          </cell>
          <cell r="O38">
            <v>109.09</v>
          </cell>
        </row>
        <row r="39">
          <cell r="E39">
            <v>0.3</v>
          </cell>
          <cell r="F39">
            <v>0.3</v>
          </cell>
          <cell r="G39">
            <v>0.04</v>
          </cell>
          <cell r="H39">
            <v>3.9999991655349731E-2</v>
          </cell>
          <cell r="I39">
            <v>0.02</v>
          </cell>
          <cell r="J39">
            <v>0.22</v>
          </cell>
          <cell r="K39">
            <v>0.04</v>
          </cell>
          <cell r="L39">
            <v>0.05</v>
          </cell>
          <cell r="M39">
            <v>4.9999982118606567E-2</v>
          </cell>
          <cell r="N39">
            <v>0.03</v>
          </cell>
          <cell r="O39">
            <v>0.02</v>
          </cell>
        </row>
        <row r="40">
          <cell r="E40">
            <v>1.9999995827674866E-2</v>
          </cell>
          <cell r="F40">
            <v>1.9999995827674866E-2</v>
          </cell>
          <cell r="G40">
            <v>1.9999995827674866E-2</v>
          </cell>
          <cell r="H40">
            <v>1.9999995827674866E-2</v>
          </cell>
          <cell r="I40">
            <v>1.9999995827674866E-2</v>
          </cell>
          <cell r="J40">
            <v>1.9999995827674866E-2</v>
          </cell>
          <cell r="K40">
            <v>1.9999995827674866E-2</v>
          </cell>
          <cell r="L40">
            <v>1.9999995827674866E-2</v>
          </cell>
          <cell r="M40">
            <v>1.9999995827674866E-2</v>
          </cell>
          <cell r="N40">
            <v>1.9999995827674866E-2</v>
          </cell>
          <cell r="O40">
            <v>1.9999995827674866E-2</v>
          </cell>
        </row>
        <row r="41">
          <cell r="E41">
            <v>1.9999995827674866E-2</v>
          </cell>
          <cell r="F41">
            <v>0.01</v>
          </cell>
          <cell r="G41">
            <v>0.22</v>
          </cell>
          <cell r="H41">
            <v>0.28999999999999998</v>
          </cell>
          <cell r="I41">
            <v>0.28999996185302734</v>
          </cell>
          <cell r="J41">
            <v>0.28999996185302734</v>
          </cell>
          <cell r="K41">
            <v>0.28999996185302734</v>
          </cell>
          <cell r="L41">
            <v>0.28999996185302734</v>
          </cell>
          <cell r="M41">
            <v>0.28999996185302734</v>
          </cell>
          <cell r="N41">
            <v>0.28999996185302734</v>
          </cell>
          <cell r="O41">
            <v>3.34</v>
          </cell>
        </row>
        <row r="42">
          <cell r="E42">
            <v>0.93</v>
          </cell>
          <cell r="F42">
            <v>0.92999982833862305</v>
          </cell>
          <cell r="G42">
            <v>0.92999982833862305</v>
          </cell>
          <cell r="H42">
            <v>0.92999982833862305</v>
          </cell>
          <cell r="I42">
            <v>1.72</v>
          </cell>
          <cell r="J42">
            <v>1.7199993133544922</v>
          </cell>
          <cell r="K42">
            <v>1.7199993133544922</v>
          </cell>
          <cell r="L42">
            <v>1.7199993133544922</v>
          </cell>
          <cell r="M42">
            <v>1.7199993133544922</v>
          </cell>
          <cell r="N42">
            <v>1.7199993133544922</v>
          </cell>
          <cell r="O42">
            <v>1.7199993133544922</v>
          </cell>
        </row>
        <row r="43">
          <cell r="E43">
            <v>1.99</v>
          </cell>
          <cell r="F43">
            <v>2.42</v>
          </cell>
          <cell r="G43">
            <v>2.4199981689453125</v>
          </cell>
          <cell r="H43">
            <v>0.96</v>
          </cell>
          <cell r="I43">
            <v>0.23</v>
          </cell>
          <cell r="J43">
            <v>0.25</v>
          </cell>
          <cell r="K43">
            <v>0.25</v>
          </cell>
          <cell r="L43">
            <v>0.25</v>
          </cell>
          <cell r="M43">
            <v>0.25</v>
          </cell>
          <cell r="N43">
            <v>0.25</v>
          </cell>
          <cell r="O43">
            <v>0.25</v>
          </cell>
        </row>
        <row r="44">
          <cell r="E44">
            <v>7.18</v>
          </cell>
          <cell r="F44">
            <v>6.41</v>
          </cell>
          <cell r="G44">
            <v>10.57</v>
          </cell>
          <cell r="H44">
            <v>9.31</v>
          </cell>
          <cell r="I44">
            <v>25.65</v>
          </cell>
          <cell r="J44">
            <v>4.9400000000000004</v>
          </cell>
          <cell r="K44">
            <v>12.18</v>
          </cell>
          <cell r="L44">
            <v>26.8</v>
          </cell>
          <cell r="M44">
            <v>3.03</v>
          </cell>
          <cell r="N44">
            <v>3.22</v>
          </cell>
          <cell r="O44">
            <v>6.96</v>
          </cell>
        </row>
        <row r="45">
          <cell r="E45">
            <v>6.9599990844726563</v>
          </cell>
          <cell r="F45">
            <v>6.9599990844726563</v>
          </cell>
          <cell r="G45">
            <v>6.9599990844726563</v>
          </cell>
          <cell r="H45">
            <v>6.9599990844726563</v>
          </cell>
          <cell r="I45">
            <v>6.9599990844726563</v>
          </cell>
          <cell r="J45">
            <v>6.9599990844726563</v>
          </cell>
          <cell r="K45">
            <v>6.9599990844726563</v>
          </cell>
          <cell r="L45">
            <v>6.9599990844726563</v>
          </cell>
          <cell r="M45">
            <v>6.9599990844726563</v>
          </cell>
          <cell r="N45">
            <v>6.9599990844726563</v>
          </cell>
          <cell r="O45">
            <v>6.9599990844726563</v>
          </cell>
        </row>
        <row r="46">
          <cell r="E46">
            <v>0.66</v>
          </cell>
          <cell r="F46">
            <v>0.65999984741210938</v>
          </cell>
          <cell r="G46">
            <v>0.65999984741210938</v>
          </cell>
          <cell r="H46">
            <v>0.65999984741210938</v>
          </cell>
          <cell r="I46">
            <v>0.65999984741210938</v>
          </cell>
          <cell r="J46">
            <v>0.65999984741210938</v>
          </cell>
          <cell r="K46">
            <v>0.65999984741210938</v>
          </cell>
          <cell r="L46">
            <v>0.65999984741210938</v>
          </cell>
          <cell r="M46">
            <v>0.65999984741210938</v>
          </cell>
          <cell r="N46">
            <v>0.65999984741210938</v>
          </cell>
          <cell r="O46">
            <v>0.65999984741210938</v>
          </cell>
        </row>
        <row r="47">
          <cell r="E47">
            <v>1.48</v>
          </cell>
          <cell r="F47">
            <v>0.18</v>
          </cell>
          <cell r="G47">
            <v>0.1799999475479126</v>
          </cell>
          <cell r="H47">
            <v>0.3</v>
          </cell>
          <cell r="I47">
            <v>0.09</v>
          </cell>
          <cell r="J47">
            <v>8.9999973773956299E-2</v>
          </cell>
          <cell r="K47">
            <v>8.9999973773956299E-2</v>
          </cell>
          <cell r="L47">
            <v>8.9999973773956299E-2</v>
          </cell>
          <cell r="M47">
            <v>8.9999973773956299E-2</v>
          </cell>
          <cell r="N47">
            <v>8.9999973773956299E-2</v>
          </cell>
          <cell r="O47">
            <v>0.18</v>
          </cell>
        </row>
        <row r="48">
          <cell r="E48">
            <v>0.1799999475479126</v>
          </cell>
          <cell r="F48">
            <v>0.1799999475479126</v>
          </cell>
          <cell r="G48">
            <v>0.1799999475479126</v>
          </cell>
          <cell r="H48">
            <v>0.1799999475479126</v>
          </cell>
          <cell r="I48">
            <v>0.1799999475479126</v>
          </cell>
          <cell r="J48">
            <v>0.1799999475479126</v>
          </cell>
          <cell r="K48">
            <v>0.1799999475479126</v>
          </cell>
          <cell r="L48">
            <v>0.1799999475479126</v>
          </cell>
          <cell r="M48">
            <v>0.1799999475479126</v>
          </cell>
          <cell r="N48">
            <v>0.1799999475479126</v>
          </cell>
          <cell r="O48">
            <v>0.1799999475479126</v>
          </cell>
        </row>
        <row r="49">
          <cell r="E49">
            <v>1.26</v>
          </cell>
          <cell r="F49">
            <v>2.95</v>
          </cell>
          <cell r="G49">
            <v>1.69</v>
          </cell>
          <cell r="H49">
            <v>0.49</v>
          </cell>
          <cell r="I49">
            <v>1.1200000000000001</v>
          </cell>
          <cell r="J49">
            <v>1.64</v>
          </cell>
          <cell r="K49">
            <v>0.26</v>
          </cell>
          <cell r="L49">
            <v>0.28999999999999998</v>
          </cell>
          <cell r="M49">
            <v>0.49</v>
          </cell>
          <cell r="N49">
            <v>1.38</v>
          </cell>
          <cell r="O49">
            <v>1.55</v>
          </cell>
        </row>
        <row r="50">
          <cell r="E50">
            <v>2.4</v>
          </cell>
          <cell r="F50">
            <v>2.3999996185302734</v>
          </cell>
          <cell r="G50">
            <v>2.3999996185302734</v>
          </cell>
          <cell r="H50">
            <v>2.3999996185302734</v>
          </cell>
          <cell r="I50">
            <v>0.68</v>
          </cell>
          <cell r="J50">
            <v>0.67999982833862305</v>
          </cell>
          <cell r="K50">
            <v>0.67999982833862305</v>
          </cell>
          <cell r="L50">
            <v>0.67999982833862305</v>
          </cell>
          <cell r="M50">
            <v>0.67999982833862305</v>
          </cell>
          <cell r="N50">
            <v>0.67999982833862305</v>
          </cell>
          <cell r="O50">
            <v>0.67999982833862305</v>
          </cell>
        </row>
        <row r="51">
          <cell r="E51">
            <v>0.67999982833862305</v>
          </cell>
          <cell r="F51">
            <v>77.260000000000005</v>
          </cell>
          <cell r="G51">
            <v>146.79</v>
          </cell>
          <cell r="H51">
            <v>51.16</v>
          </cell>
          <cell r="I51">
            <v>56.82</v>
          </cell>
          <cell r="J51">
            <v>46.24</v>
          </cell>
          <cell r="K51">
            <v>43.15</v>
          </cell>
          <cell r="L51">
            <v>34.93</v>
          </cell>
          <cell r="M51">
            <v>58.65</v>
          </cell>
          <cell r="N51">
            <v>43.42</v>
          </cell>
          <cell r="O51">
            <v>165.13</v>
          </cell>
        </row>
        <row r="52">
          <cell r="E52">
            <v>111.3</v>
          </cell>
          <cell r="F52">
            <v>111.29998779296875</v>
          </cell>
          <cell r="G52">
            <v>111.29998779296875</v>
          </cell>
          <cell r="H52">
            <v>111.29998779296875</v>
          </cell>
          <cell r="I52">
            <v>111.29998779296875</v>
          </cell>
          <cell r="J52">
            <v>111.29998779296875</v>
          </cell>
          <cell r="K52">
            <v>111.29998779296875</v>
          </cell>
          <cell r="L52">
            <v>111.29998779296875</v>
          </cell>
          <cell r="M52">
            <v>111.29998779296875</v>
          </cell>
          <cell r="N52">
            <v>111.29998779296875</v>
          </cell>
          <cell r="O52">
            <v>111.29998779296875</v>
          </cell>
        </row>
        <row r="53">
          <cell r="E53">
            <v>14.42</v>
          </cell>
          <cell r="F53">
            <v>0.59</v>
          </cell>
          <cell r="G53">
            <v>1.9</v>
          </cell>
          <cell r="H53">
            <v>0.36</v>
          </cell>
          <cell r="I53">
            <v>0.56000000000000005</v>
          </cell>
          <cell r="J53">
            <v>0.27</v>
          </cell>
          <cell r="K53">
            <v>0.92</v>
          </cell>
          <cell r="L53">
            <v>0.39</v>
          </cell>
          <cell r="M53">
            <v>0.89</v>
          </cell>
          <cell r="N53">
            <v>1.32</v>
          </cell>
          <cell r="O53">
            <v>0.34</v>
          </cell>
        </row>
        <row r="54">
          <cell r="E54">
            <v>0.14000000000000001</v>
          </cell>
          <cell r="F54">
            <v>0.13999998569488525</v>
          </cell>
          <cell r="G54">
            <v>3.04</v>
          </cell>
          <cell r="H54">
            <v>0.77</v>
          </cell>
          <cell r="I54">
            <v>0.76999998092651367</v>
          </cell>
          <cell r="J54">
            <v>0.76999998092651367</v>
          </cell>
          <cell r="K54">
            <v>0.76999998092651367</v>
          </cell>
          <cell r="L54">
            <v>1.0900000000000001</v>
          </cell>
          <cell r="M54">
            <v>1.0899991989135742</v>
          </cell>
          <cell r="N54">
            <v>1.0899991989135742</v>
          </cell>
          <cell r="O54">
            <v>1.0899991989135742</v>
          </cell>
        </row>
        <row r="55">
          <cell r="E55">
            <v>1.0899991989135742</v>
          </cell>
          <cell r="F55">
            <v>1.0899991989135742</v>
          </cell>
          <cell r="G55">
            <v>1.0899991989135742</v>
          </cell>
          <cell r="H55">
            <v>1.0899991989135742</v>
          </cell>
          <cell r="I55">
            <v>1.0899991989135742</v>
          </cell>
          <cell r="J55">
            <v>1.0899991989135742</v>
          </cell>
          <cell r="K55">
            <v>1.0899991989135742</v>
          </cell>
          <cell r="L55">
            <v>1.0899991989135742</v>
          </cell>
          <cell r="M55">
            <v>1.0899991989135742</v>
          </cell>
          <cell r="N55">
            <v>1.0899991989135742</v>
          </cell>
          <cell r="O55">
            <v>1.0899991989135742</v>
          </cell>
        </row>
        <row r="56">
          <cell r="E56">
            <v>1.0899991989135742</v>
          </cell>
          <cell r="F56">
            <v>1.0899991989135742</v>
          </cell>
          <cell r="G56">
            <v>1.0899991989135742</v>
          </cell>
          <cell r="H56">
            <v>1.0899991989135742</v>
          </cell>
          <cell r="I56">
            <v>1.0899991989135742</v>
          </cell>
          <cell r="J56">
            <v>1.0899991989135742</v>
          </cell>
          <cell r="K56">
            <v>1.0899991989135742</v>
          </cell>
          <cell r="L56">
            <v>1.0899991989135742</v>
          </cell>
          <cell r="M56">
            <v>1.0899991989135742</v>
          </cell>
          <cell r="N56">
            <v>0.24</v>
          </cell>
          <cell r="O56">
            <v>0.04</v>
          </cell>
        </row>
        <row r="57">
          <cell r="E57">
            <v>39.94</v>
          </cell>
          <cell r="F57">
            <v>105.51</v>
          </cell>
          <cell r="G57">
            <v>190.1</v>
          </cell>
          <cell r="H57">
            <v>153.56</v>
          </cell>
          <cell r="I57">
            <v>36.880000000000003</v>
          </cell>
          <cell r="J57">
            <v>61.61</v>
          </cell>
          <cell r="K57">
            <v>88.62</v>
          </cell>
          <cell r="L57">
            <v>139.13999999999999</v>
          </cell>
          <cell r="M57">
            <v>38.92</v>
          </cell>
          <cell r="N57">
            <v>81.680000000000007</v>
          </cell>
          <cell r="O57">
            <v>73.44</v>
          </cell>
        </row>
        <row r="58">
          <cell r="E58">
            <v>2.06</v>
          </cell>
          <cell r="F58">
            <v>16.07</v>
          </cell>
          <cell r="G58">
            <v>21.31</v>
          </cell>
          <cell r="H58">
            <v>21.30999755859375</v>
          </cell>
          <cell r="I58">
            <v>0.31</v>
          </cell>
          <cell r="J58">
            <v>0.30999994277954102</v>
          </cell>
          <cell r="K58">
            <v>4.3099999999999996</v>
          </cell>
          <cell r="L58">
            <v>4.30999755859375</v>
          </cell>
          <cell r="M58">
            <v>0.84</v>
          </cell>
          <cell r="N58">
            <v>0.83999967575073242</v>
          </cell>
          <cell r="O58">
            <v>19.649999999999999</v>
          </cell>
        </row>
        <row r="59">
          <cell r="E59">
            <v>19.649993896484375</v>
          </cell>
          <cell r="F59">
            <v>19.649993896484375</v>
          </cell>
          <cell r="G59">
            <v>19.649993896484375</v>
          </cell>
          <cell r="H59">
            <v>19.649993896484375</v>
          </cell>
          <cell r="I59">
            <v>0.98</v>
          </cell>
          <cell r="J59">
            <v>0.97999954223632813</v>
          </cell>
          <cell r="K59">
            <v>0.97999954223632813</v>
          </cell>
          <cell r="L59">
            <v>0.97999954223632813</v>
          </cell>
          <cell r="M59">
            <v>0.97999954223632813</v>
          </cell>
          <cell r="N59">
            <v>0.97999954223632813</v>
          </cell>
          <cell r="O59">
            <v>0.43</v>
          </cell>
        </row>
        <row r="60">
          <cell r="E60">
            <v>0.42999982833862305</v>
          </cell>
          <cell r="F60">
            <v>0.42999982833862305</v>
          </cell>
          <cell r="G60">
            <v>11.34</v>
          </cell>
          <cell r="H60">
            <v>37.47</v>
          </cell>
          <cell r="I60">
            <v>8.14</v>
          </cell>
          <cell r="J60">
            <v>9.65</v>
          </cell>
          <cell r="K60">
            <v>11.8</v>
          </cell>
          <cell r="L60">
            <v>22.28</v>
          </cell>
          <cell r="M60">
            <v>22.279998779296875</v>
          </cell>
          <cell r="N60">
            <v>22.279998779296875</v>
          </cell>
          <cell r="O60">
            <v>70.23</v>
          </cell>
        </row>
      </sheetData>
      <sheetData sheetId="5"/>
      <sheetData sheetId="6"/>
      <sheetData sheetId="7"/>
      <sheetData sheetId="8"/>
      <sheetData sheetId="9"/>
      <sheetData sheetId="10"/>
      <sheetData sheetId="11"/>
      <sheetData sheetId="12"/>
      <sheetData sheetId="13">
        <row r="8">
          <cell r="E8">
            <v>0</v>
          </cell>
        </row>
        <row r="9">
          <cell r="E9">
            <v>0</v>
          </cell>
          <cell r="F9">
            <v>0</v>
          </cell>
          <cell r="G9">
            <v>0</v>
          </cell>
          <cell r="H9">
            <v>0</v>
          </cell>
          <cell r="I9">
            <v>0</v>
          </cell>
          <cell r="J9">
            <v>0</v>
          </cell>
          <cell r="K9">
            <v>0</v>
          </cell>
          <cell r="L9">
            <v>0</v>
          </cell>
          <cell r="M9">
            <v>0</v>
          </cell>
          <cell r="N9">
            <v>0</v>
          </cell>
          <cell r="O9">
            <v>0</v>
          </cell>
        </row>
        <row r="10">
          <cell r="E10">
            <v>0</v>
          </cell>
          <cell r="F10">
            <v>0</v>
          </cell>
          <cell r="G10">
            <v>0</v>
          </cell>
          <cell r="H10">
            <v>0</v>
          </cell>
          <cell r="I10">
            <v>0</v>
          </cell>
          <cell r="J10">
            <v>0</v>
          </cell>
          <cell r="K10">
            <v>0</v>
          </cell>
          <cell r="L10">
            <v>0</v>
          </cell>
          <cell r="M10">
            <v>0</v>
          </cell>
          <cell r="N10">
            <v>0</v>
          </cell>
          <cell r="O10">
            <v>0</v>
          </cell>
        </row>
        <row r="11">
          <cell r="E11">
            <v>0</v>
          </cell>
          <cell r="F11">
            <v>15.5</v>
          </cell>
          <cell r="G11">
            <v>15.5</v>
          </cell>
          <cell r="H11">
            <v>10</v>
          </cell>
          <cell r="I11">
            <v>10</v>
          </cell>
          <cell r="J11">
            <v>6.5</v>
          </cell>
          <cell r="K11">
            <v>6.5</v>
          </cell>
          <cell r="L11">
            <v>22</v>
          </cell>
          <cell r="M11">
            <v>22</v>
          </cell>
          <cell r="N11">
            <v>22</v>
          </cell>
          <cell r="O11">
            <v>22</v>
          </cell>
        </row>
        <row r="12">
          <cell r="E12">
            <v>22</v>
          </cell>
          <cell r="F12">
            <v>300</v>
          </cell>
          <cell r="G12">
            <v>205</v>
          </cell>
          <cell r="H12">
            <v>160</v>
          </cell>
          <cell r="I12">
            <v>164.2</v>
          </cell>
          <cell r="J12">
            <v>156</v>
          </cell>
          <cell r="K12">
            <v>150</v>
          </cell>
          <cell r="L12">
            <v>160</v>
          </cell>
          <cell r="M12">
            <v>160</v>
          </cell>
          <cell r="N12">
            <v>140</v>
          </cell>
          <cell r="O12">
            <v>170</v>
          </cell>
        </row>
        <row r="13">
          <cell r="E13">
            <v>170</v>
          </cell>
          <cell r="F13">
            <v>170</v>
          </cell>
          <cell r="G13">
            <v>170</v>
          </cell>
          <cell r="H13">
            <v>170</v>
          </cell>
          <cell r="I13">
            <v>170</v>
          </cell>
          <cell r="J13">
            <v>170</v>
          </cell>
          <cell r="K13">
            <v>170</v>
          </cell>
          <cell r="L13">
            <v>170</v>
          </cell>
          <cell r="M13">
            <v>170</v>
          </cell>
          <cell r="N13">
            <v>170</v>
          </cell>
          <cell r="O13">
            <v>170</v>
          </cell>
        </row>
        <row r="14">
          <cell r="E14">
            <v>170</v>
          </cell>
          <cell r="F14">
            <v>170</v>
          </cell>
          <cell r="G14">
            <v>170</v>
          </cell>
          <cell r="H14">
            <v>170</v>
          </cell>
          <cell r="I14">
            <v>170</v>
          </cell>
          <cell r="J14">
            <v>170</v>
          </cell>
          <cell r="K14">
            <v>170</v>
          </cell>
          <cell r="L14">
            <v>170</v>
          </cell>
          <cell r="M14">
            <v>170</v>
          </cell>
          <cell r="N14">
            <v>170</v>
          </cell>
          <cell r="O14">
            <v>170</v>
          </cell>
        </row>
        <row r="15">
          <cell r="E15">
            <v>170</v>
          </cell>
          <cell r="F15">
            <v>500</v>
          </cell>
          <cell r="G15">
            <v>500</v>
          </cell>
          <cell r="H15">
            <v>500</v>
          </cell>
          <cell r="I15">
            <v>17.47</v>
          </cell>
          <cell r="J15">
            <v>17.469985961914063</v>
          </cell>
          <cell r="K15">
            <v>17.469985961914063</v>
          </cell>
          <cell r="L15">
            <v>17.469985961914063</v>
          </cell>
          <cell r="M15">
            <v>17.469985961914063</v>
          </cell>
          <cell r="N15">
            <v>778</v>
          </cell>
          <cell r="O15">
            <v>330</v>
          </cell>
        </row>
        <row r="16">
          <cell r="E16">
            <v>330</v>
          </cell>
          <cell r="F16">
            <v>330</v>
          </cell>
          <cell r="G16">
            <v>330</v>
          </cell>
          <cell r="H16">
            <v>330</v>
          </cell>
          <cell r="I16">
            <v>330</v>
          </cell>
          <cell r="J16">
            <v>330</v>
          </cell>
          <cell r="K16">
            <v>330</v>
          </cell>
          <cell r="L16">
            <v>330</v>
          </cell>
          <cell r="M16">
            <v>330</v>
          </cell>
          <cell r="N16">
            <v>330</v>
          </cell>
          <cell r="O16">
            <v>330</v>
          </cell>
        </row>
        <row r="17">
          <cell r="E17">
            <v>330</v>
          </cell>
          <cell r="F17">
            <v>3.7</v>
          </cell>
          <cell r="G17">
            <v>3.6999988555908203</v>
          </cell>
          <cell r="H17">
            <v>3.6999988555908203</v>
          </cell>
          <cell r="I17">
            <v>1.9</v>
          </cell>
          <cell r="J17">
            <v>1.8999996185302734</v>
          </cell>
          <cell r="K17">
            <v>1.8999996185302734</v>
          </cell>
          <cell r="L17">
            <v>0.5</v>
          </cell>
          <cell r="M17">
            <v>2.57</v>
          </cell>
          <cell r="N17">
            <v>3.7</v>
          </cell>
          <cell r="O17">
            <v>3.6999988555908203</v>
          </cell>
        </row>
        <row r="18">
          <cell r="E18">
            <v>3.6999988555908203</v>
          </cell>
          <cell r="F18">
            <v>3.6999988555908203</v>
          </cell>
          <cell r="G18">
            <v>3.6999988555908203</v>
          </cell>
          <cell r="H18">
            <v>3.6999988555908203</v>
          </cell>
          <cell r="I18">
            <v>3.6999988555908203</v>
          </cell>
          <cell r="J18">
            <v>3.6999988555908203</v>
          </cell>
          <cell r="K18">
            <v>3.6999988555908203</v>
          </cell>
          <cell r="L18">
            <v>3.6999988555908203</v>
          </cell>
          <cell r="M18">
            <v>3.6999988555908203</v>
          </cell>
          <cell r="N18">
            <v>3.6999988555908203</v>
          </cell>
          <cell r="O18">
            <v>3.6999988555908203</v>
          </cell>
        </row>
        <row r="19">
          <cell r="E19">
            <v>3.6999988555908203</v>
          </cell>
          <cell r="F19">
            <v>36.909999999999997</v>
          </cell>
          <cell r="G19">
            <v>36.90997314453125</v>
          </cell>
          <cell r="H19">
            <v>34.18</v>
          </cell>
          <cell r="I19">
            <v>18.23</v>
          </cell>
          <cell r="J19">
            <v>6</v>
          </cell>
          <cell r="K19">
            <v>0.6</v>
          </cell>
          <cell r="L19">
            <v>10</v>
          </cell>
          <cell r="M19">
            <v>15.94</v>
          </cell>
          <cell r="N19">
            <v>39.6</v>
          </cell>
          <cell r="O19">
            <v>39.5999755859375</v>
          </cell>
        </row>
        <row r="20">
          <cell r="E20">
            <v>233.86</v>
          </cell>
          <cell r="F20">
            <v>181</v>
          </cell>
          <cell r="G20">
            <v>224.42999999999998</v>
          </cell>
          <cell r="H20">
            <v>197.97000000000003</v>
          </cell>
          <cell r="I20">
            <v>127.47999999999999</v>
          </cell>
          <cell r="J20">
            <v>113.97</v>
          </cell>
          <cell r="K20">
            <v>105.28</v>
          </cell>
          <cell r="L20">
            <v>38.14</v>
          </cell>
          <cell r="M20">
            <v>229.82999999999998</v>
          </cell>
          <cell r="N20">
            <v>147.57</v>
          </cell>
          <cell r="O20">
            <v>48.66</v>
          </cell>
        </row>
        <row r="21">
          <cell r="E21">
            <v>18.55</v>
          </cell>
          <cell r="F21">
            <v>52.31</v>
          </cell>
          <cell r="G21">
            <v>17.95</v>
          </cell>
          <cell r="H21">
            <v>10.81</v>
          </cell>
          <cell r="I21">
            <v>5.53</v>
          </cell>
          <cell r="J21">
            <v>0.15</v>
          </cell>
          <cell r="K21">
            <v>2.5</v>
          </cell>
          <cell r="L21">
            <v>7.0000000000000007E-2</v>
          </cell>
          <cell r="M21">
            <v>0.1</v>
          </cell>
          <cell r="N21">
            <v>0.16</v>
          </cell>
          <cell r="O21">
            <v>0.08</v>
          </cell>
        </row>
        <row r="22">
          <cell r="E22">
            <v>2.2999999999999998</v>
          </cell>
          <cell r="F22">
            <v>0.06</v>
          </cell>
          <cell r="G22">
            <v>0.1</v>
          </cell>
          <cell r="H22">
            <v>0.12</v>
          </cell>
          <cell r="I22">
            <v>0.14000000000000001</v>
          </cell>
          <cell r="J22">
            <v>0.1</v>
          </cell>
          <cell r="K22">
            <v>0.1</v>
          </cell>
          <cell r="L22">
            <v>0.1</v>
          </cell>
          <cell r="M22">
            <v>0.1</v>
          </cell>
          <cell r="N22">
            <v>0.15</v>
          </cell>
          <cell r="O22">
            <v>0.08</v>
          </cell>
        </row>
        <row r="23">
          <cell r="E23">
            <v>7.9999983310699463E-2</v>
          </cell>
          <cell r="F23">
            <v>7.9999983310699463E-2</v>
          </cell>
          <cell r="G23">
            <v>7.9999983310699463E-2</v>
          </cell>
          <cell r="H23">
            <v>7.9999983310699463E-2</v>
          </cell>
          <cell r="I23">
            <v>7.9999983310699463E-2</v>
          </cell>
          <cell r="J23">
            <v>7.9999983310699463E-2</v>
          </cell>
          <cell r="K23">
            <v>7.9999983310699463E-2</v>
          </cell>
          <cell r="L23">
            <v>7.9999983310699463E-2</v>
          </cell>
          <cell r="M23">
            <v>7.9999983310699463E-2</v>
          </cell>
          <cell r="N23">
            <v>7.9999983310699463E-2</v>
          </cell>
          <cell r="O23">
            <v>7.9999983310699463E-2</v>
          </cell>
        </row>
        <row r="24">
          <cell r="E24">
            <v>50</v>
          </cell>
          <cell r="F24">
            <v>50</v>
          </cell>
          <cell r="G24">
            <v>50</v>
          </cell>
          <cell r="H24">
            <v>50</v>
          </cell>
          <cell r="I24">
            <v>50</v>
          </cell>
          <cell r="J24">
            <v>50</v>
          </cell>
          <cell r="K24">
            <v>50</v>
          </cell>
          <cell r="L24">
            <v>50</v>
          </cell>
          <cell r="M24">
            <v>50</v>
          </cell>
          <cell r="N24">
            <v>50</v>
          </cell>
          <cell r="O24">
            <v>50</v>
          </cell>
        </row>
        <row r="25">
          <cell r="E25">
            <v>50</v>
          </cell>
          <cell r="F25">
            <v>0.52</v>
          </cell>
          <cell r="G25">
            <v>7.0000000000000007E-2</v>
          </cell>
          <cell r="H25">
            <v>0.33</v>
          </cell>
          <cell r="I25">
            <v>0.59</v>
          </cell>
          <cell r="J25">
            <v>4.22</v>
          </cell>
          <cell r="K25">
            <v>0.35</v>
          </cell>
          <cell r="L25">
            <v>0.2</v>
          </cell>
          <cell r="M25">
            <v>6</v>
          </cell>
          <cell r="N25">
            <v>0.64</v>
          </cell>
          <cell r="O25">
            <v>3.6</v>
          </cell>
        </row>
        <row r="26">
          <cell r="E26">
            <v>3.5999984741210938</v>
          </cell>
          <cell r="F26">
            <v>6.7</v>
          </cell>
          <cell r="G26">
            <v>3</v>
          </cell>
          <cell r="H26">
            <v>3</v>
          </cell>
          <cell r="I26">
            <v>10.870000000000001</v>
          </cell>
          <cell r="J26">
            <v>10.8699951171875</v>
          </cell>
          <cell r="K26">
            <v>10.8699951171875</v>
          </cell>
          <cell r="L26">
            <v>10.8699951171875</v>
          </cell>
          <cell r="M26">
            <v>0.5</v>
          </cell>
          <cell r="N26">
            <v>20</v>
          </cell>
          <cell r="O26">
            <v>20</v>
          </cell>
        </row>
        <row r="27">
          <cell r="E27">
            <v>20</v>
          </cell>
          <cell r="F27">
            <v>20</v>
          </cell>
          <cell r="G27">
            <v>20</v>
          </cell>
          <cell r="H27">
            <v>20</v>
          </cell>
          <cell r="I27">
            <v>20</v>
          </cell>
          <cell r="J27">
            <v>20</v>
          </cell>
          <cell r="K27">
            <v>20</v>
          </cell>
          <cell r="L27">
            <v>20</v>
          </cell>
          <cell r="M27">
            <v>20</v>
          </cell>
          <cell r="N27">
            <v>20</v>
          </cell>
          <cell r="O27">
            <v>20</v>
          </cell>
        </row>
        <row r="28">
          <cell r="E28">
            <v>0.4</v>
          </cell>
          <cell r="F28">
            <v>14.6</v>
          </cell>
          <cell r="G28">
            <v>42.47</v>
          </cell>
          <cell r="H28">
            <v>10</v>
          </cell>
          <cell r="I28">
            <v>58.5</v>
          </cell>
          <cell r="J28">
            <v>58.5</v>
          </cell>
          <cell r="K28">
            <v>58.5</v>
          </cell>
          <cell r="L28">
            <v>8.9</v>
          </cell>
          <cell r="M28">
            <v>8.899993896484375</v>
          </cell>
          <cell r="N28">
            <v>8.899993896484375</v>
          </cell>
          <cell r="O28">
            <v>1.5</v>
          </cell>
        </row>
        <row r="29">
          <cell r="E29">
            <v>55.17</v>
          </cell>
          <cell r="F29">
            <v>65.25</v>
          </cell>
          <cell r="G29">
            <v>72.889999999999986</v>
          </cell>
          <cell r="H29">
            <v>137.82000000000002</v>
          </cell>
          <cell r="I29">
            <v>8.6300000000000008</v>
          </cell>
          <cell r="J29">
            <v>86.68</v>
          </cell>
          <cell r="K29">
            <v>22.33</v>
          </cell>
          <cell r="L29">
            <v>0.32</v>
          </cell>
          <cell r="M29">
            <v>187.14</v>
          </cell>
          <cell r="N29">
            <v>95.72</v>
          </cell>
          <cell r="O29">
            <v>13.4</v>
          </cell>
        </row>
        <row r="30">
          <cell r="E30">
            <v>37.020000000000003</v>
          </cell>
          <cell r="F30">
            <v>39.92</v>
          </cell>
          <cell r="G30">
            <v>54.48</v>
          </cell>
          <cell r="H30">
            <v>34.840000000000003</v>
          </cell>
          <cell r="I30">
            <v>1</v>
          </cell>
          <cell r="J30">
            <v>1.73</v>
          </cell>
          <cell r="K30">
            <v>1.21</v>
          </cell>
          <cell r="L30">
            <v>1.2099990844726563</v>
          </cell>
          <cell r="M30">
            <v>14.5</v>
          </cell>
          <cell r="N30">
            <v>45</v>
          </cell>
          <cell r="O30">
            <v>6.1</v>
          </cell>
        </row>
        <row r="31">
          <cell r="E31">
            <v>3.1</v>
          </cell>
          <cell r="F31">
            <v>5.23</v>
          </cell>
          <cell r="G31">
            <v>13.13</v>
          </cell>
          <cell r="H31">
            <v>34.5</v>
          </cell>
          <cell r="I31">
            <v>1.5</v>
          </cell>
          <cell r="J31">
            <v>15</v>
          </cell>
          <cell r="K31">
            <v>10</v>
          </cell>
          <cell r="L31">
            <v>0.32</v>
          </cell>
          <cell r="M31">
            <v>0.31999993324279785</v>
          </cell>
          <cell r="N31">
            <v>4.66</v>
          </cell>
          <cell r="O31">
            <v>4.6599998474121094</v>
          </cell>
        </row>
        <row r="32">
          <cell r="E32">
            <v>4.6599998474121094</v>
          </cell>
          <cell r="F32">
            <v>0.6</v>
          </cell>
          <cell r="G32">
            <v>0.59999990463256836</v>
          </cell>
          <cell r="H32">
            <v>0.59999990463256836</v>
          </cell>
          <cell r="I32">
            <v>0.59999990463256836</v>
          </cell>
          <cell r="J32">
            <v>0.59999990463256836</v>
          </cell>
          <cell r="K32">
            <v>0.59999990463256836</v>
          </cell>
          <cell r="L32">
            <v>0.59999990463256836</v>
          </cell>
          <cell r="M32">
            <v>0.5</v>
          </cell>
          <cell r="N32">
            <v>0.5</v>
          </cell>
          <cell r="O32">
            <v>0.5</v>
          </cell>
        </row>
        <row r="33">
          <cell r="E33">
            <v>5</v>
          </cell>
          <cell r="F33">
            <v>5</v>
          </cell>
          <cell r="G33">
            <v>5</v>
          </cell>
          <cell r="H33">
            <v>5</v>
          </cell>
          <cell r="I33">
            <v>5</v>
          </cell>
          <cell r="J33">
            <v>5</v>
          </cell>
          <cell r="K33">
            <v>5</v>
          </cell>
          <cell r="L33">
            <v>5</v>
          </cell>
          <cell r="M33">
            <v>5</v>
          </cell>
          <cell r="N33">
            <v>5</v>
          </cell>
          <cell r="O33">
            <v>5</v>
          </cell>
        </row>
        <row r="34">
          <cell r="E34">
            <v>2</v>
          </cell>
          <cell r="F34">
            <v>2.04</v>
          </cell>
          <cell r="G34">
            <v>0.38</v>
          </cell>
          <cell r="H34">
            <v>0.37999987602233887</v>
          </cell>
          <cell r="I34">
            <v>0.37999987602233887</v>
          </cell>
          <cell r="J34">
            <v>0.37999987602233887</v>
          </cell>
          <cell r="K34">
            <v>0.37999987602233887</v>
          </cell>
          <cell r="L34">
            <v>0.37999987602233887</v>
          </cell>
          <cell r="M34">
            <v>0.37999987602233887</v>
          </cell>
          <cell r="N34">
            <v>0.37999987602233887</v>
          </cell>
          <cell r="O34">
            <v>0.37999987602233887</v>
          </cell>
        </row>
        <row r="35">
          <cell r="E35">
            <v>0.37999987602233887</v>
          </cell>
          <cell r="F35">
            <v>1</v>
          </cell>
          <cell r="G35">
            <v>1</v>
          </cell>
          <cell r="H35">
            <v>1</v>
          </cell>
          <cell r="I35">
            <v>1</v>
          </cell>
          <cell r="J35">
            <v>1</v>
          </cell>
          <cell r="K35">
            <v>1</v>
          </cell>
          <cell r="L35">
            <v>1</v>
          </cell>
          <cell r="M35">
            <v>1.6</v>
          </cell>
          <cell r="N35">
            <v>1.5999994277954102</v>
          </cell>
          <cell r="O35">
            <v>1</v>
          </cell>
        </row>
        <row r="36">
          <cell r="E36">
            <v>0.05</v>
          </cell>
          <cell r="F36">
            <v>8.56</v>
          </cell>
          <cell r="G36">
            <v>8.55999755859375</v>
          </cell>
          <cell r="H36">
            <v>51.94</v>
          </cell>
          <cell r="I36">
            <v>5.99</v>
          </cell>
          <cell r="J36">
            <v>66.45</v>
          </cell>
          <cell r="K36">
            <v>11.12</v>
          </cell>
          <cell r="L36">
            <v>11.1199951171875</v>
          </cell>
          <cell r="M36">
            <v>170.54</v>
          </cell>
          <cell r="N36">
            <v>26.96</v>
          </cell>
          <cell r="O36">
            <v>1.04</v>
          </cell>
        </row>
        <row r="37">
          <cell r="E37">
            <v>1.0399999618530273</v>
          </cell>
          <cell r="F37">
            <v>1.0399999618530273</v>
          </cell>
          <cell r="G37">
            <v>1.0399999618530273</v>
          </cell>
          <cell r="H37">
            <v>1.0399999618530273</v>
          </cell>
          <cell r="I37">
            <v>1.0399999618530273</v>
          </cell>
          <cell r="J37">
            <v>1.0399999618530273</v>
          </cell>
          <cell r="K37">
            <v>1.0399999618530273</v>
          </cell>
          <cell r="L37">
            <v>1.0399999618530273</v>
          </cell>
          <cell r="M37">
            <v>1.0399999618530273</v>
          </cell>
          <cell r="N37">
            <v>1.0399999618530273</v>
          </cell>
          <cell r="O37">
            <v>1.0399999618530273</v>
          </cell>
        </row>
        <row r="38">
          <cell r="E38">
            <v>1.0399999618530273</v>
          </cell>
          <cell r="F38">
            <v>1.0399999618530273</v>
          </cell>
          <cell r="G38">
            <v>1.0399999618530273</v>
          </cell>
          <cell r="H38">
            <v>1.0399999618530273</v>
          </cell>
          <cell r="I38">
            <v>1.0399999618530273</v>
          </cell>
          <cell r="J38">
            <v>1.0399999618530273</v>
          </cell>
          <cell r="K38">
            <v>1.0399999618530273</v>
          </cell>
          <cell r="L38">
            <v>1.0399999618530273</v>
          </cell>
          <cell r="M38">
            <v>1.0399999618530273</v>
          </cell>
          <cell r="N38">
            <v>1.0399999618530273</v>
          </cell>
          <cell r="O38">
            <v>1.0399999618530273</v>
          </cell>
        </row>
        <row r="39">
          <cell r="E39">
            <v>1.0399999618530273</v>
          </cell>
          <cell r="F39">
            <v>5.46</v>
          </cell>
          <cell r="G39">
            <v>5.4599990844726563</v>
          </cell>
          <cell r="H39">
            <v>1.84</v>
          </cell>
          <cell r="I39">
            <v>1.8399991989135742</v>
          </cell>
          <cell r="J39">
            <v>1.8399991989135742</v>
          </cell>
          <cell r="K39">
            <v>1.8399991989135742</v>
          </cell>
          <cell r="L39">
            <v>1.8399991989135742</v>
          </cell>
          <cell r="M39">
            <v>1.8399991989135742</v>
          </cell>
          <cell r="N39">
            <v>1.8399991989135742</v>
          </cell>
          <cell r="O39">
            <v>1.8399991989135742</v>
          </cell>
        </row>
        <row r="40">
          <cell r="E40">
            <v>1.8399991989135742</v>
          </cell>
          <cell r="F40">
            <v>2</v>
          </cell>
          <cell r="G40">
            <v>2</v>
          </cell>
          <cell r="H40">
            <v>2.4</v>
          </cell>
          <cell r="I40">
            <v>2.3999996185302734</v>
          </cell>
          <cell r="J40">
            <v>2.3999996185302734</v>
          </cell>
          <cell r="K40">
            <v>2.3999996185302734</v>
          </cell>
          <cell r="L40">
            <v>2.3999996185302734</v>
          </cell>
          <cell r="M40">
            <v>2.3999996185302734</v>
          </cell>
          <cell r="N40">
            <v>18.5</v>
          </cell>
          <cell r="O40">
            <v>18.5</v>
          </cell>
        </row>
        <row r="41">
          <cell r="E41">
            <v>3</v>
          </cell>
          <cell r="F41">
            <v>0.22</v>
          </cell>
          <cell r="G41">
            <v>0.21999990940093994</v>
          </cell>
          <cell r="H41">
            <v>3</v>
          </cell>
          <cell r="I41">
            <v>3</v>
          </cell>
          <cell r="J41">
            <v>3</v>
          </cell>
          <cell r="K41">
            <v>3</v>
          </cell>
          <cell r="L41">
            <v>3</v>
          </cell>
          <cell r="M41">
            <v>3</v>
          </cell>
          <cell r="N41">
            <v>3</v>
          </cell>
          <cell r="O41">
            <v>0.26</v>
          </cell>
        </row>
        <row r="42">
          <cell r="E42">
            <v>5</v>
          </cell>
          <cell r="F42">
            <v>5</v>
          </cell>
          <cell r="G42">
            <v>4.5999999999999996</v>
          </cell>
          <cell r="H42">
            <v>8.3000000000000007</v>
          </cell>
          <cell r="I42">
            <v>8.2999954223632813</v>
          </cell>
          <cell r="J42">
            <v>3.5</v>
          </cell>
          <cell r="K42">
            <v>3.5</v>
          </cell>
          <cell r="L42">
            <v>3.5</v>
          </cell>
          <cell r="M42">
            <v>3.5</v>
          </cell>
          <cell r="N42">
            <v>0.6</v>
          </cell>
          <cell r="O42">
            <v>4</v>
          </cell>
        </row>
        <row r="43">
          <cell r="F43">
            <v>4</v>
          </cell>
          <cell r="G43">
            <v>4</v>
          </cell>
          <cell r="H43">
            <v>4</v>
          </cell>
          <cell r="I43">
            <v>4</v>
          </cell>
          <cell r="J43">
            <v>4</v>
          </cell>
          <cell r="K43">
            <v>4</v>
          </cell>
          <cell r="L43">
            <v>4</v>
          </cell>
          <cell r="M43">
            <v>4</v>
          </cell>
          <cell r="N43">
            <v>4</v>
          </cell>
          <cell r="O43">
            <v>4</v>
          </cell>
        </row>
        <row r="44">
          <cell r="E44">
            <v>4</v>
          </cell>
          <cell r="F44">
            <v>4</v>
          </cell>
          <cell r="G44">
            <v>4</v>
          </cell>
          <cell r="H44">
            <v>4</v>
          </cell>
          <cell r="I44">
            <v>4</v>
          </cell>
          <cell r="J44">
            <v>4</v>
          </cell>
          <cell r="K44">
            <v>4</v>
          </cell>
          <cell r="L44">
            <v>4</v>
          </cell>
          <cell r="M44">
            <v>4</v>
          </cell>
          <cell r="N44">
            <v>4</v>
          </cell>
          <cell r="O44">
            <v>4</v>
          </cell>
        </row>
        <row r="45">
          <cell r="E45">
            <v>4</v>
          </cell>
          <cell r="F45">
            <v>0.22</v>
          </cell>
          <cell r="G45">
            <v>0.3</v>
          </cell>
          <cell r="H45">
            <v>0.29999995231628418</v>
          </cell>
          <cell r="I45">
            <v>0.14000000000000001</v>
          </cell>
          <cell r="J45">
            <v>0.13999998569488525</v>
          </cell>
          <cell r="K45">
            <v>0.13999998569488525</v>
          </cell>
          <cell r="L45">
            <v>0.13999998569488525</v>
          </cell>
          <cell r="M45">
            <v>0.13999998569488525</v>
          </cell>
          <cell r="N45">
            <v>0.13999998569488525</v>
          </cell>
          <cell r="O45">
            <v>1</v>
          </cell>
        </row>
        <row r="46">
          <cell r="E46">
            <v>1</v>
          </cell>
          <cell r="F46">
            <v>1</v>
          </cell>
          <cell r="G46">
            <v>1</v>
          </cell>
          <cell r="H46">
            <v>1</v>
          </cell>
          <cell r="I46">
            <v>1</v>
          </cell>
          <cell r="J46">
            <v>1</v>
          </cell>
          <cell r="K46">
            <v>1</v>
          </cell>
          <cell r="L46">
            <v>1</v>
          </cell>
          <cell r="M46">
            <v>1</v>
          </cell>
          <cell r="N46">
            <v>1</v>
          </cell>
          <cell r="O46">
            <v>1</v>
          </cell>
        </row>
        <row r="47">
          <cell r="E47">
            <v>0.9</v>
          </cell>
          <cell r="F47">
            <v>0.89999961853027344</v>
          </cell>
          <cell r="G47">
            <v>0.28000000000000003</v>
          </cell>
          <cell r="H47">
            <v>0.27999997138977051</v>
          </cell>
          <cell r="I47">
            <v>0.27999997138977051</v>
          </cell>
          <cell r="J47">
            <v>0.32</v>
          </cell>
          <cell r="K47">
            <v>0.31999993324279785</v>
          </cell>
          <cell r="L47">
            <v>0.5</v>
          </cell>
          <cell r="M47">
            <v>0.4</v>
          </cell>
          <cell r="N47">
            <v>0.39999985694885254</v>
          </cell>
          <cell r="O47">
            <v>0.39999985694885254</v>
          </cell>
        </row>
        <row r="48">
          <cell r="E48">
            <v>0.39999985694885254</v>
          </cell>
          <cell r="F48">
            <v>0.39999985694885254</v>
          </cell>
          <cell r="G48">
            <v>2.77</v>
          </cell>
          <cell r="I48">
            <v>2.7699985504150391</v>
          </cell>
          <cell r="J48">
            <v>2.7699985504150391</v>
          </cell>
          <cell r="K48">
            <v>2.7699985504150391</v>
          </cell>
          <cell r="L48">
            <v>2.7699985504150391</v>
          </cell>
          <cell r="M48">
            <v>2.7699985504150391</v>
          </cell>
          <cell r="N48">
            <v>2.7699985504150391</v>
          </cell>
          <cell r="O48">
            <v>2.7699985504150391</v>
          </cell>
        </row>
        <row r="49">
          <cell r="E49">
            <v>2.7699985504150391</v>
          </cell>
          <cell r="F49">
            <v>38</v>
          </cell>
          <cell r="G49">
            <v>74.86</v>
          </cell>
          <cell r="H49">
            <v>30.29</v>
          </cell>
          <cell r="I49">
            <v>39.200000000000003</v>
          </cell>
          <cell r="J49">
            <v>21</v>
          </cell>
          <cell r="K49">
            <v>30</v>
          </cell>
          <cell r="L49">
            <v>25.55</v>
          </cell>
          <cell r="M49">
            <v>31.6</v>
          </cell>
          <cell r="N49">
            <v>20.7</v>
          </cell>
          <cell r="O49">
            <v>30</v>
          </cell>
        </row>
        <row r="50">
          <cell r="E50">
            <v>105.44</v>
          </cell>
          <cell r="F50">
            <v>105.43994140625</v>
          </cell>
          <cell r="G50">
            <v>105.43994140625</v>
          </cell>
          <cell r="H50">
            <v>105.43994140625</v>
          </cell>
          <cell r="I50">
            <v>105.43994140625</v>
          </cell>
          <cell r="J50">
            <v>105.43994140625</v>
          </cell>
          <cell r="K50">
            <v>105.43994140625</v>
          </cell>
          <cell r="L50">
            <v>105.43994140625</v>
          </cell>
          <cell r="M50">
            <v>105.43994140625</v>
          </cell>
          <cell r="N50">
            <v>105.43994140625</v>
          </cell>
          <cell r="O50">
            <v>105.43994140625</v>
          </cell>
        </row>
        <row r="51">
          <cell r="E51">
            <v>1.1000000000000001</v>
          </cell>
          <cell r="F51">
            <v>1.0999994277954102</v>
          </cell>
          <cell r="G51">
            <v>1.75</v>
          </cell>
          <cell r="H51">
            <v>1.75</v>
          </cell>
          <cell r="I51">
            <v>1.75</v>
          </cell>
          <cell r="J51">
            <v>1.75</v>
          </cell>
          <cell r="K51">
            <v>1.75</v>
          </cell>
          <cell r="L51">
            <v>1.75</v>
          </cell>
          <cell r="M51">
            <v>1.75</v>
          </cell>
          <cell r="N51">
            <v>1.75</v>
          </cell>
          <cell r="O51">
            <v>1.75</v>
          </cell>
        </row>
        <row r="52">
          <cell r="E52">
            <v>1.75</v>
          </cell>
          <cell r="F52">
            <v>1.75</v>
          </cell>
          <cell r="G52">
            <v>1.75</v>
          </cell>
          <cell r="H52">
            <v>1.75</v>
          </cell>
          <cell r="I52">
            <v>1.75</v>
          </cell>
          <cell r="J52">
            <v>1.75</v>
          </cell>
          <cell r="K52">
            <v>1.75</v>
          </cell>
          <cell r="L52">
            <v>1.75</v>
          </cell>
          <cell r="M52">
            <v>1.75</v>
          </cell>
          <cell r="N52">
            <v>1.75</v>
          </cell>
          <cell r="O52">
            <v>1.75</v>
          </cell>
        </row>
        <row r="53">
          <cell r="E53">
            <v>1.75</v>
          </cell>
          <cell r="F53">
            <v>1.75</v>
          </cell>
          <cell r="G53">
            <v>1.75</v>
          </cell>
          <cell r="H53">
            <v>1.75</v>
          </cell>
          <cell r="I53">
            <v>1.75</v>
          </cell>
          <cell r="J53">
            <v>1.75</v>
          </cell>
          <cell r="K53">
            <v>1.75</v>
          </cell>
          <cell r="L53">
            <v>1.75</v>
          </cell>
          <cell r="M53">
            <v>1.75</v>
          </cell>
          <cell r="N53">
            <v>1.75</v>
          </cell>
          <cell r="O53">
            <v>1.75</v>
          </cell>
        </row>
        <row r="54">
          <cell r="E54">
            <v>1.75</v>
          </cell>
          <cell r="F54">
            <v>1.75</v>
          </cell>
          <cell r="G54">
            <v>1.75</v>
          </cell>
          <cell r="H54">
            <v>1.75</v>
          </cell>
          <cell r="I54">
            <v>1.75</v>
          </cell>
          <cell r="J54">
            <v>1.75</v>
          </cell>
          <cell r="K54">
            <v>1.75</v>
          </cell>
          <cell r="L54">
            <v>1.75</v>
          </cell>
          <cell r="M54">
            <v>1.75</v>
          </cell>
          <cell r="N54">
            <v>1.75</v>
          </cell>
          <cell r="O54">
            <v>1.75</v>
          </cell>
        </row>
        <row r="55">
          <cell r="E55">
            <v>1.75</v>
          </cell>
          <cell r="F55">
            <v>1.75</v>
          </cell>
          <cell r="G55">
            <v>1.75</v>
          </cell>
          <cell r="H55">
            <v>1.75</v>
          </cell>
          <cell r="I55">
            <v>1.75</v>
          </cell>
          <cell r="J55">
            <v>1.75</v>
          </cell>
          <cell r="K55">
            <v>1.75</v>
          </cell>
          <cell r="L55">
            <v>1.75</v>
          </cell>
          <cell r="M55">
            <v>1.75</v>
          </cell>
          <cell r="N55">
            <v>1.75</v>
          </cell>
          <cell r="O55">
            <v>1.75</v>
          </cell>
        </row>
        <row r="56">
          <cell r="E56">
            <v>1.75</v>
          </cell>
          <cell r="F56">
            <v>1.75</v>
          </cell>
          <cell r="G56">
            <v>1.75</v>
          </cell>
          <cell r="H56">
            <v>1.75</v>
          </cell>
          <cell r="I56">
            <v>1.75</v>
          </cell>
          <cell r="J56">
            <v>1.75</v>
          </cell>
          <cell r="K56">
            <v>1.75</v>
          </cell>
          <cell r="L56">
            <v>1.75</v>
          </cell>
          <cell r="M56">
            <v>1.75</v>
          </cell>
          <cell r="N56">
            <v>1.75</v>
          </cell>
          <cell r="O56">
            <v>1.75</v>
          </cell>
        </row>
        <row r="57">
          <cell r="E57">
            <v>1.75</v>
          </cell>
          <cell r="F57">
            <v>3.56</v>
          </cell>
          <cell r="G57">
            <v>8.2899999999999991</v>
          </cell>
          <cell r="H57">
            <v>8.6</v>
          </cell>
          <cell r="I57">
            <v>4.0199999999999996</v>
          </cell>
          <cell r="J57">
            <v>1.5</v>
          </cell>
          <cell r="K57">
            <v>1.5</v>
          </cell>
          <cell r="L57">
            <v>2.5</v>
          </cell>
          <cell r="M57">
            <v>3.99</v>
          </cell>
          <cell r="N57">
            <v>10.199999999999999</v>
          </cell>
          <cell r="O57">
            <v>10.199996948242188</v>
          </cell>
        </row>
        <row r="58">
          <cell r="E58">
            <v>10.199996948242188</v>
          </cell>
          <cell r="F58">
            <v>10.199996948242188</v>
          </cell>
          <cell r="G58">
            <v>10.199996948242188</v>
          </cell>
          <cell r="H58">
            <v>10.199996948242188</v>
          </cell>
          <cell r="I58">
            <v>10.199996948242188</v>
          </cell>
          <cell r="J58">
            <v>10.199996948242188</v>
          </cell>
          <cell r="K58">
            <v>10.199996948242188</v>
          </cell>
          <cell r="L58">
            <v>10.199996948242188</v>
          </cell>
          <cell r="M58">
            <v>10.199996948242188</v>
          </cell>
          <cell r="N58">
            <v>10.199996948242188</v>
          </cell>
          <cell r="O58">
            <v>10.199996948242188</v>
          </cell>
        </row>
      </sheetData>
      <sheetData sheetId="14">
        <row r="8">
          <cell r="E8">
            <v>225.95999999999998</v>
          </cell>
        </row>
        <row r="9">
          <cell r="E9">
            <v>3.5</v>
          </cell>
          <cell r="F9">
            <v>3.5</v>
          </cell>
          <cell r="G9">
            <v>3.5</v>
          </cell>
          <cell r="H9">
            <v>0.5</v>
          </cell>
          <cell r="I9">
            <v>0.5</v>
          </cell>
          <cell r="J9">
            <v>3.5</v>
          </cell>
          <cell r="K9">
            <v>3.5</v>
          </cell>
          <cell r="L9">
            <v>7</v>
          </cell>
          <cell r="M9">
            <v>7</v>
          </cell>
          <cell r="N9">
            <v>2</v>
          </cell>
          <cell r="O9">
            <v>2</v>
          </cell>
        </row>
        <row r="10">
          <cell r="E10">
            <v>3</v>
          </cell>
          <cell r="F10">
            <v>3</v>
          </cell>
          <cell r="G10">
            <v>3</v>
          </cell>
          <cell r="H10">
            <v>0.5</v>
          </cell>
          <cell r="I10">
            <v>0.5</v>
          </cell>
          <cell r="J10">
            <v>2</v>
          </cell>
          <cell r="K10">
            <v>2</v>
          </cell>
          <cell r="L10">
            <v>2</v>
          </cell>
          <cell r="M10">
            <v>2</v>
          </cell>
          <cell r="N10">
            <v>2</v>
          </cell>
          <cell r="O10">
            <v>2</v>
          </cell>
        </row>
        <row r="11">
          <cell r="E11">
            <v>64.37</v>
          </cell>
          <cell r="F11">
            <v>414.82</v>
          </cell>
          <cell r="G11">
            <v>327.42</v>
          </cell>
          <cell r="H11">
            <v>217.47</v>
          </cell>
          <cell r="I11">
            <v>251.59</v>
          </cell>
          <cell r="J11">
            <v>216.78</v>
          </cell>
          <cell r="K11">
            <v>177.9</v>
          </cell>
          <cell r="L11">
            <v>172.05</v>
          </cell>
          <cell r="M11">
            <v>328.64</v>
          </cell>
          <cell r="N11">
            <v>635.66</v>
          </cell>
          <cell r="O11">
            <v>229.36</v>
          </cell>
        </row>
        <row r="12">
          <cell r="E12">
            <v>155.88999999999999</v>
          </cell>
          <cell r="F12">
            <v>612.77</v>
          </cell>
          <cell r="G12">
            <v>74.31</v>
          </cell>
          <cell r="H12">
            <v>89.59</v>
          </cell>
          <cell r="I12">
            <v>75.290000000000006</v>
          </cell>
          <cell r="J12">
            <v>56.92</v>
          </cell>
          <cell r="K12">
            <v>65.73</v>
          </cell>
          <cell r="L12">
            <v>38.9</v>
          </cell>
          <cell r="M12">
            <v>72</v>
          </cell>
          <cell r="N12">
            <v>415.29999999999995</v>
          </cell>
          <cell r="O12">
            <v>268.3</v>
          </cell>
        </row>
        <row r="13">
          <cell r="E13">
            <v>268.2998046875</v>
          </cell>
          <cell r="F13">
            <v>268.2998046875</v>
          </cell>
          <cell r="G13">
            <v>0.05</v>
          </cell>
          <cell r="H13">
            <v>4.9999982118606567E-2</v>
          </cell>
          <cell r="I13">
            <v>4.9999982118606567E-2</v>
          </cell>
          <cell r="J13">
            <v>4.9999982118606567E-2</v>
          </cell>
          <cell r="K13">
            <v>4.9999982118606567E-2</v>
          </cell>
          <cell r="L13">
            <v>4.9999982118606567E-2</v>
          </cell>
          <cell r="M13">
            <v>4.9999982118606567E-2</v>
          </cell>
          <cell r="N13">
            <v>37.31</v>
          </cell>
          <cell r="O13">
            <v>37.30999755859375</v>
          </cell>
        </row>
        <row r="14">
          <cell r="E14">
            <v>37.30999755859375</v>
          </cell>
          <cell r="F14">
            <v>37.30999755859375</v>
          </cell>
          <cell r="G14">
            <v>37.30999755859375</v>
          </cell>
          <cell r="H14">
            <v>22</v>
          </cell>
          <cell r="I14">
            <v>22</v>
          </cell>
          <cell r="J14">
            <v>22</v>
          </cell>
          <cell r="K14">
            <v>22</v>
          </cell>
          <cell r="L14">
            <v>22</v>
          </cell>
          <cell r="M14">
            <v>22</v>
          </cell>
          <cell r="N14">
            <v>22</v>
          </cell>
          <cell r="O14">
            <v>22</v>
          </cell>
        </row>
        <row r="15">
          <cell r="E15">
            <v>2</v>
          </cell>
          <cell r="F15">
            <v>6.67</v>
          </cell>
          <cell r="G15">
            <v>17.55</v>
          </cell>
          <cell r="H15">
            <v>47.52</v>
          </cell>
          <cell r="I15">
            <v>47.519989013671875</v>
          </cell>
          <cell r="J15">
            <v>47.519989013671875</v>
          </cell>
          <cell r="K15">
            <v>5.53</v>
          </cell>
          <cell r="L15">
            <v>2.5</v>
          </cell>
          <cell r="M15">
            <v>2.5</v>
          </cell>
          <cell r="N15">
            <v>17</v>
          </cell>
          <cell r="O15">
            <v>17</v>
          </cell>
        </row>
        <row r="16">
          <cell r="E16">
            <v>17</v>
          </cell>
          <cell r="F16">
            <v>17</v>
          </cell>
          <cell r="G16">
            <v>17</v>
          </cell>
          <cell r="H16">
            <v>17</v>
          </cell>
          <cell r="I16">
            <v>17</v>
          </cell>
          <cell r="J16">
            <v>17</v>
          </cell>
          <cell r="K16">
            <v>17</v>
          </cell>
          <cell r="L16">
            <v>17</v>
          </cell>
          <cell r="M16">
            <v>17</v>
          </cell>
          <cell r="N16">
            <v>17</v>
          </cell>
          <cell r="O16">
            <v>17</v>
          </cell>
        </row>
        <row r="17">
          <cell r="E17">
            <v>0.2</v>
          </cell>
          <cell r="F17">
            <v>0.19999992847442627</v>
          </cell>
          <cell r="G17">
            <v>0.19999992847442627</v>
          </cell>
          <cell r="H17">
            <v>0.19999992847442627</v>
          </cell>
          <cell r="I17">
            <v>0.19999992847442627</v>
          </cell>
          <cell r="J17">
            <v>0.19999992847442627</v>
          </cell>
          <cell r="K17">
            <v>0.19999992847442627</v>
          </cell>
          <cell r="L17">
            <v>0.19999992847442627</v>
          </cell>
          <cell r="M17">
            <v>0.19999992847442627</v>
          </cell>
          <cell r="N17">
            <v>0.19999992847442627</v>
          </cell>
          <cell r="O17">
            <v>0.19999992847442627</v>
          </cell>
        </row>
        <row r="18">
          <cell r="E18">
            <v>0.19999992847442627</v>
          </cell>
          <cell r="F18">
            <v>0.19999992847442627</v>
          </cell>
          <cell r="G18">
            <v>0.19999992847442627</v>
          </cell>
          <cell r="H18">
            <v>0.19999992847442627</v>
          </cell>
          <cell r="I18">
            <v>0.19999992847442627</v>
          </cell>
          <cell r="J18">
            <v>0.19999992847442627</v>
          </cell>
          <cell r="K18">
            <v>0.19999992847442627</v>
          </cell>
          <cell r="L18">
            <v>0.19999992847442627</v>
          </cell>
          <cell r="M18">
            <v>0.19999992847442627</v>
          </cell>
          <cell r="N18">
            <v>0.19999992847442627</v>
          </cell>
          <cell r="O18">
            <v>0.19999992847442627</v>
          </cell>
        </row>
        <row r="19">
          <cell r="E19">
            <v>0.19999992847442627</v>
          </cell>
          <cell r="F19">
            <v>0.19999992847442627</v>
          </cell>
          <cell r="G19">
            <v>0.19999992847442627</v>
          </cell>
          <cell r="H19">
            <v>0.19999992847442627</v>
          </cell>
          <cell r="I19">
            <v>0.19999992847442627</v>
          </cell>
          <cell r="J19">
            <v>0.19999992847442627</v>
          </cell>
          <cell r="K19">
            <v>0.19999992847442627</v>
          </cell>
          <cell r="L19">
            <v>0.19999992847442627</v>
          </cell>
          <cell r="M19">
            <v>0.19999992847442627</v>
          </cell>
          <cell r="N19">
            <v>0.19999992847442627</v>
          </cell>
          <cell r="O19">
            <v>0.19999992847442627</v>
          </cell>
        </row>
        <row r="20">
          <cell r="E20">
            <v>7.9</v>
          </cell>
          <cell r="F20">
            <v>2.8500000000000005</v>
          </cell>
          <cell r="G20">
            <v>3.85</v>
          </cell>
          <cell r="H20">
            <v>1.55</v>
          </cell>
          <cell r="I20">
            <v>2.4</v>
          </cell>
          <cell r="J20">
            <v>5.27</v>
          </cell>
          <cell r="K20">
            <v>6.7200000000000006</v>
          </cell>
          <cell r="L20">
            <v>0.19</v>
          </cell>
          <cell r="M20">
            <v>7.7</v>
          </cell>
          <cell r="N20">
            <v>1.6</v>
          </cell>
          <cell r="O20">
            <v>0.5</v>
          </cell>
        </row>
        <row r="21">
          <cell r="E21">
            <v>1.6</v>
          </cell>
          <cell r="F21">
            <v>1.5999994277954102</v>
          </cell>
          <cell r="G21">
            <v>1.5999994277954102</v>
          </cell>
          <cell r="H21">
            <v>1.5999994277954102</v>
          </cell>
          <cell r="I21">
            <v>1.5999994277954102</v>
          </cell>
          <cell r="J21">
            <v>1.5999994277954102</v>
          </cell>
          <cell r="K21">
            <v>1.5999994277954102</v>
          </cell>
          <cell r="L21">
            <v>1.5999994277954102</v>
          </cell>
          <cell r="M21">
            <v>1.5999994277954102</v>
          </cell>
          <cell r="N21">
            <v>1.5999994277954102</v>
          </cell>
          <cell r="O21">
            <v>1.5999994277954102</v>
          </cell>
        </row>
        <row r="22">
          <cell r="E22">
            <v>1.5999994277954102</v>
          </cell>
          <cell r="F22">
            <v>1.5999994277954102</v>
          </cell>
          <cell r="G22">
            <v>1.5999994277954102</v>
          </cell>
          <cell r="H22">
            <v>1.5999994277954102</v>
          </cell>
          <cell r="I22">
            <v>1.5999994277954102</v>
          </cell>
          <cell r="J22">
            <v>1.5999994277954102</v>
          </cell>
          <cell r="K22">
            <v>1.5999994277954102</v>
          </cell>
          <cell r="L22">
            <v>1.5999994277954102</v>
          </cell>
          <cell r="M22">
            <v>1.5999994277954102</v>
          </cell>
          <cell r="N22">
            <v>1.5999994277954102</v>
          </cell>
          <cell r="O22">
            <v>1.5999994277954102</v>
          </cell>
        </row>
        <row r="23">
          <cell r="E23">
            <v>1.5999994277954102</v>
          </cell>
          <cell r="F23">
            <v>1.5999994277954102</v>
          </cell>
          <cell r="G23">
            <v>1.5999994277954102</v>
          </cell>
          <cell r="H23">
            <v>1.5999994277954102</v>
          </cell>
          <cell r="I23">
            <v>1.5999994277954102</v>
          </cell>
          <cell r="J23">
            <v>1.5999994277954102</v>
          </cell>
          <cell r="K23">
            <v>1.5999994277954102</v>
          </cell>
          <cell r="L23">
            <v>1.5999994277954102</v>
          </cell>
          <cell r="M23">
            <v>1.5999994277954102</v>
          </cell>
          <cell r="N23">
            <v>1.5999994277954102</v>
          </cell>
          <cell r="O23">
            <v>1.5999994277954102</v>
          </cell>
        </row>
        <row r="24">
          <cell r="E24">
            <v>1.5999994277954102</v>
          </cell>
          <cell r="F24">
            <v>1.5999994277954102</v>
          </cell>
          <cell r="G24">
            <v>1.5999994277954102</v>
          </cell>
          <cell r="H24">
            <v>1.5999994277954102</v>
          </cell>
          <cell r="I24">
            <v>1.5999994277954102</v>
          </cell>
          <cell r="J24">
            <v>1.5999994277954102</v>
          </cell>
          <cell r="K24">
            <v>1.5999994277954102</v>
          </cell>
          <cell r="L24">
            <v>1.5999994277954102</v>
          </cell>
          <cell r="M24">
            <v>1.5999994277954102</v>
          </cell>
          <cell r="N24">
            <v>1.5999994277954102</v>
          </cell>
          <cell r="O24">
            <v>1.5999994277954102</v>
          </cell>
        </row>
        <row r="25">
          <cell r="E25">
            <v>1.5999994277954102</v>
          </cell>
          <cell r="F25">
            <v>1.5999994277954102</v>
          </cell>
          <cell r="G25">
            <v>1.5999994277954102</v>
          </cell>
          <cell r="H25">
            <v>1.5999994277954102</v>
          </cell>
          <cell r="I25">
            <v>1.5999994277954102</v>
          </cell>
          <cell r="J25">
            <v>1.5999994277954102</v>
          </cell>
          <cell r="K25">
            <v>1.5999994277954102</v>
          </cell>
          <cell r="L25">
            <v>1.5999994277954102</v>
          </cell>
          <cell r="M25">
            <v>1.5999994277954102</v>
          </cell>
          <cell r="N25">
            <v>1.5999994277954102</v>
          </cell>
          <cell r="O25">
            <v>1.5999994277954102</v>
          </cell>
        </row>
        <row r="26">
          <cell r="E26">
            <v>1.5999994277954102</v>
          </cell>
          <cell r="F26">
            <v>1.5999994277954102</v>
          </cell>
          <cell r="G26">
            <v>1.5999994277954102</v>
          </cell>
          <cell r="H26">
            <v>1.5999994277954102</v>
          </cell>
          <cell r="I26">
            <v>1.5999994277954102</v>
          </cell>
          <cell r="J26">
            <v>1.5999994277954102</v>
          </cell>
          <cell r="K26">
            <v>1.5999994277954102</v>
          </cell>
          <cell r="L26">
            <v>1.5999994277954102</v>
          </cell>
          <cell r="M26">
            <v>1.5999994277954102</v>
          </cell>
          <cell r="N26">
            <v>1.5999994277954102</v>
          </cell>
          <cell r="O26">
            <v>1.5999994277954102</v>
          </cell>
        </row>
        <row r="27">
          <cell r="E27">
            <v>1.5999994277954102</v>
          </cell>
          <cell r="F27">
            <v>1.5999994277954102</v>
          </cell>
          <cell r="G27">
            <v>1.5999994277954102</v>
          </cell>
          <cell r="H27">
            <v>1.5999994277954102</v>
          </cell>
          <cell r="I27">
            <v>1.5999994277954102</v>
          </cell>
          <cell r="J27">
            <v>1.5999994277954102</v>
          </cell>
          <cell r="K27">
            <v>1.5999994277954102</v>
          </cell>
          <cell r="L27">
            <v>1.5999994277954102</v>
          </cell>
          <cell r="M27">
            <v>1.5999994277954102</v>
          </cell>
          <cell r="N27">
            <v>1.5999994277954102</v>
          </cell>
          <cell r="O27">
            <v>1.5999994277954102</v>
          </cell>
        </row>
        <row r="28">
          <cell r="E28">
            <v>1.5999994277954102</v>
          </cell>
          <cell r="F28">
            <v>1.5999994277954102</v>
          </cell>
          <cell r="G28">
            <v>1.5999994277954102</v>
          </cell>
          <cell r="H28">
            <v>1.5999994277954102</v>
          </cell>
          <cell r="I28">
            <v>1.5999994277954102</v>
          </cell>
          <cell r="J28">
            <v>1.5999994277954102</v>
          </cell>
          <cell r="K28">
            <v>1.5999994277954102</v>
          </cell>
          <cell r="L28">
            <v>1.5999994277954102</v>
          </cell>
          <cell r="M28">
            <v>1.5999994277954102</v>
          </cell>
          <cell r="N28">
            <v>1.5999994277954102</v>
          </cell>
          <cell r="O28">
            <v>1.5999994277954102</v>
          </cell>
        </row>
        <row r="29">
          <cell r="E29">
            <v>0</v>
          </cell>
          <cell r="F29">
            <v>0.57999999999999996</v>
          </cell>
          <cell r="G29">
            <v>0.15</v>
          </cell>
          <cell r="H29">
            <v>0.09</v>
          </cell>
          <cell r="I29">
            <v>2.02</v>
          </cell>
          <cell r="J29">
            <v>0.22</v>
          </cell>
          <cell r="K29">
            <v>2.4</v>
          </cell>
          <cell r="L29">
            <v>0</v>
          </cell>
          <cell r="M29">
            <v>7</v>
          </cell>
          <cell r="N29">
            <v>0.6</v>
          </cell>
          <cell r="O29">
            <v>0</v>
          </cell>
        </row>
        <row r="30">
          <cell r="E30">
            <v>0</v>
          </cell>
          <cell r="F30">
            <v>0</v>
          </cell>
          <cell r="G30">
            <v>0</v>
          </cell>
          <cell r="H30">
            <v>0</v>
          </cell>
          <cell r="I30">
            <v>0</v>
          </cell>
          <cell r="J30">
            <v>0</v>
          </cell>
          <cell r="K30">
            <v>0</v>
          </cell>
          <cell r="L30">
            <v>0</v>
          </cell>
          <cell r="M30">
            <v>0</v>
          </cell>
          <cell r="N30">
            <v>0</v>
          </cell>
          <cell r="O30">
            <v>0</v>
          </cell>
        </row>
        <row r="31">
          <cell r="E31">
            <v>0</v>
          </cell>
          <cell r="F31">
            <v>0</v>
          </cell>
          <cell r="G31">
            <v>0</v>
          </cell>
          <cell r="H31">
            <v>0</v>
          </cell>
          <cell r="I31">
            <v>0</v>
          </cell>
          <cell r="J31">
            <v>0</v>
          </cell>
          <cell r="K31">
            <v>0</v>
          </cell>
          <cell r="L31">
            <v>0</v>
          </cell>
          <cell r="M31">
            <v>0</v>
          </cell>
          <cell r="N31">
            <v>0</v>
          </cell>
          <cell r="O31">
            <v>0</v>
          </cell>
        </row>
        <row r="32">
          <cell r="E32">
            <v>0</v>
          </cell>
          <cell r="F32">
            <v>0</v>
          </cell>
          <cell r="G32">
            <v>0</v>
          </cell>
          <cell r="H32">
            <v>0</v>
          </cell>
          <cell r="I32">
            <v>0</v>
          </cell>
          <cell r="J32">
            <v>0</v>
          </cell>
          <cell r="K32">
            <v>0</v>
          </cell>
          <cell r="L32">
            <v>0</v>
          </cell>
          <cell r="M32">
            <v>0</v>
          </cell>
          <cell r="N32">
            <v>0</v>
          </cell>
          <cell r="O32">
            <v>0</v>
          </cell>
        </row>
        <row r="33">
          <cell r="E33">
            <v>0</v>
          </cell>
          <cell r="F33">
            <v>0</v>
          </cell>
          <cell r="G33">
            <v>0</v>
          </cell>
          <cell r="H33">
            <v>0</v>
          </cell>
          <cell r="I33">
            <v>0</v>
          </cell>
          <cell r="J33">
            <v>0</v>
          </cell>
          <cell r="K33">
            <v>0</v>
          </cell>
          <cell r="L33">
            <v>0</v>
          </cell>
          <cell r="M33">
            <v>0</v>
          </cell>
          <cell r="N33">
            <v>0</v>
          </cell>
          <cell r="O33">
            <v>0</v>
          </cell>
        </row>
        <row r="34">
          <cell r="E34">
            <v>0</v>
          </cell>
          <cell r="F34">
            <v>0.57999999999999996</v>
          </cell>
          <cell r="G34">
            <v>0.15</v>
          </cell>
          <cell r="H34">
            <v>0.09</v>
          </cell>
          <cell r="I34">
            <v>0.38</v>
          </cell>
          <cell r="J34">
            <v>0.22</v>
          </cell>
          <cell r="K34">
            <v>0.21999990940093994</v>
          </cell>
          <cell r="L34">
            <v>0.21999990940093994</v>
          </cell>
          <cell r="M34">
            <v>0.21999990940093994</v>
          </cell>
          <cell r="N34">
            <v>0.21999990940093994</v>
          </cell>
          <cell r="O34">
            <v>0.21999990940093994</v>
          </cell>
        </row>
        <row r="35">
          <cell r="E35">
            <v>0.21999990940093994</v>
          </cell>
          <cell r="F35">
            <v>0.21999990940093994</v>
          </cell>
          <cell r="G35">
            <v>0.21999990940093994</v>
          </cell>
          <cell r="H35">
            <v>0.21999990940093994</v>
          </cell>
          <cell r="I35">
            <v>0.21999990940093994</v>
          </cell>
          <cell r="J35">
            <v>0.21999990940093994</v>
          </cell>
          <cell r="K35">
            <v>0.21999990940093994</v>
          </cell>
          <cell r="L35">
            <v>0.21999990940093994</v>
          </cell>
          <cell r="M35">
            <v>0.21999990940093994</v>
          </cell>
          <cell r="N35">
            <v>0.21999990940093994</v>
          </cell>
          <cell r="O35">
            <v>0.21999990940093994</v>
          </cell>
        </row>
        <row r="36">
          <cell r="E36">
            <v>0.21999990940093994</v>
          </cell>
          <cell r="F36">
            <v>0.21999990940093994</v>
          </cell>
          <cell r="G36">
            <v>0.21999990940093994</v>
          </cell>
          <cell r="H36">
            <v>0.21999990940093994</v>
          </cell>
          <cell r="I36">
            <v>1.5</v>
          </cell>
          <cell r="J36">
            <v>1.5</v>
          </cell>
          <cell r="K36">
            <v>1.5</v>
          </cell>
          <cell r="L36">
            <v>1.5</v>
          </cell>
          <cell r="M36">
            <v>7</v>
          </cell>
          <cell r="N36">
            <v>0.6</v>
          </cell>
          <cell r="O36">
            <v>0.59999990463256836</v>
          </cell>
        </row>
        <row r="37">
          <cell r="E37">
            <v>0.59999990463256836</v>
          </cell>
          <cell r="F37">
            <v>0.59999990463256836</v>
          </cell>
          <cell r="G37">
            <v>0.59999990463256836</v>
          </cell>
          <cell r="H37">
            <v>0.59999990463256836</v>
          </cell>
          <cell r="I37">
            <v>0.59999990463256836</v>
          </cell>
          <cell r="J37">
            <v>0.59999990463256836</v>
          </cell>
          <cell r="K37">
            <v>0.59999990463256836</v>
          </cell>
          <cell r="L37">
            <v>0.59999990463256836</v>
          </cell>
          <cell r="M37">
            <v>0.59999990463256836</v>
          </cell>
          <cell r="N37">
            <v>0.59999990463256836</v>
          </cell>
          <cell r="O37">
            <v>0.59999990463256836</v>
          </cell>
        </row>
        <row r="38">
          <cell r="E38">
            <v>0.59999990463256836</v>
          </cell>
          <cell r="F38">
            <v>0.59999990463256836</v>
          </cell>
          <cell r="G38">
            <v>0.59999990463256836</v>
          </cell>
          <cell r="H38">
            <v>0.59999990463256836</v>
          </cell>
          <cell r="I38">
            <v>0.59999990463256836</v>
          </cell>
          <cell r="J38">
            <v>0.59999990463256836</v>
          </cell>
          <cell r="K38">
            <v>0.59999990463256836</v>
          </cell>
          <cell r="L38">
            <v>0.59999990463256836</v>
          </cell>
          <cell r="M38">
            <v>0.59999990463256836</v>
          </cell>
          <cell r="N38">
            <v>0.59999990463256836</v>
          </cell>
          <cell r="O38">
            <v>0.59999990463256836</v>
          </cell>
        </row>
        <row r="39">
          <cell r="E39">
            <v>0.59999990463256836</v>
          </cell>
          <cell r="F39">
            <v>0.59999990463256836</v>
          </cell>
          <cell r="G39">
            <v>0.59999990463256836</v>
          </cell>
          <cell r="H39">
            <v>0.59999990463256836</v>
          </cell>
          <cell r="I39">
            <v>0.59999990463256836</v>
          </cell>
          <cell r="J39">
            <v>0.59999990463256836</v>
          </cell>
          <cell r="K39">
            <v>0.59999990463256836</v>
          </cell>
          <cell r="L39">
            <v>0.59999990463256836</v>
          </cell>
          <cell r="M39">
            <v>0.59999990463256836</v>
          </cell>
          <cell r="N39">
            <v>0.59999990463256836</v>
          </cell>
          <cell r="O39">
            <v>0.59999990463256836</v>
          </cell>
        </row>
        <row r="40">
          <cell r="E40">
            <v>0.59999990463256836</v>
          </cell>
          <cell r="F40">
            <v>0.59999990463256836</v>
          </cell>
          <cell r="G40">
            <v>0.59999990463256836</v>
          </cell>
          <cell r="H40">
            <v>0.59999990463256836</v>
          </cell>
          <cell r="I40">
            <v>0.59999990463256836</v>
          </cell>
          <cell r="J40">
            <v>0.59999990463256836</v>
          </cell>
          <cell r="K40">
            <v>0.59999990463256836</v>
          </cell>
          <cell r="L40">
            <v>0.59999990463256836</v>
          </cell>
          <cell r="M40">
            <v>0.59999990463256836</v>
          </cell>
          <cell r="N40">
            <v>0.59999990463256836</v>
          </cell>
          <cell r="O40">
            <v>0.59999990463256836</v>
          </cell>
        </row>
        <row r="41">
          <cell r="E41">
            <v>0.59999990463256836</v>
          </cell>
          <cell r="F41">
            <v>0.59999990463256836</v>
          </cell>
          <cell r="G41">
            <v>0.59999990463256836</v>
          </cell>
          <cell r="H41">
            <v>0.59999990463256836</v>
          </cell>
          <cell r="I41">
            <v>0.59999990463256836</v>
          </cell>
          <cell r="J41">
            <v>0.59999990463256836</v>
          </cell>
          <cell r="K41">
            <v>0.59999990463256836</v>
          </cell>
          <cell r="L41">
            <v>0.59999990463256836</v>
          </cell>
          <cell r="M41">
            <v>0.59999990463256836</v>
          </cell>
          <cell r="N41">
            <v>0.59999990463256836</v>
          </cell>
          <cell r="O41">
            <v>0.59999990463256836</v>
          </cell>
        </row>
        <row r="42">
          <cell r="E42">
            <v>0.59999990463256836</v>
          </cell>
          <cell r="F42">
            <v>0.59999990463256836</v>
          </cell>
          <cell r="G42">
            <v>0.59999990463256836</v>
          </cell>
          <cell r="H42">
            <v>0.59999990463256836</v>
          </cell>
          <cell r="I42">
            <v>0.59999990463256836</v>
          </cell>
          <cell r="J42">
            <v>0.59999990463256836</v>
          </cell>
          <cell r="K42">
            <v>2.4</v>
          </cell>
          <cell r="L42">
            <v>2.3999996185302734</v>
          </cell>
          <cell r="M42">
            <v>2.3999996185302734</v>
          </cell>
          <cell r="N42">
            <v>2.3999996185302734</v>
          </cell>
          <cell r="O42">
            <v>2.3999996185302734</v>
          </cell>
        </row>
        <row r="43">
          <cell r="E43">
            <v>2.3999996185302734</v>
          </cell>
          <cell r="F43">
            <v>2.3999996185302734</v>
          </cell>
          <cell r="G43">
            <v>2.3999996185302734</v>
          </cell>
          <cell r="H43">
            <v>2.3999996185302734</v>
          </cell>
          <cell r="I43">
            <v>2.3999996185302734</v>
          </cell>
          <cell r="J43">
            <v>2.3999996185302734</v>
          </cell>
          <cell r="K43">
            <v>2.3999996185302734</v>
          </cell>
          <cell r="L43">
            <v>2.3999996185302734</v>
          </cell>
          <cell r="M43">
            <v>2.3999996185302734</v>
          </cell>
          <cell r="N43">
            <v>2.3999996185302734</v>
          </cell>
          <cell r="O43">
            <v>2.3999996185302734</v>
          </cell>
        </row>
        <row r="44">
          <cell r="E44">
            <v>2.3999996185302734</v>
          </cell>
          <cell r="F44">
            <v>2.3999996185302734</v>
          </cell>
          <cell r="G44">
            <v>2.3999996185302734</v>
          </cell>
          <cell r="H44">
            <v>2.3999996185302734</v>
          </cell>
          <cell r="I44">
            <v>2.3999996185302734</v>
          </cell>
          <cell r="J44">
            <v>2.3999996185302734</v>
          </cell>
          <cell r="K44">
            <v>2.3999996185302734</v>
          </cell>
          <cell r="L44">
            <v>2.3999996185302734</v>
          </cell>
          <cell r="M44">
            <v>2.3999996185302734</v>
          </cell>
          <cell r="N44">
            <v>2.3999996185302734</v>
          </cell>
          <cell r="O44">
            <v>2.3999996185302734</v>
          </cell>
        </row>
        <row r="45">
          <cell r="E45">
            <v>2.3999996185302734</v>
          </cell>
          <cell r="F45">
            <v>2.3999996185302734</v>
          </cell>
          <cell r="G45">
            <v>2.3999996185302734</v>
          </cell>
          <cell r="H45">
            <v>2.3999996185302734</v>
          </cell>
          <cell r="I45">
            <v>0.14000000000000001</v>
          </cell>
          <cell r="J45">
            <v>0.13999998569488525</v>
          </cell>
          <cell r="K45">
            <v>0.13999998569488525</v>
          </cell>
          <cell r="L45">
            <v>0.13999998569488525</v>
          </cell>
          <cell r="M45">
            <v>0.13999998569488525</v>
          </cell>
          <cell r="N45">
            <v>0.13999998569488525</v>
          </cell>
          <cell r="O45">
            <v>0.13999998569488525</v>
          </cell>
        </row>
        <row r="46">
          <cell r="E46">
            <v>0.13999998569488525</v>
          </cell>
          <cell r="F46">
            <v>0.13999998569488525</v>
          </cell>
          <cell r="G46">
            <v>0.13999998569488525</v>
          </cell>
          <cell r="H46">
            <v>0.13999998569488525</v>
          </cell>
          <cell r="I46">
            <v>0.13999998569488525</v>
          </cell>
          <cell r="J46">
            <v>0.13999998569488525</v>
          </cell>
          <cell r="K46">
            <v>0.13999998569488525</v>
          </cell>
          <cell r="L46">
            <v>0.13999998569488525</v>
          </cell>
          <cell r="M46">
            <v>0.13999998569488525</v>
          </cell>
          <cell r="N46">
            <v>0.13999998569488525</v>
          </cell>
          <cell r="O46">
            <v>0.13999998569488525</v>
          </cell>
        </row>
        <row r="47">
          <cell r="E47">
            <v>0.13999998569488525</v>
          </cell>
          <cell r="F47">
            <v>1.6</v>
          </cell>
          <cell r="G47">
            <v>1.5999994277954102</v>
          </cell>
          <cell r="H47">
            <v>1.5999994277954102</v>
          </cell>
          <cell r="I47">
            <v>0.2</v>
          </cell>
          <cell r="J47">
            <v>0.19999992847442627</v>
          </cell>
          <cell r="K47">
            <v>0.19999992847442627</v>
          </cell>
          <cell r="L47">
            <v>0.19999992847442627</v>
          </cell>
          <cell r="M47">
            <v>0.19999992847442627</v>
          </cell>
          <cell r="N47">
            <v>0.19999992847442627</v>
          </cell>
          <cell r="O47">
            <v>0.19999992847442627</v>
          </cell>
        </row>
        <row r="48">
          <cell r="E48">
            <v>0.19999992847442627</v>
          </cell>
          <cell r="F48">
            <v>0.19999992847442627</v>
          </cell>
          <cell r="G48">
            <v>0.19999992847442627</v>
          </cell>
          <cell r="H48">
            <v>0.19999992847442627</v>
          </cell>
          <cell r="I48">
            <v>0.19999992847442627</v>
          </cell>
          <cell r="J48">
            <v>0.19999992847442627</v>
          </cell>
          <cell r="K48">
            <v>0.19999992847442627</v>
          </cell>
          <cell r="L48">
            <v>0.19999992847442627</v>
          </cell>
          <cell r="M48">
            <v>0.19999992847442627</v>
          </cell>
          <cell r="N48">
            <v>0.19999992847442627</v>
          </cell>
          <cell r="O48">
            <v>0.19999992847442627</v>
          </cell>
        </row>
        <row r="49">
          <cell r="E49">
            <v>0.19999992847442627</v>
          </cell>
          <cell r="F49">
            <v>7.0000000000000007E-2</v>
          </cell>
          <cell r="G49">
            <v>6.9999992847442627E-2</v>
          </cell>
          <cell r="H49">
            <v>0.01</v>
          </cell>
          <cell r="I49">
            <v>0.1</v>
          </cell>
          <cell r="J49">
            <v>0.05</v>
          </cell>
          <cell r="K49">
            <v>0.32</v>
          </cell>
          <cell r="L49">
            <v>0.31999993324279785</v>
          </cell>
          <cell r="M49">
            <v>0.5</v>
          </cell>
          <cell r="N49">
            <v>0.5</v>
          </cell>
          <cell r="O49">
            <v>0.5</v>
          </cell>
        </row>
        <row r="50">
          <cell r="E50">
            <v>3.2</v>
          </cell>
          <cell r="F50">
            <v>3.1999988555908203</v>
          </cell>
          <cell r="G50">
            <v>3.1999988555908203</v>
          </cell>
          <cell r="H50">
            <v>3.1999988555908203</v>
          </cell>
          <cell r="I50">
            <v>3.1999988555908203</v>
          </cell>
          <cell r="J50">
            <v>3.1999988555908203</v>
          </cell>
          <cell r="K50">
            <v>3.1999988555908203</v>
          </cell>
          <cell r="L50">
            <v>3.1999988555908203</v>
          </cell>
          <cell r="M50">
            <v>3.1999988555908203</v>
          </cell>
          <cell r="N50">
            <v>3.1999988555908203</v>
          </cell>
          <cell r="O50">
            <v>3.1999988555908203</v>
          </cell>
        </row>
        <row r="51">
          <cell r="E51">
            <v>1.5</v>
          </cell>
          <cell r="F51">
            <v>0.1</v>
          </cell>
          <cell r="G51">
            <v>0.2</v>
          </cell>
          <cell r="H51">
            <v>0.19999992847442627</v>
          </cell>
          <cell r="I51">
            <v>0.08</v>
          </cell>
          <cell r="J51">
            <v>7.9999983310699463E-2</v>
          </cell>
          <cell r="K51">
            <v>7.9999983310699463E-2</v>
          </cell>
          <cell r="L51">
            <v>7.0000000000000007E-2</v>
          </cell>
          <cell r="M51">
            <v>0.2</v>
          </cell>
          <cell r="N51">
            <v>0.31</v>
          </cell>
          <cell r="O51">
            <v>0.30999994277954102</v>
          </cell>
        </row>
        <row r="52">
          <cell r="E52">
            <v>0.30999994277954102</v>
          </cell>
          <cell r="F52">
            <v>0.30999994277954102</v>
          </cell>
          <cell r="G52">
            <v>0.30999994277954102</v>
          </cell>
          <cell r="H52">
            <v>0.30999994277954102</v>
          </cell>
          <cell r="I52">
            <v>0.30999994277954102</v>
          </cell>
          <cell r="J52">
            <v>0.30999994277954102</v>
          </cell>
          <cell r="K52">
            <v>0.30999994277954102</v>
          </cell>
          <cell r="L52">
            <v>0.30999994277954102</v>
          </cell>
          <cell r="M52">
            <v>0.30999994277954102</v>
          </cell>
          <cell r="N52">
            <v>0.30999994277954102</v>
          </cell>
          <cell r="O52">
            <v>0.30999994277954102</v>
          </cell>
        </row>
        <row r="53">
          <cell r="E53">
            <v>0.30999994277954102</v>
          </cell>
          <cell r="F53">
            <v>0.30999994277954102</v>
          </cell>
          <cell r="G53">
            <v>0.30999994277954102</v>
          </cell>
          <cell r="H53">
            <v>0.30999994277954102</v>
          </cell>
          <cell r="I53">
            <v>0.30999994277954102</v>
          </cell>
          <cell r="J53">
            <v>0.30999994277954102</v>
          </cell>
          <cell r="K53">
            <v>0.30999994277954102</v>
          </cell>
          <cell r="L53">
            <v>0.30999994277954102</v>
          </cell>
          <cell r="M53">
            <v>0.30999994277954102</v>
          </cell>
          <cell r="N53">
            <v>0.30999994277954102</v>
          </cell>
          <cell r="O53">
            <v>0.30999994277954102</v>
          </cell>
        </row>
        <row r="54">
          <cell r="E54">
            <v>0.30999994277954102</v>
          </cell>
          <cell r="F54">
            <v>0.30999994277954102</v>
          </cell>
          <cell r="G54">
            <v>0.30999994277954102</v>
          </cell>
          <cell r="H54">
            <v>0.30999994277954102</v>
          </cell>
          <cell r="I54">
            <v>0.30999994277954102</v>
          </cell>
          <cell r="J54">
            <v>0.30999994277954102</v>
          </cell>
          <cell r="K54">
            <v>0.30999994277954102</v>
          </cell>
          <cell r="L54">
            <v>0.30999994277954102</v>
          </cell>
          <cell r="M54">
            <v>0.30999994277954102</v>
          </cell>
          <cell r="N54">
            <v>0.30999994277954102</v>
          </cell>
          <cell r="O54">
            <v>0.30999994277954102</v>
          </cell>
        </row>
        <row r="55">
          <cell r="E55">
            <v>1.6</v>
          </cell>
          <cell r="F55">
            <v>0.5</v>
          </cell>
          <cell r="G55">
            <v>3.5</v>
          </cell>
          <cell r="H55">
            <v>1.45</v>
          </cell>
          <cell r="I55">
            <v>1.4499998092651367</v>
          </cell>
          <cell r="J55">
            <v>5</v>
          </cell>
          <cell r="K55">
            <v>4</v>
          </cell>
          <cell r="L55">
            <v>0.12</v>
          </cell>
          <cell r="M55">
            <v>0.11999994516372681</v>
          </cell>
          <cell r="N55">
            <v>0.69</v>
          </cell>
          <cell r="O55">
            <v>0.68999958038330078</v>
          </cell>
        </row>
        <row r="56">
          <cell r="E56">
            <v>0.68999958038330078</v>
          </cell>
          <cell r="F56">
            <v>0.68999958038330078</v>
          </cell>
          <cell r="G56">
            <v>0.68999958038330078</v>
          </cell>
          <cell r="H56">
            <v>0.68999958038330078</v>
          </cell>
          <cell r="I56">
            <v>0.68999958038330078</v>
          </cell>
          <cell r="J56">
            <v>0.68999958038330078</v>
          </cell>
          <cell r="K56">
            <v>0.68999958038330078</v>
          </cell>
          <cell r="L56">
            <v>0.68999958038330078</v>
          </cell>
          <cell r="M56">
            <v>0.68999958038330078</v>
          </cell>
          <cell r="N56">
            <v>0.68999958038330078</v>
          </cell>
          <cell r="O56">
            <v>0.68999958038330078</v>
          </cell>
        </row>
        <row r="57">
          <cell r="E57">
            <v>0.68999958038330078</v>
          </cell>
          <cell r="F57">
            <v>0.68999958038330078</v>
          </cell>
          <cell r="G57">
            <v>0.68999958038330078</v>
          </cell>
          <cell r="H57">
            <v>0.68999958038330078</v>
          </cell>
          <cell r="I57">
            <v>0.68999958038330078</v>
          </cell>
          <cell r="J57">
            <v>0.68999958038330078</v>
          </cell>
          <cell r="K57">
            <v>0.68999958038330078</v>
          </cell>
          <cell r="L57">
            <v>0.68999958038330078</v>
          </cell>
          <cell r="M57">
            <v>0.68999958038330078</v>
          </cell>
          <cell r="N57">
            <v>0.68999958038330078</v>
          </cell>
          <cell r="O57">
            <v>0.68999958038330078</v>
          </cell>
        </row>
        <row r="58">
          <cell r="E58">
            <v>0.68999958038330078</v>
          </cell>
          <cell r="F58">
            <v>0.68999958038330078</v>
          </cell>
          <cell r="G58">
            <v>6.25</v>
          </cell>
          <cell r="H58">
            <v>23.52</v>
          </cell>
          <cell r="I58">
            <v>23.519989013671875</v>
          </cell>
          <cell r="J58">
            <v>23.519989013671875</v>
          </cell>
          <cell r="K58">
            <v>23.519989013671875</v>
          </cell>
          <cell r="L58">
            <v>10</v>
          </cell>
          <cell r="M58">
            <v>10</v>
          </cell>
          <cell r="N58">
            <v>10</v>
          </cell>
          <cell r="O58">
            <v>50.5</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2"/>
  <sheetViews>
    <sheetView topLeftCell="A7" zoomScale="86" zoomScaleNormal="86" workbookViewId="0">
      <pane xSplit="5" ySplit="1" topLeftCell="I269" activePane="bottomRight" state="frozen"/>
      <selection activeCell="A7" sqref="A7"/>
      <selection pane="topRight" activeCell="F7" sqref="F7"/>
      <selection pane="bottomLeft" activeCell="A8" sqref="A8"/>
      <selection pane="bottomRight" activeCell="B273" sqref="B273:B274"/>
    </sheetView>
  </sheetViews>
  <sheetFormatPr defaultRowHeight="15.75"/>
  <cols>
    <col min="1" max="1" width="6.85546875" style="375" customWidth="1"/>
    <col min="2" max="2" width="44.85546875" style="460" customWidth="1"/>
    <col min="3" max="3" width="7.140625" style="461" hidden="1" customWidth="1"/>
    <col min="4" max="4" width="7" style="461" customWidth="1"/>
    <col min="5" max="5" width="11.7109375" style="463" customWidth="1"/>
    <col min="6" max="6" width="10.7109375" style="463" customWidth="1"/>
    <col min="7" max="7" width="9.28515625" style="463" customWidth="1"/>
    <col min="8" max="8" width="7.5703125" style="463" customWidth="1"/>
    <col min="9" max="9" width="6.28515625" style="463" customWidth="1"/>
    <col min="10" max="10" width="10.5703125" style="861" customWidth="1"/>
    <col min="11" max="11" width="10.140625" style="463" customWidth="1"/>
    <col min="12" max="12" width="7" style="463" customWidth="1"/>
    <col min="13" max="14" width="7.85546875" style="463" customWidth="1"/>
    <col min="15" max="15" width="6.28515625" style="463" customWidth="1"/>
    <col min="16" max="16" width="6" style="463" customWidth="1"/>
    <col min="17" max="17" width="5.85546875" style="463" customWidth="1"/>
    <col min="18" max="18" width="6.140625" style="463" customWidth="1"/>
    <col min="19" max="22" width="6" style="463" customWidth="1"/>
    <col min="23" max="23" width="5.85546875" style="463" customWidth="1"/>
    <col min="24" max="24" width="6" style="463" customWidth="1"/>
    <col min="25" max="26" width="7.140625" style="463" customWidth="1"/>
    <col min="27" max="27" width="17.7109375" style="463" customWidth="1"/>
    <col min="28" max="259" width="9.140625" style="463"/>
    <col min="260" max="260" width="8" style="463" bestFit="1" customWidth="1"/>
    <col min="261" max="261" width="65.5703125" style="463" customWidth="1"/>
    <col min="262" max="262" width="7.140625" style="463" customWidth="1"/>
    <col min="263" max="263" width="7" style="463" customWidth="1"/>
    <col min="264" max="264" width="12.7109375" style="463" customWidth="1"/>
    <col min="265" max="265" width="10" style="463" customWidth="1"/>
    <col min="266" max="266" width="11.85546875" style="463" customWidth="1"/>
    <col min="267" max="267" width="6.85546875" style="463" customWidth="1"/>
    <col min="268" max="268" width="7.42578125" style="463" customWidth="1"/>
    <col min="269" max="269" width="9.42578125" style="463" customWidth="1"/>
    <col min="270" max="270" width="7.140625" style="463" customWidth="1"/>
    <col min="271" max="271" width="9.42578125" style="463" customWidth="1"/>
    <col min="272" max="272" width="6.7109375" style="463" customWidth="1"/>
    <col min="273" max="273" width="8" style="463" customWidth="1"/>
    <col min="274" max="274" width="8.28515625" style="463" customWidth="1"/>
    <col min="275" max="275" width="7" style="463" customWidth="1"/>
    <col min="276" max="276" width="6.7109375" style="463" customWidth="1"/>
    <col min="277" max="277" width="7.28515625" style="463" customWidth="1"/>
    <col min="278" max="278" width="7.5703125" style="463" customWidth="1"/>
    <col min="279" max="279" width="7.140625" style="463" customWidth="1"/>
    <col min="280" max="280" width="7.7109375" style="463" customWidth="1"/>
    <col min="281" max="281" width="7.42578125" style="463" customWidth="1"/>
    <col min="282" max="282" width="7.7109375" style="463" customWidth="1"/>
    <col min="283" max="283" width="17.85546875" style="463" customWidth="1"/>
    <col min="284" max="515" width="9.140625" style="463"/>
    <col min="516" max="516" width="8" style="463" bestFit="1" customWidth="1"/>
    <col min="517" max="517" width="65.5703125" style="463" customWidth="1"/>
    <col min="518" max="518" width="7.140625" style="463" customWidth="1"/>
    <col min="519" max="519" width="7" style="463" customWidth="1"/>
    <col min="520" max="520" width="12.7109375" style="463" customWidth="1"/>
    <col min="521" max="521" width="10" style="463" customWidth="1"/>
    <col min="522" max="522" width="11.85546875" style="463" customWidth="1"/>
    <col min="523" max="523" width="6.85546875" style="463" customWidth="1"/>
    <col min="524" max="524" width="7.42578125" style="463" customWidth="1"/>
    <col min="525" max="525" width="9.42578125" style="463" customWidth="1"/>
    <col min="526" max="526" width="7.140625" style="463" customWidth="1"/>
    <col min="527" max="527" width="9.42578125" style="463" customWidth="1"/>
    <col min="528" max="528" width="6.7109375" style="463" customWidth="1"/>
    <col min="529" max="529" width="8" style="463" customWidth="1"/>
    <col min="530" max="530" width="8.28515625" style="463" customWidth="1"/>
    <col min="531" max="531" width="7" style="463" customWidth="1"/>
    <col min="532" max="532" width="6.7109375" style="463" customWidth="1"/>
    <col min="533" max="533" width="7.28515625" style="463" customWidth="1"/>
    <col min="534" max="534" width="7.5703125" style="463" customWidth="1"/>
    <col min="535" max="535" width="7.140625" style="463" customWidth="1"/>
    <col min="536" max="536" width="7.7109375" style="463" customWidth="1"/>
    <col min="537" max="537" width="7.42578125" style="463" customWidth="1"/>
    <col min="538" max="538" width="7.7109375" style="463" customWidth="1"/>
    <col min="539" max="539" width="17.85546875" style="463" customWidth="1"/>
    <col min="540" max="771" width="9.140625" style="463"/>
    <col min="772" max="772" width="8" style="463" bestFit="1" customWidth="1"/>
    <col min="773" max="773" width="65.5703125" style="463" customWidth="1"/>
    <col min="774" max="774" width="7.140625" style="463" customWidth="1"/>
    <col min="775" max="775" width="7" style="463" customWidth="1"/>
    <col min="776" max="776" width="12.7109375" style="463" customWidth="1"/>
    <col min="777" max="777" width="10" style="463" customWidth="1"/>
    <col min="778" max="778" width="11.85546875" style="463" customWidth="1"/>
    <col min="779" max="779" width="6.85546875" style="463" customWidth="1"/>
    <col min="780" max="780" width="7.42578125" style="463" customWidth="1"/>
    <col min="781" max="781" width="9.42578125" style="463" customWidth="1"/>
    <col min="782" max="782" width="7.140625" style="463" customWidth="1"/>
    <col min="783" max="783" width="9.42578125" style="463" customWidth="1"/>
    <col min="784" max="784" width="6.7109375" style="463" customWidth="1"/>
    <col min="785" max="785" width="8" style="463" customWidth="1"/>
    <col min="786" max="786" width="8.28515625" style="463" customWidth="1"/>
    <col min="787" max="787" width="7" style="463" customWidth="1"/>
    <col min="788" max="788" width="6.7109375" style="463" customWidth="1"/>
    <col min="789" max="789" width="7.28515625" style="463" customWidth="1"/>
    <col min="790" max="790" width="7.5703125" style="463" customWidth="1"/>
    <col min="791" max="791" width="7.140625" style="463" customWidth="1"/>
    <col min="792" max="792" width="7.7109375" style="463" customWidth="1"/>
    <col min="793" max="793" width="7.42578125" style="463" customWidth="1"/>
    <col min="794" max="794" width="7.7109375" style="463" customWidth="1"/>
    <col min="795" max="795" width="17.85546875" style="463" customWidth="1"/>
    <col min="796" max="1027" width="9.140625" style="463"/>
    <col min="1028" max="1028" width="8" style="463" bestFit="1" customWidth="1"/>
    <col min="1029" max="1029" width="65.5703125" style="463" customWidth="1"/>
    <col min="1030" max="1030" width="7.140625" style="463" customWidth="1"/>
    <col min="1031" max="1031" width="7" style="463" customWidth="1"/>
    <col min="1032" max="1032" width="12.7109375" style="463" customWidth="1"/>
    <col min="1033" max="1033" width="10" style="463" customWidth="1"/>
    <col min="1034" max="1034" width="11.85546875" style="463" customWidth="1"/>
    <col min="1035" max="1035" width="6.85546875" style="463" customWidth="1"/>
    <col min="1036" max="1036" width="7.42578125" style="463" customWidth="1"/>
    <col min="1037" max="1037" width="9.42578125" style="463" customWidth="1"/>
    <col min="1038" max="1038" width="7.140625" style="463" customWidth="1"/>
    <col min="1039" max="1039" width="9.42578125" style="463" customWidth="1"/>
    <col min="1040" max="1040" width="6.7109375" style="463" customWidth="1"/>
    <col min="1041" max="1041" width="8" style="463" customWidth="1"/>
    <col min="1042" max="1042" width="8.28515625" style="463" customWidth="1"/>
    <col min="1043" max="1043" width="7" style="463" customWidth="1"/>
    <col min="1044" max="1044" width="6.7109375" style="463" customWidth="1"/>
    <col min="1045" max="1045" width="7.28515625" style="463" customWidth="1"/>
    <col min="1046" max="1046" width="7.5703125" style="463" customWidth="1"/>
    <col min="1047" max="1047" width="7.140625" style="463" customWidth="1"/>
    <col min="1048" max="1048" width="7.7109375" style="463" customWidth="1"/>
    <col min="1049" max="1049" width="7.42578125" style="463" customWidth="1"/>
    <col min="1050" max="1050" width="7.7109375" style="463" customWidth="1"/>
    <col min="1051" max="1051" width="17.85546875" style="463" customWidth="1"/>
    <col min="1052" max="1283" width="9.140625" style="463"/>
    <col min="1284" max="1284" width="8" style="463" bestFit="1" customWidth="1"/>
    <col min="1285" max="1285" width="65.5703125" style="463" customWidth="1"/>
    <col min="1286" max="1286" width="7.140625" style="463" customWidth="1"/>
    <col min="1287" max="1287" width="7" style="463" customWidth="1"/>
    <col min="1288" max="1288" width="12.7109375" style="463" customWidth="1"/>
    <col min="1289" max="1289" width="10" style="463" customWidth="1"/>
    <col min="1290" max="1290" width="11.85546875" style="463" customWidth="1"/>
    <col min="1291" max="1291" width="6.85546875" style="463" customWidth="1"/>
    <col min="1292" max="1292" width="7.42578125" style="463" customWidth="1"/>
    <col min="1293" max="1293" width="9.42578125" style="463" customWidth="1"/>
    <col min="1294" max="1294" width="7.140625" style="463" customWidth="1"/>
    <col min="1295" max="1295" width="9.42578125" style="463" customWidth="1"/>
    <col min="1296" max="1296" width="6.7109375" style="463" customWidth="1"/>
    <col min="1297" max="1297" width="8" style="463" customWidth="1"/>
    <col min="1298" max="1298" width="8.28515625" style="463" customWidth="1"/>
    <col min="1299" max="1299" width="7" style="463" customWidth="1"/>
    <col min="1300" max="1300" width="6.7109375" style="463" customWidth="1"/>
    <col min="1301" max="1301" width="7.28515625" style="463" customWidth="1"/>
    <col min="1302" max="1302" width="7.5703125" style="463" customWidth="1"/>
    <col min="1303" max="1303" width="7.140625" style="463" customWidth="1"/>
    <col min="1304" max="1304" width="7.7109375" style="463" customWidth="1"/>
    <col min="1305" max="1305" width="7.42578125" style="463" customWidth="1"/>
    <col min="1306" max="1306" width="7.7109375" style="463" customWidth="1"/>
    <col min="1307" max="1307" width="17.85546875" style="463" customWidth="1"/>
    <col min="1308" max="1539" width="9.140625" style="463"/>
    <col min="1540" max="1540" width="8" style="463" bestFit="1" customWidth="1"/>
    <col min="1541" max="1541" width="65.5703125" style="463" customWidth="1"/>
    <col min="1542" max="1542" width="7.140625" style="463" customWidth="1"/>
    <col min="1543" max="1543" width="7" style="463" customWidth="1"/>
    <col min="1544" max="1544" width="12.7109375" style="463" customWidth="1"/>
    <col min="1545" max="1545" width="10" style="463" customWidth="1"/>
    <col min="1546" max="1546" width="11.85546875" style="463" customWidth="1"/>
    <col min="1547" max="1547" width="6.85546875" style="463" customWidth="1"/>
    <col min="1548" max="1548" width="7.42578125" style="463" customWidth="1"/>
    <col min="1549" max="1549" width="9.42578125" style="463" customWidth="1"/>
    <col min="1550" max="1550" width="7.140625" style="463" customWidth="1"/>
    <col min="1551" max="1551" width="9.42578125" style="463" customWidth="1"/>
    <col min="1552" max="1552" width="6.7109375" style="463" customWidth="1"/>
    <col min="1553" max="1553" width="8" style="463" customWidth="1"/>
    <col min="1554" max="1554" width="8.28515625" style="463" customWidth="1"/>
    <col min="1555" max="1555" width="7" style="463" customWidth="1"/>
    <col min="1556" max="1556" width="6.7109375" style="463" customWidth="1"/>
    <col min="1557" max="1557" width="7.28515625" style="463" customWidth="1"/>
    <col min="1558" max="1558" width="7.5703125" style="463" customWidth="1"/>
    <col min="1559" max="1559" width="7.140625" style="463" customWidth="1"/>
    <col min="1560" max="1560" width="7.7109375" style="463" customWidth="1"/>
    <col min="1561" max="1561" width="7.42578125" style="463" customWidth="1"/>
    <col min="1562" max="1562" width="7.7109375" style="463" customWidth="1"/>
    <col min="1563" max="1563" width="17.85546875" style="463" customWidth="1"/>
    <col min="1564" max="1795" width="9.140625" style="463"/>
    <col min="1796" max="1796" width="8" style="463" bestFit="1" customWidth="1"/>
    <col min="1797" max="1797" width="65.5703125" style="463" customWidth="1"/>
    <col min="1798" max="1798" width="7.140625" style="463" customWidth="1"/>
    <col min="1799" max="1799" width="7" style="463" customWidth="1"/>
    <col min="1800" max="1800" width="12.7109375" style="463" customWidth="1"/>
    <col min="1801" max="1801" width="10" style="463" customWidth="1"/>
    <col min="1802" max="1802" width="11.85546875" style="463" customWidth="1"/>
    <col min="1803" max="1803" width="6.85546875" style="463" customWidth="1"/>
    <col min="1804" max="1804" width="7.42578125" style="463" customWidth="1"/>
    <col min="1805" max="1805" width="9.42578125" style="463" customWidth="1"/>
    <col min="1806" max="1806" width="7.140625" style="463" customWidth="1"/>
    <col min="1807" max="1807" width="9.42578125" style="463" customWidth="1"/>
    <col min="1808" max="1808" width="6.7109375" style="463" customWidth="1"/>
    <col min="1809" max="1809" width="8" style="463" customWidth="1"/>
    <col min="1810" max="1810" width="8.28515625" style="463" customWidth="1"/>
    <col min="1811" max="1811" width="7" style="463" customWidth="1"/>
    <col min="1812" max="1812" width="6.7109375" style="463" customWidth="1"/>
    <col min="1813" max="1813" width="7.28515625" style="463" customWidth="1"/>
    <col min="1814" max="1814" width="7.5703125" style="463" customWidth="1"/>
    <col min="1815" max="1815" width="7.140625" style="463" customWidth="1"/>
    <col min="1816" max="1816" width="7.7109375" style="463" customWidth="1"/>
    <col min="1817" max="1817" width="7.42578125" style="463" customWidth="1"/>
    <col min="1818" max="1818" width="7.7109375" style="463" customWidth="1"/>
    <col min="1819" max="1819" width="17.85546875" style="463" customWidth="1"/>
    <col min="1820" max="2051" width="9.140625" style="463"/>
    <col min="2052" max="2052" width="8" style="463" bestFit="1" customWidth="1"/>
    <col min="2053" max="2053" width="65.5703125" style="463" customWidth="1"/>
    <col min="2054" max="2054" width="7.140625" style="463" customWidth="1"/>
    <col min="2055" max="2055" width="7" style="463" customWidth="1"/>
    <col min="2056" max="2056" width="12.7109375" style="463" customWidth="1"/>
    <col min="2057" max="2057" width="10" style="463" customWidth="1"/>
    <col min="2058" max="2058" width="11.85546875" style="463" customWidth="1"/>
    <col min="2059" max="2059" width="6.85546875" style="463" customWidth="1"/>
    <col min="2060" max="2060" width="7.42578125" style="463" customWidth="1"/>
    <col min="2061" max="2061" width="9.42578125" style="463" customWidth="1"/>
    <col min="2062" max="2062" width="7.140625" style="463" customWidth="1"/>
    <col min="2063" max="2063" width="9.42578125" style="463" customWidth="1"/>
    <col min="2064" max="2064" width="6.7109375" style="463" customWidth="1"/>
    <col min="2065" max="2065" width="8" style="463" customWidth="1"/>
    <col min="2066" max="2066" width="8.28515625" style="463" customWidth="1"/>
    <col min="2067" max="2067" width="7" style="463" customWidth="1"/>
    <col min="2068" max="2068" width="6.7109375" style="463" customWidth="1"/>
    <col min="2069" max="2069" width="7.28515625" style="463" customWidth="1"/>
    <col min="2070" max="2070" width="7.5703125" style="463" customWidth="1"/>
    <col min="2071" max="2071" width="7.140625" style="463" customWidth="1"/>
    <col min="2072" max="2072" width="7.7109375" style="463" customWidth="1"/>
    <col min="2073" max="2073" width="7.42578125" style="463" customWidth="1"/>
    <col min="2074" max="2074" width="7.7109375" style="463" customWidth="1"/>
    <col min="2075" max="2075" width="17.85546875" style="463" customWidth="1"/>
    <col min="2076" max="2307" width="9.140625" style="463"/>
    <col min="2308" max="2308" width="8" style="463" bestFit="1" customWidth="1"/>
    <col min="2309" max="2309" width="65.5703125" style="463" customWidth="1"/>
    <col min="2310" max="2310" width="7.140625" style="463" customWidth="1"/>
    <col min="2311" max="2311" width="7" style="463" customWidth="1"/>
    <col min="2312" max="2312" width="12.7109375" style="463" customWidth="1"/>
    <col min="2313" max="2313" width="10" style="463" customWidth="1"/>
    <col min="2314" max="2314" width="11.85546875" style="463" customWidth="1"/>
    <col min="2315" max="2315" width="6.85546875" style="463" customWidth="1"/>
    <col min="2316" max="2316" width="7.42578125" style="463" customWidth="1"/>
    <col min="2317" max="2317" width="9.42578125" style="463" customWidth="1"/>
    <col min="2318" max="2318" width="7.140625" style="463" customWidth="1"/>
    <col min="2319" max="2319" width="9.42578125" style="463" customWidth="1"/>
    <col min="2320" max="2320" width="6.7109375" style="463" customWidth="1"/>
    <col min="2321" max="2321" width="8" style="463" customWidth="1"/>
    <col min="2322" max="2322" width="8.28515625" style="463" customWidth="1"/>
    <col min="2323" max="2323" width="7" style="463" customWidth="1"/>
    <col min="2324" max="2324" width="6.7109375" style="463" customWidth="1"/>
    <col min="2325" max="2325" width="7.28515625" style="463" customWidth="1"/>
    <col min="2326" max="2326" width="7.5703125" style="463" customWidth="1"/>
    <col min="2327" max="2327" width="7.140625" style="463" customWidth="1"/>
    <col min="2328" max="2328" width="7.7109375" style="463" customWidth="1"/>
    <col min="2329" max="2329" width="7.42578125" style="463" customWidth="1"/>
    <col min="2330" max="2330" width="7.7109375" style="463" customWidth="1"/>
    <col min="2331" max="2331" width="17.85546875" style="463" customWidth="1"/>
    <col min="2332" max="2563" width="9.140625" style="463"/>
    <col min="2564" max="2564" width="8" style="463" bestFit="1" customWidth="1"/>
    <col min="2565" max="2565" width="65.5703125" style="463" customWidth="1"/>
    <col min="2566" max="2566" width="7.140625" style="463" customWidth="1"/>
    <col min="2567" max="2567" width="7" style="463" customWidth="1"/>
    <col min="2568" max="2568" width="12.7109375" style="463" customWidth="1"/>
    <col min="2569" max="2569" width="10" style="463" customWidth="1"/>
    <col min="2570" max="2570" width="11.85546875" style="463" customWidth="1"/>
    <col min="2571" max="2571" width="6.85546875" style="463" customWidth="1"/>
    <col min="2572" max="2572" width="7.42578125" style="463" customWidth="1"/>
    <col min="2573" max="2573" width="9.42578125" style="463" customWidth="1"/>
    <col min="2574" max="2574" width="7.140625" style="463" customWidth="1"/>
    <col min="2575" max="2575" width="9.42578125" style="463" customWidth="1"/>
    <col min="2576" max="2576" width="6.7109375" style="463" customWidth="1"/>
    <col min="2577" max="2577" width="8" style="463" customWidth="1"/>
    <col min="2578" max="2578" width="8.28515625" style="463" customWidth="1"/>
    <col min="2579" max="2579" width="7" style="463" customWidth="1"/>
    <col min="2580" max="2580" width="6.7109375" style="463" customWidth="1"/>
    <col min="2581" max="2581" width="7.28515625" style="463" customWidth="1"/>
    <col min="2582" max="2582" width="7.5703125" style="463" customWidth="1"/>
    <col min="2583" max="2583" width="7.140625" style="463" customWidth="1"/>
    <col min="2584" max="2584" width="7.7109375" style="463" customWidth="1"/>
    <col min="2585" max="2585" width="7.42578125" style="463" customWidth="1"/>
    <col min="2586" max="2586" width="7.7109375" style="463" customWidth="1"/>
    <col min="2587" max="2587" width="17.85546875" style="463" customWidth="1"/>
    <col min="2588" max="2819" width="9.140625" style="463"/>
    <col min="2820" max="2820" width="8" style="463" bestFit="1" customWidth="1"/>
    <col min="2821" max="2821" width="65.5703125" style="463" customWidth="1"/>
    <col min="2822" max="2822" width="7.140625" style="463" customWidth="1"/>
    <col min="2823" max="2823" width="7" style="463" customWidth="1"/>
    <col min="2824" max="2824" width="12.7109375" style="463" customWidth="1"/>
    <col min="2825" max="2825" width="10" style="463" customWidth="1"/>
    <col min="2826" max="2826" width="11.85546875" style="463" customWidth="1"/>
    <col min="2827" max="2827" width="6.85546875" style="463" customWidth="1"/>
    <col min="2828" max="2828" width="7.42578125" style="463" customWidth="1"/>
    <col min="2829" max="2829" width="9.42578125" style="463" customWidth="1"/>
    <col min="2830" max="2830" width="7.140625" style="463" customWidth="1"/>
    <col min="2831" max="2831" width="9.42578125" style="463" customWidth="1"/>
    <col min="2832" max="2832" width="6.7109375" style="463" customWidth="1"/>
    <col min="2833" max="2833" width="8" style="463" customWidth="1"/>
    <col min="2834" max="2834" width="8.28515625" style="463" customWidth="1"/>
    <col min="2835" max="2835" width="7" style="463" customWidth="1"/>
    <col min="2836" max="2836" width="6.7109375" style="463" customWidth="1"/>
    <col min="2837" max="2837" width="7.28515625" style="463" customWidth="1"/>
    <col min="2838" max="2838" width="7.5703125" style="463" customWidth="1"/>
    <col min="2839" max="2839" width="7.140625" style="463" customWidth="1"/>
    <col min="2840" max="2840" width="7.7109375" style="463" customWidth="1"/>
    <col min="2841" max="2841" width="7.42578125" style="463" customWidth="1"/>
    <col min="2842" max="2842" width="7.7109375" style="463" customWidth="1"/>
    <col min="2843" max="2843" width="17.85546875" style="463" customWidth="1"/>
    <col min="2844" max="3075" width="9.140625" style="463"/>
    <col min="3076" max="3076" width="8" style="463" bestFit="1" customWidth="1"/>
    <col min="3077" max="3077" width="65.5703125" style="463" customWidth="1"/>
    <col min="3078" max="3078" width="7.140625" style="463" customWidth="1"/>
    <col min="3079" max="3079" width="7" style="463" customWidth="1"/>
    <col min="3080" max="3080" width="12.7109375" style="463" customWidth="1"/>
    <col min="3081" max="3081" width="10" style="463" customWidth="1"/>
    <col min="3082" max="3082" width="11.85546875" style="463" customWidth="1"/>
    <col min="3083" max="3083" width="6.85546875" style="463" customWidth="1"/>
    <col min="3084" max="3084" width="7.42578125" style="463" customWidth="1"/>
    <col min="3085" max="3085" width="9.42578125" style="463" customWidth="1"/>
    <col min="3086" max="3086" width="7.140625" style="463" customWidth="1"/>
    <col min="3087" max="3087" width="9.42578125" style="463" customWidth="1"/>
    <col min="3088" max="3088" width="6.7109375" style="463" customWidth="1"/>
    <col min="3089" max="3089" width="8" style="463" customWidth="1"/>
    <col min="3090" max="3090" width="8.28515625" style="463" customWidth="1"/>
    <col min="3091" max="3091" width="7" style="463" customWidth="1"/>
    <col min="3092" max="3092" width="6.7109375" style="463" customWidth="1"/>
    <col min="3093" max="3093" width="7.28515625" style="463" customWidth="1"/>
    <col min="3094" max="3094" width="7.5703125" style="463" customWidth="1"/>
    <col min="3095" max="3095" width="7.140625" style="463" customWidth="1"/>
    <col min="3096" max="3096" width="7.7109375" style="463" customWidth="1"/>
    <col min="3097" max="3097" width="7.42578125" style="463" customWidth="1"/>
    <col min="3098" max="3098" width="7.7109375" style="463" customWidth="1"/>
    <col min="3099" max="3099" width="17.85546875" style="463" customWidth="1"/>
    <col min="3100" max="3331" width="9.140625" style="463"/>
    <col min="3332" max="3332" width="8" style="463" bestFit="1" customWidth="1"/>
    <col min="3333" max="3333" width="65.5703125" style="463" customWidth="1"/>
    <col min="3334" max="3334" width="7.140625" style="463" customWidth="1"/>
    <col min="3335" max="3335" width="7" style="463" customWidth="1"/>
    <col min="3336" max="3336" width="12.7109375" style="463" customWidth="1"/>
    <col min="3337" max="3337" width="10" style="463" customWidth="1"/>
    <col min="3338" max="3338" width="11.85546875" style="463" customWidth="1"/>
    <col min="3339" max="3339" width="6.85546875" style="463" customWidth="1"/>
    <col min="3340" max="3340" width="7.42578125" style="463" customWidth="1"/>
    <col min="3341" max="3341" width="9.42578125" style="463" customWidth="1"/>
    <col min="3342" max="3342" width="7.140625" style="463" customWidth="1"/>
    <col min="3343" max="3343" width="9.42578125" style="463" customWidth="1"/>
    <col min="3344" max="3344" width="6.7109375" style="463" customWidth="1"/>
    <col min="3345" max="3345" width="8" style="463" customWidth="1"/>
    <col min="3346" max="3346" width="8.28515625" style="463" customWidth="1"/>
    <col min="3347" max="3347" width="7" style="463" customWidth="1"/>
    <col min="3348" max="3348" width="6.7109375" style="463" customWidth="1"/>
    <col min="3349" max="3349" width="7.28515625" style="463" customWidth="1"/>
    <col min="3350" max="3350" width="7.5703125" style="463" customWidth="1"/>
    <col min="3351" max="3351" width="7.140625" style="463" customWidth="1"/>
    <col min="3352" max="3352" width="7.7109375" style="463" customWidth="1"/>
    <col min="3353" max="3353" width="7.42578125" style="463" customWidth="1"/>
    <col min="3354" max="3354" width="7.7109375" style="463" customWidth="1"/>
    <col min="3355" max="3355" width="17.85546875" style="463" customWidth="1"/>
    <col min="3356" max="3587" width="9.140625" style="463"/>
    <col min="3588" max="3588" width="8" style="463" bestFit="1" customWidth="1"/>
    <col min="3589" max="3589" width="65.5703125" style="463" customWidth="1"/>
    <col min="3590" max="3590" width="7.140625" style="463" customWidth="1"/>
    <col min="3591" max="3591" width="7" style="463" customWidth="1"/>
    <col min="3592" max="3592" width="12.7109375" style="463" customWidth="1"/>
    <col min="3593" max="3593" width="10" style="463" customWidth="1"/>
    <col min="3594" max="3594" width="11.85546875" style="463" customWidth="1"/>
    <col min="3595" max="3595" width="6.85546875" style="463" customWidth="1"/>
    <col min="3596" max="3596" width="7.42578125" style="463" customWidth="1"/>
    <col min="3597" max="3597" width="9.42578125" style="463" customWidth="1"/>
    <col min="3598" max="3598" width="7.140625" style="463" customWidth="1"/>
    <col min="3599" max="3599" width="9.42578125" style="463" customWidth="1"/>
    <col min="3600" max="3600" width="6.7109375" style="463" customWidth="1"/>
    <col min="3601" max="3601" width="8" style="463" customWidth="1"/>
    <col min="3602" max="3602" width="8.28515625" style="463" customWidth="1"/>
    <col min="3603" max="3603" width="7" style="463" customWidth="1"/>
    <col min="3604" max="3604" width="6.7109375" style="463" customWidth="1"/>
    <col min="3605" max="3605" width="7.28515625" style="463" customWidth="1"/>
    <col min="3606" max="3606" width="7.5703125" style="463" customWidth="1"/>
    <col min="3607" max="3607" width="7.140625" style="463" customWidth="1"/>
    <col min="3608" max="3608" width="7.7109375" style="463" customWidth="1"/>
    <col min="3609" max="3609" width="7.42578125" style="463" customWidth="1"/>
    <col min="3610" max="3610" width="7.7109375" style="463" customWidth="1"/>
    <col min="3611" max="3611" width="17.85546875" style="463" customWidth="1"/>
    <col min="3612" max="3843" width="9.140625" style="463"/>
    <col min="3844" max="3844" width="8" style="463" bestFit="1" customWidth="1"/>
    <col min="3845" max="3845" width="65.5703125" style="463" customWidth="1"/>
    <col min="3846" max="3846" width="7.140625" style="463" customWidth="1"/>
    <col min="3847" max="3847" width="7" style="463" customWidth="1"/>
    <col min="3848" max="3848" width="12.7109375" style="463" customWidth="1"/>
    <col min="3849" max="3849" width="10" style="463" customWidth="1"/>
    <col min="3850" max="3850" width="11.85546875" style="463" customWidth="1"/>
    <col min="3851" max="3851" width="6.85546875" style="463" customWidth="1"/>
    <col min="3852" max="3852" width="7.42578125" style="463" customWidth="1"/>
    <col min="3853" max="3853" width="9.42578125" style="463" customWidth="1"/>
    <col min="3854" max="3854" width="7.140625" style="463" customWidth="1"/>
    <col min="3855" max="3855" width="9.42578125" style="463" customWidth="1"/>
    <col min="3856" max="3856" width="6.7109375" style="463" customWidth="1"/>
    <col min="3857" max="3857" width="8" style="463" customWidth="1"/>
    <col min="3858" max="3858" width="8.28515625" style="463" customWidth="1"/>
    <col min="3859" max="3859" width="7" style="463" customWidth="1"/>
    <col min="3860" max="3860" width="6.7109375" style="463" customWidth="1"/>
    <col min="3861" max="3861" width="7.28515625" style="463" customWidth="1"/>
    <col min="3862" max="3862" width="7.5703125" style="463" customWidth="1"/>
    <col min="3863" max="3863" width="7.140625" style="463" customWidth="1"/>
    <col min="3864" max="3864" width="7.7109375" style="463" customWidth="1"/>
    <col min="3865" max="3865" width="7.42578125" style="463" customWidth="1"/>
    <col min="3866" max="3866" width="7.7109375" style="463" customWidth="1"/>
    <col min="3867" max="3867" width="17.85546875" style="463" customWidth="1"/>
    <col min="3868" max="4099" width="9.140625" style="463"/>
    <col min="4100" max="4100" width="8" style="463" bestFit="1" customWidth="1"/>
    <col min="4101" max="4101" width="65.5703125" style="463" customWidth="1"/>
    <col min="4102" max="4102" width="7.140625" style="463" customWidth="1"/>
    <col min="4103" max="4103" width="7" style="463" customWidth="1"/>
    <col min="4104" max="4104" width="12.7109375" style="463" customWidth="1"/>
    <col min="4105" max="4105" width="10" style="463" customWidth="1"/>
    <col min="4106" max="4106" width="11.85546875" style="463" customWidth="1"/>
    <col min="4107" max="4107" width="6.85546875" style="463" customWidth="1"/>
    <col min="4108" max="4108" width="7.42578125" style="463" customWidth="1"/>
    <col min="4109" max="4109" width="9.42578125" style="463" customWidth="1"/>
    <col min="4110" max="4110" width="7.140625" style="463" customWidth="1"/>
    <col min="4111" max="4111" width="9.42578125" style="463" customWidth="1"/>
    <col min="4112" max="4112" width="6.7109375" style="463" customWidth="1"/>
    <col min="4113" max="4113" width="8" style="463" customWidth="1"/>
    <col min="4114" max="4114" width="8.28515625" style="463" customWidth="1"/>
    <col min="4115" max="4115" width="7" style="463" customWidth="1"/>
    <col min="4116" max="4116" width="6.7109375" style="463" customWidth="1"/>
    <col min="4117" max="4117" width="7.28515625" style="463" customWidth="1"/>
    <col min="4118" max="4118" width="7.5703125" style="463" customWidth="1"/>
    <col min="4119" max="4119" width="7.140625" style="463" customWidth="1"/>
    <col min="4120" max="4120" width="7.7109375" style="463" customWidth="1"/>
    <col min="4121" max="4121" width="7.42578125" style="463" customWidth="1"/>
    <col min="4122" max="4122" width="7.7109375" style="463" customWidth="1"/>
    <col min="4123" max="4123" width="17.85546875" style="463" customWidth="1"/>
    <col min="4124" max="4355" width="9.140625" style="463"/>
    <col min="4356" max="4356" width="8" style="463" bestFit="1" customWidth="1"/>
    <col min="4357" max="4357" width="65.5703125" style="463" customWidth="1"/>
    <col min="4358" max="4358" width="7.140625" style="463" customWidth="1"/>
    <col min="4359" max="4359" width="7" style="463" customWidth="1"/>
    <col min="4360" max="4360" width="12.7109375" style="463" customWidth="1"/>
    <col min="4361" max="4361" width="10" style="463" customWidth="1"/>
    <col min="4362" max="4362" width="11.85546875" style="463" customWidth="1"/>
    <col min="4363" max="4363" width="6.85546875" style="463" customWidth="1"/>
    <col min="4364" max="4364" width="7.42578125" style="463" customWidth="1"/>
    <col min="4365" max="4365" width="9.42578125" style="463" customWidth="1"/>
    <col min="4366" max="4366" width="7.140625" style="463" customWidth="1"/>
    <col min="4367" max="4367" width="9.42578125" style="463" customWidth="1"/>
    <col min="4368" max="4368" width="6.7109375" style="463" customWidth="1"/>
    <col min="4369" max="4369" width="8" style="463" customWidth="1"/>
    <col min="4370" max="4370" width="8.28515625" style="463" customWidth="1"/>
    <col min="4371" max="4371" width="7" style="463" customWidth="1"/>
    <col min="4372" max="4372" width="6.7109375" style="463" customWidth="1"/>
    <col min="4373" max="4373" width="7.28515625" style="463" customWidth="1"/>
    <col min="4374" max="4374" width="7.5703125" style="463" customWidth="1"/>
    <col min="4375" max="4375" width="7.140625" style="463" customWidth="1"/>
    <col min="4376" max="4376" width="7.7109375" style="463" customWidth="1"/>
    <col min="4377" max="4377" width="7.42578125" style="463" customWidth="1"/>
    <col min="4378" max="4378" width="7.7109375" style="463" customWidth="1"/>
    <col min="4379" max="4379" width="17.85546875" style="463" customWidth="1"/>
    <col min="4380" max="4611" width="9.140625" style="463"/>
    <col min="4612" max="4612" width="8" style="463" bestFit="1" customWidth="1"/>
    <col min="4613" max="4613" width="65.5703125" style="463" customWidth="1"/>
    <col min="4614" max="4614" width="7.140625" style="463" customWidth="1"/>
    <col min="4615" max="4615" width="7" style="463" customWidth="1"/>
    <col min="4616" max="4616" width="12.7109375" style="463" customWidth="1"/>
    <col min="4617" max="4617" width="10" style="463" customWidth="1"/>
    <col min="4618" max="4618" width="11.85546875" style="463" customWidth="1"/>
    <col min="4619" max="4619" width="6.85546875" style="463" customWidth="1"/>
    <col min="4620" max="4620" width="7.42578125" style="463" customWidth="1"/>
    <col min="4621" max="4621" width="9.42578125" style="463" customWidth="1"/>
    <col min="4622" max="4622" width="7.140625" style="463" customWidth="1"/>
    <col min="4623" max="4623" width="9.42578125" style="463" customWidth="1"/>
    <col min="4624" max="4624" width="6.7109375" style="463" customWidth="1"/>
    <col min="4625" max="4625" width="8" style="463" customWidth="1"/>
    <col min="4626" max="4626" width="8.28515625" style="463" customWidth="1"/>
    <col min="4627" max="4627" width="7" style="463" customWidth="1"/>
    <col min="4628" max="4628" width="6.7109375" style="463" customWidth="1"/>
    <col min="4629" max="4629" width="7.28515625" style="463" customWidth="1"/>
    <col min="4630" max="4630" width="7.5703125" style="463" customWidth="1"/>
    <col min="4631" max="4631" width="7.140625" style="463" customWidth="1"/>
    <col min="4632" max="4632" width="7.7109375" style="463" customWidth="1"/>
    <col min="4633" max="4633" width="7.42578125" style="463" customWidth="1"/>
    <col min="4634" max="4634" width="7.7109375" style="463" customWidth="1"/>
    <col min="4635" max="4635" width="17.85546875" style="463" customWidth="1"/>
    <col min="4636" max="4867" width="9.140625" style="463"/>
    <col min="4868" max="4868" width="8" style="463" bestFit="1" customWidth="1"/>
    <col min="4869" max="4869" width="65.5703125" style="463" customWidth="1"/>
    <col min="4870" max="4870" width="7.140625" style="463" customWidth="1"/>
    <col min="4871" max="4871" width="7" style="463" customWidth="1"/>
    <col min="4872" max="4872" width="12.7109375" style="463" customWidth="1"/>
    <col min="4873" max="4873" width="10" style="463" customWidth="1"/>
    <col min="4874" max="4874" width="11.85546875" style="463" customWidth="1"/>
    <col min="4875" max="4875" width="6.85546875" style="463" customWidth="1"/>
    <col min="4876" max="4876" width="7.42578125" style="463" customWidth="1"/>
    <col min="4877" max="4877" width="9.42578125" style="463" customWidth="1"/>
    <col min="4878" max="4878" width="7.140625" style="463" customWidth="1"/>
    <col min="4879" max="4879" width="9.42578125" style="463" customWidth="1"/>
    <col min="4880" max="4880" width="6.7109375" style="463" customWidth="1"/>
    <col min="4881" max="4881" width="8" style="463" customWidth="1"/>
    <col min="4882" max="4882" width="8.28515625" style="463" customWidth="1"/>
    <col min="4883" max="4883" width="7" style="463" customWidth="1"/>
    <col min="4884" max="4884" width="6.7109375" style="463" customWidth="1"/>
    <col min="4885" max="4885" width="7.28515625" style="463" customWidth="1"/>
    <col min="4886" max="4886" width="7.5703125" style="463" customWidth="1"/>
    <col min="4887" max="4887" width="7.140625" style="463" customWidth="1"/>
    <col min="4888" max="4888" width="7.7109375" style="463" customWidth="1"/>
    <col min="4889" max="4889" width="7.42578125" style="463" customWidth="1"/>
    <col min="4890" max="4890" width="7.7109375" style="463" customWidth="1"/>
    <col min="4891" max="4891" width="17.85546875" style="463" customWidth="1"/>
    <col min="4892" max="5123" width="9.140625" style="463"/>
    <col min="5124" max="5124" width="8" style="463" bestFit="1" customWidth="1"/>
    <col min="5125" max="5125" width="65.5703125" style="463" customWidth="1"/>
    <col min="5126" max="5126" width="7.140625" style="463" customWidth="1"/>
    <col min="5127" max="5127" width="7" style="463" customWidth="1"/>
    <col min="5128" max="5128" width="12.7109375" style="463" customWidth="1"/>
    <col min="5129" max="5129" width="10" style="463" customWidth="1"/>
    <col min="5130" max="5130" width="11.85546875" style="463" customWidth="1"/>
    <col min="5131" max="5131" width="6.85546875" style="463" customWidth="1"/>
    <col min="5132" max="5132" width="7.42578125" style="463" customWidth="1"/>
    <col min="5133" max="5133" width="9.42578125" style="463" customWidth="1"/>
    <col min="5134" max="5134" width="7.140625" style="463" customWidth="1"/>
    <col min="5135" max="5135" width="9.42578125" style="463" customWidth="1"/>
    <col min="5136" max="5136" width="6.7109375" style="463" customWidth="1"/>
    <col min="5137" max="5137" width="8" style="463" customWidth="1"/>
    <col min="5138" max="5138" width="8.28515625" style="463" customWidth="1"/>
    <col min="5139" max="5139" width="7" style="463" customWidth="1"/>
    <col min="5140" max="5140" width="6.7109375" style="463" customWidth="1"/>
    <col min="5141" max="5141" width="7.28515625" style="463" customWidth="1"/>
    <col min="5142" max="5142" width="7.5703125" style="463" customWidth="1"/>
    <col min="5143" max="5143" width="7.140625" style="463" customWidth="1"/>
    <col min="5144" max="5144" width="7.7109375" style="463" customWidth="1"/>
    <col min="5145" max="5145" width="7.42578125" style="463" customWidth="1"/>
    <col min="5146" max="5146" width="7.7109375" style="463" customWidth="1"/>
    <col min="5147" max="5147" width="17.85546875" style="463" customWidth="1"/>
    <col min="5148" max="5379" width="9.140625" style="463"/>
    <col min="5380" max="5380" width="8" style="463" bestFit="1" customWidth="1"/>
    <col min="5381" max="5381" width="65.5703125" style="463" customWidth="1"/>
    <col min="5382" max="5382" width="7.140625" style="463" customWidth="1"/>
    <col min="5383" max="5383" width="7" style="463" customWidth="1"/>
    <col min="5384" max="5384" width="12.7109375" style="463" customWidth="1"/>
    <col min="5385" max="5385" width="10" style="463" customWidth="1"/>
    <col min="5386" max="5386" width="11.85546875" style="463" customWidth="1"/>
    <col min="5387" max="5387" width="6.85546875" style="463" customWidth="1"/>
    <col min="5388" max="5388" width="7.42578125" style="463" customWidth="1"/>
    <col min="5389" max="5389" width="9.42578125" style="463" customWidth="1"/>
    <col min="5390" max="5390" width="7.140625" style="463" customWidth="1"/>
    <col min="5391" max="5391" width="9.42578125" style="463" customWidth="1"/>
    <col min="5392" max="5392" width="6.7109375" style="463" customWidth="1"/>
    <col min="5393" max="5393" width="8" style="463" customWidth="1"/>
    <col min="5394" max="5394" width="8.28515625" style="463" customWidth="1"/>
    <col min="5395" max="5395" width="7" style="463" customWidth="1"/>
    <col min="5396" max="5396" width="6.7109375" style="463" customWidth="1"/>
    <col min="5397" max="5397" width="7.28515625" style="463" customWidth="1"/>
    <col min="5398" max="5398" width="7.5703125" style="463" customWidth="1"/>
    <col min="5399" max="5399" width="7.140625" style="463" customWidth="1"/>
    <col min="5400" max="5400" width="7.7109375" style="463" customWidth="1"/>
    <col min="5401" max="5401" width="7.42578125" style="463" customWidth="1"/>
    <col min="5402" max="5402" width="7.7109375" style="463" customWidth="1"/>
    <col min="5403" max="5403" width="17.85546875" style="463" customWidth="1"/>
    <col min="5404" max="5635" width="9.140625" style="463"/>
    <col min="5636" max="5636" width="8" style="463" bestFit="1" customWidth="1"/>
    <col min="5637" max="5637" width="65.5703125" style="463" customWidth="1"/>
    <col min="5638" max="5638" width="7.140625" style="463" customWidth="1"/>
    <col min="5639" max="5639" width="7" style="463" customWidth="1"/>
    <col min="5640" max="5640" width="12.7109375" style="463" customWidth="1"/>
    <col min="5641" max="5641" width="10" style="463" customWidth="1"/>
    <col min="5642" max="5642" width="11.85546875" style="463" customWidth="1"/>
    <col min="5643" max="5643" width="6.85546875" style="463" customWidth="1"/>
    <col min="5644" max="5644" width="7.42578125" style="463" customWidth="1"/>
    <col min="5645" max="5645" width="9.42578125" style="463" customWidth="1"/>
    <col min="5646" max="5646" width="7.140625" style="463" customWidth="1"/>
    <col min="5647" max="5647" width="9.42578125" style="463" customWidth="1"/>
    <col min="5648" max="5648" width="6.7109375" style="463" customWidth="1"/>
    <col min="5649" max="5649" width="8" style="463" customWidth="1"/>
    <col min="5650" max="5650" width="8.28515625" style="463" customWidth="1"/>
    <col min="5651" max="5651" width="7" style="463" customWidth="1"/>
    <col min="5652" max="5652" width="6.7109375" style="463" customWidth="1"/>
    <col min="5653" max="5653" width="7.28515625" style="463" customWidth="1"/>
    <col min="5654" max="5654" width="7.5703125" style="463" customWidth="1"/>
    <col min="5655" max="5655" width="7.140625" style="463" customWidth="1"/>
    <col min="5656" max="5656" width="7.7109375" style="463" customWidth="1"/>
    <col min="5657" max="5657" width="7.42578125" style="463" customWidth="1"/>
    <col min="5658" max="5658" width="7.7109375" style="463" customWidth="1"/>
    <col min="5659" max="5659" width="17.85546875" style="463" customWidth="1"/>
    <col min="5660" max="5891" width="9.140625" style="463"/>
    <col min="5892" max="5892" width="8" style="463" bestFit="1" customWidth="1"/>
    <col min="5893" max="5893" width="65.5703125" style="463" customWidth="1"/>
    <col min="5894" max="5894" width="7.140625" style="463" customWidth="1"/>
    <col min="5895" max="5895" width="7" style="463" customWidth="1"/>
    <col min="5896" max="5896" width="12.7109375" style="463" customWidth="1"/>
    <col min="5897" max="5897" width="10" style="463" customWidth="1"/>
    <col min="5898" max="5898" width="11.85546875" style="463" customWidth="1"/>
    <col min="5899" max="5899" width="6.85546875" style="463" customWidth="1"/>
    <col min="5900" max="5900" width="7.42578125" style="463" customWidth="1"/>
    <col min="5901" max="5901" width="9.42578125" style="463" customWidth="1"/>
    <col min="5902" max="5902" width="7.140625" style="463" customWidth="1"/>
    <col min="5903" max="5903" width="9.42578125" style="463" customWidth="1"/>
    <col min="5904" max="5904" width="6.7109375" style="463" customWidth="1"/>
    <col min="5905" max="5905" width="8" style="463" customWidth="1"/>
    <col min="5906" max="5906" width="8.28515625" style="463" customWidth="1"/>
    <col min="5907" max="5907" width="7" style="463" customWidth="1"/>
    <col min="5908" max="5908" width="6.7109375" style="463" customWidth="1"/>
    <col min="5909" max="5909" width="7.28515625" style="463" customWidth="1"/>
    <col min="5910" max="5910" width="7.5703125" style="463" customWidth="1"/>
    <col min="5911" max="5911" width="7.140625" style="463" customWidth="1"/>
    <col min="5912" max="5912" width="7.7109375" style="463" customWidth="1"/>
    <col min="5913" max="5913" width="7.42578125" style="463" customWidth="1"/>
    <col min="5914" max="5914" width="7.7109375" style="463" customWidth="1"/>
    <col min="5915" max="5915" width="17.85546875" style="463" customWidth="1"/>
    <col min="5916" max="6147" width="9.140625" style="463"/>
    <col min="6148" max="6148" width="8" style="463" bestFit="1" customWidth="1"/>
    <col min="6149" max="6149" width="65.5703125" style="463" customWidth="1"/>
    <col min="6150" max="6150" width="7.140625" style="463" customWidth="1"/>
    <col min="6151" max="6151" width="7" style="463" customWidth="1"/>
    <col min="6152" max="6152" width="12.7109375" style="463" customWidth="1"/>
    <col min="6153" max="6153" width="10" style="463" customWidth="1"/>
    <col min="6154" max="6154" width="11.85546875" style="463" customWidth="1"/>
    <col min="6155" max="6155" width="6.85546875" style="463" customWidth="1"/>
    <col min="6156" max="6156" width="7.42578125" style="463" customWidth="1"/>
    <col min="6157" max="6157" width="9.42578125" style="463" customWidth="1"/>
    <col min="6158" max="6158" width="7.140625" style="463" customWidth="1"/>
    <col min="6159" max="6159" width="9.42578125" style="463" customWidth="1"/>
    <col min="6160" max="6160" width="6.7109375" style="463" customWidth="1"/>
    <col min="6161" max="6161" width="8" style="463" customWidth="1"/>
    <col min="6162" max="6162" width="8.28515625" style="463" customWidth="1"/>
    <col min="6163" max="6163" width="7" style="463" customWidth="1"/>
    <col min="6164" max="6164" width="6.7109375" style="463" customWidth="1"/>
    <col min="6165" max="6165" width="7.28515625" style="463" customWidth="1"/>
    <col min="6166" max="6166" width="7.5703125" style="463" customWidth="1"/>
    <col min="6167" max="6167" width="7.140625" style="463" customWidth="1"/>
    <col min="6168" max="6168" width="7.7109375" style="463" customWidth="1"/>
    <col min="6169" max="6169" width="7.42578125" style="463" customWidth="1"/>
    <col min="6170" max="6170" width="7.7109375" style="463" customWidth="1"/>
    <col min="6171" max="6171" width="17.85546875" style="463" customWidth="1"/>
    <col min="6172" max="6403" width="9.140625" style="463"/>
    <col min="6404" max="6404" width="8" style="463" bestFit="1" customWidth="1"/>
    <col min="6405" max="6405" width="65.5703125" style="463" customWidth="1"/>
    <col min="6406" max="6406" width="7.140625" style="463" customWidth="1"/>
    <col min="6407" max="6407" width="7" style="463" customWidth="1"/>
    <col min="6408" max="6408" width="12.7109375" style="463" customWidth="1"/>
    <col min="6409" max="6409" width="10" style="463" customWidth="1"/>
    <col min="6410" max="6410" width="11.85546875" style="463" customWidth="1"/>
    <col min="6411" max="6411" width="6.85546875" style="463" customWidth="1"/>
    <col min="6412" max="6412" width="7.42578125" style="463" customWidth="1"/>
    <col min="6413" max="6413" width="9.42578125" style="463" customWidth="1"/>
    <col min="6414" max="6414" width="7.140625" style="463" customWidth="1"/>
    <col min="6415" max="6415" width="9.42578125" style="463" customWidth="1"/>
    <col min="6416" max="6416" width="6.7109375" style="463" customWidth="1"/>
    <col min="6417" max="6417" width="8" style="463" customWidth="1"/>
    <col min="6418" max="6418" width="8.28515625" style="463" customWidth="1"/>
    <col min="6419" max="6419" width="7" style="463" customWidth="1"/>
    <col min="6420" max="6420" width="6.7109375" style="463" customWidth="1"/>
    <col min="6421" max="6421" width="7.28515625" style="463" customWidth="1"/>
    <col min="6422" max="6422" width="7.5703125" style="463" customWidth="1"/>
    <col min="6423" max="6423" width="7.140625" style="463" customWidth="1"/>
    <col min="6424" max="6424" width="7.7109375" style="463" customWidth="1"/>
    <col min="6425" max="6425" width="7.42578125" style="463" customWidth="1"/>
    <col min="6426" max="6426" width="7.7109375" style="463" customWidth="1"/>
    <col min="6427" max="6427" width="17.85546875" style="463" customWidth="1"/>
    <col min="6428" max="6659" width="9.140625" style="463"/>
    <col min="6660" max="6660" width="8" style="463" bestFit="1" customWidth="1"/>
    <col min="6661" max="6661" width="65.5703125" style="463" customWidth="1"/>
    <col min="6662" max="6662" width="7.140625" style="463" customWidth="1"/>
    <col min="6663" max="6663" width="7" style="463" customWidth="1"/>
    <col min="6664" max="6664" width="12.7109375" style="463" customWidth="1"/>
    <col min="6665" max="6665" width="10" style="463" customWidth="1"/>
    <col min="6666" max="6666" width="11.85546875" style="463" customWidth="1"/>
    <col min="6667" max="6667" width="6.85546875" style="463" customWidth="1"/>
    <col min="6668" max="6668" width="7.42578125" style="463" customWidth="1"/>
    <col min="6669" max="6669" width="9.42578125" style="463" customWidth="1"/>
    <col min="6670" max="6670" width="7.140625" style="463" customWidth="1"/>
    <col min="6671" max="6671" width="9.42578125" style="463" customWidth="1"/>
    <col min="6672" max="6672" width="6.7109375" style="463" customWidth="1"/>
    <col min="6673" max="6673" width="8" style="463" customWidth="1"/>
    <col min="6674" max="6674" width="8.28515625" style="463" customWidth="1"/>
    <col min="6675" max="6675" width="7" style="463" customWidth="1"/>
    <col min="6676" max="6676" width="6.7109375" style="463" customWidth="1"/>
    <col min="6677" max="6677" width="7.28515625" style="463" customWidth="1"/>
    <col min="6678" max="6678" width="7.5703125" style="463" customWidth="1"/>
    <col min="6679" max="6679" width="7.140625" style="463" customWidth="1"/>
    <col min="6680" max="6680" width="7.7109375" style="463" customWidth="1"/>
    <col min="6681" max="6681" width="7.42578125" style="463" customWidth="1"/>
    <col min="6682" max="6682" width="7.7109375" style="463" customWidth="1"/>
    <col min="6683" max="6683" width="17.85546875" style="463" customWidth="1"/>
    <col min="6684" max="6915" width="9.140625" style="463"/>
    <col min="6916" max="6916" width="8" style="463" bestFit="1" customWidth="1"/>
    <col min="6917" max="6917" width="65.5703125" style="463" customWidth="1"/>
    <col min="6918" max="6918" width="7.140625" style="463" customWidth="1"/>
    <col min="6919" max="6919" width="7" style="463" customWidth="1"/>
    <col min="6920" max="6920" width="12.7109375" style="463" customWidth="1"/>
    <col min="6921" max="6921" width="10" style="463" customWidth="1"/>
    <col min="6922" max="6922" width="11.85546875" style="463" customWidth="1"/>
    <col min="6923" max="6923" width="6.85546875" style="463" customWidth="1"/>
    <col min="6924" max="6924" width="7.42578125" style="463" customWidth="1"/>
    <col min="6925" max="6925" width="9.42578125" style="463" customWidth="1"/>
    <col min="6926" max="6926" width="7.140625" style="463" customWidth="1"/>
    <col min="6927" max="6927" width="9.42578125" style="463" customWidth="1"/>
    <col min="6928" max="6928" width="6.7109375" style="463" customWidth="1"/>
    <col min="6929" max="6929" width="8" style="463" customWidth="1"/>
    <col min="6930" max="6930" width="8.28515625" style="463" customWidth="1"/>
    <col min="6931" max="6931" width="7" style="463" customWidth="1"/>
    <col min="6932" max="6932" width="6.7109375" style="463" customWidth="1"/>
    <col min="6933" max="6933" width="7.28515625" style="463" customWidth="1"/>
    <col min="6934" max="6934" width="7.5703125" style="463" customWidth="1"/>
    <col min="6935" max="6935" width="7.140625" style="463" customWidth="1"/>
    <col min="6936" max="6936" width="7.7109375" style="463" customWidth="1"/>
    <col min="6937" max="6937" width="7.42578125" style="463" customWidth="1"/>
    <col min="6938" max="6938" width="7.7109375" style="463" customWidth="1"/>
    <col min="6939" max="6939" width="17.85546875" style="463" customWidth="1"/>
    <col min="6940" max="7171" width="9.140625" style="463"/>
    <col min="7172" max="7172" width="8" style="463" bestFit="1" customWidth="1"/>
    <col min="7173" max="7173" width="65.5703125" style="463" customWidth="1"/>
    <col min="7174" max="7174" width="7.140625" style="463" customWidth="1"/>
    <col min="7175" max="7175" width="7" style="463" customWidth="1"/>
    <col min="7176" max="7176" width="12.7109375" style="463" customWidth="1"/>
    <col min="7177" max="7177" width="10" style="463" customWidth="1"/>
    <col min="7178" max="7178" width="11.85546875" style="463" customWidth="1"/>
    <col min="7179" max="7179" width="6.85546875" style="463" customWidth="1"/>
    <col min="7180" max="7180" width="7.42578125" style="463" customWidth="1"/>
    <col min="7181" max="7181" width="9.42578125" style="463" customWidth="1"/>
    <col min="7182" max="7182" width="7.140625" style="463" customWidth="1"/>
    <col min="7183" max="7183" width="9.42578125" style="463" customWidth="1"/>
    <col min="7184" max="7184" width="6.7109375" style="463" customWidth="1"/>
    <col min="7185" max="7185" width="8" style="463" customWidth="1"/>
    <col min="7186" max="7186" width="8.28515625" style="463" customWidth="1"/>
    <col min="7187" max="7187" width="7" style="463" customWidth="1"/>
    <col min="7188" max="7188" width="6.7109375" style="463" customWidth="1"/>
    <col min="7189" max="7189" width="7.28515625" style="463" customWidth="1"/>
    <col min="7190" max="7190" width="7.5703125" style="463" customWidth="1"/>
    <col min="7191" max="7191" width="7.140625" style="463" customWidth="1"/>
    <col min="7192" max="7192" width="7.7109375" style="463" customWidth="1"/>
    <col min="7193" max="7193" width="7.42578125" style="463" customWidth="1"/>
    <col min="7194" max="7194" width="7.7109375" style="463" customWidth="1"/>
    <col min="7195" max="7195" width="17.85546875" style="463" customWidth="1"/>
    <col min="7196" max="7427" width="9.140625" style="463"/>
    <col min="7428" max="7428" width="8" style="463" bestFit="1" customWidth="1"/>
    <col min="7429" max="7429" width="65.5703125" style="463" customWidth="1"/>
    <col min="7430" max="7430" width="7.140625" style="463" customWidth="1"/>
    <col min="7431" max="7431" width="7" style="463" customWidth="1"/>
    <col min="7432" max="7432" width="12.7109375" style="463" customWidth="1"/>
    <col min="7433" max="7433" width="10" style="463" customWidth="1"/>
    <col min="7434" max="7434" width="11.85546875" style="463" customWidth="1"/>
    <col min="7435" max="7435" width="6.85546875" style="463" customWidth="1"/>
    <col min="7436" max="7436" width="7.42578125" style="463" customWidth="1"/>
    <col min="7437" max="7437" width="9.42578125" style="463" customWidth="1"/>
    <col min="7438" max="7438" width="7.140625" style="463" customWidth="1"/>
    <col min="7439" max="7439" width="9.42578125" style="463" customWidth="1"/>
    <col min="7440" max="7440" width="6.7109375" style="463" customWidth="1"/>
    <col min="7441" max="7441" width="8" style="463" customWidth="1"/>
    <col min="7442" max="7442" width="8.28515625" style="463" customWidth="1"/>
    <col min="7443" max="7443" width="7" style="463" customWidth="1"/>
    <col min="7444" max="7444" width="6.7109375" style="463" customWidth="1"/>
    <col min="7445" max="7445" width="7.28515625" style="463" customWidth="1"/>
    <col min="7446" max="7446" width="7.5703125" style="463" customWidth="1"/>
    <col min="7447" max="7447" width="7.140625" style="463" customWidth="1"/>
    <col min="7448" max="7448" width="7.7109375" style="463" customWidth="1"/>
    <col min="7449" max="7449" width="7.42578125" style="463" customWidth="1"/>
    <col min="7450" max="7450" width="7.7109375" style="463" customWidth="1"/>
    <col min="7451" max="7451" width="17.85546875" style="463" customWidth="1"/>
    <col min="7452" max="7683" width="9.140625" style="463"/>
    <col min="7684" max="7684" width="8" style="463" bestFit="1" customWidth="1"/>
    <col min="7685" max="7685" width="65.5703125" style="463" customWidth="1"/>
    <col min="7686" max="7686" width="7.140625" style="463" customWidth="1"/>
    <col min="7687" max="7687" width="7" style="463" customWidth="1"/>
    <col min="7688" max="7688" width="12.7109375" style="463" customWidth="1"/>
    <col min="7689" max="7689" width="10" style="463" customWidth="1"/>
    <col min="7690" max="7690" width="11.85546875" style="463" customWidth="1"/>
    <col min="7691" max="7691" width="6.85546875" style="463" customWidth="1"/>
    <col min="7692" max="7692" width="7.42578125" style="463" customWidth="1"/>
    <col min="7693" max="7693" width="9.42578125" style="463" customWidth="1"/>
    <col min="7694" max="7694" width="7.140625" style="463" customWidth="1"/>
    <col min="7695" max="7695" width="9.42578125" style="463" customWidth="1"/>
    <col min="7696" max="7696" width="6.7109375" style="463" customWidth="1"/>
    <col min="7697" max="7697" width="8" style="463" customWidth="1"/>
    <col min="7698" max="7698" width="8.28515625" style="463" customWidth="1"/>
    <col min="7699" max="7699" width="7" style="463" customWidth="1"/>
    <col min="7700" max="7700" width="6.7109375" style="463" customWidth="1"/>
    <col min="7701" max="7701" width="7.28515625" style="463" customWidth="1"/>
    <col min="7702" max="7702" width="7.5703125" style="463" customWidth="1"/>
    <col min="7703" max="7703" width="7.140625" style="463" customWidth="1"/>
    <col min="7704" max="7704" width="7.7109375" style="463" customWidth="1"/>
    <col min="7705" max="7705" width="7.42578125" style="463" customWidth="1"/>
    <col min="7706" max="7706" width="7.7109375" style="463" customWidth="1"/>
    <col min="7707" max="7707" width="17.85546875" style="463" customWidth="1"/>
    <col min="7708" max="7939" width="9.140625" style="463"/>
    <col min="7940" max="7940" width="8" style="463" bestFit="1" customWidth="1"/>
    <col min="7941" max="7941" width="65.5703125" style="463" customWidth="1"/>
    <col min="7942" max="7942" width="7.140625" style="463" customWidth="1"/>
    <col min="7943" max="7943" width="7" style="463" customWidth="1"/>
    <col min="7944" max="7944" width="12.7109375" style="463" customWidth="1"/>
    <col min="7945" max="7945" width="10" style="463" customWidth="1"/>
    <col min="7946" max="7946" width="11.85546875" style="463" customWidth="1"/>
    <col min="7947" max="7947" width="6.85546875" style="463" customWidth="1"/>
    <col min="7948" max="7948" width="7.42578125" style="463" customWidth="1"/>
    <col min="7949" max="7949" width="9.42578125" style="463" customWidth="1"/>
    <col min="7950" max="7950" width="7.140625" style="463" customWidth="1"/>
    <col min="7951" max="7951" width="9.42578125" style="463" customWidth="1"/>
    <col min="7952" max="7952" width="6.7109375" style="463" customWidth="1"/>
    <col min="7953" max="7953" width="8" style="463" customWidth="1"/>
    <col min="7954" max="7954" width="8.28515625" style="463" customWidth="1"/>
    <col min="7955" max="7955" width="7" style="463" customWidth="1"/>
    <col min="7956" max="7956" width="6.7109375" style="463" customWidth="1"/>
    <col min="7957" max="7957" width="7.28515625" style="463" customWidth="1"/>
    <col min="7958" max="7958" width="7.5703125" style="463" customWidth="1"/>
    <col min="7959" max="7959" width="7.140625" style="463" customWidth="1"/>
    <col min="7960" max="7960" width="7.7109375" style="463" customWidth="1"/>
    <col min="7961" max="7961" width="7.42578125" style="463" customWidth="1"/>
    <col min="7962" max="7962" width="7.7109375" style="463" customWidth="1"/>
    <col min="7963" max="7963" width="17.85546875" style="463" customWidth="1"/>
    <col min="7964" max="8195" width="9.140625" style="463"/>
    <col min="8196" max="8196" width="8" style="463" bestFit="1" customWidth="1"/>
    <col min="8197" max="8197" width="65.5703125" style="463" customWidth="1"/>
    <col min="8198" max="8198" width="7.140625" style="463" customWidth="1"/>
    <col min="8199" max="8199" width="7" style="463" customWidth="1"/>
    <col min="8200" max="8200" width="12.7109375" style="463" customWidth="1"/>
    <col min="8201" max="8201" width="10" style="463" customWidth="1"/>
    <col min="8202" max="8202" width="11.85546875" style="463" customWidth="1"/>
    <col min="8203" max="8203" width="6.85546875" style="463" customWidth="1"/>
    <col min="8204" max="8204" width="7.42578125" style="463" customWidth="1"/>
    <col min="8205" max="8205" width="9.42578125" style="463" customWidth="1"/>
    <col min="8206" max="8206" width="7.140625" style="463" customWidth="1"/>
    <col min="8207" max="8207" width="9.42578125" style="463" customWidth="1"/>
    <col min="8208" max="8208" width="6.7109375" style="463" customWidth="1"/>
    <col min="8209" max="8209" width="8" style="463" customWidth="1"/>
    <col min="8210" max="8210" width="8.28515625" style="463" customWidth="1"/>
    <col min="8211" max="8211" width="7" style="463" customWidth="1"/>
    <col min="8212" max="8212" width="6.7109375" style="463" customWidth="1"/>
    <col min="8213" max="8213" width="7.28515625" style="463" customWidth="1"/>
    <col min="8214" max="8214" width="7.5703125" style="463" customWidth="1"/>
    <col min="8215" max="8215" width="7.140625" style="463" customWidth="1"/>
    <col min="8216" max="8216" width="7.7109375" style="463" customWidth="1"/>
    <col min="8217" max="8217" width="7.42578125" style="463" customWidth="1"/>
    <col min="8218" max="8218" width="7.7109375" style="463" customWidth="1"/>
    <col min="8219" max="8219" width="17.85546875" style="463" customWidth="1"/>
    <col min="8220" max="8451" width="9.140625" style="463"/>
    <col min="8452" max="8452" width="8" style="463" bestFit="1" customWidth="1"/>
    <col min="8453" max="8453" width="65.5703125" style="463" customWidth="1"/>
    <col min="8454" max="8454" width="7.140625" style="463" customWidth="1"/>
    <col min="8455" max="8455" width="7" style="463" customWidth="1"/>
    <col min="8456" max="8456" width="12.7109375" style="463" customWidth="1"/>
    <col min="8457" max="8457" width="10" style="463" customWidth="1"/>
    <col min="8458" max="8458" width="11.85546875" style="463" customWidth="1"/>
    <col min="8459" max="8459" width="6.85546875" style="463" customWidth="1"/>
    <col min="8460" max="8460" width="7.42578125" style="463" customWidth="1"/>
    <col min="8461" max="8461" width="9.42578125" style="463" customWidth="1"/>
    <col min="8462" max="8462" width="7.140625" style="463" customWidth="1"/>
    <col min="8463" max="8463" width="9.42578125" style="463" customWidth="1"/>
    <col min="8464" max="8464" width="6.7109375" style="463" customWidth="1"/>
    <col min="8465" max="8465" width="8" style="463" customWidth="1"/>
    <col min="8466" max="8466" width="8.28515625" style="463" customWidth="1"/>
    <col min="8467" max="8467" width="7" style="463" customWidth="1"/>
    <col min="8468" max="8468" width="6.7109375" style="463" customWidth="1"/>
    <col min="8469" max="8469" width="7.28515625" style="463" customWidth="1"/>
    <col min="8470" max="8470" width="7.5703125" style="463" customWidth="1"/>
    <col min="8471" max="8471" width="7.140625" style="463" customWidth="1"/>
    <col min="8472" max="8472" width="7.7109375" style="463" customWidth="1"/>
    <col min="8473" max="8473" width="7.42578125" style="463" customWidth="1"/>
    <col min="8474" max="8474" width="7.7109375" style="463" customWidth="1"/>
    <col min="8475" max="8475" width="17.85546875" style="463" customWidth="1"/>
    <col min="8476" max="8707" width="9.140625" style="463"/>
    <col min="8708" max="8708" width="8" style="463" bestFit="1" customWidth="1"/>
    <col min="8709" max="8709" width="65.5703125" style="463" customWidth="1"/>
    <col min="8710" max="8710" width="7.140625" style="463" customWidth="1"/>
    <col min="8711" max="8711" width="7" style="463" customWidth="1"/>
    <col min="8712" max="8712" width="12.7109375" style="463" customWidth="1"/>
    <col min="8713" max="8713" width="10" style="463" customWidth="1"/>
    <col min="8714" max="8714" width="11.85546875" style="463" customWidth="1"/>
    <col min="8715" max="8715" width="6.85546875" style="463" customWidth="1"/>
    <col min="8716" max="8716" width="7.42578125" style="463" customWidth="1"/>
    <col min="8717" max="8717" width="9.42578125" style="463" customWidth="1"/>
    <col min="8718" max="8718" width="7.140625" style="463" customWidth="1"/>
    <col min="8719" max="8719" width="9.42578125" style="463" customWidth="1"/>
    <col min="8720" max="8720" width="6.7109375" style="463" customWidth="1"/>
    <col min="8721" max="8721" width="8" style="463" customWidth="1"/>
    <col min="8722" max="8722" width="8.28515625" style="463" customWidth="1"/>
    <col min="8723" max="8723" width="7" style="463" customWidth="1"/>
    <col min="8724" max="8724" width="6.7109375" style="463" customWidth="1"/>
    <col min="8725" max="8725" width="7.28515625" style="463" customWidth="1"/>
    <col min="8726" max="8726" width="7.5703125" style="463" customWidth="1"/>
    <col min="8727" max="8727" width="7.140625" style="463" customWidth="1"/>
    <col min="8728" max="8728" width="7.7109375" style="463" customWidth="1"/>
    <col min="8729" max="8729" width="7.42578125" style="463" customWidth="1"/>
    <col min="8730" max="8730" width="7.7109375" style="463" customWidth="1"/>
    <col min="8731" max="8731" width="17.85546875" style="463" customWidth="1"/>
    <col min="8732" max="8963" width="9.140625" style="463"/>
    <col min="8964" max="8964" width="8" style="463" bestFit="1" customWidth="1"/>
    <col min="8965" max="8965" width="65.5703125" style="463" customWidth="1"/>
    <col min="8966" max="8966" width="7.140625" style="463" customWidth="1"/>
    <col min="8967" max="8967" width="7" style="463" customWidth="1"/>
    <col min="8968" max="8968" width="12.7109375" style="463" customWidth="1"/>
    <col min="8969" max="8969" width="10" style="463" customWidth="1"/>
    <col min="8970" max="8970" width="11.85546875" style="463" customWidth="1"/>
    <col min="8971" max="8971" width="6.85546875" style="463" customWidth="1"/>
    <col min="8972" max="8972" width="7.42578125" style="463" customWidth="1"/>
    <col min="8973" max="8973" width="9.42578125" style="463" customWidth="1"/>
    <col min="8974" max="8974" width="7.140625" style="463" customWidth="1"/>
    <col min="8975" max="8975" width="9.42578125" style="463" customWidth="1"/>
    <col min="8976" max="8976" width="6.7109375" style="463" customWidth="1"/>
    <col min="8977" max="8977" width="8" style="463" customWidth="1"/>
    <col min="8978" max="8978" width="8.28515625" style="463" customWidth="1"/>
    <col min="8979" max="8979" width="7" style="463" customWidth="1"/>
    <col min="8980" max="8980" width="6.7109375" style="463" customWidth="1"/>
    <col min="8981" max="8981" width="7.28515625" style="463" customWidth="1"/>
    <col min="8982" max="8982" width="7.5703125" style="463" customWidth="1"/>
    <col min="8983" max="8983" width="7.140625" style="463" customWidth="1"/>
    <col min="8984" max="8984" width="7.7109375" style="463" customWidth="1"/>
    <col min="8985" max="8985" width="7.42578125" style="463" customWidth="1"/>
    <col min="8986" max="8986" width="7.7109375" style="463" customWidth="1"/>
    <col min="8987" max="8987" width="17.85546875" style="463" customWidth="1"/>
    <col min="8988" max="9219" width="9.140625" style="463"/>
    <col min="9220" max="9220" width="8" style="463" bestFit="1" customWidth="1"/>
    <col min="9221" max="9221" width="65.5703125" style="463" customWidth="1"/>
    <col min="9222" max="9222" width="7.140625" style="463" customWidth="1"/>
    <col min="9223" max="9223" width="7" style="463" customWidth="1"/>
    <col min="9224" max="9224" width="12.7109375" style="463" customWidth="1"/>
    <col min="9225" max="9225" width="10" style="463" customWidth="1"/>
    <col min="9226" max="9226" width="11.85546875" style="463" customWidth="1"/>
    <col min="9227" max="9227" width="6.85546875" style="463" customWidth="1"/>
    <col min="9228" max="9228" width="7.42578125" style="463" customWidth="1"/>
    <col min="9229" max="9229" width="9.42578125" style="463" customWidth="1"/>
    <col min="9230" max="9230" width="7.140625" style="463" customWidth="1"/>
    <col min="9231" max="9231" width="9.42578125" style="463" customWidth="1"/>
    <col min="9232" max="9232" width="6.7109375" style="463" customWidth="1"/>
    <col min="9233" max="9233" width="8" style="463" customWidth="1"/>
    <col min="9234" max="9234" width="8.28515625" style="463" customWidth="1"/>
    <col min="9235" max="9235" width="7" style="463" customWidth="1"/>
    <col min="9236" max="9236" width="6.7109375" style="463" customWidth="1"/>
    <col min="9237" max="9237" width="7.28515625" style="463" customWidth="1"/>
    <col min="9238" max="9238" width="7.5703125" style="463" customWidth="1"/>
    <col min="9239" max="9239" width="7.140625" style="463" customWidth="1"/>
    <col min="9240" max="9240" width="7.7109375" style="463" customWidth="1"/>
    <col min="9241" max="9241" width="7.42578125" style="463" customWidth="1"/>
    <col min="9242" max="9242" width="7.7109375" style="463" customWidth="1"/>
    <col min="9243" max="9243" width="17.85546875" style="463" customWidth="1"/>
    <col min="9244" max="9475" width="9.140625" style="463"/>
    <col min="9476" max="9476" width="8" style="463" bestFit="1" customWidth="1"/>
    <col min="9477" max="9477" width="65.5703125" style="463" customWidth="1"/>
    <col min="9478" max="9478" width="7.140625" style="463" customWidth="1"/>
    <col min="9479" max="9479" width="7" style="463" customWidth="1"/>
    <col min="9480" max="9480" width="12.7109375" style="463" customWidth="1"/>
    <col min="9481" max="9481" width="10" style="463" customWidth="1"/>
    <col min="9482" max="9482" width="11.85546875" style="463" customWidth="1"/>
    <col min="9483" max="9483" width="6.85546875" style="463" customWidth="1"/>
    <col min="9484" max="9484" width="7.42578125" style="463" customWidth="1"/>
    <col min="9485" max="9485" width="9.42578125" style="463" customWidth="1"/>
    <col min="9486" max="9486" width="7.140625" style="463" customWidth="1"/>
    <col min="9487" max="9487" width="9.42578125" style="463" customWidth="1"/>
    <col min="9488" max="9488" width="6.7109375" style="463" customWidth="1"/>
    <col min="9489" max="9489" width="8" style="463" customWidth="1"/>
    <col min="9490" max="9490" width="8.28515625" style="463" customWidth="1"/>
    <col min="9491" max="9491" width="7" style="463" customWidth="1"/>
    <col min="9492" max="9492" width="6.7109375" style="463" customWidth="1"/>
    <col min="9493" max="9493" width="7.28515625" style="463" customWidth="1"/>
    <col min="9494" max="9494" width="7.5703125" style="463" customWidth="1"/>
    <col min="9495" max="9495" width="7.140625" style="463" customWidth="1"/>
    <col min="9496" max="9496" width="7.7109375" style="463" customWidth="1"/>
    <col min="9497" max="9497" width="7.42578125" style="463" customWidth="1"/>
    <col min="9498" max="9498" width="7.7109375" style="463" customWidth="1"/>
    <col min="9499" max="9499" width="17.85546875" style="463" customWidth="1"/>
    <col min="9500" max="9731" width="9.140625" style="463"/>
    <col min="9732" max="9732" width="8" style="463" bestFit="1" customWidth="1"/>
    <col min="9733" max="9733" width="65.5703125" style="463" customWidth="1"/>
    <col min="9734" max="9734" width="7.140625" style="463" customWidth="1"/>
    <col min="9735" max="9735" width="7" style="463" customWidth="1"/>
    <col min="9736" max="9736" width="12.7109375" style="463" customWidth="1"/>
    <col min="9737" max="9737" width="10" style="463" customWidth="1"/>
    <col min="9738" max="9738" width="11.85546875" style="463" customWidth="1"/>
    <col min="9739" max="9739" width="6.85546875" style="463" customWidth="1"/>
    <col min="9740" max="9740" width="7.42578125" style="463" customWidth="1"/>
    <col min="9741" max="9741" width="9.42578125" style="463" customWidth="1"/>
    <col min="9742" max="9742" width="7.140625" style="463" customWidth="1"/>
    <col min="9743" max="9743" width="9.42578125" style="463" customWidth="1"/>
    <col min="9744" max="9744" width="6.7109375" style="463" customWidth="1"/>
    <col min="9745" max="9745" width="8" style="463" customWidth="1"/>
    <col min="9746" max="9746" width="8.28515625" style="463" customWidth="1"/>
    <col min="9747" max="9747" width="7" style="463" customWidth="1"/>
    <col min="9748" max="9748" width="6.7109375" style="463" customWidth="1"/>
    <col min="9749" max="9749" width="7.28515625" style="463" customWidth="1"/>
    <col min="9750" max="9750" width="7.5703125" style="463" customWidth="1"/>
    <col min="9751" max="9751" width="7.140625" style="463" customWidth="1"/>
    <col min="9752" max="9752" width="7.7109375" style="463" customWidth="1"/>
    <col min="9753" max="9753" width="7.42578125" style="463" customWidth="1"/>
    <col min="9754" max="9754" width="7.7109375" style="463" customWidth="1"/>
    <col min="9755" max="9755" width="17.85546875" style="463" customWidth="1"/>
    <col min="9756" max="9987" width="9.140625" style="463"/>
    <col min="9988" max="9988" width="8" style="463" bestFit="1" customWidth="1"/>
    <col min="9989" max="9989" width="65.5703125" style="463" customWidth="1"/>
    <col min="9990" max="9990" width="7.140625" style="463" customWidth="1"/>
    <col min="9991" max="9991" width="7" style="463" customWidth="1"/>
    <col min="9992" max="9992" width="12.7109375" style="463" customWidth="1"/>
    <col min="9993" max="9993" width="10" style="463" customWidth="1"/>
    <col min="9994" max="9994" width="11.85546875" style="463" customWidth="1"/>
    <col min="9995" max="9995" width="6.85546875" style="463" customWidth="1"/>
    <col min="9996" max="9996" width="7.42578125" style="463" customWidth="1"/>
    <col min="9997" max="9997" width="9.42578125" style="463" customWidth="1"/>
    <col min="9998" max="9998" width="7.140625" style="463" customWidth="1"/>
    <col min="9999" max="9999" width="9.42578125" style="463" customWidth="1"/>
    <col min="10000" max="10000" width="6.7109375" style="463" customWidth="1"/>
    <col min="10001" max="10001" width="8" style="463" customWidth="1"/>
    <col min="10002" max="10002" width="8.28515625" style="463" customWidth="1"/>
    <col min="10003" max="10003" width="7" style="463" customWidth="1"/>
    <col min="10004" max="10004" width="6.7109375" style="463" customWidth="1"/>
    <col min="10005" max="10005" width="7.28515625" style="463" customWidth="1"/>
    <col min="10006" max="10006" width="7.5703125" style="463" customWidth="1"/>
    <col min="10007" max="10007" width="7.140625" style="463" customWidth="1"/>
    <col min="10008" max="10008" width="7.7109375" style="463" customWidth="1"/>
    <col min="10009" max="10009" width="7.42578125" style="463" customWidth="1"/>
    <col min="10010" max="10010" width="7.7109375" style="463" customWidth="1"/>
    <col min="10011" max="10011" width="17.85546875" style="463" customWidth="1"/>
    <col min="10012" max="10243" width="9.140625" style="463"/>
    <col min="10244" max="10244" width="8" style="463" bestFit="1" customWidth="1"/>
    <col min="10245" max="10245" width="65.5703125" style="463" customWidth="1"/>
    <col min="10246" max="10246" width="7.140625" style="463" customWidth="1"/>
    <col min="10247" max="10247" width="7" style="463" customWidth="1"/>
    <col min="10248" max="10248" width="12.7109375" style="463" customWidth="1"/>
    <col min="10249" max="10249" width="10" style="463" customWidth="1"/>
    <col min="10250" max="10250" width="11.85546875" style="463" customWidth="1"/>
    <col min="10251" max="10251" width="6.85546875" style="463" customWidth="1"/>
    <col min="10252" max="10252" width="7.42578125" style="463" customWidth="1"/>
    <col min="10253" max="10253" width="9.42578125" style="463" customWidth="1"/>
    <col min="10254" max="10254" width="7.140625" style="463" customWidth="1"/>
    <col min="10255" max="10255" width="9.42578125" style="463" customWidth="1"/>
    <col min="10256" max="10256" width="6.7109375" style="463" customWidth="1"/>
    <col min="10257" max="10257" width="8" style="463" customWidth="1"/>
    <col min="10258" max="10258" width="8.28515625" style="463" customWidth="1"/>
    <col min="10259" max="10259" width="7" style="463" customWidth="1"/>
    <col min="10260" max="10260" width="6.7109375" style="463" customWidth="1"/>
    <col min="10261" max="10261" width="7.28515625" style="463" customWidth="1"/>
    <col min="10262" max="10262" width="7.5703125" style="463" customWidth="1"/>
    <col min="10263" max="10263" width="7.140625" style="463" customWidth="1"/>
    <col min="10264" max="10264" width="7.7109375" style="463" customWidth="1"/>
    <col min="10265" max="10265" width="7.42578125" style="463" customWidth="1"/>
    <col min="10266" max="10266" width="7.7109375" style="463" customWidth="1"/>
    <col min="10267" max="10267" width="17.85546875" style="463" customWidth="1"/>
    <col min="10268" max="10499" width="9.140625" style="463"/>
    <col min="10500" max="10500" width="8" style="463" bestFit="1" customWidth="1"/>
    <col min="10501" max="10501" width="65.5703125" style="463" customWidth="1"/>
    <col min="10502" max="10502" width="7.140625" style="463" customWidth="1"/>
    <col min="10503" max="10503" width="7" style="463" customWidth="1"/>
    <col min="10504" max="10504" width="12.7109375" style="463" customWidth="1"/>
    <col min="10505" max="10505" width="10" style="463" customWidth="1"/>
    <col min="10506" max="10506" width="11.85546875" style="463" customWidth="1"/>
    <col min="10507" max="10507" width="6.85546875" style="463" customWidth="1"/>
    <col min="10508" max="10508" width="7.42578125" style="463" customWidth="1"/>
    <col min="10509" max="10509" width="9.42578125" style="463" customWidth="1"/>
    <col min="10510" max="10510" width="7.140625" style="463" customWidth="1"/>
    <col min="10511" max="10511" width="9.42578125" style="463" customWidth="1"/>
    <col min="10512" max="10512" width="6.7109375" style="463" customWidth="1"/>
    <col min="10513" max="10513" width="8" style="463" customWidth="1"/>
    <col min="10514" max="10514" width="8.28515625" style="463" customWidth="1"/>
    <col min="10515" max="10515" width="7" style="463" customWidth="1"/>
    <col min="10516" max="10516" width="6.7109375" style="463" customWidth="1"/>
    <col min="10517" max="10517" width="7.28515625" style="463" customWidth="1"/>
    <col min="10518" max="10518" width="7.5703125" style="463" customWidth="1"/>
    <col min="10519" max="10519" width="7.140625" style="463" customWidth="1"/>
    <col min="10520" max="10520" width="7.7109375" style="463" customWidth="1"/>
    <col min="10521" max="10521" width="7.42578125" style="463" customWidth="1"/>
    <col min="10522" max="10522" width="7.7109375" style="463" customWidth="1"/>
    <col min="10523" max="10523" width="17.85546875" style="463" customWidth="1"/>
    <col min="10524" max="10755" width="9.140625" style="463"/>
    <col min="10756" max="10756" width="8" style="463" bestFit="1" customWidth="1"/>
    <col min="10757" max="10757" width="65.5703125" style="463" customWidth="1"/>
    <col min="10758" max="10758" width="7.140625" style="463" customWidth="1"/>
    <col min="10759" max="10759" width="7" style="463" customWidth="1"/>
    <col min="10760" max="10760" width="12.7109375" style="463" customWidth="1"/>
    <col min="10761" max="10761" width="10" style="463" customWidth="1"/>
    <col min="10762" max="10762" width="11.85546875" style="463" customWidth="1"/>
    <col min="10763" max="10763" width="6.85546875" style="463" customWidth="1"/>
    <col min="10764" max="10764" width="7.42578125" style="463" customWidth="1"/>
    <col min="10765" max="10765" width="9.42578125" style="463" customWidth="1"/>
    <col min="10766" max="10766" width="7.140625" style="463" customWidth="1"/>
    <col min="10767" max="10767" width="9.42578125" style="463" customWidth="1"/>
    <col min="10768" max="10768" width="6.7109375" style="463" customWidth="1"/>
    <col min="10769" max="10769" width="8" style="463" customWidth="1"/>
    <col min="10770" max="10770" width="8.28515625" style="463" customWidth="1"/>
    <col min="10771" max="10771" width="7" style="463" customWidth="1"/>
    <col min="10772" max="10772" width="6.7109375" style="463" customWidth="1"/>
    <col min="10773" max="10773" width="7.28515625" style="463" customWidth="1"/>
    <col min="10774" max="10774" width="7.5703125" style="463" customWidth="1"/>
    <col min="10775" max="10775" width="7.140625" style="463" customWidth="1"/>
    <col min="10776" max="10776" width="7.7109375" style="463" customWidth="1"/>
    <col min="10777" max="10777" width="7.42578125" style="463" customWidth="1"/>
    <col min="10778" max="10778" width="7.7109375" style="463" customWidth="1"/>
    <col min="10779" max="10779" width="17.85546875" style="463" customWidth="1"/>
    <col min="10780" max="11011" width="9.140625" style="463"/>
    <col min="11012" max="11012" width="8" style="463" bestFit="1" customWidth="1"/>
    <col min="11013" max="11013" width="65.5703125" style="463" customWidth="1"/>
    <col min="11014" max="11014" width="7.140625" style="463" customWidth="1"/>
    <col min="11015" max="11015" width="7" style="463" customWidth="1"/>
    <col min="11016" max="11016" width="12.7109375" style="463" customWidth="1"/>
    <col min="11017" max="11017" width="10" style="463" customWidth="1"/>
    <col min="11018" max="11018" width="11.85546875" style="463" customWidth="1"/>
    <col min="11019" max="11019" width="6.85546875" style="463" customWidth="1"/>
    <col min="11020" max="11020" width="7.42578125" style="463" customWidth="1"/>
    <col min="11021" max="11021" width="9.42578125" style="463" customWidth="1"/>
    <col min="11022" max="11022" width="7.140625" style="463" customWidth="1"/>
    <col min="11023" max="11023" width="9.42578125" style="463" customWidth="1"/>
    <col min="11024" max="11024" width="6.7109375" style="463" customWidth="1"/>
    <col min="11025" max="11025" width="8" style="463" customWidth="1"/>
    <col min="11026" max="11026" width="8.28515625" style="463" customWidth="1"/>
    <col min="11027" max="11027" width="7" style="463" customWidth="1"/>
    <col min="11028" max="11028" width="6.7109375" style="463" customWidth="1"/>
    <col min="11029" max="11029" width="7.28515625" style="463" customWidth="1"/>
    <col min="11030" max="11030" width="7.5703125" style="463" customWidth="1"/>
    <col min="11031" max="11031" width="7.140625" style="463" customWidth="1"/>
    <col min="11032" max="11032" width="7.7109375" style="463" customWidth="1"/>
    <col min="11033" max="11033" width="7.42578125" style="463" customWidth="1"/>
    <col min="11034" max="11034" width="7.7109375" style="463" customWidth="1"/>
    <col min="11035" max="11035" width="17.85546875" style="463" customWidth="1"/>
    <col min="11036" max="11267" width="9.140625" style="463"/>
    <col min="11268" max="11268" width="8" style="463" bestFit="1" customWidth="1"/>
    <col min="11269" max="11269" width="65.5703125" style="463" customWidth="1"/>
    <col min="11270" max="11270" width="7.140625" style="463" customWidth="1"/>
    <col min="11271" max="11271" width="7" style="463" customWidth="1"/>
    <col min="11272" max="11272" width="12.7109375" style="463" customWidth="1"/>
    <col min="11273" max="11273" width="10" style="463" customWidth="1"/>
    <col min="11274" max="11274" width="11.85546875" style="463" customWidth="1"/>
    <col min="11275" max="11275" width="6.85546875" style="463" customWidth="1"/>
    <col min="11276" max="11276" width="7.42578125" style="463" customWidth="1"/>
    <col min="11277" max="11277" width="9.42578125" style="463" customWidth="1"/>
    <col min="11278" max="11278" width="7.140625" style="463" customWidth="1"/>
    <col min="11279" max="11279" width="9.42578125" style="463" customWidth="1"/>
    <col min="11280" max="11280" width="6.7109375" style="463" customWidth="1"/>
    <col min="11281" max="11281" width="8" style="463" customWidth="1"/>
    <col min="11282" max="11282" width="8.28515625" style="463" customWidth="1"/>
    <col min="11283" max="11283" width="7" style="463" customWidth="1"/>
    <col min="11284" max="11284" width="6.7109375" style="463" customWidth="1"/>
    <col min="11285" max="11285" width="7.28515625" style="463" customWidth="1"/>
    <col min="11286" max="11286" width="7.5703125" style="463" customWidth="1"/>
    <col min="11287" max="11287" width="7.140625" style="463" customWidth="1"/>
    <col min="11288" max="11288" width="7.7109375" style="463" customWidth="1"/>
    <col min="11289" max="11289" width="7.42578125" style="463" customWidth="1"/>
    <col min="11290" max="11290" width="7.7109375" style="463" customWidth="1"/>
    <col min="11291" max="11291" width="17.85546875" style="463" customWidth="1"/>
    <col min="11292" max="11523" width="9.140625" style="463"/>
    <col min="11524" max="11524" width="8" style="463" bestFit="1" customWidth="1"/>
    <col min="11525" max="11525" width="65.5703125" style="463" customWidth="1"/>
    <col min="11526" max="11526" width="7.140625" style="463" customWidth="1"/>
    <col min="11527" max="11527" width="7" style="463" customWidth="1"/>
    <col min="11528" max="11528" width="12.7109375" style="463" customWidth="1"/>
    <col min="11529" max="11529" width="10" style="463" customWidth="1"/>
    <col min="11530" max="11530" width="11.85546875" style="463" customWidth="1"/>
    <col min="11531" max="11531" width="6.85546875" style="463" customWidth="1"/>
    <col min="11532" max="11532" width="7.42578125" style="463" customWidth="1"/>
    <col min="11533" max="11533" width="9.42578125" style="463" customWidth="1"/>
    <col min="11534" max="11534" width="7.140625" style="463" customWidth="1"/>
    <col min="11535" max="11535" width="9.42578125" style="463" customWidth="1"/>
    <col min="11536" max="11536" width="6.7109375" style="463" customWidth="1"/>
    <col min="11537" max="11537" width="8" style="463" customWidth="1"/>
    <col min="11538" max="11538" width="8.28515625" style="463" customWidth="1"/>
    <col min="11539" max="11539" width="7" style="463" customWidth="1"/>
    <col min="11540" max="11540" width="6.7109375" style="463" customWidth="1"/>
    <col min="11541" max="11541" width="7.28515625" style="463" customWidth="1"/>
    <col min="11542" max="11542" width="7.5703125" style="463" customWidth="1"/>
    <col min="11543" max="11543" width="7.140625" style="463" customWidth="1"/>
    <col min="11544" max="11544" width="7.7109375" style="463" customWidth="1"/>
    <col min="11545" max="11545" width="7.42578125" style="463" customWidth="1"/>
    <col min="11546" max="11546" width="7.7109375" style="463" customWidth="1"/>
    <col min="11547" max="11547" width="17.85546875" style="463" customWidth="1"/>
    <col min="11548" max="11779" width="9.140625" style="463"/>
    <col min="11780" max="11780" width="8" style="463" bestFit="1" customWidth="1"/>
    <col min="11781" max="11781" width="65.5703125" style="463" customWidth="1"/>
    <col min="11782" max="11782" width="7.140625" style="463" customWidth="1"/>
    <col min="11783" max="11783" width="7" style="463" customWidth="1"/>
    <col min="11784" max="11784" width="12.7109375" style="463" customWidth="1"/>
    <col min="11785" max="11785" width="10" style="463" customWidth="1"/>
    <col min="11786" max="11786" width="11.85546875" style="463" customWidth="1"/>
    <col min="11787" max="11787" width="6.85546875" style="463" customWidth="1"/>
    <col min="11788" max="11788" width="7.42578125" style="463" customWidth="1"/>
    <col min="11789" max="11789" width="9.42578125" style="463" customWidth="1"/>
    <col min="11790" max="11790" width="7.140625" style="463" customWidth="1"/>
    <col min="11791" max="11791" width="9.42578125" style="463" customWidth="1"/>
    <col min="11792" max="11792" width="6.7109375" style="463" customWidth="1"/>
    <col min="11793" max="11793" width="8" style="463" customWidth="1"/>
    <col min="11794" max="11794" width="8.28515625" style="463" customWidth="1"/>
    <col min="11795" max="11795" width="7" style="463" customWidth="1"/>
    <col min="11796" max="11796" width="6.7109375" style="463" customWidth="1"/>
    <col min="11797" max="11797" width="7.28515625" style="463" customWidth="1"/>
    <col min="11798" max="11798" width="7.5703125" style="463" customWidth="1"/>
    <col min="11799" max="11799" width="7.140625" style="463" customWidth="1"/>
    <col min="11800" max="11800" width="7.7109375" style="463" customWidth="1"/>
    <col min="11801" max="11801" width="7.42578125" style="463" customWidth="1"/>
    <col min="11802" max="11802" width="7.7109375" style="463" customWidth="1"/>
    <col min="11803" max="11803" width="17.85546875" style="463" customWidth="1"/>
    <col min="11804" max="12035" width="9.140625" style="463"/>
    <col min="12036" max="12036" width="8" style="463" bestFit="1" customWidth="1"/>
    <col min="12037" max="12037" width="65.5703125" style="463" customWidth="1"/>
    <col min="12038" max="12038" width="7.140625" style="463" customWidth="1"/>
    <col min="12039" max="12039" width="7" style="463" customWidth="1"/>
    <col min="12040" max="12040" width="12.7109375" style="463" customWidth="1"/>
    <col min="12041" max="12041" width="10" style="463" customWidth="1"/>
    <col min="12042" max="12042" width="11.85546875" style="463" customWidth="1"/>
    <col min="12043" max="12043" width="6.85546875" style="463" customWidth="1"/>
    <col min="12044" max="12044" width="7.42578125" style="463" customWidth="1"/>
    <col min="12045" max="12045" width="9.42578125" style="463" customWidth="1"/>
    <col min="12046" max="12046" width="7.140625" style="463" customWidth="1"/>
    <col min="12047" max="12047" width="9.42578125" style="463" customWidth="1"/>
    <col min="12048" max="12048" width="6.7109375" style="463" customWidth="1"/>
    <col min="12049" max="12049" width="8" style="463" customWidth="1"/>
    <col min="12050" max="12050" width="8.28515625" style="463" customWidth="1"/>
    <col min="12051" max="12051" width="7" style="463" customWidth="1"/>
    <col min="12052" max="12052" width="6.7109375" style="463" customWidth="1"/>
    <col min="12053" max="12053" width="7.28515625" style="463" customWidth="1"/>
    <col min="12054" max="12054" width="7.5703125" style="463" customWidth="1"/>
    <col min="12055" max="12055" width="7.140625" style="463" customWidth="1"/>
    <col min="12056" max="12056" width="7.7109375" style="463" customWidth="1"/>
    <col min="12057" max="12057" width="7.42578125" style="463" customWidth="1"/>
    <col min="12058" max="12058" width="7.7109375" style="463" customWidth="1"/>
    <col min="12059" max="12059" width="17.85546875" style="463" customWidth="1"/>
    <col min="12060" max="12291" width="9.140625" style="463"/>
    <col min="12292" max="12292" width="8" style="463" bestFit="1" customWidth="1"/>
    <col min="12293" max="12293" width="65.5703125" style="463" customWidth="1"/>
    <col min="12294" max="12294" width="7.140625" style="463" customWidth="1"/>
    <col min="12295" max="12295" width="7" style="463" customWidth="1"/>
    <col min="12296" max="12296" width="12.7109375" style="463" customWidth="1"/>
    <col min="12297" max="12297" width="10" style="463" customWidth="1"/>
    <col min="12298" max="12298" width="11.85546875" style="463" customWidth="1"/>
    <col min="12299" max="12299" width="6.85546875" style="463" customWidth="1"/>
    <col min="12300" max="12300" width="7.42578125" style="463" customWidth="1"/>
    <col min="12301" max="12301" width="9.42578125" style="463" customWidth="1"/>
    <col min="12302" max="12302" width="7.140625" style="463" customWidth="1"/>
    <col min="12303" max="12303" width="9.42578125" style="463" customWidth="1"/>
    <col min="12304" max="12304" width="6.7109375" style="463" customWidth="1"/>
    <col min="12305" max="12305" width="8" style="463" customWidth="1"/>
    <col min="12306" max="12306" width="8.28515625" style="463" customWidth="1"/>
    <col min="12307" max="12307" width="7" style="463" customWidth="1"/>
    <col min="12308" max="12308" width="6.7109375" style="463" customWidth="1"/>
    <col min="12309" max="12309" width="7.28515625" style="463" customWidth="1"/>
    <col min="12310" max="12310" width="7.5703125" style="463" customWidth="1"/>
    <col min="12311" max="12311" width="7.140625" style="463" customWidth="1"/>
    <col min="12312" max="12312" width="7.7109375" style="463" customWidth="1"/>
    <col min="12313" max="12313" width="7.42578125" style="463" customWidth="1"/>
    <col min="12314" max="12314" width="7.7109375" style="463" customWidth="1"/>
    <col min="12315" max="12315" width="17.85546875" style="463" customWidth="1"/>
    <col min="12316" max="12547" width="9.140625" style="463"/>
    <col min="12548" max="12548" width="8" style="463" bestFit="1" customWidth="1"/>
    <col min="12549" max="12549" width="65.5703125" style="463" customWidth="1"/>
    <col min="12550" max="12550" width="7.140625" style="463" customWidth="1"/>
    <col min="12551" max="12551" width="7" style="463" customWidth="1"/>
    <col min="12552" max="12552" width="12.7109375" style="463" customWidth="1"/>
    <col min="12553" max="12553" width="10" style="463" customWidth="1"/>
    <col min="12554" max="12554" width="11.85546875" style="463" customWidth="1"/>
    <col min="12555" max="12555" width="6.85546875" style="463" customWidth="1"/>
    <col min="12556" max="12556" width="7.42578125" style="463" customWidth="1"/>
    <col min="12557" max="12557" width="9.42578125" style="463" customWidth="1"/>
    <col min="12558" max="12558" width="7.140625" style="463" customWidth="1"/>
    <col min="12559" max="12559" width="9.42578125" style="463" customWidth="1"/>
    <col min="12560" max="12560" width="6.7109375" style="463" customWidth="1"/>
    <col min="12561" max="12561" width="8" style="463" customWidth="1"/>
    <col min="12562" max="12562" width="8.28515625" style="463" customWidth="1"/>
    <col min="12563" max="12563" width="7" style="463" customWidth="1"/>
    <col min="12564" max="12564" width="6.7109375" style="463" customWidth="1"/>
    <col min="12565" max="12565" width="7.28515625" style="463" customWidth="1"/>
    <col min="12566" max="12566" width="7.5703125" style="463" customWidth="1"/>
    <col min="12567" max="12567" width="7.140625" style="463" customWidth="1"/>
    <col min="12568" max="12568" width="7.7109375" style="463" customWidth="1"/>
    <col min="12569" max="12569" width="7.42578125" style="463" customWidth="1"/>
    <col min="12570" max="12570" width="7.7109375" style="463" customWidth="1"/>
    <col min="12571" max="12571" width="17.85546875" style="463" customWidth="1"/>
    <col min="12572" max="12803" width="9.140625" style="463"/>
    <col min="12804" max="12804" width="8" style="463" bestFit="1" customWidth="1"/>
    <col min="12805" max="12805" width="65.5703125" style="463" customWidth="1"/>
    <col min="12806" max="12806" width="7.140625" style="463" customWidth="1"/>
    <col min="12807" max="12807" width="7" style="463" customWidth="1"/>
    <col min="12808" max="12808" width="12.7109375" style="463" customWidth="1"/>
    <col min="12809" max="12809" width="10" style="463" customWidth="1"/>
    <col min="12810" max="12810" width="11.85546875" style="463" customWidth="1"/>
    <col min="12811" max="12811" width="6.85546875" style="463" customWidth="1"/>
    <col min="12812" max="12812" width="7.42578125" style="463" customWidth="1"/>
    <col min="12813" max="12813" width="9.42578125" style="463" customWidth="1"/>
    <col min="12814" max="12814" width="7.140625" style="463" customWidth="1"/>
    <col min="12815" max="12815" width="9.42578125" style="463" customWidth="1"/>
    <col min="12816" max="12816" width="6.7109375" style="463" customWidth="1"/>
    <col min="12817" max="12817" width="8" style="463" customWidth="1"/>
    <col min="12818" max="12818" width="8.28515625" style="463" customWidth="1"/>
    <col min="12819" max="12819" width="7" style="463" customWidth="1"/>
    <col min="12820" max="12820" width="6.7109375" style="463" customWidth="1"/>
    <col min="12821" max="12821" width="7.28515625" style="463" customWidth="1"/>
    <col min="12822" max="12822" width="7.5703125" style="463" customWidth="1"/>
    <col min="12823" max="12823" width="7.140625" style="463" customWidth="1"/>
    <col min="12824" max="12824" width="7.7109375" style="463" customWidth="1"/>
    <col min="12825" max="12825" width="7.42578125" style="463" customWidth="1"/>
    <col min="12826" max="12826" width="7.7109375" style="463" customWidth="1"/>
    <col min="12827" max="12827" width="17.85546875" style="463" customWidth="1"/>
    <col min="12828" max="13059" width="9.140625" style="463"/>
    <col min="13060" max="13060" width="8" style="463" bestFit="1" customWidth="1"/>
    <col min="13061" max="13061" width="65.5703125" style="463" customWidth="1"/>
    <col min="13062" max="13062" width="7.140625" style="463" customWidth="1"/>
    <col min="13063" max="13063" width="7" style="463" customWidth="1"/>
    <col min="13064" max="13064" width="12.7109375" style="463" customWidth="1"/>
    <col min="13065" max="13065" width="10" style="463" customWidth="1"/>
    <col min="13066" max="13066" width="11.85546875" style="463" customWidth="1"/>
    <col min="13067" max="13067" width="6.85546875" style="463" customWidth="1"/>
    <col min="13068" max="13068" width="7.42578125" style="463" customWidth="1"/>
    <col min="13069" max="13069" width="9.42578125" style="463" customWidth="1"/>
    <col min="13070" max="13070" width="7.140625" style="463" customWidth="1"/>
    <col min="13071" max="13071" width="9.42578125" style="463" customWidth="1"/>
    <col min="13072" max="13072" width="6.7109375" style="463" customWidth="1"/>
    <col min="13073" max="13073" width="8" style="463" customWidth="1"/>
    <col min="13074" max="13074" width="8.28515625" style="463" customWidth="1"/>
    <col min="13075" max="13075" width="7" style="463" customWidth="1"/>
    <col min="13076" max="13076" width="6.7109375" style="463" customWidth="1"/>
    <col min="13077" max="13077" width="7.28515625" style="463" customWidth="1"/>
    <col min="13078" max="13078" width="7.5703125" style="463" customWidth="1"/>
    <col min="13079" max="13079" width="7.140625" style="463" customWidth="1"/>
    <col min="13080" max="13080" width="7.7109375" style="463" customWidth="1"/>
    <col min="13081" max="13081" width="7.42578125" style="463" customWidth="1"/>
    <col min="13082" max="13082" width="7.7109375" style="463" customWidth="1"/>
    <col min="13083" max="13083" width="17.85546875" style="463" customWidth="1"/>
    <col min="13084" max="13315" width="9.140625" style="463"/>
    <col min="13316" max="13316" width="8" style="463" bestFit="1" customWidth="1"/>
    <col min="13317" max="13317" width="65.5703125" style="463" customWidth="1"/>
    <col min="13318" max="13318" width="7.140625" style="463" customWidth="1"/>
    <col min="13319" max="13319" width="7" style="463" customWidth="1"/>
    <col min="13320" max="13320" width="12.7109375" style="463" customWidth="1"/>
    <col min="13321" max="13321" width="10" style="463" customWidth="1"/>
    <col min="13322" max="13322" width="11.85546875" style="463" customWidth="1"/>
    <col min="13323" max="13323" width="6.85546875" style="463" customWidth="1"/>
    <col min="13324" max="13324" width="7.42578125" style="463" customWidth="1"/>
    <col min="13325" max="13325" width="9.42578125" style="463" customWidth="1"/>
    <col min="13326" max="13326" width="7.140625" style="463" customWidth="1"/>
    <col min="13327" max="13327" width="9.42578125" style="463" customWidth="1"/>
    <col min="13328" max="13328" width="6.7109375" style="463" customWidth="1"/>
    <col min="13329" max="13329" width="8" style="463" customWidth="1"/>
    <col min="13330" max="13330" width="8.28515625" style="463" customWidth="1"/>
    <col min="13331" max="13331" width="7" style="463" customWidth="1"/>
    <col min="13332" max="13332" width="6.7109375" style="463" customWidth="1"/>
    <col min="13333" max="13333" width="7.28515625" style="463" customWidth="1"/>
    <col min="13334" max="13334" width="7.5703125" style="463" customWidth="1"/>
    <col min="13335" max="13335" width="7.140625" style="463" customWidth="1"/>
    <col min="13336" max="13336" width="7.7109375" style="463" customWidth="1"/>
    <col min="13337" max="13337" width="7.42578125" style="463" customWidth="1"/>
    <col min="13338" max="13338" width="7.7109375" style="463" customWidth="1"/>
    <col min="13339" max="13339" width="17.85546875" style="463" customWidth="1"/>
    <col min="13340" max="13571" width="9.140625" style="463"/>
    <col min="13572" max="13572" width="8" style="463" bestFit="1" customWidth="1"/>
    <col min="13573" max="13573" width="65.5703125" style="463" customWidth="1"/>
    <col min="13574" max="13574" width="7.140625" style="463" customWidth="1"/>
    <col min="13575" max="13575" width="7" style="463" customWidth="1"/>
    <col min="13576" max="13576" width="12.7109375" style="463" customWidth="1"/>
    <col min="13577" max="13577" width="10" style="463" customWidth="1"/>
    <col min="13578" max="13578" width="11.85546875" style="463" customWidth="1"/>
    <col min="13579" max="13579" width="6.85546875" style="463" customWidth="1"/>
    <col min="13580" max="13580" width="7.42578125" style="463" customWidth="1"/>
    <col min="13581" max="13581" width="9.42578125" style="463" customWidth="1"/>
    <col min="13582" max="13582" width="7.140625" style="463" customWidth="1"/>
    <col min="13583" max="13583" width="9.42578125" style="463" customWidth="1"/>
    <col min="13584" max="13584" width="6.7109375" style="463" customWidth="1"/>
    <col min="13585" max="13585" width="8" style="463" customWidth="1"/>
    <col min="13586" max="13586" width="8.28515625" style="463" customWidth="1"/>
    <col min="13587" max="13587" width="7" style="463" customWidth="1"/>
    <col min="13588" max="13588" width="6.7109375" style="463" customWidth="1"/>
    <col min="13589" max="13589" width="7.28515625" style="463" customWidth="1"/>
    <col min="13590" max="13590" width="7.5703125" style="463" customWidth="1"/>
    <col min="13591" max="13591" width="7.140625" style="463" customWidth="1"/>
    <col min="13592" max="13592" width="7.7109375" style="463" customWidth="1"/>
    <col min="13593" max="13593" width="7.42578125" style="463" customWidth="1"/>
    <col min="13594" max="13594" width="7.7109375" style="463" customWidth="1"/>
    <col min="13595" max="13595" width="17.85546875" style="463" customWidth="1"/>
    <col min="13596" max="13827" width="9.140625" style="463"/>
    <col min="13828" max="13828" width="8" style="463" bestFit="1" customWidth="1"/>
    <col min="13829" max="13829" width="65.5703125" style="463" customWidth="1"/>
    <col min="13830" max="13830" width="7.140625" style="463" customWidth="1"/>
    <col min="13831" max="13831" width="7" style="463" customWidth="1"/>
    <col min="13832" max="13832" width="12.7109375" style="463" customWidth="1"/>
    <col min="13833" max="13833" width="10" style="463" customWidth="1"/>
    <col min="13834" max="13834" width="11.85546875" style="463" customWidth="1"/>
    <col min="13835" max="13835" width="6.85546875" style="463" customWidth="1"/>
    <col min="13836" max="13836" width="7.42578125" style="463" customWidth="1"/>
    <col min="13837" max="13837" width="9.42578125" style="463" customWidth="1"/>
    <col min="13838" max="13838" width="7.140625" style="463" customWidth="1"/>
    <col min="13839" max="13839" width="9.42578125" style="463" customWidth="1"/>
    <col min="13840" max="13840" width="6.7109375" style="463" customWidth="1"/>
    <col min="13841" max="13841" width="8" style="463" customWidth="1"/>
    <col min="13842" max="13842" width="8.28515625" style="463" customWidth="1"/>
    <col min="13843" max="13843" width="7" style="463" customWidth="1"/>
    <col min="13844" max="13844" width="6.7109375" style="463" customWidth="1"/>
    <col min="13845" max="13845" width="7.28515625" style="463" customWidth="1"/>
    <col min="13846" max="13846" width="7.5703125" style="463" customWidth="1"/>
    <col min="13847" max="13847" width="7.140625" style="463" customWidth="1"/>
    <col min="13848" max="13848" width="7.7109375" style="463" customWidth="1"/>
    <col min="13849" max="13849" width="7.42578125" style="463" customWidth="1"/>
    <col min="13850" max="13850" width="7.7109375" style="463" customWidth="1"/>
    <col min="13851" max="13851" width="17.85546875" style="463" customWidth="1"/>
    <col min="13852" max="14083" width="9.140625" style="463"/>
    <col min="14084" max="14084" width="8" style="463" bestFit="1" customWidth="1"/>
    <col min="14085" max="14085" width="65.5703125" style="463" customWidth="1"/>
    <col min="14086" max="14086" width="7.140625" style="463" customWidth="1"/>
    <col min="14087" max="14087" width="7" style="463" customWidth="1"/>
    <col min="14088" max="14088" width="12.7109375" style="463" customWidth="1"/>
    <col min="14089" max="14089" width="10" style="463" customWidth="1"/>
    <col min="14090" max="14090" width="11.85546875" style="463" customWidth="1"/>
    <col min="14091" max="14091" width="6.85546875" style="463" customWidth="1"/>
    <col min="14092" max="14092" width="7.42578125" style="463" customWidth="1"/>
    <col min="14093" max="14093" width="9.42578125" style="463" customWidth="1"/>
    <col min="14094" max="14094" width="7.140625" style="463" customWidth="1"/>
    <col min="14095" max="14095" width="9.42578125" style="463" customWidth="1"/>
    <col min="14096" max="14096" width="6.7109375" style="463" customWidth="1"/>
    <col min="14097" max="14097" width="8" style="463" customWidth="1"/>
    <col min="14098" max="14098" width="8.28515625" style="463" customWidth="1"/>
    <col min="14099" max="14099" width="7" style="463" customWidth="1"/>
    <col min="14100" max="14100" width="6.7109375" style="463" customWidth="1"/>
    <col min="14101" max="14101" width="7.28515625" style="463" customWidth="1"/>
    <col min="14102" max="14102" width="7.5703125" style="463" customWidth="1"/>
    <col min="14103" max="14103" width="7.140625" style="463" customWidth="1"/>
    <col min="14104" max="14104" width="7.7109375" style="463" customWidth="1"/>
    <col min="14105" max="14105" width="7.42578125" style="463" customWidth="1"/>
    <col min="14106" max="14106" width="7.7109375" style="463" customWidth="1"/>
    <col min="14107" max="14107" width="17.85546875" style="463" customWidth="1"/>
    <col min="14108" max="14339" width="9.140625" style="463"/>
    <col min="14340" max="14340" width="8" style="463" bestFit="1" customWidth="1"/>
    <col min="14341" max="14341" width="65.5703125" style="463" customWidth="1"/>
    <col min="14342" max="14342" width="7.140625" style="463" customWidth="1"/>
    <col min="14343" max="14343" width="7" style="463" customWidth="1"/>
    <col min="14344" max="14344" width="12.7109375" style="463" customWidth="1"/>
    <col min="14345" max="14345" width="10" style="463" customWidth="1"/>
    <col min="14346" max="14346" width="11.85546875" style="463" customWidth="1"/>
    <col min="14347" max="14347" width="6.85546875" style="463" customWidth="1"/>
    <col min="14348" max="14348" width="7.42578125" style="463" customWidth="1"/>
    <col min="14349" max="14349" width="9.42578125" style="463" customWidth="1"/>
    <col min="14350" max="14350" width="7.140625" style="463" customWidth="1"/>
    <col min="14351" max="14351" width="9.42578125" style="463" customWidth="1"/>
    <col min="14352" max="14352" width="6.7109375" style="463" customWidth="1"/>
    <col min="14353" max="14353" width="8" style="463" customWidth="1"/>
    <col min="14354" max="14354" width="8.28515625" style="463" customWidth="1"/>
    <col min="14355" max="14355" width="7" style="463" customWidth="1"/>
    <col min="14356" max="14356" width="6.7109375" style="463" customWidth="1"/>
    <col min="14357" max="14357" width="7.28515625" style="463" customWidth="1"/>
    <col min="14358" max="14358" width="7.5703125" style="463" customWidth="1"/>
    <col min="14359" max="14359" width="7.140625" style="463" customWidth="1"/>
    <col min="14360" max="14360" width="7.7109375" style="463" customWidth="1"/>
    <col min="14361" max="14361" width="7.42578125" style="463" customWidth="1"/>
    <col min="14362" max="14362" width="7.7109375" style="463" customWidth="1"/>
    <col min="14363" max="14363" width="17.85546875" style="463" customWidth="1"/>
    <col min="14364" max="14595" width="9.140625" style="463"/>
    <col min="14596" max="14596" width="8" style="463" bestFit="1" customWidth="1"/>
    <col min="14597" max="14597" width="65.5703125" style="463" customWidth="1"/>
    <col min="14598" max="14598" width="7.140625" style="463" customWidth="1"/>
    <col min="14599" max="14599" width="7" style="463" customWidth="1"/>
    <col min="14600" max="14600" width="12.7109375" style="463" customWidth="1"/>
    <col min="14601" max="14601" width="10" style="463" customWidth="1"/>
    <col min="14602" max="14602" width="11.85546875" style="463" customWidth="1"/>
    <col min="14603" max="14603" width="6.85546875" style="463" customWidth="1"/>
    <col min="14604" max="14604" width="7.42578125" style="463" customWidth="1"/>
    <col min="14605" max="14605" width="9.42578125" style="463" customWidth="1"/>
    <col min="14606" max="14606" width="7.140625" style="463" customWidth="1"/>
    <col min="14607" max="14607" width="9.42578125" style="463" customWidth="1"/>
    <col min="14608" max="14608" width="6.7109375" style="463" customWidth="1"/>
    <col min="14609" max="14609" width="8" style="463" customWidth="1"/>
    <col min="14610" max="14610" width="8.28515625" style="463" customWidth="1"/>
    <col min="14611" max="14611" width="7" style="463" customWidth="1"/>
    <col min="14612" max="14612" width="6.7109375" style="463" customWidth="1"/>
    <col min="14613" max="14613" width="7.28515625" style="463" customWidth="1"/>
    <col min="14614" max="14614" width="7.5703125" style="463" customWidth="1"/>
    <col min="14615" max="14615" width="7.140625" style="463" customWidth="1"/>
    <col min="14616" max="14616" width="7.7109375" style="463" customWidth="1"/>
    <col min="14617" max="14617" width="7.42578125" style="463" customWidth="1"/>
    <col min="14618" max="14618" width="7.7109375" style="463" customWidth="1"/>
    <col min="14619" max="14619" width="17.85546875" style="463" customWidth="1"/>
    <col min="14620" max="14851" width="9.140625" style="463"/>
    <col min="14852" max="14852" width="8" style="463" bestFit="1" customWidth="1"/>
    <col min="14853" max="14853" width="65.5703125" style="463" customWidth="1"/>
    <col min="14854" max="14854" width="7.140625" style="463" customWidth="1"/>
    <col min="14855" max="14855" width="7" style="463" customWidth="1"/>
    <col min="14856" max="14856" width="12.7109375" style="463" customWidth="1"/>
    <col min="14857" max="14857" width="10" style="463" customWidth="1"/>
    <col min="14858" max="14858" width="11.85546875" style="463" customWidth="1"/>
    <col min="14859" max="14859" width="6.85546875" style="463" customWidth="1"/>
    <col min="14860" max="14860" width="7.42578125" style="463" customWidth="1"/>
    <col min="14861" max="14861" width="9.42578125" style="463" customWidth="1"/>
    <col min="14862" max="14862" width="7.140625" style="463" customWidth="1"/>
    <col min="14863" max="14863" width="9.42578125" style="463" customWidth="1"/>
    <col min="14864" max="14864" width="6.7109375" style="463" customWidth="1"/>
    <col min="14865" max="14865" width="8" style="463" customWidth="1"/>
    <col min="14866" max="14866" width="8.28515625" style="463" customWidth="1"/>
    <col min="14867" max="14867" width="7" style="463" customWidth="1"/>
    <col min="14868" max="14868" width="6.7109375" style="463" customWidth="1"/>
    <col min="14869" max="14869" width="7.28515625" style="463" customWidth="1"/>
    <col min="14870" max="14870" width="7.5703125" style="463" customWidth="1"/>
    <col min="14871" max="14871" width="7.140625" style="463" customWidth="1"/>
    <col min="14872" max="14872" width="7.7109375" style="463" customWidth="1"/>
    <col min="14873" max="14873" width="7.42578125" style="463" customWidth="1"/>
    <col min="14874" max="14874" width="7.7109375" style="463" customWidth="1"/>
    <col min="14875" max="14875" width="17.85546875" style="463" customWidth="1"/>
    <col min="14876" max="15107" width="9.140625" style="463"/>
    <col min="15108" max="15108" width="8" style="463" bestFit="1" customWidth="1"/>
    <col min="15109" max="15109" width="65.5703125" style="463" customWidth="1"/>
    <col min="15110" max="15110" width="7.140625" style="463" customWidth="1"/>
    <col min="15111" max="15111" width="7" style="463" customWidth="1"/>
    <col min="15112" max="15112" width="12.7109375" style="463" customWidth="1"/>
    <col min="15113" max="15113" width="10" style="463" customWidth="1"/>
    <col min="15114" max="15114" width="11.85546875" style="463" customWidth="1"/>
    <col min="15115" max="15115" width="6.85546875" style="463" customWidth="1"/>
    <col min="15116" max="15116" width="7.42578125" style="463" customWidth="1"/>
    <col min="15117" max="15117" width="9.42578125" style="463" customWidth="1"/>
    <col min="15118" max="15118" width="7.140625" style="463" customWidth="1"/>
    <col min="15119" max="15119" width="9.42578125" style="463" customWidth="1"/>
    <col min="15120" max="15120" width="6.7109375" style="463" customWidth="1"/>
    <col min="15121" max="15121" width="8" style="463" customWidth="1"/>
    <col min="15122" max="15122" width="8.28515625" style="463" customWidth="1"/>
    <col min="15123" max="15123" width="7" style="463" customWidth="1"/>
    <col min="15124" max="15124" width="6.7109375" style="463" customWidth="1"/>
    <col min="15125" max="15125" width="7.28515625" style="463" customWidth="1"/>
    <col min="15126" max="15126" width="7.5703125" style="463" customWidth="1"/>
    <col min="15127" max="15127" width="7.140625" style="463" customWidth="1"/>
    <col min="15128" max="15128" width="7.7109375" style="463" customWidth="1"/>
    <col min="15129" max="15129" width="7.42578125" style="463" customWidth="1"/>
    <col min="15130" max="15130" width="7.7109375" style="463" customWidth="1"/>
    <col min="15131" max="15131" width="17.85546875" style="463" customWidth="1"/>
    <col min="15132" max="15363" width="9.140625" style="463"/>
    <col min="15364" max="15364" width="8" style="463" bestFit="1" customWidth="1"/>
    <col min="15365" max="15365" width="65.5703125" style="463" customWidth="1"/>
    <col min="15366" max="15366" width="7.140625" style="463" customWidth="1"/>
    <col min="15367" max="15367" width="7" style="463" customWidth="1"/>
    <col min="15368" max="15368" width="12.7109375" style="463" customWidth="1"/>
    <col min="15369" max="15369" width="10" style="463" customWidth="1"/>
    <col min="15370" max="15370" width="11.85546875" style="463" customWidth="1"/>
    <col min="15371" max="15371" width="6.85546875" style="463" customWidth="1"/>
    <col min="15372" max="15372" width="7.42578125" style="463" customWidth="1"/>
    <col min="15373" max="15373" width="9.42578125" style="463" customWidth="1"/>
    <col min="15374" max="15374" width="7.140625" style="463" customWidth="1"/>
    <col min="15375" max="15375" width="9.42578125" style="463" customWidth="1"/>
    <col min="15376" max="15376" width="6.7109375" style="463" customWidth="1"/>
    <col min="15377" max="15377" width="8" style="463" customWidth="1"/>
    <col min="15378" max="15378" width="8.28515625" style="463" customWidth="1"/>
    <col min="15379" max="15379" width="7" style="463" customWidth="1"/>
    <col min="15380" max="15380" width="6.7109375" style="463" customWidth="1"/>
    <col min="15381" max="15381" width="7.28515625" style="463" customWidth="1"/>
    <col min="15382" max="15382" width="7.5703125" style="463" customWidth="1"/>
    <col min="15383" max="15383" width="7.140625" style="463" customWidth="1"/>
    <col min="15384" max="15384" width="7.7109375" style="463" customWidth="1"/>
    <col min="15385" max="15385" width="7.42578125" style="463" customWidth="1"/>
    <col min="15386" max="15386" width="7.7109375" style="463" customWidth="1"/>
    <col min="15387" max="15387" width="17.85546875" style="463" customWidth="1"/>
    <col min="15388" max="15619" width="9.140625" style="463"/>
    <col min="15620" max="15620" width="8" style="463" bestFit="1" customWidth="1"/>
    <col min="15621" max="15621" width="65.5703125" style="463" customWidth="1"/>
    <col min="15622" max="15622" width="7.140625" style="463" customWidth="1"/>
    <col min="15623" max="15623" width="7" style="463" customWidth="1"/>
    <col min="15624" max="15624" width="12.7109375" style="463" customWidth="1"/>
    <col min="15625" max="15625" width="10" style="463" customWidth="1"/>
    <col min="15626" max="15626" width="11.85546875" style="463" customWidth="1"/>
    <col min="15627" max="15627" width="6.85546875" style="463" customWidth="1"/>
    <col min="15628" max="15628" width="7.42578125" style="463" customWidth="1"/>
    <col min="15629" max="15629" width="9.42578125" style="463" customWidth="1"/>
    <col min="15630" max="15630" width="7.140625" style="463" customWidth="1"/>
    <col min="15631" max="15631" width="9.42578125" style="463" customWidth="1"/>
    <col min="15632" max="15632" width="6.7109375" style="463" customWidth="1"/>
    <col min="15633" max="15633" width="8" style="463" customWidth="1"/>
    <col min="15634" max="15634" width="8.28515625" style="463" customWidth="1"/>
    <col min="15635" max="15635" width="7" style="463" customWidth="1"/>
    <col min="15636" max="15636" width="6.7109375" style="463" customWidth="1"/>
    <col min="15637" max="15637" width="7.28515625" style="463" customWidth="1"/>
    <col min="15638" max="15638" width="7.5703125" style="463" customWidth="1"/>
    <col min="15639" max="15639" width="7.140625" style="463" customWidth="1"/>
    <col min="15640" max="15640" width="7.7109375" style="463" customWidth="1"/>
    <col min="15641" max="15641" width="7.42578125" style="463" customWidth="1"/>
    <col min="15642" max="15642" width="7.7109375" style="463" customWidth="1"/>
    <col min="15643" max="15643" width="17.85546875" style="463" customWidth="1"/>
    <col min="15644" max="15875" width="9.140625" style="463"/>
    <col min="15876" max="15876" width="8" style="463" bestFit="1" customWidth="1"/>
    <col min="15877" max="15877" width="65.5703125" style="463" customWidth="1"/>
    <col min="15878" max="15878" width="7.140625" style="463" customWidth="1"/>
    <col min="15879" max="15879" width="7" style="463" customWidth="1"/>
    <col min="15880" max="15880" width="12.7109375" style="463" customWidth="1"/>
    <col min="15881" max="15881" width="10" style="463" customWidth="1"/>
    <col min="15882" max="15882" width="11.85546875" style="463" customWidth="1"/>
    <col min="15883" max="15883" width="6.85546875" style="463" customWidth="1"/>
    <col min="15884" max="15884" width="7.42578125" style="463" customWidth="1"/>
    <col min="15885" max="15885" width="9.42578125" style="463" customWidth="1"/>
    <col min="15886" max="15886" width="7.140625" style="463" customWidth="1"/>
    <col min="15887" max="15887" width="9.42578125" style="463" customWidth="1"/>
    <col min="15888" max="15888" width="6.7109375" style="463" customWidth="1"/>
    <col min="15889" max="15889" width="8" style="463" customWidth="1"/>
    <col min="15890" max="15890" width="8.28515625" style="463" customWidth="1"/>
    <col min="15891" max="15891" width="7" style="463" customWidth="1"/>
    <col min="15892" max="15892" width="6.7109375" style="463" customWidth="1"/>
    <col min="15893" max="15893" width="7.28515625" style="463" customWidth="1"/>
    <col min="15894" max="15894" width="7.5703125" style="463" customWidth="1"/>
    <col min="15895" max="15895" width="7.140625" style="463" customWidth="1"/>
    <col min="15896" max="15896" width="7.7109375" style="463" customWidth="1"/>
    <col min="15897" max="15897" width="7.42578125" style="463" customWidth="1"/>
    <col min="15898" max="15898" width="7.7109375" style="463" customWidth="1"/>
    <col min="15899" max="15899" width="17.85546875" style="463" customWidth="1"/>
    <col min="15900" max="16131" width="9.140625" style="463"/>
    <col min="16132" max="16132" width="8" style="463" bestFit="1" customWidth="1"/>
    <col min="16133" max="16133" width="65.5703125" style="463" customWidth="1"/>
    <col min="16134" max="16134" width="7.140625" style="463" customWidth="1"/>
    <col min="16135" max="16135" width="7" style="463" customWidth="1"/>
    <col min="16136" max="16136" width="12.7109375" style="463" customWidth="1"/>
    <col min="16137" max="16137" width="10" style="463" customWidth="1"/>
    <col min="16138" max="16138" width="11.85546875" style="463" customWidth="1"/>
    <col min="16139" max="16139" width="6.85546875" style="463" customWidth="1"/>
    <col min="16140" max="16140" width="7.42578125" style="463" customWidth="1"/>
    <col min="16141" max="16141" width="9.42578125" style="463" customWidth="1"/>
    <col min="16142" max="16142" width="7.140625" style="463" customWidth="1"/>
    <col min="16143" max="16143" width="9.42578125" style="463" customWidth="1"/>
    <col min="16144" max="16144" width="6.7109375" style="463" customWidth="1"/>
    <col min="16145" max="16145" width="8" style="463" customWidth="1"/>
    <col min="16146" max="16146" width="8.28515625" style="463" customWidth="1"/>
    <col min="16147" max="16147" width="7" style="463" customWidth="1"/>
    <col min="16148" max="16148" width="6.7109375" style="463" customWidth="1"/>
    <col min="16149" max="16149" width="7.28515625" style="463" customWidth="1"/>
    <col min="16150" max="16150" width="7.5703125" style="463" customWidth="1"/>
    <col min="16151" max="16151" width="7.140625" style="463" customWidth="1"/>
    <col min="16152" max="16152" width="7.7109375" style="463" customWidth="1"/>
    <col min="16153" max="16153" width="7.42578125" style="463" customWidth="1"/>
    <col min="16154" max="16154" width="7.7109375" style="463" customWidth="1"/>
    <col min="16155" max="16155" width="17.85546875" style="463" customWidth="1"/>
    <col min="16156" max="16384" width="9.140625" style="463"/>
  </cols>
  <sheetData>
    <row r="1" spans="1:27" s="460" customFormat="1" ht="17.25" customHeight="1">
      <c r="A1" s="1183" t="s">
        <v>183</v>
      </c>
      <c r="B1" s="1183"/>
      <c r="D1" s="461"/>
      <c r="J1" s="462"/>
    </row>
    <row r="2" spans="1:27" ht="45" customHeight="1">
      <c r="A2" s="1184" t="s">
        <v>464</v>
      </c>
      <c r="B2" s="1185"/>
      <c r="C2" s="1185"/>
      <c r="D2" s="1185"/>
      <c r="E2" s="1185"/>
      <c r="F2" s="1185"/>
      <c r="G2" s="1185"/>
      <c r="H2" s="1185"/>
      <c r="I2" s="1185"/>
      <c r="J2" s="1186"/>
      <c r="K2" s="1185"/>
      <c r="L2" s="1185"/>
      <c r="M2" s="1185"/>
      <c r="N2" s="1185"/>
      <c r="O2" s="1185"/>
      <c r="P2" s="1185"/>
      <c r="Q2" s="1185"/>
      <c r="R2" s="1185"/>
      <c r="S2" s="1185"/>
      <c r="T2" s="1185"/>
      <c r="U2" s="1185"/>
      <c r="V2" s="1185"/>
      <c r="W2" s="1185"/>
      <c r="X2" s="1185"/>
      <c r="Y2" s="1185"/>
      <c r="Z2" s="1185"/>
      <c r="AA2" s="1187"/>
    </row>
    <row r="3" spans="1:27" ht="15" customHeight="1">
      <c r="A3" s="464"/>
      <c r="B3" s="465"/>
      <c r="C3" s="466"/>
      <c r="D3" s="467"/>
      <c r="E3" s="466"/>
      <c r="F3" s="466"/>
      <c r="G3" s="466"/>
      <c r="H3" s="466"/>
      <c r="I3" s="466"/>
      <c r="J3" s="468"/>
      <c r="K3" s="466"/>
      <c r="L3" s="466"/>
      <c r="M3" s="466"/>
      <c r="N3" s="466"/>
      <c r="O3" s="466"/>
      <c r="P3" s="466"/>
      <c r="Q3" s="466"/>
      <c r="R3" s="466"/>
      <c r="S3" s="466"/>
      <c r="T3" s="466"/>
      <c r="U3" s="466"/>
      <c r="V3" s="466"/>
      <c r="W3" s="466"/>
      <c r="X3" s="466"/>
      <c r="Y3" s="466"/>
      <c r="Z3" s="466"/>
      <c r="AA3" s="469"/>
    </row>
    <row r="4" spans="1:27" s="461" customFormat="1" ht="15" customHeight="1">
      <c r="A4" s="1188" t="s">
        <v>1</v>
      </c>
      <c r="B4" s="1190" t="s">
        <v>132</v>
      </c>
      <c r="C4" s="1192" t="s">
        <v>3</v>
      </c>
      <c r="D4" s="1192"/>
      <c r="E4" s="1192" t="s">
        <v>465</v>
      </c>
      <c r="F4" s="1192" t="s">
        <v>182</v>
      </c>
      <c r="G4" s="1194" t="s">
        <v>133</v>
      </c>
      <c r="H4" s="1195"/>
      <c r="I4" s="1195"/>
      <c r="J4" s="1196"/>
      <c r="K4" s="1195"/>
      <c r="L4" s="1195"/>
      <c r="M4" s="1195"/>
      <c r="N4" s="1195"/>
      <c r="O4" s="1195"/>
      <c r="P4" s="1195"/>
      <c r="Q4" s="1195"/>
      <c r="R4" s="1195"/>
      <c r="S4" s="1195"/>
      <c r="T4" s="1195"/>
      <c r="U4" s="1195"/>
      <c r="V4" s="1195"/>
      <c r="W4" s="1195"/>
      <c r="X4" s="1195"/>
      <c r="Y4" s="1195"/>
      <c r="Z4" s="1197"/>
      <c r="AA4" s="1192" t="s">
        <v>466</v>
      </c>
    </row>
    <row r="5" spans="1:27" ht="31.5" customHeight="1">
      <c r="A5" s="1189"/>
      <c r="B5" s="1191"/>
      <c r="C5" s="1193"/>
      <c r="D5" s="1193"/>
      <c r="E5" s="1193"/>
      <c r="F5" s="1193"/>
      <c r="G5" s="470" t="s">
        <v>467</v>
      </c>
      <c r="H5" s="1198" t="s">
        <v>134</v>
      </c>
      <c r="I5" s="1199"/>
      <c r="J5" s="1200"/>
      <c r="K5" s="1199"/>
      <c r="L5" s="1199"/>
      <c r="M5" s="1199"/>
      <c r="N5" s="1199"/>
      <c r="O5" s="1199"/>
      <c r="P5" s="1199"/>
      <c r="Q5" s="1199"/>
      <c r="R5" s="1199"/>
      <c r="S5" s="1199"/>
      <c r="T5" s="1199"/>
      <c r="U5" s="1199"/>
      <c r="V5" s="1199"/>
      <c r="W5" s="1199"/>
      <c r="X5" s="1199"/>
      <c r="Y5" s="1199"/>
      <c r="Z5" s="1201"/>
      <c r="AA5" s="1193"/>
    </row>
    <row r="6" spans="1:27">
      <c r="A6" s="471">
        <v>-1</v>
      </c>
      <c r="B6" s="472">
        <v>-2</v>
      </c>
      <c r="C6" s="1177">
        <v>-3</v>
      </c>
      <c r="D6" s="1177"/>
      <c r="E6" s="473" t="s">
        <v>359</v>
      </c>
      <c r="F6" s="474">
        <v>-5</v>
      </c>
      <c r="G6" s="474">
        <v>-6</v>
      </c>
      <c r="H6" s="474">
        <v>-7</v>
      </c>
      <c r="I6" s="474"/>
      <c r="J6" s="475">
        <v>-8</v>
      </c>
      <c r="K6" s="474">
        <v>-9</v>
      </c>
      <c r="L6" s="474"/>
      <c r="M6" s="474"/>
      <c r="N6" s="474">
        <v>-10</v>
      </c>
      <c r="O6" s="474"/>
      <c r="P6" s="474"/>
      <c r="Q6" s="474"/>
      <c r="R6" s="474"/>
      <c r="S6" s="474"/>
      <c r="T6" s="474">
        <v>-11</v>
      </c>
      <c r="U6" s="474">
        <v>-12</v>
      </c>
      <c r="V6" s="474"/>
      <c r="W6" s="474"/>
      <c r="X6" s="474"/>
      <c r="Y6" s="474">
        <v>-13</v>
      </c>
      <c r="Z6" s="474">
        <v>-14</v>
      </c>
      <c r="AA6" s="474">
        <v>-15</v>
      </c>
    </row>
    <row r="7" spans="1:27" ht="31.5">
      <c r="A7" s="476"/>
      <c r="B7" s="477"/>
      <c r="C7" s="478"/>
      <c r="D7" s="478"/>
      <c r="E7" s="479"/>
      <c r="F7" s="480"/>
      <c r="G7" s="481"/>
      <c r="H7" s="482" t="s">
        <v>9</v>
      </c>
      <c r="I7" s="483" t="s">
        <v>11</v>
      </c>
      <c r="J7" s="484" t="s">
        <v>13</v>
      </c>
      <c r="K7" s="485" t="s">
        <v>15</v>
      </c>
      <c r="L7" s="484" t="s">
        <v>19</v>
      </c>
      <c r="M7" s="484" t="s">
        <v>17</v>
      </c>
      <c r="N7" s="484" t="s">
        <v>21</v>
      </c>
      <c r="O7" s="484" t="s">
        <v>23</v>
      </c>
      <c r="P7" s="484" t="s">
        <v>31</v>
      </c>
      <c r="Q7" s="484" t="s">
        <v>192</v>
      </c>
      <c r="R7" s="484" t="s">
        <v>193</v>
      </c>
      <c r="S7" s="484" t="s">
        <v>204</v>
      </c>
      <c r="T7" s="484" t="s">
        <v>55</v>
      </c>
      <c r="U7" s="484" t="s">
        <v>53</v>
      </c>
      <c r="V7" s="484" t="s">
        <v>57</v>
      </c>
      <c r="W7" s="484" t="s">
        <v>64</v>
      </c>
      <c r="X7" s="484" t="s">
        <v>68</v>
      </c>
      <c r="Y7" s="484" t="s">
        <v>74</v>
      </c>
      <c r="Z7" s="484" t="s">
        <v>80</v>
      </c>
      <c r="AA7" s="480"/>
    </row>
    <row r="8" spans="1:27" ht="31.5">
      <c r="A8" s="486">
        <v>1</v>
      </c>
      <c r="B8" s="487" t="s">
        <v>468</v>
      </c>
      <c r="C8" s="488"/>
      <c r="D8" s="488"/>
      <c r="E8" s="489"/>
      <c r="F8" s="490"/>
      <c r="G8" s="490"/>
      <c r="H8" s="491"/>
      <c r="I8" s="491"/>
      <c r="J8" s="492"/>
      <c r="K8" s="493"/>
      <c r="L8" s="493"/>
      <c r="M8" s="493"/>
      <c r="N8" s="493"/>
      <c r="O8" s="493"/>
      <c r="P8" s="493"/>
      <c r="Q8" s="493"/>
      <c r="R8" s="493"/>
      <c r="S8" s="493"/>
      <c r="T8" s="493"/>
      <c r="U8" s="493"/>
      <c r="V8" s="493"/>
      <c r="W8" s="493"/>
      <c r="X8" s="493"/>
      <c r="Y8" s="493"/>
      <c r="Z8" s="493"/>
      <c r="AA8" s="490"/>
    </row>
    <row r="9" spans="1:27" ht="31.5">
      <c r="A9" s="494" t="s">
        <v>139</v>
      </c>
      <c r="B9" s="495" t="s">
        <v>184</v>
      </c>
      <c r="C9" s="496"/>
      <c r="D9" s="496"/>
      <c r="E9" s="497"/>
      <c r="F9" s="497"/>
      <c r="G9" s="497"/>
      <c r="H9" s="497"/>
      <c r="I9" s="497"/>
      <c r="J9" s="498"/>
      <c r="K9" s="497"/>
      <c r="L9" s="497"/>
      <c r="M9" s="497"/>
      <c r="N9" s="497"/>
      <c r="O9" s="497"/>
      <c r="P9" s="497"/>
      <c r="Q9" s="497"/>
      <c r="R9" s="497"/>
      <c r="S9" s="497"/>
      <c r="T9" s="497"/>
      <c r="U9" s="497"/>
      <c r="V9" s="497"/>
      <c r="W9" s="497"/>
      <c r="X9" s="497"/>
      <c r="Y9" s="497"/>
      <c r="Z9" s="497"/>
      <c r="AA9" s="499"/>
    </row>
    <row r="10" spans="1:27">
      <c r="A10" s="500">
        <v>1</v>
      </c>
      <c r="B10" s="501" t="s">
        <v>469</v>
      </c>
      <c r="C10" s="502" t="s">
        <v>33</v>
      </c>
      <c r="D10" s="496" t="s">
        <v>33</v>
      </c>
      <c r="E10" s="503">
        <f t="shared" ref="E10:E81" si="0">F10+G10</f>
        <v>2.2999999999999998</v>
      </c>
      <c r="F10" s="503"/>
      <c r="G10" s="503">
        <f>H10+SUM(J10:Z10)</f>
        <v>2.2999999999999998</v>
      </c>
      <c r="H10" s="503"/>
      <c r="I10" s="503"/>
      <c r="J10" s="504">
        <v>1</v>
      </c>
      <c r="K10" s="503">
        <v>1.3</v>
      </c>
      <c r="L10" s="503"/>
      <c r="M10" s="503"/>
      <c r="N10" s="503"/>
      <c r="O10" s="503"/>
      <c r="P10" s="503"/>
      <c r="Q10" s="503"/>
      <c r="R10" s="503"/>
      <c r="S10" s="503"/>
      <c r="T10" s="503"/>
      <c r="U10" s="503"/>
      <c r="V10" s="503"/>
      <c r="W10" s="503"/>
      <c r="X10" s="503"/>
      <c r="Y10" s="503"/>
      <c r="Z10" s="503"/>
      <c r="AA10" s="505" t="s">
        <v>168</v>
      </c>
    </row>
    <row r="11" spans="1:27">
      <c r="A11" s="500">
        <v>2</v>
      </c>
      <c r="B11" s="501" t="s">
        <v>470</v>
      </c>
      <c r="C11" s="502" t="s">
        <v>33</v>
      </c>
      <c r="D11" s="496" t="s">
        <v>33</v>
      </c>
      <c r="E11" s="503">
        <f t="shared" si="0"/>
        <v>0.2</v>
      </c>
      <c r="F11" s="503">
        <v>0.2</v>
      </c>
      <c r="G11" s="503">
        <f t="shared" ref="G11:G75" si="1">H11+SUM(J11:Z11)</f>
        <v>0</v>
      </c>
      <c r="H11" s="503"/>
      <c r="I11" s="503"/>
      <c r="J11" s="504"/>
      <c r="K11" s="503"/>
      <c r="L11" s="503"/>
      <c r="M11" s="503"/>
      <c r="N11" s="503"/>
      <c r="O11" s="503"/>
      <c r="P11" s="503"/>
      <c r="Q11" s="503"/>
      <c r="R11" s="503"/>
      <c r="S11" s="503"/>
      <c r="T11" s="503"/>
      <c r="U11" s="503"/>
      <c r="V11" s="503"/>
      <c r="W11" s="503"/>
      <c r="X11" s="503"/>
      <c r="Y11" s="503"/>
      <c r="Z11" s="503"/>
      <c r="AA11" s="505" t="s">
        <v>168</v>
      </c>
    </row>
    <row r="12" spans="1:27">
      <c r="A12" s="500">
        <v>3</v>
      </c>
      <c r="B12" s="501" t="s">
        <v>471</v>
      </c>
      <c r="C12" s="502" t="s">
        <v>33</v>
      </c>
      <c r="D12" s="496" t="s">
        <v>33</v>
      </c>
      <c r="E12" s="503">
        <f t="shared" si="0"/>
        <v>0.15</v>
      </c>
      <c r="F12" s="503"/>
      <c r="G12" s="503">
        <f t="shared" si="1"/>
        <v>0.15</v>
      </c>
      <c r="H12" s="503"/>
      <c r="I12" s="503"/>
      <c r="J12" s="504"/>
      <c r="K12" s="503"/>
      <c r="L12" s="503"/>
      <c r="M12" s="503"/>
      <c r="N12" s="503"/>
      <c r="O12" s="503"/>
      <c r="P12" s="503"/>
      <c r="Q12" s="503"/>
      <c r="R12" s="503"/>
      <c r="S12" s="503"/>
      <c r="T12" s="503"/>
      <c r="U12" s="503"/>
      <c r="V12" s="503">
        <v>0.15</v>
      </c>
      <c r="W12" s="503"/>
      <c r="X12" s="503"/>
      <c r="Y12" s="503"/>
      <c r="Z12" s="503"/>
      <c r="AA12" s="505" t="s">
        <v>174</v>
      </c>
    </row>
    <row r="13" spans="1:27">
      <c r="A13" s="500">
        <v>4</v>
      </c>
      <c r="B13" s="501" t="s">
        <v>472</v>
      </c>
      <c r="C13" s="502" t="s">
        <v>33</v>
      </c>
      <c r="D13" s="496" t="s">
        <v>33</v>
      </c>
      <c r="E13" s="503">
        <f t="shared" si="0"/>
        <v>0.1</v>
      </c>
      <c r="F13" s="503"/>
      <c r="G13" s="503">
        <f t="shared" si="1"/>
        <v>0.1</v>
      </c>
      <c r="H13" s="503"/>
      <c r="I13" s="503"/>
      <c r="J13" s="504"/>
      <c r="K13" s="503"/>
      <c r="L13" s="503"/>
      <c r="M13" s="503"/>
      <c r="N13" s="503"/>
      <c r="O13" s="503"/>
      <c r="P13" s="503"/>
      <c r="Q13" s="503"/>
      <c r="R13" s="503"/>
      <c r="S13" s="503"/>
      <c r="T13" s="503"/>
      <c r="U13" s="503"/>
      <c r="V13" s="503">
        <v>0.1</v>
      </c>
      <c r="W13" s="503"/>
      <c r="X13" s="503"/>
      <c r="Y13" s="503"/>
      <c r="Z13" s="503"/>
      <c r="AA13" s="505" t="s">
        <v>189</v>
      </c>
    </row>
    <row r="14" spans="1:27">
      <c r="A14" s="500">
        <v>5</v>
      </c>
      <c r="B14" s="501" t="s">
        <v>329</v>
      </c>
      <c r="C14" s="502" t="s">
        <v>33</v>
      </c>
      <c r="D14" s="496" t="s">
        <v>33</v>
      </c>
      <c r="E14" s="503">
        <f t="shared" si="0"/>
        <v>0.06</v>
      </c>
      <c r="F14" s="503"/>
      <c r="G14" s="503">
        <f t="shared" si="1"/>
        <v>0.06</v>
      </c>
      <c r="H14" s="503"/>
      <c r="I14" s="503"/>
      <c r="J14" s="504"/>
      <c r="K14" s="503"/>
      <c r="L14" s="503"/>
      <c r="M14" s="503"/>
      <c r="N14" s="503"/>
      <c r="O14" s="503"/>
      <c r="P14" s="503"/>
      <c r="Q14" s="503">
        <v>0.06</v>
      </c>
      <c r="R14" s="503"/>
      <c r="S14" s="503"/>
      <c r="T14" s="503"/>
      <c r="U14" s="503"/>
      <c r="V14" s="503"/>
      <c r="W14" s="503"/>
      <c r="X14" s="503"/>
      <c r="Y14" s="503"/>
      <c r="Z14" s="503"/>
      <c r="AA14" s="505" t="s">
        <v>190</v>
      </c>
    </row>
    <row r="15" spans="1:27">
      <c r="A15" s="500">
        <v>6</v>
      </c>
      <c r="B15" s="501" t="s">
        <v>473</v>
      </c>
      <c r="C15" s="502" t="s">
        <v>33</v>
      </c>
      <c r="D15" s="496" t="s">
        <v>33</v>
      </c>
      <c r="E15" s="503">
        <f t="shared" si="0"/>
        <v>0.14000000000000001</v>
      </c>
      <c r="F15" s="503"/>
      <c r="G15" s="503">
        <f t="shared" si="1"/>
        <v>0.14000000000000001</v>
      </c>
      <c r="H15" s="503"/>
      <c r="I15" s="503"/>
      <c r="J15" s="504"/>
      <c r="K15" s="503"/>
      <c r="L15" s="503"/>
      <c r="M15" s="503"/>
      <c r="N15" s="503"/>
      <c r="O15" s="503"/>
      <c r="P15" s="503"/>
      <c r="Q15" s="503"/>
      <c r="R15" s="503"/>
      <c r="S15" s="503">
        <v>0.14000000000000001</v>
      </c>
      <c r="T15" s="503"/>
      <c r="U15" s="503"/>
      <c r="V15" s="503"/>
      <c r="W15" s="503"/>
      <c r="X15" s="503"/>
      <c r="Y15" s="503"/>
      <c r="Z15" s="503"/>
      <c r="AA15" s="505" t="s">
        <v>172</v>
      </c>
    </row>
    <row r="16" spans="1:27">
      <c r="A16" s="500">
        <v>7</v>
      </c>
      <c r="B16" s="501" t="s">
        <v>343</v>
      </c>
      <c r="C16" s="502" t="s">
        <v>33</v>
      </c>
      <c r="D16" s="496" t="s">
        <v>33</v>
      </c>
      <c r="E16" s="503">
        <f t="shared" si="0"/>
        <v>0.12</v>
      </c>
      <c r="F16" s="503"/>
      <c r="G16" s="503">
        <f t="shared" si="1"/>
        <v>0.12</v>
      </c>
      <c r="H16" s="503"/>
      <c r="I16" s="503"/>
      <c r="J16" s="504">
        <v>0.12</v>
      </c>
      <c r="K16" s="503"/>
      <c r="L16" s="503"/>
      <c r="M16" s="503"/>
      <c r="N16" s="503"/>
      <c r="O16" s="503"/>
      <c r="P16" s="503"/>
      <c r="Q16" s="503"/>
      <c r="R16" s="503"/>
      <c r="S16" s="503"/>
      <c r="T16" s="503"/>
      <c r="U16" s="503"/>
      <c r="V16" s="503"/>
      <c r="W16" s="503"/>
      <c r="X16" s="503"/>
      <c r="Y16" s="503"/>
      <c r="Z16" s="503"/>
      <c r="AA16" s="505" t="s">
        <v>170</v>
      </c>
    </row>
    <row r="17" spans="1:27">
      <c r="A17" s="500">
        <v>8</v>
      </c>
      <c r="B17" s="501" t="s">
        <v>344</v>
      </c>
      <c r="C17" s="502" t="s">
        <v>33</v>
      </c>
      <c r="D17" s="496" t="s">
        <v>33</v>
      </c>
      <c r="E17" s="503">
        <f t="shared" si="0"/>
        <v>0.1</v>
      </c>
      <c r="F17" s="503"/>
      <c r="G17" s="503">
        <f t="shared" si="1"/>
        <v>0.1</v>
      </c>
      <c r="H17" s="503"/>
      <c r="I17" s="503"/>
      <c r="J17" s="504"/>
      <c r="K17" s="503"/>
      <c r="L17" s="503"/>
      <c r="M17" s="503"/>
      <c r="N17" s="503"/>
      <c r="O17" s="503"/>
      <c r="P17" s="503"/>
      <c r="Q17" s="503"/>
      <c r="R17" s="503"/>
      <c r="S17" s="503"/>
      <c r="T17" s="503"/>
      <c r="U17" s="503"/>
      <c r="V17" s="503">
        <v>0.1</v>
      </c>
      <c r="W17" s="503"/>
      <c r="X17" s="503"/>
      <c r="Y17" s="503"/>
      <c r="Z17" s="503"/>
      <c r="AA17" s="505" t="s">
        <v>169</v>
      </c>
    </row>
    <row r="18" spans="1:27">
      <c r="A18" s="500">
        <v>9</v>
      </c>
      <c r="B18" s="501" t="s">
        <v>474</v>
      </c>
      <c r="C18" s="502" t="s">
        <v>33</v>
      </c>
      <c r="D18" s="496" t="s">
        <v>33</v>
      </c>
      <c r="E18" s="503">
        <f t="shared" si="0"/>
        <v>0.1</v>
      </c>
      <c r="F18" s="503"/>
      <c r="G18" s="503">
        <f t="shared" si="1"/>
        <v>0.1</v>
      </c>
      <c r="H18" s="503"/>
      <c r="I18" s="503"/>
      <c r="J18" s="504"/>
      <c r="K18" s="503">
        <v>0.08</v>
      </c>
      <c r="L18" s="503"/>
      <c r="M18" s="503"/>
      <c r="N18" s="503"/>
      <c r="O18" s="503"/>
      <c r="P18" s="503"/>
      <c r="Q18" s="503"/>
      <c r="R18" s="503"/>
      <c r="S18" s="503"/>
      <c r="T18" s="503"/>
      <c r="U18" s="503">
        <v>0.02</v>
      </c>
      <c r="V18" s="503"/>
      <c r="W18" s="503"/>
      <c r="X18" s="503"/>
      <c r="Y18" s="503"/>
      <c r="Z18" s="503"/>
      <c r="AA18" s="505" t="s">
        <v>197</v>
      </c>
    </row>
    <row r="19" spans="1:27">
      <c r="A19" s="500">
        <v>10</v>
      </c>
      <c r="B19" s="501" t="s">
        <v>475</v>
      </c>
      <c r="C19" s="502" t="s">
        <v>33</v>
      </c>
      <c r="D19" s="496" t="s">
        <v>33</v>
      </c>
      <c r="E19" s="503">
        <f t="shared" si="0"/>
        <v>0.1</v>
      </c>
      <c r="F19" s="503"/>
      <c r="G19" s="503">
        <f t="shared" si="1"/>
        <v>0.1</v>
      </c>
      <c r="H19" s="503"/>
      <c r="I19" s="503"/>
      <c r="J19" s="504"/>
      <c r="K19" s="503">
        <v>0.1</v>
      </c>
      <c r="L19" s="503"/>
      <c r="M19" s="503"/>
      <c r="N19" s="503"/>
      <c r="O19" s="503"/>
      <c r="P19" s="503"/>
      <c r="Q19" s="503"/>
      <c r="R19" s="503"/>
      <c r="S19" s="503"/>
      <c r="T19" s="503"/>
      <c r="U19" s="503"/>
      <c r="V19" s="503"/>
      <c r="W19" s="503"/>
      <c r="X19" s="503"/>
      <c r="Y19" s="503"/>
      <c r="Z19" s="503"/>
      <c r="AA19" s="505" t="s">
        <v>191</v>
      </c>
    </row>
    <row r="20" spans="1:27">
      <c r="A20" s="500">
        <v>11</v>
      </c>
      <c r="B20" s="501" t="s">
        <v>476</v>
      </c>
      <c r="C20" s="502" t="s">
        <v>33</v>
      </c>
      <c r="D20" s="496" t="s">
        <v>33</v>
      </c>
      <c r="E20" s="503">
        <f t="shared" si="0"/>
        <v>0.08</v>
      </c>
      <c r="F20" s="503"/>
      <c r="G20" s="503">
        <f t="shared" si="1"/>
        <v>0.08</v>
      </c>
      <c r="H20" s="503"/>
      <c r="I20" s="503"/>
      <c r="J20" s="504">
        <v>0.08</v>
      </c>
      <c r="K20" s="503"/>
      <c r="L20" s="503"/>
      <c r="M20" s="503"/>
      <c r="N20" s="503"/>
      <c r="O20" s="503"/>
      <c r="P20" s="503"/>
      <c r="Q20" s="503"/>
      <c r="R20" s="503"/>
      <c r="S20" s="503"/>
      <c r="T20" s="503"/>
      <c r="U20" s="503"/>
      <c r="V20" s="503"/>
      <c r="W20" s="503"/>
      <c r="X20" s="503"/>
      <c r="Y20" s="503"/>
      <c r="Z20" s="503"/>
      <c r="AA20" s="505" t="s">
        <v>173</v>
      </c>
    </row>
    <row r="21" spans="1:27">
      <c r="A21" s="500">
        <v>12</v>
      </c>
      <c r="B21" s="501" t="s">
        <v>477</v>
      </c>
      <c r="C21" s="502" t="s">
        <v>33</v>
      </c>
      <c r="D21" s="496" t="s">
        <v>33</v>
      </c>
      <c r="E21" s="503">
        <f t="shared" si="0"/>
        <v>0.1</v>
      </c>
      <c r="F21" s="503"/>
      <c r="G21" s="503">
        <f t="shared" si="1"/>
        <v>0.1</v>
      </c>
      <c r="H21" s="503"/>
      <c r="I21" s="503"/>
      <c r="J21" s="504"/>
      <c r="K21" s="503">
        <v>0.1</v>
      </c>
      <c r="L21" s="503"/>
      <c r="M21" s="503"/>
      <c r="N21" s="503"/>
      <c r="O21" s="503"/>
      <c r="P21" s="503"/>
      <c r="Q21" s="503"/>
      <c r="R21" s="503"/>
      <c r="S21" s="503"/>
      <c r="T21" s="503"/>
      <c r="U21" s="503"/>
      <c r="V21" s="503"/>
      <c r="W21" s="503"/>
      <c r="X21" s="503"/>
      <c r="Y21" s="503"/>
      <c r="Z21" s="503"/>
      <c r="AA21" s="505" t="s">
        <v>171</v>
      </c>
    </row>
    <row r="22" spans="1:27">
      <c r="A22" s="500">
        <v>13</v>
      </c>
      <c r="B22" s="501" t="s">
        <v>478</v>
      </c>
      <c r="C22" s="502" t="s">
        <v>31</v>
      </c>
      <c r="D22" s="496" t="s">
        <v>31</v>
      </c>
      <c r="E22" s="503">
        <f t="shared" si="0"/>
        <v>0.1</v>
      </c>
      <c r="F22" s="503"/>
      <c r="G22" s="503">
        <f t="shared" si="1"/>
        <v>0.1</v>
      </c>
      <c r="H22" s="503"/>
      <c r="I22" s="503"/>
      <c r="J22" s="504">
        <v>0.1</v>
      </c>
      <c r="K22" s="503"/>
      <c r="L22" s="503"/>
      <c r="M22" s="503"/>
      <c r="N22" s="503"/>
      <c r="O22" s="503"/>
      <c r="P22" s="503"/>
      <c r="Q22" s="503"/>
      <c r="R22" s="503"/>
      <c r="S22" s="503"/>
      <c r="T22" s="503"/>
      <c r="U22" s="503"/>
      <c r="V22" s="503"/>
      <c r="W22" s="503"/>
      <c r="X22" s="503"/>
      <c r="Y22" s="503"/>
      <c r="Z22" s="503"/>
      <c r="AA22" s="505" t="s">
        <v>168</v>
      </c>
    </row>
    <row r="23" spans="1:27">
      <c r="A23" s="500">
        <v>14</v>
      </c>
      <c r="B23" s="501" t="s">
        <v>479</v>
      </c>
      <c r="C23" s="502" t="s">
        <v>31</v>
      </c>
      <c r="D23" s="496" t="s">
        <v>31</v>
      </c>
      <c r="E23" s="503">
        <f t="shared" si="0"/>
        <v>18.447700000000001</v>
      </c>
      <c r="F23" s="503"/>
      <c r="G23" s="503">
        <f t="shared" si="1"/>
        <v>18.447700000000001</v>
      </c>
      <c r="H23" s="503"/>
      <c r="I23" s="503"/>
      <c r="J23" s="504">
        <v>10</v>
      </c>
      <c r="K23" s="503">
        <f>5.03+34177/10000</f>
        <v>8.4477000000000011</v>
      </c>
      <c r="L23" s="503"/>
      <c r="M23" s="503"/>
      <c r="N23" s="503"/>
      <c r="O23" s="503"/>
      <c r="P23" s="503"/>
      <c r="Q23" s="503"/>
      <c r="R23" s="503"/>
      <c r="S23" s="503"/>
      <c r="T23" s="503"/>
      <c r="U23" s="503"/>
      <c r="V23" s="503"/>
      <c r="W23" s="503"/>
      <c r="X23" s="503"/>
      <c r="Y23" s="503"/>
      <c r="Z23" s="503"/>
      <c r="AA23" s="505" t="s">
        <v>168</v>
      </c>
    </row>
    <row r="24" spans="1:27">
      <c r="A24" s="500">
        <v>15</v>
      </c>
      <c r="B24" s="501" t="s">
        <v>479</v>
      </c>
      <c r="C24" s="502" t="s">
        <v>31</v>
      </c>
      <c r="D24" s="496" t="s">
        <v>31</v>
      </c>
      <c r="E24" s="503">
        <f t="shared" si="0"/>
        <v>51.01</v>
      </c>
      <c r="F24" s="503"/>
      <c r="G24" s="503">
        <f t="shared" si="1"/>
        <v>51.01</v>
      </c>
      <c r="H24" s="503"/>
      <c r="I24" s="503"/>
      <c r="J24" s="504"/>
      <c r="K24" s="503">
        <v>51.01</v>
      </c>
      <c r="L24" s="503"/>
      <c r="M24" s="503"/>
      <c r="N24" s="503"/>
      <c r="O24" s="503"/>
      <c r="P24" s="503"/>
      <c r="Q24" s="503"/>
      <c r="R24" s="503"/>
      <c r="S24" s="503"/>
      <c r="T24" s="503"/>
      <c r="U24" s="503"/>
      <c r="V24" s="503"/>
      <c r="W24" s="503"/>
      <c r="X24" s="503"/>
      <c r="Y24" s="503"/>
      <c r="Z24" s="503"/>
      <c r="AA24" s="505" t="s">
        <v>190</v>
      </c>
    </row>
    <row r="25" spans="1:27" ht="31.5">
      <c r="A25" s="500">
        <v>16</v>
      </c>
      <c r="B25" s="501" t="s">
        <v>480</v>
      </c>
      <c r="C25" s="502" t="s">
        <v>31</v>
      </c>
      <c r="D25" s="496" t="s">
        <v>31</v>
      </c>
      <c r="E25" s="503">
        <f t="shared" si="0"/>
        <v>1.2</v>
      </c>
      <c r="F25" s="503"/>
      <c r="G25" s="503">
        <f t="shared" si="1"/>
        <v>1.2</v>
      </c>
      <c r="H25" s="503"/>
      <c r="I25" s="503"/>
      <c r="J25" s="504">
        <v>0.6</v>
      </c>
      <c r="K25" s="503">
        <v>0.6</v>
      </c>
      <c r="L25" s="503"/>
      <c r="M25" s="503"/>
      <c r="N25" s="503"/>
      <c r="O25" s="503"/>
      <c r="P25" s="503"/>
      <c r="Q25" s="503"/>
      <c r="R25" s="503"/>
      <c r="S25" s="503"/>
      <c r="T25" s="503"/>
      <c r="U25" s="503"/>
      <c r="V25" s="503"/>
      <c r="W25" s="503"/>
      <c r="X25" s="503"/>
      <c r="Y25" s="503"/>
      <c r="Z25" s="503"/>
      <c r="AA25" s="505" t="s">
        <v>190</v>
      </c>
    </row>
    <row r="26" spans="1:27" ht="30.75" customHeight="1">
      <c r="A26" s="500">
        <v>17</v>
      </c>
      <c r="B26" s="501" t="s">
        <v>481</v>
      </c>
      <c r="C26" s="502" t="s">
        <v>31</v>
      </c>
      <c r="D26" s="496" t="s">
        <v>31</v>
      </c>
      <c r="E26" s="503">
        <f t="shared" si="0"/>
        <v>0.1</v>
      </c>
      <c r="F26" s="503"/>
      <c r="G26" s="503">
        <f t="shared" si="1"/>
        <v>0.1</v>
      </c>
      <c r="H26" s="503"/>
      <c r="I26" s="503"/>
      <c r="J26" s="504"/>
      <c r="K26" s="503"/>
      <c r="L26" s="503"/>
      <c r="M26" s="503"/>
      <c r="N26" s="503"/>
      <c r="O26" s="503"/>
      <c r="P26" s="503"/>
      <c r="Q26" s="503"/>
      <c r="R26" s="503"/>
      <c r="S26" s="503"/>
      <c r="T26" s="503"/>
      <c r="U26" s="503"/>
      <c r="V26" s="503">
        <v>0.1</v>
      </c>
      <c r="W26" s="503"/>
      <c r="X26" s="503"/>
      <c r="Y26" s="503"/>
      <c r="Z26" s="503"/>
      <c r="AA26" s="505" t="s">
        <v>190</v>
      </c>
    </row>
    <row r="27" spans="1:27">
      <c r="A27" s="500">
        <v>18</v>
      </c>
      <c r="B27" s="501" t="s">
        <v>479</v>
      </c>
      <c r="C27" s="502" t="s">
        <v>31</v>
      </c>
      <c r="D27" s="496" t="s">
        <v>31</v>
      </c>
      <c r="E27" s="503">
        <f t="shared" si="0"/>
        <v>8.35</v>
      </c>
      <c r="F27" s="503"/>
      <c r="G27" s="503">
        <f t="shared" si="1"/>
        <v>8.35</v>
      </c>
      <c r="H27" s="503"/>
      <c r="I27" s="503"/>
      <c r="J27" s="504">
        <f>(60000+10000+10000+2700)/10000</f>
        <v>8.27</v>
      </c>
      <c r="K27" s="503">
        <v>0.08</v>
      </c>
      <c r="L27" s="503"/>
      <c r="M27" s="503"/>
      <c r="N27" s="503"/>
      <c r="O27" s="503"/>
      <c r="P27" s="503"/>
      <c r="Q27" s="503"/>
      <c r="R27" s="503"/>
      <c r="S27" s="503"/>
      <c r="T27" s="503"/>
      <c r="U27" s="503"/>
      <c r="V27" s="503"/>
      <c r="W27" s="503"/>
      <c r="X27" s="503"/>
      <c r="Y27" s="503"/>
      <c r="Z27" s="503"/>
      <c r="AA27" s="505" t="s">
        <v>169</v>
      </c>
    </row>
    <row r="28" spans="1:27" ht="31.5">
      <c r="A28" s="500">
        <v>19</v>
      </c>
      <c r="B28" s="501" t="s">
        <v>482</v>
      </c>
      <c r="C28" s="502" t="s">
        <v>31</v>
      </c>
      <c r="D28" s="496" t="s">
        <v>31</v>
      </c>
      <c r="E28" s="503">
        <f t="shared" si="0"/>
        <v>0.42</v>
      </c>
      <c r="F28" s="503">
        <v>0.42</v>
      </c>
      <c r="G28" s="503">
        <f t="shared" si="1"/>
        <v>0</v>
      </c>
      <c r="H28" s="503"/>
      <c r="I28" s="503"/>
      <c r="J28" s="504"/>
      <c r="K28" s="503"/>
      <c r="L28" s="503"/>
      <c r="M28" s="503"/>
      <c r="N28" s="503"/>
      <c r="O28" s="503"/>
      <c r="P28" s="503"/>
      <c r="Q28" s="503"/>
      <c r="R28" s="503"/>
      <c r="S28" s="503"/>
      <c r="T28" s="503"/>
      <c r="U28" s="503"/>
      <c r="V28" s="503"/>
      <c r="W28" s="503"/>
      <c r="X28" s="503"/>
      <c r="Y28" s="503"/>
      <c r="Z28" s="503"/>
      <c r="AA28" s="505" t="s">
        <v>169</v>
      </c>
    </row>
    <row r="29" spans="1:27" ht="31.5">
      <c r="A29" s="500">
        <v>20</v>
      </c>
      <c r="B29" s="501" t="s">
        <v>483</v>
      </c>
      <c r="C29" s="502" t="s">
        <v>31</v>
      </c>
      <c r="D29" s="496" t="s">
        <v>31</v>
      </c>
      <c r="E29" s="503">
        <f t="shared" si="0"/>
        <v>2.14</v>
      </c>
      <c r="F29" s="503">
        <v>2.14</v>
      </c>
      <c r="G29" s="503">
        <f t="shared" si="1"/>
        <v>0</v>
      </c>
      <c r="H29" s="503"/>
      <c r="I29" s="503"/>
      <c r="J29" s="504"/>
      <c r="K29" s="503"/>
      <c r="L29" s="503"/>
      <c r="M29" s="503"/>
      <c r="N29" s="503"/>
      <c r="O29" s="503"/>
      <c r="P29" s="503"/>
      <c r="Q29" s="503"/>
      <c r="R29" s="503"/>
      <c r="S29" s="503"/>
      <c r="T29" s="503"/>
      <c r="U29" s="503"/>
      <c r="V29" s="503"/>
      <c r="W29" s="503"/>
      <c r="X29" s="503"/>
      <c r="Y29" s="503"/>
      <c r="Z29" s="503"/>
      <c r="AA29" s="505" t="s">
        <v>169</v>
      </c>
    </row>
    <row r="30" spans="1:27" ht="31.5">
      <c r="A30" s="500">
        <v>21</v>
      </c>
      <c r="B30" s="501" t="s">
        <v>484</v>
      </c>
      <c r="C30" s="502" t="s">
        <v>31</v>
      </c>
      <c r="D30" s="496" t="s">
        <v>31</v>
      </c>
      <c r="E30" s="503">
        <f t="shared" si="0"/>
        <v>6.5</v>
      </c>
      <c r="F30" s="503"/>
      <c r="G30" s="503">
        <f t="shared" si="1"/>
        <v>6.5</v>
      </c>
      <c r="H30" s="503"/>
      <c r="I30" s="503"/>
      <c r="J30" s="504"/>
      <c r="K30" s="503"/>
      <c r="L30" s="503"/>
      <c r="M30" s="503"/>
      <c r="N30" s="503">
        <v>6.5</v>
      </c>
      <c r="O30" s="503"/>
      <c r="P30" s="503"/>
      <c r="Q30" s="503"/>
      <c r="R30" s="503"/>
      <c r="S30" s="503"/>
      <c r="T30" s="503"/>
      <c r="U30" s="503"/>
      <c r="V30" s="503"/>
      <c r="W30" s="503"/>
      <c r="X30" s="503"/>
      <c r="Y30" s="503"/>
      <c r="Z30" s="503"/>
      <c r="AA30" s="505" t="s">
        <v>169</v>
      </c>
    </row>
    <row r="31" spans="1:27">
      <c r="A31" s="500">
        <v>22</v>
      </c>
      <c r="B31" s="501" t="s">
        <v>485</v>
      </c>
      <c r="C31" s="502" t="s">
        <v>31</v>
      </c>
      <c r="D31" s="496" t="s">
        <v>31</v>
      </c>
      <c r="E31" s="503">
        <f t="shared" si="0"/>
        <v>0.1</v>
      </c>
      <c r="F31" s="503"/>
      <c r="G31" s="503">
        <f t="shared" si="1"/>
        <v>0.1</v>
      </c>
      <c r="H31" s="503"/>
      <c r="I31" s="503"/>
      <c r="J31" s="504"/>
      <c r="K31" s="503"/>
      <c r="L31" s="503"/>
      <c r="M31" s="503"/>
      <c r="N31" s="503"/>
      <c r="O31" s="503"/>
      <c r="P31" s="503"/>
      <c r="Q31" s="503"/>
      <c r="R31" s="503"/>
      <c r="S31" s="503"/>
      <c r="T31" s="503"/>
      <c r="U31" s="503"/>
      <c r="V31" s="503">
        <v>0.1</v>
      </c>
      <c r="W31" s="503"/>
      <c r="X31" s="503"/>
      <c r="Y31" s="503"/>
      <c r="Z31" s="503"/>
      <c r="AA31" s="505" t="s">
        <v>169</v>
      </c>
    </row>
    <row r="32" spans="1:27">
      <c r="A32" s="500">
        <v>23</v>
      </c>
      <c r="B32" s="501" t="s">
        <v>328</v>
      </c>
      <c r="C32" s="502" t="s">
        <v>31</v>
      </c>
      <c r="D32" s="496" t="s">
        <v>31</v>
      </c>
      <c r="E32" s="503">
        <f t="shared" si="0"/>
        <v>3</v>
      </c>
      <c r="F32" s="503"/>
      <c r="G32" s="503">
        <f t="shared" si="1"/>
        <v>3</v>
      </c>
      <c r="H32" s="503"/>
      <c r="I32" s="503"/>
      <c r="J32" s="504">
        <v>2.4</v>
      </c>
      <c r="K32" s="503">
        <v>0.6</v>
      </c>
      <c r="L32" s="503"/>
      <c r="M32" s="503"/>
      <c r="N32" s="503"/>
      <c r="O32" s="503"/>
      <c r="P32" s="503"/>
      <c r="Q32" s="503"/>
      <c r="R32" s="503"/>
      <c r="S32" s="503"/>
      <c r="T32" s="503"/>
      <c r="U32" s="503"/>
      <c r="V32" s="503"/>
      <c r="W32" s="503"/>
      <c r="X32" s="503"/>
      <c r="Y32" s="503"/>
      <c r="Z32" s="503"/>
      <c r="AA32" s="505" t="s">
        <v>169</v>
      </c>
    </row>
    <row r="33" spans="1:27">
      <c r="A33" s="500">
        <v>24</v>
      </c>
      <c r="B33" s="501" t="s">
        <v>479</v>
      </c>
      <c r="C33" s="502" t="s">
        <v>31</v>
      </c>
      <c r="D33" s="496" t="s">
        <v>31</v>
      </c>
      <c r="E33" s="503">
        <f t="shared" si="0"/>
        <v>2.1</v>
      </c>
      <c r="F33" s="503"/>
      <c r="G33" s="503">
        <f t="shared" si="1"/>
        <v>2.1</v>
      </c>
      <c r="H33" s="503"/>
      <c r="I33" s="503"/>
      <c r="J33" s="504">
        <f>(1000)/10000</f>
        <v>0.1</v>
      </c>
      <c r="K33" s="503">
        <v>2</v>
      </c>
      <c r="L33" s="503"/>
      <c r="M33" s="503"/>
      <c r="N33" s="503"/>
      <c r="O33" s="503"/>
      <c r="P33" s="503"/>
      <c r="Q33" s="503"/>
      <c r="R33" s="503"/>
      <c r="S33" s="503"/>
      <c r="T33" s="503"/>
      <c r="U33" s="503"/>
      <c r="V33" s="503"/>
      <c r="W33" s="503"/>
      <c r="X33" s="503"/>
      <c r="Y33" s="503"/>
      <c r="Z33" s="503"/>
      <c r="AA33" s="505" t="s">
        <v>170</v>
      </c>
    </row>
    <row r="34" spans="1:27">
      <c r="A34" s="500">
        <v>25</v>
      </c>
      <c r="B34" s="501" t="s">
        <v>486</v>
      </c>
      <c r="C34" s="502" t="s">
        <v>31</v>
      </c>
      <c r="D34" s="496" t="s">
        <v>31</v>
      </c>
      <c r="E34" s="503">
        <f t="shared" si="0"/>
        <v>5.6</v>
      </c>
      <c r="F34" s="503"/>
      <c r="G34" s="503">
        <f t="shared" si="1"/>
        <v>5.6</v>
      </c>
      <c r="H34" s="503"/>
      <c r="I34" s="503"/>
      <c r="J34" s="504">
        <v>4</v>
      </c>
      <c r="K34" s="503">
        <v>1.6</v>
      </c>
      <c r="L34" s="503"/>
      <c r="M34" s="503"/>
      <c r="N34" s="503"/>
      <c r="O34" s="503"/>
      <c r="P34" s="503"/>
      <c r="Q34" s="503"/>
      <c r="R34" s="503"/>
      <c r="S34" s="503"/>
      <c r="T34" s="503"/>
      <c r="U34" s="503"/>
      <c r="V34" s="503"/>
      <c r="W34" s="503"/>
      <c r="X34" s="503"/>
      <c r="Y34" s="503"/>
      <c r="Z34" s="503"/>
      <c r="AA34" s="505" t="s">
        <v>170</v>
      </c>
    </row>
    <row r="35" spans="1:27">
      <c r="A35" s="500">
        <v>26</v>
      </c>
      <c r="B35" s="506" t="s">
        <v>487</v>
      </c>
      <c r="C35" s="507" t="s">
        <v>31</v>
      </c>
      <c r="D35" s="475" t="s">
        <v>31</v>
      </c>
      <c r="E35" s="503">
        <f t="shared" si="0"/>
        <v>3</v>
      </c>
      <c r="F35" s="503"/>
      <c r="G35" s="503">
        <f t="shared" si="1"/>
        <v>3</v>
      </c>
      <c r="H35" s="503"/>
      <c r="I35" s="503"/>
      <c r="J35" s="508"/>
      <c r="K35" s="503"/>
      <c r="L35" s="503"/>
      <c r="M35" s="503"/>
      <c r="N35" s="503">
        <v>3</v>
      </c>
      <c r="O35" s="503"/>
      <c r="P35" s="503"/>
      <c r="Q35" s="503"/>
      <c r="R35" s="509"/>
      <c r="S35" s="509"/>
      <c r="T35" s="503"/>
      <c r="U35" s="503"/>
      <c r="V35" s="503"/>
      <c r="W35" s="503"/>
      <c r="X35" s="503"/>
      <c r="Y35" s="503"/>
      <c r="Z35" s="503"/>
      <c r="AA35" s="510" t="s">
        <v>170</v>
      </c>
    </row>
    <row r="36" spans="1:27">
      <c r="A36" s="500">
        <v>27</v>
      </c>
      <c r="B36" s="501" t="s">
        <v>488</v>
      </c>
      <c r="C36" s="502" t="s">
        <v>31</v>
      </c>
      <c r="D36" s="496" t="s">
        <v>31</v>
      </c>
      <c r="E36" s="503">
        <f t="shared" si="0"/>
        <v>0.11</v>
      </c>
      <c r="F36" s="503"/>
      <c r="G36" s="503">
        <f t="shared" si="1"/>
        <v>0.11</v>
      </c>
      <c r="H36" s="503"/>
      <c r="I36" s="503"/>
      <c r="J36" s="504">
        <v>0.11</v>
      </c>
      <c r="K36" s="503"/>
      <c r="L36" s="503"/>
      <c r="M36" s="503"/>
      <c r="N36" s="503"/>
      <c r="O36" s="503"/>
      <c r="P36" s="503"/>
      <c r="Q36" s="503"/>
      <c r="R36" s="503"/>
      <c r="S36" s="503"/>
      <c r="T36" s="503"/>
      <c r="U36" s="503"/>
      <c r="V36" s="503"/>
      <c r="W36" s="503"/>
      <c r="X36" s="503"/>
      <c r="Y36" s="503"/>
      <c r="Z36" s="503"/>
      <c r="AA36" s="505" t="s">
        <v>170</v>
      </c>
    </row>
    <row r="37" spans="1:27">
      <c r="A37" s="500">
        <v>28</v>
      </c>
      <c r="B37" s="501" t="s">
        <v>489</v>
      </c>
      <c r="C37" s="502" t="s">
        <v>31</v>
      </c>
      <c r="D37" s="496" t="s">
        <v>31</v>
      </c>
      <c r="E37" s="503">
        <f t="shared" si="0"/>
        <v>2.4</v>
      </c>
      <c r="F37" s="503"/>
      <c r="G37" s="503">
        <f t="shared" si="1"/>
        <v>2.4</v>
      </c>
      <c r="H37" s="503"/>
      <c r="I37" s="503"/>
      <c r="J37" s="504"/>
      <c r="K37" s="503"/>
      <c r="L37" s="503"/>
      <c r="M37" s="503"/>
      <c r="N37" s="503"/>
      <c r="O37" s="503"/>
      <c r="P37" s="503"/>
      <c r="Q37" s="503"/>
      <c r="R37" s="503"/>
      <c r="S37" s="503"/>
      <c r="T37" s="503"/>
      <c r="U37" s="503"/>
      <c r="V37" s="503"/>
      <c r="W37" s="503">
        <v>2.4</v>
      </c>
      <c r="X37" s="503"/>
      <c r="Y37" s="503"/>
      <c r="Z37" s="503"/>
      <c r="AA37" s="505" t="s">
        <v>197</v>
      </c>
    </row>
    <row r="38" spans="1:27" ht="31.5">
      <c r="A38" s="500">
        <v>29</v>
      </c>
      <c r="B38" s="501" t="s">
        <v>490</v>
      </c>
      <c r="C38" s="502" t="s">
        <v>31</v>
      </c>
      <c r="D38" s="496" t="s">
        <v>31</v>
      </c>
      <c r="E38" s="503">
        <f t="shared" si="0"/>
        <v>0.1</v>
      </c>
      <c r="F38" s="503"/>
      <c r="G38" s="503">
        <f t="shared" si="1"/>
        <v>0.1</v>
      </c>
      <c r="H38" s="503"/>
      <c r="I38" s="503"/>
      <c r="J38" s="504"/>
      <c r="K38" s="503">
        <v>0.1</v>
      </c>
      <c r="L38" s="503"/>
      <c r="M38" s="503"/>
      <c r="N38" s="503"/>
      <c r="O38" s="503"/>
      <c r="P38" s="503"/>
      <c r="Q38" s="503"/>
      <c r="R38" s="503"/>
      <c r="S38" s="503"/>
      <c r="T38" s="503"/>
      <c r="U38" s="503"/>
      <c r="V38" s="503"/>
      <c r="W38" s="503"/>
      <c r="X38" s="503"/>
      <c r="Y38" s="503"/>
      <c r="Z38" s="503"/>
      <c r="AA38" s="505" t="s">
        <v>197</v>
      </c>
    </row>
    <row r="39" spans="1:27" ht="31.5">
      <c r="A39" s="500">
        <v>30</v>
      </c>
      <c r="B39" s="501" t="s">
        <v>491</v>
      </c>
      <c r="C39" s="502" t="s">
        <v>31</v>
      </c>
      <c r="D39" s="496" t="s">
        <v>31</v>
      </c>
      <c r="E39" s="503">
        <f t="shared" si="0"/>
        <v>0.15</v>
      </c>
      <c r="F39" s="503"/>
      <c r="G39" s="503">
        <f t="shared" si="1"/>
        <v>0.15</v>
      </c>
      <c r="H39" s="503"/>
      <c r="I39" s="503"/>
      <c r="J39" s="504"/>
      <c r="K39" s="503">
        <v>0.15</v>
      </c>
      <c r="L39" s="503"/>
      <c r="M39" s="503"/>
      <c r="N39" s="503"/>
      <c r="O39" s="503"/>
      <c r="P39" s="503"/>
      <c r="Q39" s="503"/>
      <c r="R39" s="503"/>
      <c r="S39" s="503"/>
      <c r="T39" s="503"/>
      <c r="U39" s="503"/>
      <c r="V39" s="503"/>
      <c r="W39" s="503"/>
      <c r="X39" s="503"/>
      <c r="Y39" s="503"/>
      <c r="Z39" s="503"/>
      <c r="AA39" s="505" t="s">
        <v>171</v>
      </c>
    </row>
    <row r="40" spans="1:27">
      <c r="A40" s="500">
        <v>31</v>
      </c>
      <c r="B40" s="501" t="s">
        <v>492</v>
      </c>
      <c r="C40" s="502" t="s">
        <v>31</v>
      </c>
      <c r="D40" s="496" t="s">
        <v>31</v>
      </c>
      <c r="E40" s="503">
        <f t="shared" si="0"/>
        <v>5.45</v>
      </c>
      <c r="F40" s="503"/>
      <c r="G40" s="503">
        <f t="shared" si="1"/>
        <v>5.45</v>
      </c>
      <c r="H40" s="503"/>
      <c r="I40" s="503"/>
      <c r="J40" s="504"/>
      <c r="K40" s="503">
        <v>5.45</v>
      </c>
      <c r="L40" s="503"/>
      <c r="M40" s="503"/>
      <c r="N40" s="503"/>
      <c r="O40" s="503"/>
      <c r="P40" s="503"/>
      <c r="Q40" s="503"/>
      <c r="R40" s="503"/>
      <c r="S40" s="503"/>
      <c r="T40" s="503"/>
      <c r="U40" s="503"/>
      <c r="V40" s="503"/>
      <c r="W40" s="503"/>
      <c r="X40" s="503"/>
      <c r="Y40" s="503"/>
      <c r="Z40" s="503"/>
      <c r="AA40" s="505" t="s">
        <v>172</v>
      </c>
    </row>
    <row r="41" spans="1:27" ht="47.25">
      <c r="A41" s="500">
        <v>32</v>
      </c>
      <c r="B41" s="501" t="s">
        <v>493</v>
      </c>
      <c r="C41" s="502" t="s">
        <v>31</v>
      </c>
      <c r="D41" s="496" t="s">
        <v>31</v>
      </c>
      <c r="E41" s="503">
        <f t="shared" si="0"/>
        <v>0.08</v>
      </c>
      <c r="F41" s="503"/>
      <c r="G41" s="503">
        <f t="shared" si="1"/>
        <v>0.08</v>
      </c>
      <c r="H41" s="503"/>
      <c r="I41" s="503"/>
      <c r="J41" s="504"/>
      <c r="K41" s="503"/>
      <c r="L41" s="503"/>
      <c r="M41" s="503"/>
      <c r="N41" s="503"/>
      <c r="O41" s="503"/>
      <c r="P41" s="503"/>
      <c r="Q41" s="503"/>
      <c r="R41" s="503"/>
      <c r="S41" s="503"/>
      <c r="T41" s="503"/>
      <c r="U41" s="503"/>
      <c r="V41" s="503">
        <v>0.08</v>
      </c>
      <c r="W41" s="503"/>
      <c r="X41" s="503"/>
      <c r="Y41" s="503"/>
      <c r="Z41" s="503"/>
      <c r="AA41" s="505" t="s">
        <v>172</v>
      </c>
    </row>
    <row r="42" spans="1:27">
      <c r="A42" s="500">
        <v>33</v>
      </c>
      <c r="B42" s="501" t="s">
        <v>494</v>
      </c>
      <c r="C42" s="502" t="s">
        <v>31</v>
      </c>
      <c r="D42" s="496" t="s">
        <v>31</v>
      </c>
      <c r="E42" s="503">
        <f t="shared" si="0"/>
        <v>7.0000000000000007E-2</v>
      </c>
      <c r="F42" s="503"/>
      <c r="G42" s="503">
        <f t="shared" si="1"/>
        <v>7.0000000000000007E-2</v>
      </c>
      <c r="H42" s="503"/>
      <c r="I42" s="503"/>
      <c r="J42" s="504"/>
      <c r="K42" s="503"/>
      <c r="L42" s="503"/>
      <c r="M42" s="503"/>
      <c r="N42" s="503"/>
      <c r="O42" s="503"/>
      <c r="P42" s="503"/>
      <c r="Q42" s="503"/>
      <c r="R42" s="503"/>
      <c r="S42" s="503"/>
      <c r="T42" s="503"/>
      <c r="U42" s="503"/>
      <c r="V42" s="503">
        <v>7.0000000000000007E-2</v>
      </c>
      <c r="W42" s="503"/>
      <c r="X42" s="503"/>
      <c r="Y42" s="503"/>
      <c r="Z42" s="503"/>
      <c r="AA42" s="505" t="s">
        <v>191</v>
      </c>
    </row>
    <row r="43" spans="1:27" ht="47.25">
      <c r="A43" s="500">
        <v>34</v>
      </c>
      <c r="B43" s="501" t="s">
        <v>495</v>
      </c>
      <c r="C43" s="502" t="s">
        <v>31</v>
      </c>
      <c r="D43" s="496" t="s">
        <v>31</v>
      </c>
      <c r="E43" s="503">
        <f t="shared" si="0"/>
        <v>0.16</v>
      </c>
      <c r="F43" s="503"/>
      <c r="G43" s="503">
        <f t="shared" si="1"/>
        <v>0.16</v>
      </c>
      <c r="H43" s="503"/>
      <c r="I43" s="503"/>
      <c r="J43" s="504"/>
      <c r="K43" s="503"/>
      <c r="L43" s="503"/>
      <c r="M43" s="503"/>
      <c r="N43" s="503"/>
      <c r="O43" s="503"/>
      <c r="P43" s="503"/>
      <c r="Q43" s="503"/>
      <c r="R43" s="503"/>
      <c r="S43" s="503"/>
      <c r="T43" s="503"/>
      <c r="U43" s="503"/>
      <c r="V43" s="503">
        <v>0.16</v>
      </c>
      <c r="W43" s="503"/>
      <c r="X43" s="503"/>
      <c r="Y43" s="503"/>
      <c r="Z43" s="503"/>
      <c r="AA43" s="505" t="s">
        <v>174</v>
      </c>
    </row>
    <row r="44" spans="1:27">
      <c r="A44" s="500">
        <v>35</v>
      </c>
      <c r="B44" s="501" t="s">
        <v>496</v>
      </c>
      <c r="C44" s="502" t="s">
        <v>31</v>
      </c>
      <c r="D44" s="496" t="s">
        <v>31</v>
      </c>
      <c r="E44" s="503">
        <f t="shared" si="0"/>
        <v>0.08</v>
      </c>
      <c r="F44" s="503"/>
      <c r="G44" s="503">
        <f t="shared" si="1"/>
        <v>0.08</v>
      </c>
      <c r="H44" s="503"/>
      <c r="I44" s="503"/>
      <c r="J44" s="504">
        <v>0.08</v>
      </c>
      <c r="K44" s="503"/>
      <c r="L44" s="503"/>
      <c r="M44" s="503"/>
      <c r="N44" s="503"/>
      <c r="O44" s="503"/>
      <c r="P44" s="503"/>
      <c r="Q44" s="503"/>
      <c r="R44" s="503"/>
      <c r="S44" s="503"/>
      <c r="T44" s="503"/>
      <c r="U44" s="503"/>
      <c r="V44" s="503"/>
      <c r="W44" s="503"/>
      <c r="X44" s="503"/>
      <c r="Y44" s="503"/>
      <c r="Z44" s="503"/>
      <c r="AA44" s="505" t="s">
        <v>173</v>
      </c>
    </row>
    <row r="45" spans="1:27">
      <c r="A45" s="511">
        <v>36</v>
      </c>
      <c r="B45" s="512" t="s">
        <v>497</v>
      </c>
      <c r="C45" s="513" t="s">
        <v>31</v>
      </c>
      <c r="D45" s="514" t="s">
        <v>31</v>
      </c>
      <c r="E45" s="515">
        <f t="shared" si="0"/>
        <v>0.1</v>
      </c>
      <c r="F45" s="515"/>
      <c r="G45" s="516">
        <f t="shared" si="1"/>
        <v>0.1</v>
      </c>
      <c r="H45" s="515"/>
      <c r="I45" s="515"/>
      <c r="J45" s="517"/>
      <c r="K45" s="515"/>
      <c r="L45" s="515"/>
      <c r="M45" s="515"/>
      <c r="N45" s="515"/>
      <c r="O45" s="515"/>
      <c r="P45" s="515"/>
      <c r="Q45" s="515"/>
      <c r="R45" s="515"/>
      <c r="S45" s="515"/>
      <c r="T45" s="515"/>
      <c r="U45" s="515"/>
      <c r="V45" s="515">
        <v>0.1</v>
      </c>
      <c r="W45" s="515"/>
      <c r="X45" s="515"/>
      <c r="Y45" s="515"/>
      <c r="Z45" s="515"/>
      <c r="AA45" s="518" t="s">
        <v>189</v>
      </c>
    </row>
    <row r="46" spans="1:27" ht="31.5">
      <c r="A46" s="373" t="s">
        <v>140</v>
      </c>
      <c r="B46" s="519" t="s">
        <v>278</v>
      </c>
      <c r="C46" s="520"/>
      <c r="D46" s="521"/>
      <c r="E46" s="522"/>
      <c r="F46" s="523"/>
      <c r="G46" s="522"/>
      <c r="H46" s="523"/>
      <c r="I46" s="523"/>
      <c r="J46" s="524"/>
      <c r="K46" s="523"/>
      <c r="L46" s="523"/>
      <c r="M46" s="523"/>
      <c r="N46" s="523"/>
      <c r="O46" s="523"/>
      <c r="P46" s="523"/>
      <c r="Q46" s="523"/>
      <c r="R46" s="523"/>
      <c r="S46" s="523"/>
      <c r="T46" s="523"/>
      <c r="U46" s="523"/>
      <c r="V46" s="523"/>
      <c r="W46" s="523"/>
      <c r="X46" s="523"/>
      <c r="Y46" s="523"/>
      <c r="Z46" s="523"/>
      <c r="AA46" s="525"/>
    </row>
    <row r="47" spans="1:27" ht="47.25">
      <c r="A47" s="374" t="s">
        <v>185</v>
      </c>
      <c r="B47" s="526" t="s">
        <v>203</v>
      </c>
      <c r="C47" s="520"/>
      <c r="D47" s="521"/>
      <c r="E47" s="522"/>
      <c r="F47" s="523"/>
      <c r="G47" s="522"/>
      <c r="H47" s="523"/>
      <c r="I47" s="523"/>
      <c r="J47" s="524"/>
      <c r="K47" s="523"/>
      <c r="L47" s="523"/>
      <c r="M47" s="523"/>
      <c r="N47" s="523"/>
      <c r="O47" s="523"/>
      <c r="P47" s="523"/>
      <c r="Q47" s="523"/>
      <c r="R47" s="523"/>
      <c r="S47" s="523"/>
      <c r="T47" s="523"/>
      <c r="U47" s="523"/>
      <c r="V47" s="523"/>
      <c r="W47" s="523"/>
      <c r="X47" s="523"/>
      <c r="Y47" s="523"/>
      <c r="Z47" s="523"/>
      <c r="AA47" s="525"/>
    </row>
    <row r="48" spans="1:27" ht="47.25">
      <c r="A48" s="374" t="s">
        <v>186</v>
      </c>
      <c r="B48" s="526" t="s">
        <v>187</v>
      </c>
      <c r="C48" s="520"/>
      <c r="D48" s="521"/>
      <c r="E48" s="522"/>
      <c r="F48" s="523"/>
      <c r="G48" s="522"/>
      <c r="H48" s="523"/>
      <c r="I48" s="523"/>
      <c r="J48" s="524"/>
      <c r="K48" s="523"/>
      <c r="L48" s="523"/>
      <c r="M48" s="523"/>
      <c r="N48" s="523"/>
      <c r="O48" s="523"/>
      <c r="P48" s="523"/>
      <c r="Q48" s="523"/>
      <c r="R48" s="523"/>
      <c r="S48" s="523"/>
      <c r="T48" s="523"/>
      <c r="U48" s="523"/>
      <c r="V48" s="523"/>
      <c r="W48" s="523"/>
      <c r="X48" s="523"/>
      <c r="Y48" s="523"/>
      <c r="Z48" s="523"/>
      <c r="AA48" s="525"/>
    </row>
    <row r="49" spans="1:27">
      <c r="A49" s="373">
        <v>2</v>
      </c>
      <c r="B49" s="519" t="s">
        <v>498</v>
      </c>
      <c r="C49" s="520"/>
      <c r="D49" s="521"/>
      <c r="E49" s="522"/>
      <c r="F49" s="523"/>
      <c r="G49" s="522"/>
      <c r="H49" s="523"/>
      <c r="I49" s="523"/>
      <c r="J49" s="524"/>
      <c r="K49" s="523"/>
      <c r="L49" s="523"/>
      <c r="M49" s="523"/>
      <c r="N49" s="523"/>
      <c r="O49" s="523"/>
      <c r="P49" s="523"/>
      <c r="Q49" s="523"/>
      <c r="R49" s="523"/>
      <c r="S49" s="523"/>
      <c r="T49" s="523"/>
      <c r="U49" s="523"/>
      <c r="V49" s="523"/>
      <c r="W49" s="523"/>
      <c r="X49" s="523"/>
      <c r="Y49" s="523"/>
      <c r="Z49" s="523"/>
      <c r="AA49" s="525"/>
    </row>
    <row r="50" spans="1:27" ht="31.5">
      <c r="A50" s="374" t="s">
        <v>148</v>
      </c>
      <c r="B50" s="527" t="s">
        <v>188</v>
      </c>
      <c r="C50" s="520"/>
      <c r="D50" s="521"/>
      <c r="E50" s="522"/>
      <c r="F50" s="523"/>
      <c r="G50" s="522"/>
      <c r="H50" s="523"/>
      <c r="I50" s="523"/>
      <c r="J50" s="524"/>
      <c r="K50" s="523"/>
      <c r="L50" s="523"/>
      <c r="M50" s="523"/>
      <c r="N50" s="523"/>
      <c r="O50" s="523"/>
      <c r="P50" s="523"/>
      <c r="Q50" s="523"/>
      <c r="R50" s="523"/>
      <c r="S50" s="523"/>
      <c r="T50" s="523"/>
      <c r="U50" s="523"/>
      <c r="V50" s="523"/>
      <c r="W50" s="523"/>
      <c r="X50" s="523"/>
      <c r="Y50" s="523"/>
      <c r="Z50" s="523"/>
      <c r="AA50" s="525"/>
    </row>
    <row r="51" spans="1:27" ht="15" customHeight="1">
      <c r="A51" s="528" t="s">
        <v>499</v>
      </c>
      <c r="B51" s="529" t="s">
        <v>500</v>
      </c>
      <c r="C51" s="530"/>
      <c r="D51" s="531"/>
      <c r="E51" s="532"/>
      <c r="F51" s="532"/>
      <c r="G51" s="532"/>
      <c r="H51" s="532"/>
      <c r="I51" s="532"/>
      <c r="J51" s="530"/>
      <c r="K51" s="532"/>
      <c r="L51" s="532"/>
      <c r="M51" s="532"/>
      <c r="N51" s="532"/>
      <c r="O51" s="532"/>
      <c r="P51" s="532"/>
      <c r="Q51" s="532"/>
      <c r="R51" s="533"/>
      <c r="S51" s="533"/>
      <c r="T51" s="532"/>
      <c r="U51" s="532"/>
      <c r="V51" s="532"/>
      <c r="W51" s="532"/>
      <c r="X51" s="532"/>
      <c r="Y51" s="532"/>
      <c r="Z51" s="532"/>
      <c r="AA51" s="534"/>
    </row>
    <row r="52" spans="1:27" ht="15" customHeight="1">
      <c r="A52" s="535">
        <v>1</v>
      </c>
      <c r="B52" s="536" t="s">
        <v>501</v>
      </c>
      <c r="C52" s="537" t="s">
        <v>37</v>
      </c>
      <c r="D52" s="538" t="s">
        <v>37</v>
      </c>
      <c r="E52" s="503">
        <f t="shared" ref="E52" si="2">F52+G52</f>
        <v>50</v>
      </c>
      <c r="F52" s="539"/>
      <c r="G52" s="503">
        <f t="shared" si="1"/>
        <v>50</v>
      </c>
      <c r="H52" s="532"/>
      <c r="I52" s="532"/>
      <c r="J52" s="530"/>
      <c r="K52" s="532">
        <v>50</v>
      </c>
      <c r="L52" s="532"/>
      <c r="M52" s="532"/>
      <c r="N52" s="532"/>
      <c r="O52" s="532"/>
      <c r="P52" s="532"/>
      <c r="Q52" s="532"/>
      <c r="R52" s="533"/>
      <c r="S52" s="533"/>
      <c r="T52" s="532"/>
      <c r="U52" s="532"/>
      <c r="V52" s="532"/>
      <c r="W52" s="532"/>
      <c r="X52" s="532"/>
      <c r="Y52" s="532"/>
      <c r="Z52" s="532"/>
      <c r="AA52" s="534" t="s">
        <v>197</v>
      </c>
    </row>
    <row r="53" spans="1:27" s="545" customFormat="1">
      <c r="A53" s="540">
        <v>2</v>
      </c>
      <c r="B53" s="541" t="s">
        <v>502</v>
      </c>
      <c r="C53" s="537" t="s">
        <v>37</v>
      </c>
      <c r="D53" s="538" t="s">
        <v>37</v>
      </c>
      <c r="E53" s="503">
        <f t="shared" si="0"/>
        <v>49</v>
      </c>
      <c r="F53" s="539"/>
      <c r="G53" s="503">
        <f t="shared" si="1"/>
        <v>49</v>
      </c>
      <c r="H53" s="542"/>
      <c r="I53" s="542"/>
      <c r="J53" s="543"/>
      <c r="K53" s="542">
        <v>49</v>
      </c>
      <c r="L53" s="542"/>
      <c r="M53" s="542"/>
      <c r="N53" s="542"/>
      <c r="O53" s="542"/>
      <c r="P53" s="542"/>
      <c r="Q53" s="542"/>
      <c r="R53" s="542"/>
      <c r="S53" s="542"/>
      <c r="T53" s="542"/>
      <c r="U53" s="542"/>
      <c r="V53" s="542"/>
      <c r="W53" s="542"/>
      <c r="X53" s="542"/>
      <c r="Y53" s="542"/>
      <c r="Z53" s="542"/>
      <c r="AA53" s="544" t="s">
        <v>168</v>
      </c>
    </row>
    <row r="54" spans="1:27" ht="47.25">
      <c r="A54" s="511">
        <v>3</v>
      </c>
      <c r="B54" s="546" t="s">
        <v>503</v>
      </c>
      <c r="C54" s="547" t="s">
        <v>37</v>
      </c>
      <c r="D54" s="548" t="s">
        <v>37</v>
      </c>
      <c r="E54" s="515">
        <f t="shared" si="0"/>
        <v>1</v>
      </c>
      <c r="F54" s="515"/>
      <c r="G54" s="515">
        <f t="shared" si="1"/>
        <v>1</v>
      </c>
      <c r="H54" s="515"/>
      <c r="I54" s="515"/>
      <c r="J54" s="517"/>
      <c r="K54" s="515">
        <v>1</v>
      </c>
      <c r="L54" s="515"/>
      <c r="M54" s="515"/>
      <c r="N54" s="515"/>
      <c r="O54" s="515"/>
      <c r="P54" s="515"/>
      <c r="Q54" s="515"/>
      <c r="R54" s="515"/>
      <c r="S54" s="515"/>
      <c r="T54" s="515"/>
      <c r="U54" s="515"/>
      <c r="V54" s="515"/>
      <c r="W54" s="515"/>
      <c r="X54" s="515"/>
      <c r="Y54" s="515"/>
      <c r="Z54" s="515"/>
      <c r="AA54" s="549" t="s">
        <v>168</v>
      </c>
    </row>
    <row r="55" spans="1:27" s="556" customFormat="1">
      <c r="A55" s="528" t="s">
        <v>276</v>
      </c>
      <c r="B55" s="550" t="s">
        <v>504</v>
      </c>
      <c r="C55" s="551"/>
      <c r="D55" s="552"/>
      <c r="E55" s="532"/>
      <c r="F55" s="553"/>
      <c r="G55" s="532"/>
      <c r="H55" s="553"/>
      <c r="I55" s="553"/>
      <c r="J55" s="554"/>
      <c r="K55" s="553"/>
      <c r="L55" s="553"/>
      <c r="M55" s="553"/>
      <c r="N55" s="553"/>
      <c r="O55" s="553"/>
      <c r="P55" s="553"/>
      <c r="Q55" s="553"/>
      <c r="R55" s="553"/>
      <c r="S55" s="553"/>
      <c r="T55" s="553"/>
      <c r="U55" s="553"/>
      <c r="V55" s="553"/>
      <c r="W55" s="553"/>
      <c r="X55" s="553"/>
      <c r="Y55" s="553"/>
      <c r="Z55" s="553"/>
      <c r="AA55" s="555"/>
    </row>
    <row r="56" spans="1:27">
      <c r="A56" s="500">
        <v>1</v>
      </c>
      <c r="B56" s="557" t="s">
        <v>505</v>
      </c>
      <c r="C56" s="507" t="s">
        <v>39</v>
      </c>
      <c r="D56" s="475" t="s">
        <v>39</v>
      </c>
      <c r="E56" s="503">
        <f t="shared" si="0"/>
        <v>0.3</v>
      </c>
      <c r="F56" s="558"/>
      <c r="G56" s="503">
        <f t="shared" si="1"/>
        <v>0.3</v>
      </c>
      <c r="H56" s="503"/>
      <c r="I56" s="503"/>
      <c r="J56" s="504">
        <v>0.3</v>
      </c>
      <c r="K56" s="503"/>
      <c r="L56" s="503"/>
      <c r="M56" s="503"/>
      <c r="N56" s="503"/>
      <c r="O56" s="503"/>
      <c r="P56" s="503"/>
      <c r="Q56" s="503"/>
      <c r="R56" s="503"/>
      <c r="S56" s="503"/>
      <c r="T56" s="503"/>
      <c r="U56" s="503"/>
      <c r="V56" s="503"/>
      <c r="W56" s="503"/>
      <c r="X56" s="503"/>
      <c r="Y56" s="503"/>
      <c r="Z56" s="503"/>
      <c r="AA56" s="559" t="s">
        <v>197</v>
      </c>
    </row>
    <row r="57" spans="1:27">
      <c r="A57" s="500">
        <v>2</v>
      </c>
      <c r="B57" s="557" t="s">
        <v>506</v>
      </c>
      <c r="C57" s="507" t="s">
        <v>39</v>
      </c>
      <c r="D57" s="475" t="s">
        <v>39</v>
      </c>
      <c r="E57" s="503">
        <f t="shared" si="0"/>
        <v>0.05</v>
      </c>
      <c r="F57" s="558"/>
      <c r="G57" s="503">
        <f t="shared" si="1"/>
        <v>0.05</v>
      </c>
      <c r="H57" s="503"/>
      <c r="I57" s="503"/>
      <c r="J57" s="504">
        <v>0.05</v>
      </c>
      <c r="K57" s="503"/>
      <c r="L57" s="503"/>
      <c r="M57" s="503"/>
      <c r="N57" s="503"/>
      <c r="O57" s="503"/>
      <c r="P57" s="503"/>
      <c r="Q57" s="503"/>
      <c r="R57" s="503"/>
      <c r="S57" s="503"/>
      <c r="T57" s="503"/>
      <c r="U57" s="503"/>
      <c r="V57" s="503"/>
      <c r="W57" s="503"/>
      <c r="X57" s="503"/>
      <c r="Y57" s="503"/>
      <c r="Z57" s="503"/>
      <c r="AA57" s="559" t="s">
        <v>197</v>
      </c>
    </row>
    <row r="58" spans="1:27">
      <c r="A58" s="500">
        <v>3</v>
      </c>
      <c r="B58" s="506" t="s">
        <v>507</v>
      </c>
      <c r="C58" s="507" t="s">
        <v>39</v>
      </c>
      <c r="D58" s="475" t="s">
        <v>39</v>
      </c>
      <c r="E58" s="503">
        <f t="shared" si="0"/>
        <v>0.31</v>
      </c>
      <c r="F58" s="558"/>
      <c r="G58" s="503">
        <f t="shared" si="1"/>
        <v>0.31</v>
      </c>
      <c r="H58" s="503"/>
      <c r="I58" s="503"/>
      <c r="J58" s="504"/>
      <c r="K58" s="503">
        <v>0.31</v>
      </c>
      <c r="L58" s="503"/>
      <c r="M58" s="503"/>
      <c r="N58" s="503"/>
      <c r="O58" s="503"/>
      <c r="P58" s="503"/>
      <c r="Q58" s="503"/>
      <c r="R58" s="503"/>
      <c r="S58" s="503"/>
      <c r="T58" s="503"/>
      <c r="U58" s="503"/>
      <c r="V58" s="503"/>
      <c r="W58" s="503"/>
      <c r="X58" s="503"/>
      <c r="Y58" s="503"/>
      <c r="Z58" s="503"/>
      <c r="AA58" s="559" t="s">
        <v>173</v>
      </c>
    </row>
    <row r="59" spans="1:27">
      <c r="A59" s="500">
        <v>4</v>
      </c>
      <c r="B59" s="506" t="s">
        <v>508</v>
      </c>
      <c r="C59" s="507" t="s">
        <v>39</v>
      </c>
      <c r="D59" s="475" t="s">
        <v>39</v>
      </c>
      <c r="E59" s="503">
        <f t="shared" si="0"/>
        <v>0.09</v>
      </c>
      <c r="F59" s="558"/>
      <c r="G59" s="503">
        <f t="shared" si="1"/>
        <v>0.09</v>
      </c>
      <c r="H59" s="503"/>
      <c r="I59" s="503"/>
      <c r="J59" s="504"/>
      <c r="K59" s="503">
        <v>0.09</v>
      </c>
      <c r="L59" s="503"/>
      <c r="M59" s="503"/>
      <c r="N59" s="503"/>
      <c r="O59" s="503"/>
      <c r="P59" s="503"/>
      <c r="Q59" s="503"/>
      <c r="R59" s="503"/>
      <c r="S59" s="503"/>
      <c r="T59" s="503"/>
      <c r="U59" s="503"/>
      <c r="V59" s="503"/>
      <c r="W59" s="503"/>
      <c r="X59" s="503"/>
      <c r="Y59" s="503"/>
      <c r="Z59" s="503"/>
      <c r="AA59" s="559" t="s">
        <v>173</v>
      </c>
    </row>
    <row r="60" spans="1:27">
      <c r="A60" s="500">
        <v>5</v>
      </c>
      <c r="B60" s="506" t="s">
        <v>509</v>
      </c>
      <c r="C60" s="507" t="s">
        <v>39</v>
      </c>
      <c r="D60" s="475" t="s">
        <v>39</v>
      </c>
      <c r="E60" s="503">
        <f t="shared" si="0"/>
        <v>3.2</v>
      </c>
      <c r="F60" s="558"/>
      <c r="G60" s="503">
        <f t="shared" si="1"/>
        <v>3.2</v>
      </c>
      <c r="H60" s="503"/>
      <c r="I60" s="503"/>
      <c r="J60" s="504">
        <v>1.2</v>
      </c>
      <c r="K60" s="503">
        <v>2</v>
      </c>
      <c r="L60" s="503"/>
      <c r="M60" s="503"/>
      <c r="N60" s="503"/>
      <c r="O60" s="503"/>
      <c r="P60" s="503"/>
      <c r="Q60" s="503"/>
      <c r="R60" s="503"/>
      <c r="S60" s="503"/>
      <c r="T60" s="503"/>
      <c r="U60" s="503"/>
      <c r="V60" s="503"/>
      <c r="W60" s="503"/>
      <c r="X60" s="503"/>
      <c r="Y60" s="503"/>
      <c r="Z60" s="503"/>
      <c r="AA60" s="559" t="s">
        <v>173</v>
      </c>
    </row>
    <row r="61" spans="1:27">
      <c r="A61" s="500">
        <v>6</v>
      </c>
      <c r="B61" s="560" t="s">
        <v>510</v>
      </c>
      <c r="C61" s="508" t="s">
        <v>39</v>
      </c>
      <c r="D61" s="561" t="s">
        <v>39</v>
      </c>
      <c r="E61" s="503">
        <f t="shared" si="0"/>
        <v>7.0000000000000007E-2</v>
      </c>
      <c r="F61" s="503"/>
      <c r="G61" s="503">
        <f t="shared" si="1"/>
        <v>7.0000000000000007E-2</v>
      </c>
      <c r="H61" s="503"/>
      <c r="I61" s="503"/>
      <c r="J61" s="508"/>
      <c r="K61" s="503"/>
      <c r="L61" s="503"/>
      <c r="M61" s="503"/>
      <c r="N61" s="503"/>
      <c r="O61" s="503"/>
      <c r="P61" s="503"/>
      <c r="Q61" s="503"/>
      <c r="R61" s="509"/>
      <c r="S61" s="509"/>
      <c r="T61" s="503"/>
      <c r="U61" s="503">
        <v>7.0000000000000007E-2</v>
      </c>
      <c r="V61" s="503"/>
      <c r="W61" s="503"/>
      <c r="X61" s="503"/>
      <c r="Y61" s="503"/>
      <c r="Z61" s="503"/>
      <c r="AA61" s="510" t="s">
        <v>190</v>
      </c>
    </row>
    <row r="62" spans="1:27">
      <c r="A62" s="500">
        <v>7</v>
      </c>
      <c r="B62" s="560" t="s">
        <v>510</v>
      </c>
      <c r="C62" s="508" t="s">
        <v>39</v>
      </c>
      <c r="D62" s="561" t="s">
        <v>39</v>
      </c>
      <c r="E62" s="503">
        <f t="shared" si="0"/>
        <v>0.05</v>
      </c>
      <c r="F62" s="503"/>
      <c r="G62" s="503">
        <f t="shared" si="1"/>
        <v>0.05</v>
      </c>
      <c r="H62" s="503"/>
      <c r="I62" s="503"/>
      <c r="J62" s="508">
        <v>0.05</v>
      </c>
      <c r="K62" s="503"/>
      <c r="L62" s="503"/>
      <c r="M62" s="503"/>
      <c r="N62" s="503"/>
      <c r="O62" s="503"/>
      <c r="P62" s="503"/>
      <c r="Q62" s="503"/>
      <c r="R62" s="509"/>
      <c r="S62" s="509"/>
      <c r="T62" s="503"/>
      <c r="U62" s="503"/>
      <c r="V62" s="503"/>
      <c r="W62" s="503"/>
      <c r="X62" s="503"/>
      <c r="Y62" s="503"/>
      <c r="Z62" s="503"/>
      <c r="AA62" s="510" t="s">
        <v>190</v>
      </c>
    </row>
    <row r="63" spans="1:27">
      <c r="A63" s="500">
        <v>8</v>
      </c>
      <c r="B63" s="506" t="s">
        <v>511</v>
      </c>
      <c r="C63" s="507" t="s">
        <v>39</v>
      </c>
      <c r="D63" s="475" t="s">
        <v>39</v>
      </c>
      <c r="E63" s="503">
        <f t="shared" si="0"/>
        <v>0.4</v>
      </c>
      <c r="F63" s="503"/>
      <c r="G63" s="503">
        <f t="shared" si="1"/>
        <v>0.4</v>
      </c>
      <c r="H63" s="503"/>
      <c r="I63" s="503"/>
      <c r="J63" s="508">
        <v>0.4</v>
      </c>
      <c r="K63" s="503"/>
      <c r="L63" s="503"/>
      <c r="M63" s="503"/>
      <c r="N63" s="503"/>
      <c r="O63" s="503"/>
      <c r="P63" s="503"/>
      <c r="Q63" s="503"/>
      <c r="R63" s="509"/>
      <c r="S63" s="509"/>
      <c r="T63" s="503"/>
      <c r="U63" s="503"/>
      <c r="V63" s="503"/>
      <c r="W63" s="503"/>
      <c r="X63" s="503"/>
      <c r="Y63" s="503"/>
      <c r="Z63" s="503"/>
      <c r="AA63" s="510" t="s">
        <v>190</v>
      </c>
    </row>
    <row r="64" spans="1:27">
      <c r="A64" s="500">
        <v>9</v>
      </c>
      <c r="B64" s="560" t="s">
        <v>512</v>
      </c>
      <c r="C64" s="508" t="s">
        <v>39</v>
      </c>
      <c r="D64" s="561" t="s">
        <v>39</v>
      </c>
      <c r="E64" s="503">
        <f t="shared" si="0"/>
        <v>1.5</v>
      </c>
      <c r="F64" s="503"/>
      <c r="G64" s="503">
        <f t="shared" si="1"/>
        <v>1.5</v>
      </c>
      <c r="H64" s="503"/>
      <c r="I64" s="503"/>
      <c r="J64" s="508">
        <v>1.5</v>
      </c>
      <c r="K64" s="503"/>
      <c r="L64" s="503"/>
      <c r="M64" s="503"/>
      <c r="N64" s="503"/>
      <c r="O64" s="503"/>
      <c r="P64" s="503"/>
      <c r="Q64" s="503"/>
      <c r="R64" s="509"/>
      <c r="S64" s="509"/>
      <c r="T64" s="503"/>
      <c r="U64" s="503"/>
      <c r="V64" s="503"/>
      <c r="W64" s="503"/>
      <c r="X64" s="503"/>
      <c r="Y64" s="503"/>
      <c r="Z64" s="503"/>
      <c r="AA64" s="510" t="s">
        <v>171</v>
      </c>
    </row>
    <row r="65" spans="1:27" ht="31.5">
      <c r="A65" s="500">
        <v>10</v>
      </c>
      <c r="B65" s="560" t="s">
        <v>513</v>
      </c>
      <c r="C65" s="508" t="s">
        <v>39</v>
      </c>
      <c r="D65" s="561" t="s">
        <v>39</v>
      </c>
      <c r="E65" s="503">
        <f t="shared" si="0"/>
        <v>0.42</v>
      </c>
      <c r="F65" s="503"/>
      <c r="G65" s="503">
        <f t="shared" si="1"/>
        <v>0.42</v>
      </c>
      <c r="H65" s="503"/>
      <c r="I65" s="503"/>
      <c r="J65" s="508">
        <v>0.42</v>
      </c>
      <c r="K65" s="503"/>
      <c r="L65" s="503"/>
      <c r="M65" s="503"/>
      <c r="N65" s="503"/>
      <c r="O65" s="503"/>
      <c r="P65" s="503"/>
      <c r="Q65" s="503"/>
      <c r="R65" s="509"/>
      <c r="S65" s="509"/>
      <c r="T65" s="503"/>
      <c r="U65" s="503"/>
      <c r="V65" s="503"/>
      <c r="W65" s="503"/>
      <c r="X65" s="503"/>
      <c r="Y65" s="503"/>
      <c r="Z65" s="503"/>
      <c r="AA65" s="510" t="s">
        <v>171</v>
      </c>
    </row>
    <row r="66" spans="1:27" ht="31.5">
      <c r="A66" s="500">
        <v>11</v>
      </c>
      <c r="B66" s="560" t="s">
        <v>514</v>
      </c>
      <c r="C66" s="508" t="s">
        <v>39</v>
      </c>
      <c r="D66" s="561" t="s">
        <v>39</v>
      </c>
      <c r="E66" s="503">
        <f t="shared" si="0"/>
        <v>0.3</v>
      </c>
      <c r="F66" s="503"/>
      <c r="G66" s="503">
        <f t="shared" si="1"/>
        <v>0.3</v>
      </c>
      <c r="H66" s="503"/>
      <c r="I66" s="503"/>
      <c r="J66" s="508">
        <v>0.3</v>
      </c>
      <c r="K66" s="503"/>
      <c r="L66" s="503"/>
      <c r="M66" s="503"/>
      <c r="N66" s="503"/>
      <c r="O66" s="503"/>
      <c r="P66" s="503"/>
      <c r="Q66" s="503"/>
      <c r="R66" s="509"/>
      <c r="S66" s="509"/>
      <c r="T66" s="503"/>
      <c r="U66" s="503"/>
      <c r="V66" s="503"/>
      <c r="W66" s="503"/>
      <c r="X66" s="503"/>
      <c r="Y66" s="503"/>
      <c r="Z66" s="503"/>
      <c r="AA66" s="510" t="s">
        <v>171</v>
      </c>
    </row>
    <row r="67" spans="1:27" ht="31.5">
      <c r="A67" s="500">
        <v>12</v>
      </c>
      <c r="B67" s="560" t="s">
        <v>515</v>
      </c>
      <c r="C67" s="508" t="s">
        <v>39</v>
      </c>
      <c r="D67" s="561" t="s">
        <v>39</v>
      </c>
      <c r="E67" s="503">
        <f t="shared" si="0"/>
        <v>2</v>
      </c>
      <c r="F67" s="503"/>
      <c r="G67" s="503">
        <f t="shared" si="1"/>
        <v>2</v>
      </c>
      <c r="H67" s="503"/>
      <c r="I67" s="503"/>
      <c r="J67" s="508">
        <v>2</v>
      </c>
      <c r="K67" s="503"/>
      <c r="L67" s="503"/>
      <c r="M67" s="503"/>
      <c r="N67" s="503"/>
      <c r="O67" s="503"/>
      <c r="P67" s="503"/>
      <c r="Q67" s="503"/>
      <c r="R67" s="509"/>
      <c r="S67" s="509"/>
      <c r="T67" s="503"/>
      <c r="U67" s="503"/>
      <c r="V67" s="503"/>
      <c r="W67" s="503"/>
      <c r="X67" s="503"/>
      <c r="Y67" s="503"/>
      <c r="Z67" s="503"/>
      <c r="AA67" s="510" t="s">
        <v>171</v>
      </c>
    </row>
    <row r="68" spans="1:27">
      <c r="A68" s="500">
        <v>13</v>
      </c>
      <c r="B68" s="560" t="s">
        <v>516</v>
      </c>
      <c r="C68" s="508" t="s">
        <v>39</v>
      </c>
      <c r="D68" s="561" t="s">
        <v>39</v>
      </c>
      <c r="E68" s="503">
        <f t="shared" si="0"/>
        <v>0.44</v>
      </c>
      <c r="F68" s="503"/>
      <c r="G68" s="503">
        <f t="shared" si="1"/>
        <v>0.44</v>
      </c>
      <c r="H68" s="503"/>
      <c r="I68" s="503"/>
      <c r="J68" s="508"/>
      <c r="K68" s="503"/>
      <c r="L68" s="503"/>
      <c r="M68" s="503"/>
      <c r="N68" s="503"/>
      <c r="O68" s="503"/>
      <c r="P68" s="503"/>
      <c r="Q68" s="503">
        <v>0.24</v>
      </c>
      <c r="R68" s="509"/>
      <c r="S68" s="509"/>
      <c r="T68" s="503"/>
      <c r="U68" s="503"/>
      <c r="V68" s="503"/>
      <c r="W68" s="503"/>
      <c r="X68" s="503">
        <v>0.2</v>
      </c>
      <c r="Y68" s="503"/>
      <c r="Z68" s="503"/>
      <c r="AA68" s="510" t="s">
        <v>172</v>
      </c>
    </row>
    <row r="69" spans="1:27" ht="31.5">
      <c r="A69" s="500">
        <v>14</v>
      </c>
      <c r="B69" s="562" t="s">
        <v>517</v>
      </c>
      <c r="C69" s="508" t="s">
        <v>39</v>
      </c>
      <c r="D69" s="508" t="s">
        <v>39</v>
      </c>
      <c r="E69" s="503">
        <f t="shared" si="0"/>
        <v>0.15</v>
      </c>
      <c r="F69" s="503"/>
      <c r="G69" s="503">
        <f t="shared" ref="G69" si="3">H69+SUM(J69:Z69)</f>
        <v>0.15</v>
      </c>
      <c r="H69" s="503"/>
      <c r="I69" s="503"/>
      <c r="J69" s="509">
        <v>0.15</v>
      </c>
      <c r="K69" s="503"/>
      <c r="L69" s="503"/>
      <c r="M69" s="503"/>
      <c r="N69" s="503"/>
      <c r="O69" s="503"/>
      <c r="P69" s="503"/>
      <c r="Q69" s="503"/>
      <c r="R69" s="509"/>
      <c r="S69" s="509"/>
      <c r="T69" s="503"/>
      <c r="U69" s="503"/>
      <c r="V69" s="503"/>
      <c r="W69" s="503"/>
      <c r="X69" s="503"/>
      <c r="Y69" s="503"/>
      <c r="Z69" s="503"/>
      <c r="AA69" s="510" t="s">
        <v>172</v>
      </c>
    </row>
    <row r="70" spans="1:27">
      <c r="A70" s="500">
        <v>15</v>
      </c>
      <c r="B70" s="560" t="s">
        <v>518</v>
      </c>
      <c r="C70" s="508" t="s">
        <v>39</v>
      </c>
      <c r="D70" s="561" t="s">
        <v>39</v>
      </c>
      <c r="E70" s="503">
        <f t="shared" si="0"/>
        <v>0.03</v>
      </c>
      <c r="F70" s="503"/>
      <c r="G70" s="503">
        <f t="shared" si="1"/>
        <v>0.03</v>
      </c>
      <c r="H70" s="508"/>
      <c r="I70" s="503"/>
      <c r="J70" s="508">
        <v>0.03</v>
      </c>
      <c r="K70" s="503"/>
      <c r="L70" s="503"/>
      <c r="M70" s="503"/>
      <c r="N70" s="503"/>
      <c r="O70" s="503"/>
      <c r="P70" s="503"/>
      <c r="Q70" s="503"/>
      <c r="R70" s="509"/>
      <c r="S70" s="509"/>
      <c r="T70" s="503"/>
      <c r="U70" s="503"/>
      <c r="V70" s="503"/>
      <c r="W70" s="503"/>
      <c r="X70" s="503"/>
      <c r="Y70" s="503"/>
      <c r="Z70" s="503"/>
      <c r="AA70" s="510" t="s">
        <v>169</v>
      </c>
    </row>
    <row r="71" spans="1:27">
      <c r="A71" s="500">
        <v>16</v>
      </c>
      <c r="B71" s="560" t="s">
        <v>518</v>
      </c>
      <c r="C71" s="508" t="s">
        <v>39</v>
      </c>
      <c r="D71" s="561" t="s">
        <v>39</v>
      </c>
      <c r="E71" s="503">
        <f t="shared" si="0"/>
        <v>0.04</v>
      </c>
      <c r="F71" s="503"/>
      <c r="G71" s="503">
        <f t="shared" si="1"/>
        <v>0.04</v>
      </c>
      <c r="H71" s="503"/>
      <c r="I71" s="503"/>
      <c r="J71" s="508">
        <v>0.04</v>
      </c>
      <c r="K71" s="503"/>
      <c r="L71" s="503"/>
      <c r="M71" s="503"/>
      <c r="N71" s="503"/>
      <c r="O71" s="503"/>
      <c r="P71" s="503"/>
      <c r="Q71" s="503"/>
      <c r="R71" s="509"/>
      <c r="S71" s="509"/>
      <c r="T71" s="503"/>
      <c r="U71" s="503"/>
      <c r="V71" s="503"/>
      <c r="W71" s="503"/>
      <c r="X71" s="503"/>
      <c r="Y71" s="503"/>
      <c r="Z71" s="503"/>
      <c r="AA71" s="510" t="s">
        <v>169</v>
      </c>
    </row>
    <row r="72" spans="1:27">
      <c r="A72" s="500">
        <v>17</v>
      </c>
      <c r="B72" s="506" t="s">
        <v>519</v>
      </c>
      <c r="C72" s="507" t="s">
        <v>39</v>
      </c>
      <c r="D72" s="475" t="s">
        <v>39</v>
      </c>
      <c r="E72" s="503">
        <f t="shared" si="0"/>
        <v>0.19</v>
      </c>
      <c r="F72" s="503"/>
      <c r="G72" s="503">
        <f t="shared" si="1"/>
        <v>0.19</v>
      </c>
      <c r="H72" s="503"/>
      <c r="I72" s="503"/>
      <c r="J72" s="508"/>
      <c r="K72" s="503">
        <v>0.19</v>
      </c>
      <c r="L72" s="503"/>
      <c r="M72" s="503"/>
      <c r="N72" s="503"/>
      <c r="O72" s="503"/>
      <c r="P72" s="503"/>
      <c r="Q72" s="503"/>
      <c r="R72" s="509"/>
      <c r="S72" s="509"/>
      <c r="T72" s="503"/>
      <c r="U72" s="503"/>
      <c r="V72" s="503"/>
      <c r="W72" s="503"/>
      <c r="X72" s="503"/>
      <c r="Y72" s="503"/>
      <c r="Z72" s="503"/>
      <c r="AA72" s="510" t="s">
        <v>170</v>
      </c>
    </row>
    <row r="73" spans="1:27">
      <c r="A73" s="500">
        <v>18</v>
      </c>
      <c r="B73" s="506" t="s">
        <v>520</v>
      </c>
      <c r="C73" s="507" t="s">
        <v>39</v>
      </c>
      <c r="D73" s="475" t="s">
        <v>39</v>
      </c>
      <c r="E73" s="503">
        <f t="shared" si="0"/>
        <v>0.1</v>
      </c>
      <c r="F73" s="503"/>
      <c r="G73" s="503">
        <f t="shared" si="1"/>
        <v>0.1</v>
      </c>
      <c r="H73" s="503"/>
      <c r="I73" s="503"/>
      <c r="J73" s="508"/>
      <c r="K73" s="503">
        <v>0.1</v>
      </c>
      <c r="L73" s="503"/>
      <c r="M73" s="503"/>
      <c r="N73" s="503"/>
      <c r="O73" s="503"/>
      <c r="P73" s="503"/>
      <c r="Q73" s="503"/>
      <c r="R73" s="509"/>
      <c r="S73" s="509"/>
      <c r="T73" s="503"/>
      <c r="U73" s="503"/>
      <c r="V73" s="503"/>
      <c r="W73" s="503"/>
      <c r="X73" s="503"/>
      <c r="Y73" s="503"/>
      <c r="Z73" s="503"/>
      <c r="AA73" s="510" t="s">
        <v>170</v>
      </c>
    </row>
    <row r="74" spans="1:27">
      <c r="A74" s="500">
        <v>19</v>
      </c>
      <c r="B74" s="506" t="s">
        <v>518</v>
      </c>
      <c r="C74" s="507" t="s">
        <v>39</v>
      </c>
      <c r="D74" s="475" t="s">
        <v>39</v>
      </c>
      <c r="E74" s="503">
        <f t="shared" si="0"/>
        <v>0.04</v>
      </c>
      <c r="F74" s="503"/>
      <c r="G74" s="503">
        <f t="shared" si="1"/>
        <v>0.04</v>
      </c>
      <c r="H74" s="503"/>
      <c r="I74" s="503"/>
      <c r="J74" s="508">
        <v>0.04</v>
      </c>
      <c r="K74" s="503"/>
      <c r="L74" s="503"/>
      <c r="M74" s="503"/>
      <c r="N74" s="503"/>
      <c r="O74" s="503"/>
      <c r="P74" s="503"/>
      <c r="Q74" s="503"/>
      <c r="R74" s="509"/>
      <c r="S74" s="509"/>
      <c r="T74" s="503"/>
      <c r="U74" s="503"/>
      <c r="V74" s="503"/>
      <c r="W74" s="503"/>
      <c r="X74" s="503"/>
      <c r="Y74" s="503"/>
      <c r="Z74" s="503"/>
      <c r="AA74" s="510" t="s">
        <v>170</v>
      </c>
    </row>
    <row r="75" spans="1:27">
      <c r="A75" s="500">
        <v>20</v>
      </c>
      <c r="B75" s="506" t="s">
        <v>521</v>
      </c>
      <c r="C75" s="507" t="s">
        <v>39</v>
      </c>
      <c r="D75" s="475" t="s">
        <v>39</v>
      </c>
      <c r="E75" s="503">
        <f t="shared" si="0"/>
        <v>0.15</v>
      </c>
      <c r="F75" s="503"/>
      <c r="G75" s="503">
        <f t="shared" si="1"/>
        <v>0.15</v>
      </c>
      <c r="H75" s="503"/>
      <c r="I75" s="503"/>
      <c r="J75" s="508"/>
      <c r="K75" s="503">
        <v>0.15</v>
      </c>
      <c r="L75" s="503"/>
      <c r="M75" s="503"/>
      <c r="N75" s="503"/>
      <c r="O75" s="503"/>
      <c r="P75" s="503"/>
      <c r="Q75" s="503"/>
      <c r="R75" s="509"/>
      <c r="S75" s="509"/>
      <c r="T75" s="503"/>
      <c r="U75" s="503"/>
      <c r="V75" s="503"/>
      <c r="W75" s="503"/>
      <c r="X75" s="503"/>
      <c r="Y75" s="503"/>
      <c r="Z75" s="503"/>
      <c r="AA75" s="510" t="s">
        <v>191</v>
      </c>
    </row>
    <row r="76" spans="1:27">
      <c r="A76" s="500">
        <v>21</v>
      </c>
      <c r="B76" s="506" t="s">
        <v>522</v>
      </c>
      <c r="C76" s="507" t="s">
        <v>39</v>
      </c>
      <c r="D76" s="475" t="s">
        <v>39</v>
      </c>
      <c r="E76" s="503">
        <f t="shared" si="0"/>
        <v>0.05</v>
      </c>
      <c r="F76" s="503"/>
      <c r="G76" s="503">
        <f t="shared" ref="G76:G144" si="4">H76+SUM(J76:Z76)</f>
        <v>0.05</v>
      </c>
      <c r="H76" s="503"/>
      <c r="I76" s="503"/>
      <c r="J76" s="508">
        <v>0.05</v>
      </c>
      <c r="K76" s="503"/>
      <c r="L76" s="503"/>
      <c r="M76" s="503"/>
      <c r="N76" s="503"/>
      <c r="O76" s="503"/>
      <c r="P76" s="503"/>
      <c r="Q76" s="503"/>
      <c r="R76" s="509"/>
      <c r="S76" s="509"/>
      <c r="T76" s="503"/>
      <c r="U76" s="503"/>
      <c r="V76" s="503"/>
      <c r="W76" s="503"/>
      <c r="X76" s="503"/>
      <c r="Y76" s="503"/>
      <c r="Z76" s="503"/>
      <c r="AA76" s="510" t="s">
        <v>191</v>
      </c>
    </row>
    <row r="77" spans="1:27">
      <c r="A77" s="500">
        <v>22</v>
      </c>
      <c r="B77" s="560" t="s">
        <v>523</v>
      </c>
      <c r="C77" s="508" t="s">
        <v>39</v>
      </c>
      <c r="D77" s="561" t="s">
        <v>39</v>
      </c>
      <c r="E77" s="503">
        <f t="shared" si="0"/>
        <v>0.5</v>
      </c>
      <c r="F77" s="503"/>
      <c r="G77" s="503">
        <f t="shared" si="4"/>
        <v>0.5</v>
      </c>
      <c r="H77" s="503"/>
      <c r="I77" s="503"/>
      <c r="J77" s="508">
        <v>0.5</v>
      </c>
      <c r="K77" s="503"/>
      <c r="L77" s="503"/>
      <c r="M77" s="503"/>
      <c r="N77" s="503"/>
      <c r="O77" s="503"/>
      <c r="P77" s="503"/>
      <c r="Q77" s="503"/>
      <c r="R77" s="509"/>
      <c r="S77" s="509"/>
      <c r="T77" s="503"/>
      <c r="U77" s="503"/>
      <c r="V77" s="503"/>
      <c r="W77" s="503"/>
      <c r="X77" s="503"/>
      <c r="Y77" s="503"/>
      <c r="Z77" s="503"/>
      <c r="AA77" s="510" t="s">
        <v>189</v>
      </c>
    </row>
    <row r="78" spans="1:27">
      <c r="A78" s="500">
        <v>23</v>
      </c>
      <c r="B78" s="560" t="s">
        <v>524</v>
      </c>
      <c r="C78" s="508" t="s">
        <v>39</v>
      </c>
      <c r="D78" s="561" t="s">
        <v>39</v>
      </c>
      <c r="E78" s="503">
        <f t="shared" si="0"/>
        <v>0.64</v>
      </c>
      <c r="F78" s="503"/>
      <c r="G78" s="503">
        <f t="shared" si="4"/>
        <v>0.64</v>
      </c>
      <c r="H78" s="503"/>
      <c r="I78" s="503"/>
      <c r="J78" s="508">
        <v>0.64</v>
      </c>
      <c r="K78" s="503"/>
      <c r="L78" s="503"/>
      <c r="M78" s="503"/>
      <c r="N78" s="503"/>
      <c r="O78" s="503"/>
      <c r="P78" s="503"/>
      <c r="Q78" s="503"/>
      <c r="R78" s="509"/>
      <c r="S78" s="509"/>
      <c r="T78" s="503"/>
      <c r="U78" s="503"/>
      <c r="V78" s="503"/>
      <c r="W78" s="503"/>
      <c r="X78" s="503"/>
      <c r="Y78" s="503"/>
      <c r="Z78" s="503"/>
      <c r="AA78" s="510" t="s">
        <v>174</v>
      </c>
    </row>
    <row r="79" spans="1:27">
      <c r="A79" s="500">
        <v>24</v>
      </c>
      <c r="B79" s="560" t="s">
        <v>525</v>
      </c>
      <c r="C79" s="508" t="s">
        <v>39</v>
      </c>
      <c r="D79" s="561" t="s">
        <v>39</v>
      </c>
      <c r="E79" s="503">
        <f>F79+G79</f>
        <v>0.5</v>
      </c>
      <c r="F79" s="503"/>
      <c r="G79" s="503">
        <f t="shared" si="4"/>
        <v>0.5</v>
      </c>
      <c r="H79" s="503"/>
      <c r="I79" s="503"/>
      <c r="J79" s="508">
        <v>0.5</v>
      </c>
      <c r="K79" s="503"/>
      <c r="L79" s="503"/>
      <c r="M79" s="503"/>
      <c r="N79" s="503"/>
      <c r="O79" s="503"/>
      <c r="P79" s="503"/>
      <c r="Q79" s="503"/>
      <c r="R79" s="509"/>
      <c r="S79" s="509"/>
      <c r="T79" s="503"/>
      <c r="U79" s="503"/>
      <c r="V79" s="503"/>
      <c r="W79" s="503"/>
      <c r="X79" s="503"/>
      <c r="Y79" s="503"/>
      <c r="Z79" s="503"/>
      <c r="AA79" s="510" t="s">
        <v>189</v>
      </c>
    </row>
    <row r="80" spans="1:27">
      <c r="A80" s="1178">
        <v>25</v>
      </c>
      <c r="B80" s="1180" t="s">
        <v>526</v>
      </c>
      <c r="C80" s="563" t="s">
        <v>45</v>
      </c>
      <c r="D80" s="564" t="s">
        <v>193</v>
      </c>
      <c r="E80" s="503">
        <f>F80+G80</f>
        <v>45</v>
      </c>
      <c r="F80" s="503">
        <v>45</v>
      </c>
      <c r="G80" s="503">
        <f t="shared" si="4"/>
        <v>0</v>
      </c>
      <c r="H80" s="516"/>
      <c r="I80" s="516"/>
      <c r="J80" s="563"/>
      <c r="K80" s="516"/>
      <c r="L80" s="516"/>
      <c r="M80" s="516"/>
      <c r="N80" s="516"/>
      <c r="O80" s="516"/>
      <c r="P80" s="516"/>
      <c r="Q80" s="516"/>
      <c r="R80" s="565"/>
      <c r="S80" s="565"/>
      <c r="T80" s="516"/>
      <c r="U80" s="516"/>
      <c r="V80" s="516"/>
      <c r="W80" s="516"/>
      <c r="X80" s="516"/>
      <c r="Y80" s="516"/>
      <c r="Z80" s="516"/>
      <c r="AA80" s="510" t="s">
        <v>189</v>
      </c>
    </row>
    <row r="81" spans="1:27">
      <c r="A81" s="1179"/>
      <c r="B81" s="1181"/>
      <c r="C81" s="566" t="s">
        <v>39</v>
      </c>
      <c r="D81" s="567" t="s">
        <v>39</v>
      </c>
      <c r="E81" s="515">
        <f t="shared" si="0"/>
        <v>5</v>
      </c>
      <c r="F81" s="515"/>
      <c r="G81" s="515">
        <f t="shared" si="4"/>
        <v>5</v>
      </c>
      <c r="H81" s="515"/>
      <c r="I81" s="515"/>
      <c r="J81" s="547"/>
      <c r="K81" s="515"/>
      <c r="L81" s="515"/>
      <c r="M81" s="515"/>
      <c r="N81" s="515"/>
      <c r="O81" s="515"/>
      <c r="P81" s="515"/>
      <c r="Q81" s="515"/>
      <c r="R81" s="568">
        <v>5</v>
      </c>
      <c r="S81" s="568"/>
      <c r="T81" s="515"/>
      <c r="U81" s="515"/>
      <c r="V81" s="515"/>
      <c r="W81" s="515"/>
      <c r="X81" s="515"/>
      <c r="Y81" s="515"/>
      <c r="Z81" s="515"/>
      <c r="AA81" s="569" t="s">
        <v>189</v>
      </c>
    </row>
    <row r="82" spans="1:27" s="556" customFormat="1" ht="31.5">
      <c r="A82" s="528" t="s">
        <v>277</v>
      </c>
      <c r="B82" s="529" t="s">
        <v>527</v>
      </c>
      <c r="C82" s="551"/>
      <c r="D82" s="552"/>
      <c r="E82" s="532"/>
      <c r="F82" s="553"/>
      <c r="G82" s="532"/>
      <c r="H82" s="553"/>
      <c r="I82" s="553"/>
      <c r="J82" s="551"/>
      <c r="K82" s="553"/>
      <c r="L82" s="553"/>
      <c r="M82" s="553"/>
      <c r="N82" s="553"/>
      <c r="O82" s="553"/>
      <c r="P82" s="553"/>
      <c r="Q82" s="553"/>
      <c r="R82" s="570"/>
      <c r="S82" s="570"/>
      <c r="T82" s="553"/>
      <c r="U82" s="553"/>
      <c r="V82" s="553"/>
      <c r="W82" s="553"/>
      <c r="X82" s="553"/>
      <c r="Y82" s="553"/>
      <c r="Z82" s="553"/>
      <c r="AA82" s="571"/>
    </row>
    <row r="83" spans="1:27">
      <c r="A83" s="500">
        <v>1</v>
      </c>
      <c r="B83" s="572" t="s">
        <v>528</v>
      </c>
      <c r="C83" s="508" t="s">
        <v>41</v>
      </c>
      <c r="D83" s="561" t="s">
        <v>41</v>
      </c>
      <c r="E83" s="503">
        <f t="shared" ref="E83:E163" si="5">F83+G83</f>
        <v>3</v>
      </c>
      <c r="F83" s="503"/>
      <c r="G83" s="503">
        <f t="shared" si="4"/>
        <v>3</v>
      </c>
      <c r="H83" s="503"/>
      <c r="I83" s="503"/>
      <c r="J83" s="508">
        <v>3</v>
      </c>
      <c r="K83" s="503"/>
      <c r="L83" s="503"/>
      <c r="M83" s="503"/>
      <c r="N83" s="503"/>
      <c r="O83" s="503"/>
      <c r="P83" s="503"/>
      <c r="Q83" s="503"/>
      <c r="R83" s="509"/>
      <c r="S83" s="509"/>
      <c r="T83" s="503"/>
      <c r="U83" s="503"/>
      <c r="V83" s="503"/>
      <c r="W83" s="503"/>
      <c r="X83" s="503"/>
      <c r="Y83" s="503"/>
      <c r="Z83" s="503"/>
      <c r="AA83" s="510" t="s">
        <v>169</v>
      </c>
    </row>
    <row r="84" spans="1:27">
      <c r="A84" s="500">
        <v>2</v>
      </c>
      <c r="B84" s="573" t="s">
        <v>529</v>
      </c>
      <c r="C84" s="507" t="s">
        <v>41</v>
      </c>
      <c r="D84" s="475" t="s">
        <v>41</v>
      </c>
      <c r="E84" s="503">
        <f t="shared" si="5"/>
        <v>20</v>
      </c>
      <c r="F84" s="503"/>
      <c r="G84" s="503">
        <f t="shared" si="4"/>
        <v>20</v>
      </c>
      <c r="H84" s="516"/>
      <c r="I84" s="516"/>
      <c r="J84" s="563">
        <v>20</v>
      </c>
      <c r="K84" s="516"/>
      <c r="L84" s="516"/>
      <c r="M84" s="516"/>
      <c r="N84" s="516"/>
      <c r="O84" s="516"/>
      <c r="P84" s="516"/>
      <c r="Q84" s="516"/>
      <c r="R84" s="565"/>
      <c r="S84" s="565"/>
      <c r="T84" s="516"/>
      <c r="U84" s="516"/>
      <c r="V84" s="516"/>
      <c r="W84" s="516"/>
      <c r="X84" s="516"/>
      <c r="Y84" s="516"/>
      <c r="Z84" s="516"/>
      <c r="AA84" s="574" t="s">
        <v>174</v>
      </c>
    </row>
    <row r="85" spans="1:27">
      <c r="A85" s="500">
        <v>3</v>
      </c>
      <c r="B85" s="573" t="s">
        <v>302</v>
      </c>
      <c r="C85" s="507" t="s">
        <v>41</v>
      </c>
      <c r="D85" s="475" t="s">
        <v>41</v>
      </c>
      <c r="E85" s="503">
        <f t="shared" si="5"/>
        <v>5.57</v>
      </c>
      <c r="F85" s="503"/>
      <c r="G85" s="503">
        <f t="shared" si="4"/>
        <v>5.57</v>
      </c>
      <c r="H85" s="516"/>
      <c r="I85" s="516"/>
      <c r="J85" s="563">
        <v>2.5</v>
      </c>
      <c r="K85" s="516">
        <v>3.0700000000000003</v>
      </c>
      <c r="L85" s="516"/>
      <c r="M85" s="516"/>
      <c r="N85" s="516"/>
      <c r="O85" s="516"/>
      <c r="P85" s="516"/>
      <c r="Q85" s="516"/>
      <c r="R85" s="565"/>
      <c r="S85" s="565"/>
      <c r="T85" s="516"/>
      <c r="U85" s="516"/>
      <c r="V85" s="516"/>
      <c r="W85" s="516"/>
      <c r="X85" s="516"/>
      <c r="Y85" s="516"/>
      <c r="Z85" s="516"/>
      <c r="AA85" s="574" t="s">
        <v>172</v>
      </c>
    </row>
    <row r="86" spans="1:27" ht="31.5">
      <c r="A86" s="500">
        <v>4</v>
      </c>
      <c r="B86" s="506" t="s">
        <v>530</v>
      </c>
      <c r="C86" s="507" t="s">
        <v>41</v>
      </c>
      <c r="D86" s="475" t="s">
        <v>41</v>
      </c>
      <c r="E86" s="503">
        <f>F86+G86</f>
        <v>3.7</v>
      </c>
      <c r="F86" s="503"/>
      <c r="G86" s="503">
        <f>H86+SUM(J86:Z86)</f>
        <v>3.7</v>
      </c>
      <c r="H86" s="503"/>
      <c r="I86" s="503"/>
      <c r="J86" s="508"/>
      <c r="K86" s="503">
        <v>3.7</v>
      </c>
      <c r="L86" s="503"/>
      <c r="M86" s="503"/>
      <c r="N86" s="503"/>
      <c r="O86" s="503"/>
      <c r="P86" s="503"/>
      <c r="Q86" s="503"/>
      <c r="R86" s="509"/>
      <c r="S86" s="509"/>
      <c r="T86" s="503"/>
      <c r="U86" s="503"/>
      <c r="V86" s="503"/>
      <c r="W86" s="503"/>
      <c r="X86" s="503"/>
      <c r="Y86" s="503"/>
      <c r="Z86" s="503"/>
      <c r="AA86" s="510" t="s">
        <v>190</v>
      </c>
    </row>
    <row r="87" spans="1:27">
      <c r="A87" s="511">
        <v>5</v>
      </c>
      <c r="B87" s="575" t="s">
        <v>531</v>
      </c>
      <c r="C87" s="576" t="s">
        <v>41</v>
      </c>
      <c r="D87" s="577" t="s">
        <v>41</v>
      </c>
      <c r="E87" s="578">
        <f t="shared" si="5"/>
        <v>3</v>
      </c>
      <c r="F87" s="578"/>
      <c r="G87" s="515">
        <f t="shared" si="4"/>
        <v>3</v>
      </c>
      <c r="H87" s="578"/>
      <c r="I87" s="578"/>
      <c r="J87" s="579"/>
      <c r="K87" s="578">
        <v>3</v>
      </c>
      <c r="L87" s="578"/>
      <c r="M87" s="578"/>
      <c r="N87" s="578"/>
      <c r="O87" s="578"/>
      <c r="P87" s="578"/>
      <c r="Q87" s="578"/>
      <c r="R87" s="580"/>
      <c r="S87" s="580"/>
      <c r="T87" s="578"/>
      <c r="U87" s="578"/>
      <c r="V87" s="578"/>
      <c r="W87" s="578"/>
      <c r="X87" s="578"/>
      <c r="Y87" s="578"/>
      <c r="Z87" s="578"/>
      <c r="AA87" s="581" t="s">
        <v>190</v>
      </c>
    </row>
    <row r="88" spans="1:27">
      <c r="A88" s="528" t="s">
        <v>532</v>
      </c>
      <c r="B88" s="582" t="s">
        <v>533</v>
      </c>
      <c r="C88" s="583"/>
      <c r="D88" s="584"/>
      <c r="E88" s="532"/>
      <c r="F88" s="585"/>
      <c r="G88" s="532"/>
      <c r="H88" s="585"/>
      <c r="I88" s="585"/>
      <c r="J88" s="586"/>
      <c r="K88" s="585"/>
      <c r="L88" s="585"/>
      <c r="M88" s="585"/>
      <c r="N88" s="585"/>
      <c r="O88" s="585"/>
      <c r="P88" s="585"/>
      <c r="Q88" s="585"/>
      <c r="R88" s="585"/>
      <c r="S88" s="585"/>
      <c r="T88" s="585"/>
      <c r="U88" s="585"/>
      <c r="V88" s="585"/>
      <c r="W88" s="585"/>
      <c r="X88" s="585"/>
      <c r="Y88" s="585"/>
      <c r="Z88" s="585"/>
      <c r="AA88" s="587"/>
    </row>
    <row r="89" spans="1:27">
      <c r="A89" s="588"/>
      <c r="B89" s="589" t="s">
        <v>534</v>
      </c>
      <c r="C89" s="502"/>
      <c r="D89" s="496"/>
      <c r="E89" s="503"/>
      <c r="F89" s="497"/>
      <c r="G89" s="503"/>
      <c r="H89" s="497"/>
      <c r="I89" s="497"/>
      <c r="J89" s="498"/>
      <c r="K89" s="497"/>
      <c r="L89" s="497"/>
      <c r="M89" s="497"/>
      <c r="N89" s="497"/>
      <c r="O89" s="497"/>
      <c r="P89" s="497"/>
      <c r="Q89" s="497"/>
      <c r="R89" s="497"/>
      <c r="S89" s="497"/>
      <c r="T89" s="497"/>
      <c r="U89" s="497"/>
      <c r="V89" s="497"/>
      <c r="W89" s="497"/>
      <c r="X89" s="497"/>
      <c r="Y89" s="497"/>
      <c r="Z89" s="497"/>
      <c r="AA89" s="499"/>
    </row>
    <row r="90" spans="1:27">
      <c r="A90" s="1182">
        <v>1</v>
      </c>
      <c r="B90" s="1202" t="s">
        <v>242</v>
      </c>
      <c r="C90" s="508" t="s">
        <v>45</v>
      </c>
      <c r="D90" s="561" t="s">
        <v>196</v>
      </c>
      <c r="E90" s="503">
        <f t="shared" si="5"/>
        <v>40.799999999999997</v>
      </c>
      <c r="F90" s="508">
        <f>3.8-2+3.2+2-5.2</f>
        <v>1.7999999999999998</v>
      </c>
      <c r="G90" s="503">
        <f t="shared" si="4"/>
        <v>39</v>
      </c>
      <c r="H90" s="503"/>
      <c r="I90" s="503"/>
      <c r="J90" s="504">
        <v>4</v>
      </c>
      <c r="K90" s="503">
        <v>2</v>
      </c>
      <c r="L90" s="503"/>
      <c r="M90" s="503">
        <v>16</v>
      </c>
      <c r="N90" s="503">
        <v>17</v>
      </c>
      <c r="O90" s="503"/>
      <c r="P90" s="503"/>
      <c r="Q90" s="503"/>
      <c r="R90" s="503"/>
      <c r="S90" s="503"/>
      <c r="T90" s="503"/>
      <c r="U90" s="503"/>
      <c r="V90" s="503"/>
      <c r="W90" s="503"/>
      <c r="X90" s="503"/>
      <c r="Y90" s="497"/>
      <c r="Z90" s="497"/>
      <c r="AA90" s="590" t="s">
        <v>174</v>
      </c>
    </row>
    <row r="91" spans="1:27">
      <c r="A91" s="1182"/>
      <c r="B91" s="1202"/>
      <c r="C91" s="508" t="s">
        <v>45</v>
      </c>
      <c r="D91" s="561" t="s">
        <v>196</v>
      </c>
      <c r="E91" s="503">
        <f t="shared" si="5"/>
        <v>15.299999999999999</v>
      </c>
      <c r="F91" s="508">
        <f>9.2-6.34-1+3+3.34+1</f>
        <v>9.1999999999999993</v>
      </c>
      <c r="G91" s="503">
        <f t="shared" si="4"/>
        <v>6.1</v>
      </c>
      <c r="H91" s="503"/>
      <c r="I91" s="503"/>
      <c r="J91" s="504">
        <v>2.2000000000000002</v>
      </c>
      <c r="K91" s="503">
        <v>3.4</v>
      </c>
      <c r="L91" s="503"/>
      <c r="M91" s="503"/>
      <c r="N91" s="503"/>
      <c r="O91" s="503"/>
      <c r="P91" s="503"/>
      <c r="Q91" s="503"/>
      <c r="R91" s="503"/>
      <c r="S91" s="503"/>
      <c r="T91" s="503"/>
      <c r="U91" s="503">
        <v>0.5</v>
      </c>
      <c r="V91" s="503"/>
      <c r="W91" s="503"/>
      <c r="X91" s="503"/>
      <c r="Y91" s="497"/>
      <c r="Z91" s="497"/>
      <c r="AA91" s="590" t="s">
        <v>173</v>
      </c>
    </row>
    <row r="92" spans="1:27">
      <c r="A92" s="1182"/>
      <c r="B92" s="1202"/>
      <c r="C92" s="508" t="s">
        <v>45</v>
      </c>
      <c r="D92" s="561" t="s">
        <v>196</v>
      </c>
      <c r="E92" s="503">
        <f t="shared" si="5"/>
        <v>10.900000000000002</v>
      </c>
      <c r="F92" s="508">
        <f>4+1.5+3.23+0.5-3.6-5.3</f>
        <v>0.33000000000000096</v>
      </c>
      <c r="G92" s="503">
        <f t="shared" si="4"/>
        <v>10.57</v>
      </c>
      <c r="H92" s="503">
        <v>0.8</v>
      </c>
      <c r="I92" s="503">
        <v>0.8</v>
      </c>
      <c r="J92" s="504">
        <v>2.2999999999999998</v>
      </c>
      <c r="K92" s="503">
        <v>1.97</v>
      </c>
      <c r="L92" s="503"/>
      <c r="M92" s="503"/>
      <c r="N92" s="503">
        <v>2</v>
      </c>
      <c r="O92" s="503"/>
      <c r="P92" s="503"/>
      <c r="Q92" s="503"/>
      <c r="R92" s="503"/>
      <c r="S92" s="503"/>
      <c r="T92" s="503">
        <v>2</v>
      </c>
      <c r="U92" s="503"/>
      <c r="V92" s="503">
        <v>1.5</v>
      </c>
      <c r="W92" s="503"/>
      <c r="X92" s="503"/>
      <c r="Y92" s="497"/>
      <c r="Z92" s="497"/>
      <c r="AA92" s="591" t="s">
        <v>168</v>
      </c>
    </row>
    <row r="93" spans="1:27" ht="31.5">
      <c r="A93" s="500">
        <v>2</v>
      </c>
      <c r="B93" s="560" t="s">
        <v>535</v>
      </c>
      <c r="C93" s="502" t="s">
        <v>45</v>
      </c>
      <c r="D93" s="496" t="s">
        <v>196</v>
      </c>
      <c r="E93" s="503">
        <f t="shared" si="5"/>
        <v>6.69</v>
      </c>
      <c r="F93" s="503">
        <v>3.99</v>
      </c>
      <c r="G93" s="503">
        <f t="shared" si="4"/>
        <v>2.7</v>
      </c>
      <c r="H93" s="503"/>
      <c r="I93" s="503"/>
      <c r="J93" s="504">
        <v>1.2</v>
      </c>
      <c r="K93" s="503">
        <v>1.5</v>
      </c>
      <c r="L93" s="503"/>
      <c r="M93" s="503"/>
      <c r="N93" s="503"/>
      <c r="O93" s="503"/>
      <c r="P93" s="503"/>
      <c r="Q93" s="503"/>
      <c r="R93" s="503"/>
      <c r="S93" s="503"/>
      <c r="T93" s="503"/>
      <c r="U93" s="503"/>
      <c r="V93" s="503"/>
      <c r="W93" s="503"/>
      <c r="X93" s="503"/>
      <c r="Y93" s="503"/>
      <c r="Z93" s="503"/>
      <c r="AA93" s="505" t="s">
        <v>168</v>
      </c>
    </row>
    <row r="94" spans="1:27" ht="31.5">
      <c r="A94" s="500">
        <v>3</v>
      </c>
      <c r="B94" s="560" t="s">
        <v>536</v>
      </c>
      <c r="C94" s="502" t="s">
        <v>45</v>
      </c>
      <c r="D94" s="496" t="s">
        <v>196</v>
      </c>
      <c r="E94" s="503">
        <f t="shared" si="5"/>
        <v>20</v>
      </c>
      <c r="F94" s="503"/>
      <c r="G94" s="503">
        <f t="shared" si="4"/>
        <v>20</v>
      </c>
      <c r="H94" s="503">
        <v>2.2000000000000002</v>
      </c>
      <c r="I94" s="503">
        <v>2.2000000000000002</v>
      </c>
      <c r="J94" s="504">
        <v>3</v>
      </c>
      <c r="K94" s="503">
        <f>15-1.2</f>
        <v>13.8</v>
      </c>
      <c r="L94" s="503"/>
      <c r="M94" s="503"/>
      <c r="N94" s="503"/>
      <c r="O94" s="503"/>
      <c r="P94" s="503"/>
      <c r="Q94" s="503"/>
      <c r="R94" s="503"/>
      <c r="S94" s="503"/>
      <c r="T94" s="503">
        <v>1</v>
      </c>
      <c r="U94" s="503"/>
      <c r="V94" s="503"/>
      <c r="W94" s="503"/>
      <c r="X94" s="503"/>
      <c r="Y94" s="503"/>
      <c r="Z94" s="503"/>
      <c r="AA94" s="505" t="s">
        <v>168</v>
      </c>
    </row>
    <row r="95" spans="1:27">
      <c r="A95" s="500">
        <v>4</v>
      </c>
      <c r="B95" s="560" t="s">
        <v>537</v>
      </c>
      <c r="C95" s="502" t="s">
        <v>45</v>
      </c>
      <c r="D95" s="496" t="s">
        <v>196</v>
      </c>
      <c r="E95" s="503">
        <f t="shared" si="5"/>
        <v>1</v>
      </c>
      <c r="F95" s="503"/>
      <c r="G95" s="503">
        <f t="shared" si="4"/>
        <v>1</v>
      </c>
      <c r="H95" s="503"/>
      <c r="I95" s="503"/>
      <c r="J95" s="504">
        <v>0.8</v>
      </c>
      <c r="K95" s="503"/>
      <c r="L95" s="503"/>
      <c r="M95" s="503"/>
      <c r="N95" s="503"/>
      <c r="O95" s="503"/>
      <c r="P95" s="503"/>
      <c r="Q95" s="503"/>
      <c r="R95" s="503"/>
      <c r="S95" s="503"/>
      <c r="T95" s="503">
        <v>0.2</v>
      </c>
      <c r="U95" s="503"/>
      <c r="V95" s="503"/>
      <c r="W95" s="503"/>
      <c r="X95" s="503"/>
      <c r="Y95" s="503"/>
      <c r="Z95" s="503"/>
      <c r="AA95" s="505" t="s">
        <v>168</v>
      </c>
    </row>
    <row r="96" spans="1:27" ht="47.25">
      <c r="A96" s="500">
        <v>5</v>
      </c>
      <c r="B96" s="560" t="s">
        <v>345</v>
      </c>
      <c r="C96" s="502" t="s">
        <v>45</v>
      </c>
      <c r="D96" s="496" t="s">
        <v>196</v>
      </c>
      <c r="E96" s="503">
        <f t="shared" si="5"/>
        <v>0.75</v>
      </c>
      <c r="F96" s="503"/>
      <c r="G96" s="503">
        <f t="shared" si="4"/>
        <v>0.75</v>
      </c>
      <c r="H96" s="503"/>
      <c r="I96" s="503"/>
      <c r="J96" s="504"/>
      <c r="K96" s="503">
        <v>0.75</v>
      </c>
      <c r="L96" s="503"/>
      <c r="M96" s="503"/>
      <c r="N96" s="503"/>
      <c r="O96" s="503"/>
      <c r="P96" s="503"/>
      <c r="Q96" s="503"/>
      <c r="R96" s="503"/>
      <c r="S96" s="503"/>
      <c r="T96" s="503"/>
      <c r="U96" s="503"/>
      <c r="V96" s="503"/>
      <c r="W96" s="503"/>
      <c r="X96" s="503"/>
      <c r="Y96" s="503"/>
      <c r="Z96" s="503"/>
      <c r="AA96" s="505" t="s">
        <v>168</v>
      </c>
    </row>
    <row r="97" spans="1:27" ht="47.25">
      <c r="A97" s="500">
        <v>6</v>
      </c>
      <c r="B97" s="560" t="s">
        <v>346</v>
      </c>
      <c r="C97" s="502" t="s">
        <v>45</v>
      </c>
      <c r="D97" s="496" t="s">
        <v>196</v>
      </c>
      <c r="E97" s="503">
        <f t="shared" si="5"/>
        <v>0.5</v>
      </c>
      <c r="F97" s="503"/>
      <c r="G97" s="503">
        <f t="shared" si="4"/>
        <v>0.5</v>
      </c>
      <c r="H97" s="503"/>
      <c r="I97" s="503"/>
      <c r="J97" s="504">
        <v>0.2</v>
      </c>
      <c r="K97" s="503">
        <v>0.3</v>
      </c>
      <c r="L97" s="503"/>
      <c r="M97" s="503"/>
      <c r="N97" s="503"/>
      <c r="O97" s="503"/>
      <c r="P97" s="503"/>
      <c r="Q97" s="503"/>
      <c r="R97" s="503"/>
      <c r="S97" s="503"/>
      <c r="T97" s="503"/>
      <c r="U97" s="503"/>
      <c r="V97" s="503"/>
      <c r="W97" s="503"/>
      <c r="X97" s="503"/>
      <c r="Y97" s="503"/>
      <c r="Z97" s="503"/>
      <c r="AA97" s="505" t="s">
        <v>168</v>
      </c>
    </row>
    <row r="98" spans="1:27" ht="47.25">
      <c r="A98" s="500">
        <v>7</v>
      </c>
      <c r="B98" s="560" t="s">
        <v>538</v>
      </c>
      <c r="C98" s="502" t="s">
        <v>45</v>
      </c>
      <c r="D98" s="496" t="s">
        <v>196</v>
      </c>
      <c r="E98" s="503">
        <f t="shared" si="5"/>
        <v>0.5</v>
      </c>
      <c r="F98" s="503"/>
      <c r="G98" s="503">
        <f t="shared" si="4"/>
        <v>0.5</v>
      </c>
      <c r="H98" s="503"/>
      <c r="I98" s="503"/>
      <c r="J98" s="504"/>
      <c r="K98" s="503"/>
      <c r="L98" s="503"/>
      <c r="M98" s="503"/>
      <c r="N98" s="503"/>
      <c r="O98" s="503"/>
      <c r="P98" s="503">
        <v>0.5</v>
      </c>
      <c r="Q98" s="503"/>
      <c r="R98" s="503"/>
      <c r="S98" s="503"/>
      <c r="T98" s="503"/>
      <c r="U98" s="503"/>
      <c r="V98" s="503"/>
      <c r="W98" s="503"/>
      <c r="X98" s="503"/>
      <c r="Y98" s="503"/>
      <c r="Z98" s="503"/>
      <c r="AA98" s="505" t="s">
        <v>168</v>
      </c>
    </row>
    <row r="99" spans="1:27" ht="31.5">
      <c r="A99" s="500">
        <v>8</v>
      </c>
      <c r="B99" s="560" t="s">
        <v>539</v>
      </c>
      <c r="C99" s="502" t="s">
        <v>45</v>
      </c>
      <c r="D99" s="496" t="s">
        <v>196</v>
      </c>
      <c r="E99" s="503">
        <f t="shared" si="5"/>
        <v>1</v>
      </c>
      <c r="F99" s="503"/>
      <c r="G99" s="503">
        <f t="shared" ref="G99" si="6">H99+SUM(J99:Z99)</f>
        <v>1</v>
      </c>
      <c r="H99" s="503"/>
      <c r="I99" s="503"/>
      <c r="J99" s="504">
        <v>0.3</v>
      </c>
      <c r="K99" s="503">
        <v>0.5</v>
      </c>
      <c r="L99" s="503"/>
      <c r="M99" s="503"/>
      <c r="N99" s="503"/>
      <c r="O99" s="503">
        <v>0.2</v>
      </c>
      <c r="P99" s="503"/>
      <c r="Q99" s="503"/>
      <c r="R99" s="503"/>
      <c r="S99" s="503"/>
      <c r="T99" s="503"/>
      <c r="U99" s="503"/>
      <c r="V99" s="503"/>
      <c r="W99" s="503"/>
      <c r="X99" s="503"/>
      <c r="Y99" s="503"/>
      <c r="Z99" s="503"/>
      <c r="AA99" s="505" t="s">
        <v>168</v>
      </c>
    </row>
    <row r="100" spans="1:27" ht="31.5">
      <c r="A100" s="500">
        <v>9</v>
      </c>
      <c r="B100" s="560" t="s">
        <v>540</v>
      </c>
      <c r="C100" s="508" t="s">
        <v>45</v>
      </c>
      <c r="D100" s="561" t="s">
        <v>196</v>
      </c>
      <c r="E100" s="503">
        <f t="shared" si="5"/>
        <v>8</v>
      </c>
      <c r="F100" s="503">
        <v>2.5</v>
      </c>
      <c r="G100" s="503">
        <f t="shared" si="4"/>
        <v>5.5</v>
      </c>
      <c r="H100" s="503"/>
      <c r="I100" s="503"/>
      <c r="J100" s="504">
        <v>4</v>
      </c>
      <c r="K100" s="503">
        <v>1.5</v>
      </c>
      <c r="L100" s="503"/>
      <c r="M100" s="503"/>
      <c r="N100" s="503"/>
      <c r="O100" s="503"/>
      <c r="P100" s="503"/>
      <c r="Q100" s="503"/>
      <c r="R100" s="503"/>
      <c r="S100" s="503"/>
      <c r="T100" s="503"/>
      <c r="U100" s="503"/>
      <c r="V100" s="503"/>
      <c r="W100" s="503"/>
      <c r="X100" s="503"/>
      <c r="Y100" s="503"/>
      <c r="Z100" s="503"/>
      <c r="AA100" s="505" t="s">
        <v>190</v>
      </c>
    </row>
    <row r="101" spans="1:27">
      <c r="A101" s="500">
        <v>10</v>
      </c>
      <c r="B101" s="560" t="s">
        <v>541</v>
      </c>
      <c r="C101" s="508" t="s">
        <v>45</v>
      </c>
      <c r="D101" s="561" t="s">
        <v>196</v>
      </c>
      <c r="E101" s="503">
        <f t="shared" si="5"/>
        <v>0.66</v>
      </c>
      <c r="F101" s="503">
        <v>0.33</v>
      </c>
      <c r="G101" s="503">
        <f t="shared" si="4"/>
        <v>0.33</v>
      </c>
      <c r="H101" s="503"/>
      <c r="I101" s="503"/>
      <c r="J101" s="508">
        <v>0.2</v>
      </c>
      <c r="K101" s="503">
        <v>0.13</v>
      </c>
      <c r="L101" s="503"/>
      <c r="M101" s="503"/>
      <c r="N101" s="503"/>
      <c r="O101" s="503"/>
      <c r="P101" s="503"/>
      <c r="Q101" s="503"/>
      <c r="R101" s="509"/>
      <c r="S101" s="509"/>
      <c r="T101" s="503"/>
      <c r="U101" s="503"/>
      <c r="V101" s="503"/>
      <c r="W101" s="503"/>
      <c r="X101" s="503"/>
      <c r="Y101" s="503"/>
      <c r="Z101" s="503"/>
      <c r="AA101" s="510" t="s">
        <v>171</v>
      </c>
    </row>
    <row r="102" spans="1:27" ht="31.5">
      <c r="A102" s="500">
        <v>11</v>
      </c>
      <c r="B102" s="560" t="s">
        <v>542</v>
      </c>
      <c r="C102" s="508" t="s">
        <v>45</v>
      </c>
      <c r="D102" s="561" t="s">
        <v>196</v>
      </c>
      <c r="E102" s="503">
        <f t="shared" si="5"/>
        <v>1.2999999999999998</v>
      </c>
      <c r="F102" s="503">
        <v>0.7</v>
      </c>
      <c r="G102" s="503">
        <f t="shared" si="4"/>
        <v>0.6</v>
      </c>
      <c r="H102" s="503"/>
      <c r="I102" s="503"/>
      <c r="J102" s="508">
        <v>0.45</v>
      </c>
      <c r="K102" s="503">
        <v>0.15</v>
      </c>
      <c r="L102" s="503"/>
      <c r="M102" s="503"/>
      <c r="N102" s="503"/>
      <c r="O102" s="503"/>
      <c r="P102" s="503"/>
      <c r="Q102" s="503"/>
      <c r="R102" s="509"/>
      <c r="S102" s="509"/>
      <c r="T102" s="503"/>
      <c r="U102" s="503"/>
      <c r="V102" s="503"/>
      <c r="W102" s="503"/>
      <c r="X102" s="503"/>
      <c r="Y102" s="503"/>
      <c r="Z102" s="503"/>
      <c r="AA102" s="510" t="s">
        <v>171</v>
      </c>
    </row>
    <row r="103" spans="1:27" ht="31.5">
      <c r="A103" s="592">
        <v>12</v>
      </c>
      <c r="B103" s="560" t="s">
        <v>460</v>
      </c>
      <c r="C103" s="508" t="s">
        <v>45</v>
      </c>
      <c r="D103" s="561" t="s">
        <v>196</v>
      </c>
      <c r="E103" s="503">
        <f t="shared" si="5"/>
        <v>2</v>
      </c>
      <c r="F103" s="593">
        <v>2</v>
      </c>
      <c r="G103" s="503">
        <f t="shared" si="4"/>
        <v>0</v>
      </c>
      <c r="H103" s="503"/>
      <c r="I103" s="503"/>
      <c r="J103" s="508"/>
      <c r="K103" s="503"/>
      <c r="L103" s="503"/>
      <c r="M103" s="503"/>
      <c r="N103" s="503"/>
      <c r="O103" s="503"/>
      <c r="P103" s="503"/>
      <c r="Q103" s="503"/>
      <c r="R103" s="509"/>
      <c r="S103" s="509"/>
      <c r="T103" s="503"/>
      <c r="U103" s="503"/>
      <c r="V103" s="503"/>
      <c r="W103" s="503"/>
      <c r="X103" s="503"/>
      <c r="Y103" s="503"/>
      <c r="Z103" s="503"/>
      <c r="AA103" s="510" t="s">
        <v>169</v>
      </c>
    </row>
    <row r="104" spans="1:27">
      <c r="A104" s="535">
        <v>13</v>
      </c>
      <c r="B104" s="560" t="s">
        <v>543</v>
      </c>
      <c r="C104" s="508" t="s">
        <v>45</v>
      </c>
      <c r="D104" s="561" t="s">
        <v>196</v>
      </c>
      <c r="E104" s="503">
        <f t="shared" si="5"/>
        <v>0.4</v>
      </c>
      <c r="F104" s="503"/>
      <c r="G104" s="503">
        <f t="shared" si="4"/>
        <v>0.4</v>
      </c>
      <c r="H104" s="503"/>
      <c r="I104" s="503"/>
      <c r="J104" s="508"/>
      <c r="K104" s="503">
        <v>0.4</v>
      </c>
      <c r="L104" s="503"/>
      <c r="M104" s="503"/>
      <c r="N104" s="503"/>
      <c r="O104" s="503"/>
      <c r="P104" s="503"/>
      <c r="Q104" s="503"/>
      <c r="R104" s="509"/>
      <c r="S104" s="509"/>
      <c r="T104" s="503"/>
      <c r="U104" s="503"/>
      <c r="V104" s="503"/>
      <c r="W104" s="503"/>
      <c r="X104" s="503"/>
      <c r="Y104" s="503"/>
      <c r="Z104" s="503"/>
      <c r="AA104" s="510" t="s">
        <v>169</v>
      </c>
    </row>
    <row r="105" spans="1:27">
      <c r="A105" s="1178">
        <v>14</v>
      </c>
      <c r="B105" s="1211" t="s">
        <v>544</v>
      </c>
      <c r="C105" s="508" t="s">
        <v>74</v>
      </c>
      <c r="D105" s="561" t="s">
        <v>74</v>
      </c>
      <c r="E105" s="503">
        <f t="shared" si="5"/>
        <v>0.5</v>
      </c>
      <c r="F105" s="594">
        <v>0.5</v>
      </c>
      <c r="G105" s="503">
        <f t="shared" si="4"/>
        <v>0</v>
      </c>
      <c r="H105" s="503"/>
      <c r="I105" s="503"/>
      <c r="J105" s="508"/>
      <c r="K105" s="503"/>
      <c r="L105" s="503"/>
      <c r="M105" s="503"/>
      <c r="N105" s="503"/>
      <c r="O105" s="503"/>
      <c r="P105" s="503"/>
      <c r="Q105" s="503"/>
      <c r="R105" s="509"/>
      <c r="S105" s="509"/>
      <c r="T105" s="503"/>
      <c r="U105" s="503"/>
      <c r="V105" s="503"/>
      <c r="W105" s="503"/>
      <c r="X105" s="503"/>
      <c r="Y105" s="503"/>
      <c r="Z105" s="503"/>
      <c r="AA105" s="510" t="s">
        <v>169</v>
      </c>
    </row>
    <row r="106" spans="1:27" s="545" customFormat="1">
      <c r="A106" s="1210"/>
      <c r="B106" s="1212"/>
      <c r="C106" s="595" t="s">
        <v>45</v>
      </c>
      <c r="D106" s="596" t="s">
        <v>196</v>
      </c>
      <c r="E106" s="503">
        <f t="shared" si="5"/>
        <v>44.5</v>
      </c>
      <c r="F106" s="594">
        <v>14.3</v>
      </c>
      <c r="G106" s="503">
        <f t="shared" si="4"/>
        <v>30.2</v>
      </c>
      <c r="H106" s="597"/>
      <c r="I106" s="597"/>
      <c r="J106" s="598">
        <v>8.6999999999999993</v>
      </c>
      <c r="K106" s="597">
        <v>10</v>
      </c>
      <c r="L106" s="597"/>
      <c r="M106" s="597"/>
      <c r="N106" s="597">
        <v>11</v>
      </c>
      <c r="O106" s="597"/>
      <c r="P106" s="597"/>
      <c r="Q106" s="597"/>
      <c r="R106" s="597"/>
      <c r="S106" s="597"/>
      <c r="T106" s="597"/>
      <c r="U106" s="597"/>
      <c r="V106" s="597"/>
      <c r="W106" s="597"/>
      <c r="X106" s="597"/>
      <c r="Y106" s="597"/>
      <c r="Z106" s="597">
        <v>0.5</v>
      </c>
      <c r="AA106" s="599" t="s">
        <v>545</v>
      </c>
    </row>
    <row r="107" spans="1:27">
      <c r="A107" s="1182">
        <v>15</v>
      </c>
      <c r="B107" s="1203" t="s">
        <v>546</v>
      </c>
      <c r="C107" s="508" t="s">
        <v>45</v>
      </c>
      <c r="D107" s="561" t="s">
        <v>196</v>
      </c>
      <c r="E107" s="503">
        <f t="shared" si="5"/>
        <v>6.1</v>
      </c>
      <c r="F107" s="503">
        <v>0.1</v>
      </c>
      <c r="G107" s="503">
        <f t="shared" si="4"/>
        <v>6</v>
      </c>
      <c r="H107" s="503">
        <v>0.5</v>
      </c>
      <c r="I107" s="503"/>
      <c r="J107" s="508">
        <v>2.9</v>
      </c>
      <c r="K107" s="503">
        <v>2</v>
      </c>
      <c r="L107" s="503"/>
      <c r="M107" s="503"/>
      <c r="N107" s="503"/>
      <c r="O107" s="503"/>
      <c r="P107" s="503"/>
      <c r="Q107" s="503"/>
      <c r="R107" s="509">
        <v>0.6</v>
      </c>
      <c r="S107" s="509"/>
      <c r="T107" s="503"/>
      <c r="U107" s="503"/>
      <c r="V107" s="503"/>
      <c r="W107" s="503"/>
      <c r="X107" s="503"/>
      <c r="Y107" s="503"/>
      <c r="Z107" s="503"/>
      <c r="AA107" s="510" t="s">
        <v>174</v>
      </c>
    </row>
    <row r="108" spans="1:27">
      <c r="A108" s="1182"/>
      <c r="B108" s="1203"/>
      <c r="C108" s="508" t="s">
        <v>45</v>
      </c>
      <c r="D108" s="561" t="s">
        <v>196</v>
      </c>
      <c r="E108" s="503">
        <f t="shared" si="5"/>
        <v>15</v>
      </c>
      <c r="F108" s="503">
        <v>0.5</v>
      </c>
      <c r="G108" s="503">
        <f t="shared" si="4"/>
        <v>14.5</v>
      </c>
      <c r="H108" s="503"/>
      <c r="I108" s="503"/>
      <c r="J108" s="508">
        <v>8</v>
      </c>
      <c r="K108" s="503">
        <v>4</v>
      </c>
      <c r="L108" s="503"/>
      <c r="M108" s="503"/>
      <c r="N108" s="503"/>
      <c r="O108" s="503"/>
      <c r="P108" s="503"/>
      <c r="Q108" s="503"/>
      <c r="R108" s="509">
        <v>2</v>
      </c>
      <c r="S108" s="509"/>
      <c r="T108" s="503"/>
      <c r="U108" s="503">
        <v>0.5</v>
      </c>
      <c r="V108" s="503"/>
      <c r="W108" s="503"/>
      <c r="X108" s="503"/>
      <c r="Y108" s="503"/>
      <c r="Z108" s="503"/>
      <c r="AA108" s="510" t="s">
        <v>189</v>
      </c>
    </row>
    <row r="109" spans="1:27" s="545" customFormat="1" ht="31.5">
      <c r="A109" s="540">
        <v>16</v>
      </c>
      <c r="B109" s="600" t="s">
        <v>547</v>
      </c>
      <c r="C109" s="502" t="s">
        <v>45</v>
      </c>
      <c r="D109" s="496" t="s">
        <v>196</v>
      </c>
      <c r="E109" s="503">
        <f t="shared" si="5"/>
        <v>20.3</v>
      </c>
      <c r="F109" s="503">
        <v>8.35</v>
      </c>
      <c r="G109" s="503">
        <f t="shared" si="4"/>
        <v>11.950000000000001</v>
      </c>
      <c r="H109" s="503"/>
      <c r="I109" s="503"/>
      <c r="J109" s="504">
        <v>0.2</v>
      </c>
      <c r="K109" s="503">
        <v>0.53</v>
      </c>
      <c r="L109" s="503"/>
      <c r="M109" s="503"/>
      <c r="N109" s="503"/>
      <c r="O109" s="503"/>
      <c r="P109" s="503"/>
      <c r="Q109" s="503"/>
      <c r="R109" s="503"/>
      <c r="S109" s="503"/>
      <c r="T109" s="503"/>
      <c r="U109" s="503"/>
      <c r="V109" s="503"/>
      <c r="W109" s="503"/>
      <c r="X109" s="503"/>
      <c r="Y109" s="503"/>
      <c r="Z109" s="503">
        <v>11.22</v>
      </c>
      <c r="AA109" s="505" t="s">
        <v>170</v>
      </c>
    </row>
    <row r="110" spans="1:27" s="545" customFormat="1">
      <c r="A110" s="601">
        <v>17</v>
      </c>
      <c r="B110" s="602" t="s">
        <v>548</v>
      </c>
      <c r="C110" s="502" t="s">
        <v>45</v>
      </c>
      <c r="D110" s="496" t="s">
        <v>196</v>
      </c>
      <c r="E110" s="503">
        <f t="shared" si="5"/>
        <v>22</v>
      </c>
      <c r="F110" s="503"/>
      <c r="G110" s="503">
        <f t="shared" si="4"/>
        <v>22</v>
      </c>
      <c r="H110" s="503"/>
      <c r="I110" s="503"/>
      <c r="J110" s="504"/>
      <c r="K110" s="503"/>
      <c r="L110" s="503">
        <v>22</v>
      </c>
      <c r="M110" s="503"/>
      <c r="N110" s="503"/>
      <c r="O110" s="503"/>
      <c r="P110" s="503"/>
      <c r="Q110" s="503"/>
      <c r="R110" s="503"/>
      <c r="S110" s="503"/>
      <c r="T110" s="503"/>
      <c r="U110" s="503"/>
      <c r="V110" s="503"/>
      <c r="W110" s="503"/>
      <c r="X110" s="503"/>
      <c r="Y110" s="503"/>
      <c r="Z110" s="503"/>
      <c r="AA110" s="505" t="s">
        <v>170</v>
      </c>
    </row>
    <row r="111" spans="1:27" s="545" customFormat="1">
      <c r="A111" s="1204">
        <v>18</v>
      </c>
      <c r="B111" s="1207" t="s">
        <v>549</v>
      </c>
      <c r="C111" s="603" t="s">
        <v>45</v>
      </c>
      <c r="D111" s="604" t="s">
        <v>196</v>
      </c>
      <c r="E111" s="503">
        <f t="shared" si="5"/>
        <v>1</v>
      </c>
      <c r="F111" s="605"/>
      <c r="G111" s="503">
        <f t="shared" si="4"/>
        <v>1</v>
      </c>
      <c r="H111" s="606"/>
      <c r="I111" s="606"/>
      <c r="J111" s="607">
        <v>0.5</v>
      </c>
      <c r="K111" s="606">
        <v>0.4</v>
      </c>
      <c r="L111" s="606"/>
      <c r="M111" s="606"/>
      <c r="N111" s="606"/>
      <c r="O111" s="606"/>
      <c r="P111" s="606"/>
      <c r="Q111" s="606"/>
      <c r="R111" s="606"/>
      <c r="S111" s="606"/>
      <c r="T111" s="606"/>
      <c r="U111" s="606">
        <v>0.1</v>
      </c>
      <c r="V111" s="606"/>
      <c r="W111" s="606"/>
      <c r="X111" s="606"/>
      <c r="Y111" s="606"/>
      <c r="Z111" s="606"/>
      <c r="AA111" s="608" t="s">
        <v>172</v>
      </c>
    </row>
    <row r="112" spans="1:27" s="545" customFormat="1">
      <c r="A112" s="1205"/>
      <c r="B112" s="1208"/>
      <c r="C112" s="603" t="s">
        <v>45</v>
      </c>
      <c r="D112" s="604" t="s">
        <v>196</v>
      </c>
      <c r="E112" s="503">
        <f t="shared" si="5"/>
        <v>0.8</v>
      </c>
      <c r="F112" s="605"/>
      <c r="G112" s="503">
        <f t="shared" si="4"/>
        <v>0.8</v>
      </c>
      <c r="H112" s="606"/>
      <c r="I112" s="606"/>
      <c r="J112" s="607">
        <v>0.26</v>
      </c>
      <c r="K112" s="606">
        <v>0.49</v>
      </c>
      <c r="L112" s="606"/>
      <c r="M112" s="606"/>
      <c r="N112" s="606"/>
      <c r="O112" s="606"/>
      <c r="P112" s="606"/>
      <c r="Q112" s="606"/>
      <c r="R112" s="606"/>
      <c r="S112" s="606"/>
      <c r="T112" s="606"/>
      <c r="U112" s="606">
        <v>0.05</v>
      </c>
      <c r="V112" s="606"/>
      <c r="W112" s="606"/>
      <c r="X112" s="606"/>
      <c r="Y112" s="606"/>
      <c r="Z112" s="606"/>
      <c r="AA112" s="608" t="s">
        <v>198</v>
      </c>
    </row>
    <row r="113" spans="1:27" s="545" customFormat="1">
      <c r="A113" s="1205"/>
      <c r="B113" s="1208"/>
      <c r="C113" s="603" t="s">
        <v>45</v>
      </c>
      <c r="D113" s="604" t="s">
        <v>196</v>
      </c>
      <c r="E113" s="503">
        <f t="shared" si="5"/>
        <v>1.21</v>
      </c>
      <c r="F113" s="605"/>
      <c r="G113" s="503">
        <f t="shared" si="4"/>
        <v>1.21</v>
      </c>
      <c r="H113" s="606"/>
      <c r="I113" s="606"/>
      <c r="J113" s="607">
        <v>0.35</v>
      </c>
      <c r="K113" s="606">
        <v>0.56000000000000005</v>
      </c>
      <c r="L113" s="606"/>
      <c r="M113" s="606"/>
      <c r="N113" s="606"/>
      <c r="O113" s="606"/>
      <c r="P113" s="606"/>
      <c r="Q113" s="606"/>
      <c r="R113" s="606"/>
      <c r="S113" s="606"/>
      <c r="T113" s="606"/>
      <c r="U113" s="606">
        <v>0.3</v>
      </c>
      <c r="V113" s="606"/>
      <c r="W113" s="606"/>
      <c r="X113" s="606"/>
      <c r="Y113" s="606"/>
      <c r="Z113" s="606"/>
      <c r="AA113" s="608" t="s">
        <v>197</v>
      </c>
    </row>
    <row r="114" spans="1:27" s="545" customFormat="1">
      <c r="A114" s="1206"/>
      <c r="B114" s="1209"/>
      <c r="C114" s="603" t="s">
        <v>45</v>
      </c>
      <c r="D114" s="604" t="s">
        <v>196</v>
      </c>
      <c r="E114" s="503">
        <f t="shared" si="5"/>
        <v>0.89</v>
      </c>
      <c r="F114" s="605"/>
      <c r="G114" s="503">
        <f t="shared" si="4"/>
        <v>0.89</v>
      </c>
      <c r="H114" s="606"/>
      <c r="I114" s="606"/>
      <c r="J114" s="607">
        <v>0.4</v>
      </c>
      <c r="K114" s="606">
        <v>0.48</v>
      </c>
      <c r="L114" s="606"/>
      <c r="M114" s="606"/>
      <c r="N114" s="606"/>
      <c r="O114" s="606"/>
      <c r="P114" s="606"/>
      <c r="Q114" s="606"/>
      <c r="R114" s="606"/>
      <c r="S114" s="606"/>
      <c r="T114" s="606"/>
      <c r="U114" s="606">
        <v>0.01</v>
      </c>
      <c r="V114" s="606"/>
      <c r="W114" s="606"/>
      <c r="X114" s="606"/>
      <c r="Y114" s="606"/>
      <c r="Z114" s="606"/>
      <c r="AA114" s="608" t="s">
        <v>170</v>
      </c>
    </row>
    <row r="115" spans="1:27" s="545" customFormat="1">
      <c r="A115" s="609">
        <v>19</v>
      </c>
      <c r="B115" s="610" t="s">
        <v>550</v>
      </c>
      <c r="C115" s="603" t="s">
        <v>45</v>
      </c>
      <c r="D115" s="604" t="s">
        <v>196</v>
      </c>
      <c r="E115" s="503">
        <f t="shared" si="5"/>
        <v>53.1</v>
      </c>
      <c r="F115" s="605">
        <f>57-3.9</f>
        <v>53.1</v>
      </c>
      <c r="G115" s="503">
        <f t="shared" si="4"/>
        <v>0</v>
      </c>
      <c r="H115" s="606"/>
      <c r="I115" s="606"/>
      <c r="J115" s="607"/>
      <c r="K115" s="606"/>
      <c r="L115" s="606"/>
      <c r="M115" s="606"/>
      <c r="N115" s="606"/>
      <c r="O115" s="606"/>
      <c r="P115" s="606"/>
      <c r="Q115" s="606"/>
      <c r="R115" s="606"/>
      <c r="S115" s="606"/>
      <c r="T115" s="606"/>
      <c r="U115" s="606"/>
      <c r="V115" s="606"/>
      <c r="W115" s="606"/>
      <c r="X115" s="606"/>
      <c r="Y115" s="606"/>
      <c r="Z115" s="606"/>
      <c r="AA115" s="608" t="s">
        <v>551</v>
      </c>
    </row>
    <row r="116" spans="1:27" s="545" customFormat="1" ht="47.25">
      <c r="A116" s="609">
        <v>20</v>
      </c>
      <c r="B116" s="611" t="s">
        <v>552</v>
      </c>
      <c r="C116" s="612" t="s">
        <v>45</v>
      </c>
      <c r="D116" s="613" t="s">
        <v>196</v>
      </c>
      <c r="E116" s="503">
        <f t="shared" si="5"/>
        <v>15.17</v>
      </c>
      <c r="F116" s="614"/>
      <c r="G116" s="503">
        <f t="shared" si="4"/>
        <v>15.17</v>
      </c>
      <c r="H116" s="615"/>
      <c r="I116" s="615"/>
      <c r="J116" s="616">
        <v>6.5</v>
      </c>
      <c r="K116" s="615">
        <v>8.67</v>
      </c>
      <c r="L116" s="615"/>
      <c r="M116" s="615"/>
      <c r="N116" s="615"/>
      <c r="O116" s="615"/>
      <c r="P116" s="615"/>
      <c r="Q116" s="615"/>
      <c r="R116" s="615"/>
      <c r="S116" s="615"/>
      <c r="T116" s="615"/>
      <c r="U116" s="615"/>
      <c r="V116" s="615"/>
      <c r="W116" s="615"/>
      <c r="X116" s="615"/>
      <c r="Y116" s="615"/>
      <c r="Z116" s="615"/>
      <c r="AA116" s="617" t="s">
        <v>190</v>
      </c>
    </row>
    <row r="117" spans="1:27" s="545" customFormat="1" ht="63">
      <c r="A117" s="609">
        <v>21</v>
      </c>
      <c r="B117" s="611" t="s">
        <v>553</v>
      </c>
      <c r="C117" s="612" t="s">
        <v>45</v>
      </c>
      <c r="D117" s="613" t="s">
        <v>196</v>
      </c>
      <c r="E117" s="503">
        <f t="shared" si="5"/>
        <v>9.8000000000000007</v>
      </c>
      <c r="F117" s="614"/>
      <c r="G117" s="503">
        <f t="shared" si="4"/>
        <v>9.8000000000000007</v>
      </c>
      <c r="H117" s="615"/>
      <c r="I117" s="615"/>
      <c r="J117" s="616">
        <v>4.28</v>
      </c>
      <c r="K117" s="615">
        <v>5.52</v>
      </c>
      <c r="L117" s="615"/>
      <c r="M117" s="615"/>
      <c r="N117" s="615"/>
      <c r="O117" s="615"/>
      <c r="P117" s="615"/>
      <c r="Q117" s="615"/>
      <c r="R117" s="615"/>
      <c r="S117" s="615"/>
      <c r="T117" s="615"/>
      <c r="U117" s="615"/>
      <c r="V117" s="615"/>
      <c r="W117" s="615"/>
      <c r="X117" s="615"/>
      <c r="Y117" s="615"/>
      <c r="Z117" s="615"/>
      <c r="AA117" s="617" t="s">
        <v>190</v>
      </c>
    </row>
    <row r="118" spans="1:27" s="545" customFormat="1" ht="31.5">
      <c r="A118" s="618">
        <v>22</v>
      </c>
      <c r="B118" s="619" t="s">
        <v>554</v>
      </c>
      <c r="C118" s="620" t="s">
        <v>45</v>
      </c>
      <c r="D118" s="621" t="s">
        <v>196</v>
      </c>
      <c r="E118" s="515">
        <f t="shared" si="5"/>
        <v>9.4499999999999993</v>
      </c>
      <c r="F118" s="622"/>
      <c r="G118" s="515">
        <f t="shared" si="4"/>
        <v>9.4499999999999993</v>
      </c>
      <c r="H118" s="623"/>
      <c r="I118" s="623"/>
      <c r="J118" s="624">
        <v>3.58</v>
      </c>
      <c r="K118" s="623">
        <v>5.87</v>
      </c>
      <c r="L118" s="623"/>
      <c r="M118" s="623"/>
      <c r="N118" s="623"/>
      <c r="O118" s="623"/>
      <c r="P118" s="623"/>
      <c r="Q118" s="623"/>
      <c r="R118" s="623"/>
      <c r="S118" s="623"/>
      <c r="T118" s="623"/>
      <c r="U118" s="623"/>
      <c r="V118" s="623"/>
      <c r="W118" s="623"/>
      <c r="X118" s="623"/>
      <c r="Y118" s="623"/>
      <c r="Z118" s="623"/>
      <c r="AA118" s="625" t="s">
        <v>190</v>
      </c>
    </row>
    <row r="119" spans="1:27" s="556" customFormat="1">
      <c r="A119" s="528"/>
      <c r="B119" s="550" t="s">
        <v>555</v>
      </c>
      <c r="C119" s="551"/>
      <c r="D119" s="552"/>
      <c r="E119" s="532"/>
      <c r="F119" s="551"/>
      <c r="G119" s="532"/>
      <c r="H119" s="553"/>
      <c r="I119" s="553"/>
      <c r="J119" s="554"/>
      <c r="K119" s="553"/>
      <c r="L119" s="553"/>
      <c r="M119" s="553"/>
      <c r="N119" s="553"/>
      <c r="O119" s="553"/>
      <c r="P119" s="553"/>
      <c r="Q119" s="553"/>
      <c r="R119" s="553"/>
      <c r="S119" s="553"/>
      <c r="T119" s="553"/>
      <c r="U119" s="553"/>
      <c r="V119" s="553"/>
      <c r="W119" s="553"/>
      <c r="X119" s="553"/>
      <c r="Y119" s="553"/>
      <c r="Z119" s="553"/>
      <c r="AA119" s="626"/>
    </row>
    <row r="120" spans="1:27">
      <c r="A120" s="500">
        <v>1</v>
      </c>
      <c r="B120" s="560" t="s">
        <v>556</v>
      </c>
      <c r="C120" s="508" t="s">
        <v>45</v>
      </c>
      <c r="D120" s="561" t="s">
        <v>194</v>
      </c>
      <c r="E120" s="503">
        <f t="shared" si="5"/>
        <v>1.5</v>
      </c>
      <c r="F120" s="503"/>
      <c r="G120" s="503">
        <f t="shared" si="4"/>
        <v>1.5</v>
      </c>
      <c r="H120" s="503"/>
      <c r="I120" s="627"/>
      <c r="J120" s="508"/>
      <c r="K120" s="503"/>
      <c r="L120" s="503"/>
      <c r="M120" s="503"/>
      <c r="N120" s="503"/>
      <c r="O120" s="503"/>
      <c r="P120" s="503"/>
      <c r="Q120" s="503"/>
      <c r="R120" s="509">
        <v>1.5</v>
      </c>
      <c r="S120" s="509"/>
      <c r="T120" s="503"/>
      <c r="U120" s="503"/>
      <c r="V120" s="503"/>
      <c r="W120" s="503"/>
      <c r="X120" s="503"/>
      <c r="Y120" s="503"/>
      <c r="Z120" s="503"/>
      <c r="AA120" s="510" t="s">
        <v>172</v>
      </c>
    </row>
    <row r="121" spans="1:27">
      <c r="A121" s="500">
        <v>2</v>
      </c>
      <c r="B121" s="560" t="s">
        <v>557</v>
      </c>
      <c r="C121" s="508" t="s">
        <v>45</v>
      </c>
      <c r="D121" s="561" t="s">
        <v>194</v>
      </c>
      <c r="E121" s="503">
        <f t="shared" si="5"/>
        <v>1</v>
      </c>
      <c r="F121" s="503"/>
      <c r="G121" s="503">
        <f t="shared" si="4"/>
        <v>1</v>
      </c>
      <c r="H121" s="503"/>
      <c r="I121" s="627"/>
      <c r="J121" s="508">
        <v>0.3</v>
      </c>
      <c r="K121" s="503">
        <v>0.2</v>
      </c>
      <c r="L121" s="503"/>
      <c r="M121" s="503"/>
      <c r="N121" s="503"/>
      <c r="O121" s="503"/>
      <c r="P121" s="503"/>
      <c r="Q121" s="503"/>
      <c r="R121" s="509"/>
      <c r="S121" s="509"/>
      <c r="T121" s="503"/>
      <c r="U121" s="503"/>
      <c r="V121" s="503"/>
      <c r="W121" s="503"/>
      <c r="X121" s="503"/>
      <c r="Y121" s="503">
        <v>0.5</v>
      </c>
      <c r="Z121" s="503"/>
      <c r="AA121" s="510" t="s">
        <v>190</v>
      </c>
    </row>
    <row r="122" spans="1:27">
      <c r="A122" s="500">
        <v>3</v>
      </c>
      <c r="B122" s="560" t="s">
        <v>558</v>
      </c>
      <c r="C122" s="508" t="s">
        <v>45</v>
      </c>
      <c r="D122" s="561" t="s">
        <v>194</v>
      </c>
      <c r="E122" s="503">
        <f t="shared" si="5"/>
        <v>0.85000000000000009</v>
      </c>
      <c r="F122" s="503"/>
      <c r="G122" s="503">
        <f t="shared" si="4"/>
        <v>0.85000000000000009</v>
      </c>
      <c r="H122" s="503"/>
      <c r="I122" s="627"/>
      <c r="J122" s="508">
        <v>0.2</v>
      </c>
      <c r="K122" s="503">
        <v>0.2</v>
      </c>
      <c r="L122" s="503"/>
      <c r="M122" s="503"/>
      <c r="N122" s="503"/>
      <c r="O122" s="503"/>
      <c r="P122" s="503"/>
      <c r="Q122" s="503"/>
      <c r="R122" s="509"/>
      <c r="S122" s="509"/>
      <c r="T122" s="503"/>
      <c r="U122" s="503"/>
      <c r="V122" s="503"/>
      <c r="W122" s="503"/>
      <c r="X122" s="503"/>
      <c r="Y122" s="503">
        <v>0.45</v>
      </c>
      <c r="Z122" s="503"/>
      <c r="AA122" s="510" t="s">
        <v>170</v>
      </c>
    </row>
    <row r="123" spans="1:27">
      <c r="A123" s="500">
        <v>4</v>
      </c>
      <c r="B123" s="560" t="s">
        <v>559</v>
      </c>
      <c r="C123" s="502" t="s">
        <v>45</v>
      </c>
      <c r="D123" s="496" t="s">
        <v>194</v>
      </c>
      <c r="E123" s="503">
        <f>F123+G123</f>
        <v>3.65</v>
      </c>
      <c r="F123" s="503"/>
      <c r="G123" s="503">
        <f t="shared" si="4"/>
        <v>3.65</v>
      </c>
      <c r="H123" s="503"/>
      <c r="I123" s="627"/>
      <c r="J123" s="504">
        <v>1.5</v>
      </c>
      <c r="K123" s="503">
        <v>1.1499999999999999</v>
      </c>
      <c r="L123" s="503"/>
      <c r="M123" s="503"/>
      <c r="N123" s="503"/>
      <c r="O123" s="503"/>
      <c r="P123" s="503"/>
      <c r="Q123" s="503"/>
      <c r="R123" s="503"/>
      <c r="S123" s="503"/>
      <c r="T123" s="503"/>
      <c r="U123" s="503"/>
      <c r="V123" s="503"/>
      <c r="W123" s="503"/>
      <c r="X123" s="503"/>
      <c r="Y123" s="503">
        <v>1</v>
      </c>
      <c r="Z123" s="503"/>
      <c r="AA123" s="510" t="s">
        <v>170</v>
      </c>
    </row>
    <row r="124" spans="1:27" ht="31.5">
      <c r="A124" s="500">
        <v>5</v>
      </c>
      <c r="B124" s="560" t="s">
        <v>560</v>
      </c>
      <c r="C124" s="502" t="s">
        <v>45</v>
      </c>
      <c r="D124" s="496" t="s">
        <v>194</v>
      </c>
      <c r="E124" s="503">
        <f t="shared" ref="E124:E125" si="7">F124+G124</f>
        <v>40</v>
      </c>
      <c r="F124" s="503">
        <v>10</v>
      </c>
      <c r="G124" s="503">
        <f t="shared" si="4"/>
        <v>30</v>
      </c>
      <c r="H124" s="503">
        <v>0.5</v>
      </c>
      <c r="I124" s="627">
        <v>0.5</v>
      </c>
      <c r="J124" s="504">
        <v>11.5</v>
      </c>
      <c r="K124" s="503">
        <v>18</v>
      </c>
      <c r="L124" s="503"/>
      <c r="M124" s="503"/>
      <c r="N124" s="503"/>
      <c r="O124" s="503"/>
      <c r="P124" s="503"/>
      <c r="Q124" s="503"/>
      <c r="R124" s="503"/>
      <c r="S124" s="503"/>
      <c r="T124" s="503"/>
      <c r="U124" s="503"/>
      <c r="V124" s="503"/>
      <c r="W124" s="503"/>
      <c r="X124" s="503"/>
      <c r="Y124" s="503"/>
      <c r="Z124" s="503"/>
      <c r="AA124" s="510" t="s">
        <v>170</v>
      </c>
    </row>
    <row r="125" spans="1:27" ht="31.5">
      <c r="A125" s="500">
        <v>6</v>
      </c>
      <c r="B125" s="560" t="s">
        <v>561</v>
      </c>
      <c r="C125" s="502" t="s">
        <v>45</v>
      </c>
      <c r="D125" s="496" t="s">
        <v>194</v>
      </c>
      <c r="E125" s="503">
        <f t="shared" si="7"/>
        <v>10</v>
      </c>
      <c r="F125" s="503"/>
      <c r="G125" s="503">
        <f t="shared" si="4"/>
        <v>10</v>
      </c>
      <c r="H125" s="503"/>
      <c r="I125" s="627"/>
      <c r="J125" s="504">
        <v>3</v>
      </c>
      <c r="K125" s="503">
        <v>3</v>
      </c>
      <c r="L125" s="503"/>
      <c r="M125" s="503"/>
      <c r="N125" s="503"/>
      <c r="O125" s="503"/>
      <c r="P125" s="503"/>
      <c r="Q125" s="503"/>
      <c r="R125" s="503"/>
      <c r="S125" s="503"/>
      <c r="T125" s="503"/>
      <c r="U125" s="503"/>
      <c r="V125" s="503"/>
      <c r="W125" s="503"/>
      <c r="X125" s="503"/>
      <c r="Y125" s="503">
        <v>4</v>
      </c>
      <c r="Z125" s="503"/>
      <c r="AA125" s="510" t="s">
        <v>197</v>
      </c>
    </row>
    <row r="126" spans="1:27">
      <c r="A126" s="1182">
        <v>7</v>
      </c>
      <c r="B126" s="1203" t="s">
        <v>562</v>
      </c>
      <c r="C126" s="502" t="s">
        <v>45</v>
      </c>
      <c r="D126" s="496" t="s">
        <v>194</v>
      </c>
      <c r="E126" s="503">
        <f t="shared" si="5"/>
        <v>15</v>
      </c>
      <c r="F126" s="503"/>
      <c r="G126" s="503">
        <f t="shared" si="4"/>
        <v>15</v>
      </c>
      <c r="H126" s="503">
        <v>3.5</v>
      </c>
      <c r="I126" s="627">
        <v>2</v>
      </c>
      <c r="J126" s="504">
        <v>3.5</v>
      </c>
      <c r="K126" s="503">
        <v>3</v>
      </c>
      <c r="L126" s="503"/>
      <c r="M126" s="503"/>
      <c r="N126" s="503"/>
      <c r="O126" s="503"/>
      <c r="P126" s="503"/>
      <c r="Q126" s="503"/>
      <c r="R126" s="503"/>
      <c r="S126" s="503"/>
      <c r="T126" s="503"/>
      <c r="U126" s="503"/>
      <c r="V126" s="503"/>
      <c r="W126" s="503"/>
      <c r="X126" s="503"/>
      <c r="Y126" s="503">
        <v>5</v>
      </c>
      <c r="Z126" s="503"/>
      <c r="AA126" s="505" t="s">
        <v>171</v>
      </c>
    </row>
    <row r="127" spans="1:27">
      <c r="A127" s="1182"/>
      <c r="B127" s="1203"/>
      <c r="C127" s="502" t="s">
        <v>45</v>
      </c>
      <c r="D127" s="496" t="s">
        <v>194</v>
      </c>
      <c r="E127" s="503">
        <f t="shared" si="5"/>
        <v>3</v>
      </c>
      <c r="F127" s="503"/>
      <c r="G127" s="503">
        <f t="shared" si="4"/>
        <v>3</v>
      </c>
      <c r="H127" s="503">
        <v>0.5</v>
      </c>
      <c r="I127" s="627"/>
      <c r="J127" s="504">
        <v>0.5</v>
      </c>
      <c r="K127" s="503">
        <v>0.5</v>
      </c>
      <c r="L127" s="503"/>
      <c r="M127" s="503"/>
      <c r="N127" s="503"/>
      <c r="O127" s="503"/>
      <c r="P127" s="503"/>
      <c r="Q127" s="503"/>
      <c r="R127" s="503"/>
      <c r="S127" s="503"/>
      <c r="T127" s="503"/>
      <c r="U127" s="503"/>
      <c r="V127" s="503"/>
      <c r="W127" s="503"/>
      <c r="X127" s="503"/>
      <c r="Y127" s="503">
        <v>1.5</v>
      </c>
      <c r="Z127" s="503"/>
      <c r="AA127" s="505" t="s">
        <v>168</v>
      </c>
    </row>
    <row r="128" spans="1:27">
      <c r="A128" s="500">
        <v>8</v>
      </c>
      <c r="B128" s="560" t="s">
        <v>563</v>
      </c>
      <c r="C128" s="502" t="s">
        <v>45</v>
      </c>
      <c r="D128" s="496" t="s">
        <v>194</v>
      </c>
      <c r="E128" s="503">
        <f t="shared" si="5"/>
        <v>0.32</v>
      </c>
      <c r="F128" s="503"/>
      <c r="G128" s="503">
        <f t="shared" si="4"/>
        <v>0.32</v>
      </c>
      <c r="H128" s="503"/>
      <c r="I128" s="627"/>
      <c r="J128" s="504">
        <v>0.1</v>
      </c>
      <c r="K128" s="503">
        <v>0.1</v>
      </c>
      <c r="L128" s="503"/>
      <c r="M128" s="503"/>
      <c r="N128" s="503"/>
      <c r="O128" s="503"/>
      <c r="P128" s="503"/>
      <c r="Q128" s="503"/>
      <c r="R128" s="503"/>
      <c r="S128" s="503"/>
      <c r="T128" s="503"/>
      <c r="U128" s="503"/>
      <c r="V128" s="503"/>
      <c r="W128" s="503"/>
      <c r="X128" s="503"/>
      <c r="Y128" s="503">
        <v>0.12</v>
      </c>
      <c r="Z128" s="503"/>
      <c r="AA128" s="505" t="s">
        <v>191</v>
      </c>
    </row>
    <row r="129" spans="1:27">
      <c r="A129" s="500">
        <v>9</v>
      </c>
      <c r="B129" s="560" t="s">
        <v>564</v>
      </c>
      <c r="C129" s="502" t="s">
        <v>45</v>
      </c>
      <c r="D129" s="496" t="s">
        <v>194</v>
      </c>
      <c r="E129" s="503">
        <f t="shared" si="5"/>
        <v>5.73</v>
      </c>
      <c r="F129" s="503"/>
      <c r="G129" s="503">
        <f t="shared" si="4"/>
        <v>5.73</v>
      </c>
      <c r="H129" s="503"/>
      <c r="I129" s="627"/>
      <c r="J129" s="504">
        <v>2.5</v>
      </c>
      <c r="K129" s="503">
        <v>1.23</v>
      </c>
      <c r="L129" s="503"/>
      <c r="M129" s="503"/>
      <c r="N129" s="503"/>
      <c r="O129" s="503"/>
      <c r="P129" s="503"/>
      <c r="Q129" s="503"/>
      <c r="R129" s="503"/>
      <c r="S129" s="503"/>
      <c r="T129" s="503"/>
      <c r="U129" s="503"/>
      <c r="V129" s="503"/>
      <c r="W129" s="503"/>
      <c r="X129" s="503"/>
      <c r="Y129" s="503">
        <v>2</v>
      </c>
      <c r="Z129" s="503"/>
      <c r="AA129" s="505" t="s">
        <v>545</v>
      </c>
    </row>
    <row r="130" spans="1:27">
      <c r="A130" s="500">
        <v>10</v>
      </c>
      <c r="B130" s="560" t="s">
        <v>565</v>
      </c>
      <c r="C130" s="502" t="s">
        <v>45</v>
      </c>
      <c r="D130" s="496" t="s">
        <v>194</v>
      </c>
      <c r="E130" s="503">
        <f t="shared" si="5"/>
        <v>4.66</v>
      </c>
      <c r="F130" s="503"/>
      <c r="G130" s="503">
        <f t="shared" si="4"/>
        <v>4.66</v>
      </c>
      <c r="H130" s="503"/>
      <c r="I130" s="627"/>
      <c r="J130" s="504">
        <v>2.77</v>
      </c>
      <c r="K130" s="503">
        <v>1.2</v>
      </c>
      <c r="L130" s="503"/>
      <c r="M130" s="503"/>
      <c r="N130" s="503"/>
      <c r="O130" s="503"/>
      <c r="P130" s="503"/>
      <c r="Q130" s="503"/>
      <c r="R130" s="503"/>
      <c r="S130" s="503"/>
      <c r="T130" s="503"/>
      <c r="U130" s="503"/>
      <c r="V130" s="503"/>
      <c r="W130" s="503"/>
      <c r="X130" s="503"/>
      <c r="Y130" s="503">
        <v>0.69</v>
      </c>
      <c r="Z130" s="503"/>
      <c r="AA130" s="505" t="s">
        <v>566</v>
      </c>
    </row>
    <row r="131" spans="1:27" ht="31.5">
      <c r="A131" s="500">
        <v>11</v>
      </c>
      <c r="B131" s="560" t="s">
        <v>567</v>
      </c>
      <c r="C131" s="502" t="s">
        <v>45</v>
      </c>
      <c r="D131" s="496" t="s">
        <v>194</v>
      </c>
      <c r="E131" s="503">
        <f t="shared" si="5"/>
        <v>4.2299999999999995</v>
      </c>
      <c r="F131" s="503"/>
      <c r="G131" s="503">
        <f t="shared" si="4"/>
        <v>4.2299999999999995</v>
      </c>
      <c r="H131" s="503"/>
      <c r="I131" s="627"/>
      <c r="J131" s="504">
        <v>2.78</v>
      </c>
      <c r="K131" s="503">
        <v>1.45</v>
      </c>
      <c r="L131" s="503"/>
      <c r="M131" s="503"/>
      <c r="N131" s="503"/>
      <c r="O131" s="503"/>
      <c r="P131" s="503"/>
      <c r="Q131" s="503"/>
      <c r="R131" s="503"/>
      <c r="S131" s="503"/>
      <c r="T131" s="503"/>
      <c r="U131" s="503"/>
      <c r="V131" s="503"/>
      <c r="W131" s="503"/>
      <c r="X131" s="503"/>
      <c r="Y131" s="503"/>
      <c r="Z131" s="503"/>
      <c r="AA131" s="617" t="s">
        <v>190</v>
      </c>
    </row>
    <row r="132" spans="1:27">
      <c r="A132" s="511">
        <v>12</v>
      </c>
      <c r="B132" s="546" t="s">
        <v>568</v>
      </c>
      <c r="C132" s="513" t="s">
        <v>45</v>
      </c>
      <c r="D132" s="514" t="s">
        <v>194</v>
      </c>
      <c r="E132" s="515">
        <f t="shared" si="5"/>
        <v>0.1</v>
      </c>
      <c r="F132" s="515"/>
      <c r="G132" s="515">
        <f t="shared" si="4"/>
        <v>0.1</v>
      </c>
      <c r="H132" s="515"/>
      <c r="I132" s="628"/>
      <c r="J132" s="517"/>
      <c r="K132" s="515"/>
      <c r="L132" s="515"/>
      <c r="M132" s="515"/>
      <c r="N132" s="515"/>
      <c r="O132" s="515"/>
      <c r="P132" s="515"/>
      <c r="Q132" s="515"/>
      <c r="R132" s="515"/>
      <c r="S132" s="515"/>
      <c r="T132" s="515"/>
      <c r="U132" s="515"/>
      <c r="V132" s="515"/>
      <c r="W132" s="515"/>
      <c r="X132" s="515"/>
      <c r="Y132" s="515">
        <v>0.1</v>
      </c>
      <c r="Z132" s="515"/>
      <c r="AA132" s="625" t="s">
        <v>168</v>
      </c>
    </row>
    <row r="133" spans="1:27">
      <c r="A133" s="629"/>
      <c r="B133" s="529" t="s">
        <v>569</v>
      </c>
      <c r="C133" s="630"/>
      <c r="D133" s="631"/>
      <c r="E133" s="632"/>
      <c r="F133" s="632"/>
      <c r="G133" s="632"/>
      <c r="H133" s="632"/>
      <c r="I133" s="633"/>
      <c r="J133" s="634"/>
      <c r="K133" s="632"/>
      <c r="L133" s="632"/>
      <c r="M133" s="632"/>
      <c r="N133" s="632"/>
      <c r="O133" s="632"/>
      <c r="P133" s="632"/>
      <c r="Q133" s="632"/>
      <c r="R133" s="632"/>
      <c r="S133" s="632"/>
      <c r="T133" s="632"/>
      <c r="U133" s="632"/>
      <c r="V133" s="632"/>
      <c r="W133" s="632"/>
      <c r="X133" s="632"/>
      <c r="Y133" s="632"/>
      <c r="Z133" s="632"/>
      <c r="AA133" s="635"/>
    </row>
    <row r="134" spans="1:27" ht="31.5">
      <c r="A134" s="511">
        <v>1</v>
      </c>
      <c r="B134" s="546" t="s">
        <v>341</v>
      </c>
      <c r="C134" s="513" t="s">
        <v>45</v>
      </c>
      <c r="D134" s="514" t="s">
        <v>220</v>
      </c>
      <c r="E134" s="515">
        <f>F134+G134</f>
        <v>0.5</v>
      </c>
      <c r="F134" s="515"/>
      <c r="G134" s="515">
        <f>H134+SUM(J134:Z134)</f>
        <v>0.5</v>
      </c>
      <c r="H134" s="515"/>
      <c r="I134" s="628"/>
      <c r="J134" s="517">
        <v>0.5</v>
      </c>
      <c r="K134" s="515"/>
      <c r="L134" s="515"/>
      <c r="M134" s="515"/>
      <c r="N134" s="515"/>
      <c r="O134" s="515"/>
      <c r="P134" s="515"/>
      <c r="Q134" s="515"/>
      <c r="R134" s="515"/>
      <c r="S134" s="515"/>
      <c r="T134" s="515"/>
      <c r="U134" s="515"/>
      <c r="V134" s="515"/>
      <c r="W134" s="515"/>
      <c r="X134" s="515"/>
      <c r="Y134" s="515"/>
      <c r="Z134" s="515"/>
      <c r="AA134" s="625" t="s">
        <v>189</v>
      </c>
    </row>
    <row r="135" spans="1:27" s="556" customFormat="1">
      <c r="A135" s="528"/>
      <c r="B135" s="529" t="s">
        <v>570</v>
      </c>
      <c r="C135" s="636"/>
      <c r="D135" s="637"/>
      <c r="E135" s="532"/>
      <c r="F135" s="553"/>
      <c r="G135" s="532"/>
      <c r="H135" s="553"/>
      <c r="I135" s="553"/>
      <c r="J135" s="554"/>
      <c r="K135" s="553"/>
      <c r="L135" s="553"/>
      <c r="M135" s="553"/>
      <c r="N135" s="553"/>
      <c r="O135" s="553"/>
      <c r="P135" s="553"/>
      <c r="Q135" s="553"/>
      <c r="R135" s="553"/>
      <c r="S135" s="553"/>
      <c r="T135" s="553"/>
      <c r="U135" s="553"/>
      <c r="V135" s="553"/>
      <c r="W135" s="553"/>
      <c r="X135" s="553"/>
      <c r="Y135" s="553"/>
      <c r="Z135" s="553"/>
      <c r="AA135" s="555"/>
    </row>
    <row r="136" spans="1:27" ht="47.25">
      <c r="A136" s="500">
        <v>1</v>
      </c>
      <c r="B136" s="560" t="s">
        <v>571</v>
      </c>
      <c r="C136" s="508" t="s">
        <v>45</v>
      </c>
      <c r="D136" s="561" t="s">
        <v>192</v>
      </c>
      <c r="E136" s="503">
        <f t="shared" si="5"/>
        <v>0.84</v>
      </c>
      <c r="F136" s="503"/>
      <c r="G136" s="503">
        <f t="shared" si="4"/>
        <v>0.84</v>
      </c>
      <c r="H136" s="503"/>
      <c r="I136" s="503"/>
      <c r="J136" s="504">
        <v>0.84</v>
      </c>
      <c r="K136" s="503"/>
      <c r="L136" s="503"/>
      <c r="M136" s="503"/>
      <c r="N136" s="503"/>
      <c r="O136" s="503"/>
      <c r="P136" s="503"/>
      <c r="Q136" s="503"/>
      <c r="R136" s="503"/>
      <c r="S136" s="503"/>
      <c r="T136" s="503"/>
      <c r="U136" s="503"/>
      <c r="V136" s="503"/>
      <c r="W136" s="503"/>
      <c r="X136" s="503"/>
      <c r="Y136" s="503"/>
      <c r="Z136" s="503"/>
      <c r="AA136" s="505" t="s">
        <v>190</v>
      </c>
    </row>
    <row r="137" spans="1:27" ht="47.25">
      <c r="A137" s="500">
        <v>2</v>
      </c>
      <c r="B137" s="560" t="s">
        <v>572</v>
      </c>
      <c r="C137" s="502" t="s">
        <v>45</v>
      </c>
      <c r="D137" s="496" t="s">
        <v>192</v>
      </c>
      <c r="E137" s="503">
        <f t="shared" si="5"/>
        <v>1.2</v>
      </c>
      <c r="F137" s="503"/>
      <c r="G137" s="503">
        <f t="shared" si="4"/>
        <v>1.2</v>
      </c>
      <c r="H137" s="503"/>
      <c r="I137" s="503"/>
      <c r="J137" s="504">
        <v>0.5</v>
      </c>
      <c r="K137" s="503">
        <v>0.7</v>
      </c>
      <c r="L137" s="503"/>
      <c r="M137" s="503"/>
      <c r="N137" s="503"/>
      <c r="O137" s="503"/>
      <c r="P137" s="503"/>
      <c r="Q137" s="503"/>
      <c r="R137" s="503"/>
      <c r="S137" s="503"/>
      <c r="T137" s="503"/>
      <c r="U137" s="503"/>
      <c r="V137" s="503"/>
      <c r="W137" s="503"/>
      <c r="X137" s="503"/>
      <c r="Y137" s="503"/>
      <c r="Z137" s="503"/>
      <c r="AA137" s="505" t="s">
        <v>190</v>
      </c>
    </row>
    <row r="138" spans="1:27" ht="47.25">
      <c r="A138" s="500">
        <v>3</v>
      </c>
      <c r="B138" s="560" t="s">
        <v>573</v>
      </c>
      <c r="C138" s="502" t="s">
        <v>45</v>
      </c>
      <c r="D138" s="496" t="s">
        <v>192</v>
      </c>
      <c r="E138" s="503">
        <f t="shared" si="5"/>
        <v>0.7</v>
      </c>
      <c r="F138" s="503">
        <v>0.7</v>
      </c>
      <c r="G138" s="503">
        <f t="shared" si="4"/>
        <v>0</v>
      </c>
      <c r="H138" s="503"/>
      <c r="I138" s="503"/>
      <c r="J138" s="504"/>
      <c r="K138" s="503"/>
      <c r="L138" s="503"/>
      <c r="M138" s="503"/>
      <c r="N138" s="503"/>
      <c r="O138" s="503"/>
      <c r="P138" s="503"/>
      <c r="Q138" s="503"/>
      <c r="R138" s="503"/>
      <c r="S138" s="503"/>
      <c r="T138" s="503"/>
      <c r="U138" s="503"/>
      <c r="V138" s="503"/>
      <c r="W138" s="503"/>
      <c r="X138" s="503"/>
      <c r="Y138" s="503"/>
      <c r="Z138" s="503"/>
      <c r="AA138" s="505" t="s">
        <v>168</v>
      </c>
    </row>
    <row r="139" spans="1:27">
      <c r="A139" s="500">
        <v>4</v>
      </c>
      <c r="B139" s="560" t="s">
        <v>574</v>
      </c>
      <c r="C139" s="502" t="s">
        <v>45</v>
      </c>
      <c r="D139" s="496" t="s">
        <v>192</v>
      </c>
      <c r="E139" s="503">
        <f t="shared" si="5"/>
        <v>2</v>
      </c>
      <c r="F139" s="503"/>
      <c r="G139" s="503">
        <f t="shared" si="4"/>
        <v>2</v>
      </c>
      <c r="H139" s="503"/>
      <c r="I139" s="503"/>
      <c r="J139" s="504">
        <v>0.8</v>
      </c>
      <c r="K139" s="503">
        <v>1.2</v>
      </c>
      <c r="L139" s="503"/>
      <c r="M139" s="503"/>
      <c r="N139" s="503"/>
      <c r="O139" s="503"/>
      <c r="P139" s="503"/>
      <c r="Q139" s="503"/>
      <c r="R139" s="503"/>
      <c r="S139" s="503"/>
      <c r="T139" s="503"/>
      <c r="U139" s="503"/>
      <c r="V139" s="503"/>
      <c r="W139" s="503"/>
      <c r="X139" s="503"/>
      <c r="Y139" s="503"/>
      <c r="Z139" s="503"/>
      <c r="AA139" s="505" t="s">
        <v>168</v>
      </c>
    </row>
    <row r="140" spans="1:27" ht="31.5">
      <c r="A140" s="511">
        <v>5</v>
      </c>
      <c r="B140" s="512" t="s">
        <v>575</v>
      </c>
      <c r="C140" s="513" t="s">
        <v>45</v>
      </c>
      <c r="D140" s="514" t="s">
        <v>192</v>
      </c>
      <c r="E140" s="515">
        <f t="shared" si="5"/>
        <v>0.11</v>
      </c>
      <c r="F140" s="515"/>
      <c r="G140" s="515">
        <f t="shared" si="4"/>
        <v>0.11</v>
      </c>
      <c r="H140" s="515"/>
      <c r="I140" s="515"/>
      <c r="J140" s="517">
        <v>0.11</v>
      </c>
      <c r="K140" s="515"/>
      <c r="L140" s="515"/>
      <c r="M140" s="515"/>
      <c r="N140" s="515"/>
      <c r="O140" s="515"/>
      <c r="P140" s="515"/>
      <c r="Q140" s="515"/>
      <c r="R140" s="515"/>
      <c r="S140" s="515"/>
      <c r="T140" s="515"/>
      <c r="U140" s="515"/>
      <c r="V140" s="515"/>
      <c r="W140" s="515"/>
      <c r="X140" s="515"/>
      <c r="Y140" s="515"/>
      <c r="Z140" s="515"/>
      <c r="AA140" s="518" t="s">
        <v>169</v>
      </c>
    </row>
    <row r="141" spans="1:27">
      <c r="A141" s="535"/>
      <c r="B141" s="529" t="s">
        <v>576</v>
      </c>
      <c r="C141" s="583"/>
      <c r="D141" s="584"/>
      <c r="E141" s="532"/>
      <c r="F141" s="532"/>
      <c r="G141" s="532"/>
      <c r="H141" s="532"/>
      <c r="I141" s="532"/>
      <c r="J141" s="638"/>
      <c r="K141" s="532"/>
      <c r="L141" s="532"/>
      <c r="M141" s="532"/>
      <c r="N141" s="532"/>
      <c r="O141" s="532"/>
      <c r="P141" s="532"/>
      <c r="Q141" s="532"/>
      <c r="R141" s="532"/>
      <c r="S141" s="532"/>
      <c r="T141" s="532"/>
      <c r="U141" s="532"/>
      <c r="V141" s="532"/>
      <c r="W141" s="532"/>
      <c r="X141" s="532"/>
      <c r="Y141" s="532"/>
      <c r="Z141" s="532"/>
      <c r="AA141" s="639"/>
    </row>
    <row r="142" spans="1:27">
      <c r="A142" s="511">
        <v>1</v>
      </c>
      <c r="B142" s="546" t="s">
        <v>577</v>
      </c>
      <c r="C142" s="513" t="s">
        <v>45</v>
      </c>
      <c r="D142" s="514" t="s">
        <v>221</v>
      </c>
      <c r="E142" s="515">
        <f t="shared" si="5"/>
        <v>5</v>
      </c>
      <c r="F142" s="515"/>
      <c r="G142" s="515">
        <f t="shared" si="4"/>
        <v>5</v>
      </c>
      <c r="H142" s="515"/>
      <c r="I142" s="515"/>
      <c r="J142" s="517"/>
      <c r="K142" s="515">
        <v>5</v>
      </c>
      <c r="L142" s="515"/>
      <c r="M142" s="515"/>
      <c r="N142" s="515"/>
      <c r="O142" s="515"/>
      <c r="P142" s="515"/>
      <c r="Q142" s="515"/>
      <c r="R142" s="515"/>
      <c r="S142" s="515"/>
      <c r="T142" s="515"/>
      <c r="U142" s="515"/>
      <c r="V142" s="515"/>
      <c r="W142" s="515"/>
      <c r="X142" s="515"/>
      <c r="Y142" s="515"/>
      <c r="Z142" s="515"/>
      <c r="AA142" s="518" t="s">
        <v>168</v>
      </c>
    </row>
    <row r="143" spans="1:27">
      <c r="A143" s="528"/>
      <c r="B143" s="529" t="s">
        <v>578</v>
      </c>
      <c r="C143" s="530"/>
      <c r="D143" s="531"/>
      <c r="E143" s="532"/>
      <c r="F143" s="532"/>
      <c r="G143" s="532"/>
      <c r="H143" s="532"/>
      <c r="I143" s="532"/>
      <c r="J143" s="530"/>
      <c r="K143" s="532"/>
      <c r="L143" s="532"/>
      <c r="M143" s="532"/>
      <c r="N143" s="532"/>
      <c r="O143" s="532"/>
      <c r="P143" s="532"/>
      <c r="Q143" s="532"/>
      <c r="R143" s="533"/>
      <c r="S143" s="533"/>
      <c r="T143" s="532"/>
      <c r="U143" s="532"/>
      <c r="V143" s="532"/>
      <c r="W143" s="532"/>
      <c r="X143" s="532"/>
      <c r="Y143" s="532"/>
      <c r="Z143" s="532"/>
      <c r="AA143" s="534"/>
    </row>
    <row r="144" spans="1:27">
      <c r="A144" s="500">
        <v>1</v>
      </c>
      <c r="B144" s="506" t="s">
        <v>579</v>
      </c>
      <c r="C144" s="507" t="s">
        <v>45</v>
      </c>
      <c r="D144" s="475" t="s">
        <v>195</v>
      </c>
      <c r="E144" s="503">
        <f t="shared" si="5"/>
        <v>1</v>
      </c>
      <c r="F144" s="503"/>
      <c r="G144" s="503">
        <f t="shared" si="4"/>
        <v>1</v>
      </c>
      <c r="H144" s="503"/>
      <c r="I144" s="503"/>
      <c r="J144" s="508"/>
      <c r="K144" s="503"/>
      <c r="L144" s="503"/>
      <c r="M144" s="503"/>
      <c r="N144" s="503"/>
      <c r="O144" s="503"/>
      <c r="P144" s="503"/>
      <c r="Q144" s="503"/>
      <c r="R144" s="509"/>
      <c r="S144" s="509"/>
      <c r="T144" s="503"/>
      <c r="U144" s="503"/>
      <c r="V144" s="503"/>
      <c r="W144" s="503"/>
      <c r="X144" s="503"/>
      <c r="Y144" s="503"/>
      <c r="Z144" s="503">
        <v>1</v>
      </c>
      <c r="AA144" s="510" t="s">
        <v>170</v>
      </c>
    </row>
    <row r="145" spans="1:27">
      <c r="A145" s="500">
        <v>2</v>
      </c>
      <c r="B145" s="506" t="s">
        <v>580</v>
      </c>
      <c r="C145" s="507" t="s">
        <v>45</v>
      </c>
      <c r="D145" s="475" t="s">
        <v>195</v>
      </c>
      <c r="E145" s="503">
        <f t="shared" si="5"/>
        <v>1</v>
      </c>
      <c r="F145" s="503"/>
      <c r="G145" s="503">
        <f t="shared" ref="G145:G215" si="8">H145+SUM(J145:Z145)</f>
        <v>1</v>
      </c>
      <c r="H145" s="503"/>
      <c r="I145" s="503"/>
      <c r="J145" s="508"/>
      <c r="K145" s="503"/>
      <c r="L145" s="503"/>
      <c r="M145" s="503"/>
      <c r="N145" s="503"/>
      <c r="O145" s="503"/>
      <c r="P145" s="503"/>
      <c r="Q145" s="503"/>
      <c r="R145" s="509"/>
      <c r="S145" s="509"/>
      <c r="T145" s="503"/>
      <c r="U145" s="503"/>
      <c r="V145" s="503"/>
      <c r="W145" s="503"/>
      <c r="X145" s="503">
        <v>1</v>
      </c>
      <c r="Y145" s="503"/>
      <c r="Z145" s="503"/>
      <c r="AA145" s="510" t="s">
        <v>190</v>
      </c>
    </row>
    <row r="146" spans="1:27">
      <c r="A146" s="500">
        <v>3</v>
      </c>
      <c r="B146" s="506" t="s">
        <v>581</v>
      </c>
      <c r="C146" s="507" t="s">
        <v>45</v>
      </c>
      <c r="D146" s="475" t="s">
        <v>195</v>
      </c>
      <c r="E146" s="503">
        <f t="shared" si="5"/>
        <v>1</v>
      </c>
      <c r="F146" s="503"/>
      <c r="G146" s="503">
        <f t="shared" si="8"/>
        <v>1</v>
      </c>
      <c r="H146" s="503"/>
      <c r="I146" s="503"/>
      <c r="J146" s="508">
        <v>1</v>
      </c>
      <c r="K146" s="503"/>
      <c r="L146" s="503"/>
      <c r="M146" s="503"/>
      <c r="N146" s="503"/>
      <c r="O146" s="503"/>
      <c r="P146" s="503"/>
      <c r="Q146" s="503"/>
      <c r="R146" s="509"/>
      <c r="S146" s="509"/>
      <c r="T146" s="503"/>
      <c r="U146" s="503"/>
      <c r="V146" s="503"/>
      <c r="W146" s="503"/>
      <c r="X146" s="503"/>
      <c r="Y146" s="503"/>
      <c r="Z146" s="503"/>
      <c r="AA146" s="510" t="s">
        <v>173</v>
      </c>
    </row>
    <row r="147" spans="1:27">
      <c r="A147" s="500">
        <v>4</v>
      </c>
      <c r="B147" s="573" t="s">
        <v>582</v>
      </c>
      <c r="C147" s="507" t="s">
        <v>45</v>
      </c>
      <c r="D147" s="475" t="s">
        <v>195</v>
      </c>
      <c r="E147" s="503">
        <f t="shared" si="5"/>
        <v>0.6</v>
      </c>
      <c r="F147" s="503"/>
      <c r="G147" s="503">
        <f t="shared" si="8"/>
        <v>0.6</v>
      </c>
      <c r="H147" s="516"/>
      <c r="I147" s="516"/>
      <c r="J147" s="563">
        <v>0.6</v>
      </c>
      <c r="K147" s="516"/>
      <c r="L147" s="516"/>
      <c r="M147" s="516"/>
      <c r="N147" s="516"/>
      <c r="O147" s="516"/>
      <c r="P147" s="516"/>
      <c r="Q147" s="516"/>
      <c r="R147" s="565"/>
      <c r="S147" s="565"/>
      <c r="T147" s="516"/>
      <c r="U147" s="516"/>
      <c r="V147" s="516"/>
      <c r="W147" s="516"/>
      <c r="X147" s="516"/>
      <c r="Y147" s="516"/>
      <c r="Z147" s="516"/>
      <c r="AA147" s="574" t="s">
        <v>189</v>
      </c>
    </row>
    <row r="148" spans="1:27">
      <c r="A148" s="511">
        <v>5</v>
      </c>
      <c r="B148" s="640" t="s">
        <v>583</v>
      </c>
      <c r="C148" s="566" t="s">
        <v>45</v>
      </c>
      <c r="D148" s="567" t="s">
        <v>195</v>
      </c>
      <c r="E148" s="515">
        <f t="shared" si="5"/>
        <v>1</v>
      </c>
      <c r="F148" s="515"/>
      <c r="G148" s="515">
        <f t="shared" si="8"/>
        <v>1</v>
      </c>
      <c r="H148" s="515"/>
      <c r="I148" s="515"/>
      <c r="J148" s="547">
        <v>1</v>
      </c>
      <c r="K148" s="515"/>
      <c r="L148" s="515"/>
      <c r="M148" s="515"/>
      <c r="N148" s="515"/>
      <c r="O148" s="515"/>
      <c r="P148" s="515"/>
      <c r="Q148" s="515"/>
      <c r="R148" s="568"/>
      <c r="S148" s="568"/>
      <c r="T148" s="515"/>
      <c r="U148" s="515"/>
      <c r="V148" s="515"/>
      <c r="W148" s="515"/>
      <c r="X148" s="515"/>
      <c r="Y148" s="515"/>
      <c r="Z148" s="515"/>
      <c r="AA148" s="569" t="s">
        <v>189</v>
      </c>
    </row>
    <row r="149" spans="1:27" s="556" customFormat="1">
      <c r="A149" s="528"/>
      <c r="B149" s="550" t="s">
        <v>584</v>
      </c>
      <c r="C149" s="551"/>
      <c r="D149" s="552"/>
      <c r="E149" s="532"/>
      <c r="F149" s="553"/>
      <c r="G149" s="532"/>
      <c r="H149" s="553"/>
      <c r="I149" s="553"/>
      <c r="J149" s="554"/>
      <c r="K149" s="553"/>
      <c r="L149" s="553"/>
      <c r="M149" s="553"/>
      <c r="N149" s="553"/>
      <c r="O149" s="553"/>
      <c r="P149" s="553"/>
      <c r="Q149" s="553"/>
      <c r="R149" s="553"/>
      <c r="S149" s="553"/>
      <c r="T149" s="553"/>
      <c r="U149" s="553"/>
      <c r="V149" s="553"/>
      <c r="W149" s="553"/>
      <c r="X149" s="553"/>
      <c r="Y149" s="553"/>
      <c r="Z149" s="553"/>
      <c r="AA149" s="641"/>
    </row>
    <row r="150" spans="1:27">
      <c r="A150" s="500">
        <v>1</v>
      </c>
      <c r="B150" s="557" t="s">
        <v>585</v>
      </c>
      <c r="C150" s="508" t="s">
        <v>45</v>
      </c>
      <c r="D150" s="561" t="s">
        <v>193</v>
      </c>
      <c r="E150" s="503">
        <f t="shared" si="5"/>
        <v>33.96</v>
      </c>
      <c r="F150" s="508">
        <v>12.2</v>
      </c>
      <c r="G150" s="503">
        <f t="shared" si="8"/>
        <v>21.76</v>
      </c>
      <c r="H150" s="503">
        <v>1.5</v>
      </c>
      <c r="I150" s="503"/>
      <c r="J150" s="504"/>
      <c r="K150" s="503"/>
      <c r="L150" s="503"/>
      <c r="M150" s="503">
        <f>3.5+16.76</f>
        <v>20.260000000000002</v>
      </c>
      <c r="N150" s="503"/>
      <c r="O150" s="503"/>
      <c r="P150" s="503"/>
      <c r="Q150" s="503"/>
      <c r="R150" s="503"/>
      <c r="S150" s="503"/>
      <c r="T150" s="503"/>
      <c r="U150" s="503"/>
      <c r="V150" s="503"/>
      <c r="W150" s="503"/>
      <c r="X150" s="503"/>
      <c r="Y150" s="497"/>
      <c r="Z150" s="497"/>
      <c r="AA150" s="590" t="s">
        <v>174</v>
      </c>
    </row>
    <row r="151" spans="1:27" s="649" customFormat="1">
      <c r="A151" s="540">
        <v>2</v>
      </c>
      <c r="B151" s="642" t="s">
        <v>586</v>
      </c>
      <c r="C151" s="643" t="s">
        <v>45</v>
      </c>
      <c r="D151" s="644" t="s">
        <v>193</v>
      </c>
      <c r="E151" s="503">
        <f t="shared" si="5"/>
        <v>281.77</v>
      </c>
      <c r="F151" s="645">
        <v>281.77</v>
      </c>
      <c r="G151" s="503">
        <f t="shared" si="8"/>
        <v>0</v>
      </c>
      <c r="H151" s="646"/>
      <c r="I151" s="646"/>
      <c r="J151" s="647"/>
      <c r="K151" s="648"/>
      <c r="L151" s="648"/>
      <c r="M151" s="648"/>
      <c r="N151" s="648"/>
      <c r="O151" s="648"/>
      <c r="P151" s="648"/>
      <c r="Q151" s="648"/>
      <c r="R151" s="648"/>
      <c r="S151" s="648"/>
      <c r="T151" s="648"/>
      <c r="U151" s="648"/>
      <c r="V151" s="648"/>
      <c r="W151" s="648"/>
      <c r="X151" s="648"/>
      <c r="Y151" s="648"/>
      <c r="Z151" s="648"/>
      <c r="AA151" s="590" t="s">
        <v>174</v>
      </c>
    </row>
    <row r="152" spans="1:27">
      <c r="A152" s="1182">
        <v>3</v>
      </c>
      <c r="B152" s="1202" t="s">
        <v>587</v>
      </c>
      <c r="C152" s="508" t="s">
        <v>45</v>
      </c>
      <c r="D152" s="561" t="s">
        <v>193</v>
      </c>
      <c r="E152" s="503">
        <f t="shared" si="5"/>
        <v>1.1000000000000001</v>
      </c>
      <c r="F152" s="503"/>
      <c r="G152" s="503">
        <f t="shared" si="8"/>
        <v>1.1000000000000001</v>
      </c>
      <c r="H152" s="503"/>
      <c r="I152" s="503"/>
      <c r="J152" s="508">
        <v>1.1000000000000001</v>
      </c>
      <c r="K152" s="503"/>
      <c r="L152" s="503"/>
      <c r="M152" s="503"/>
      <c r="N152" s="503"/>
      <c r="O152" s="503"/>
      <c r="P152" s="503"/>
      <c r="Q152" s="503"/>
      <c r="R152" s="509"/>
      <c r="S152" s="509"/>
      <c r="T152" s="503"/>
      <c r="U152" s="503"/>
      <c r="V152" s="503"/>
      <c r="W152" s="503"/>
      <c r="X152" s="503"/>
      <c r="Y152" s="503"/>
      <c r="Z152" s="503"/>
      <c r="AA152" s="510" t="s">
        <v>197</v>
      </c>
    </row>
    <row r="153" spans="1:27">
      <c r="A153" s="1182"/>
      <c r="B153" s="1202"/>
      <c r="C153" s="508" t="s">
        <v>45</v>
      </c>
      <c r="D153" s="561" t="s">
        <v>193</v>
      </c>
      <c r="E153" s="503">
        <f t="shared" si="5"/>
        <v>0.95</v>
      </c>
      <c r="F153" s="503"/>
      <c r="G153" s="503">
        <f t="shared" si="8"/>
        <v>0.95</v>
      </c>
      <c r="H153" s="503"/>
      <c r="I153" s="503"/>
      <c r="J153" s="508">
        <v>0.95</v>
      </c>
      <c r="K153" s="503"/>
      <c r="L153" s="503"/>
      <c r="M153" s="503"/>
      <c r="N153" s="503"/>
      <c r="O153" s="503"/>
      <c r="P153" s="503"/>
      <c r="Q153" s="503"/>
      <c r="R153" s="509"/>
      <c r="S153" s="509"/>
      <c r="T153" s="503"/>
      <c r="U153" s="503"/>
      <c r="V153" s="503"/>
      <c r="W153" s="503"/>
      <c r="X153" s="503"/>
      <c r="Y153" s="503"/>
      <c r="Z153" s="503"/>
      <c r="AA153" s="510" t="s">
        <v>171</v>
      </c>
    </row>
    <row r="154" spans="1:27">
      <c r="A154" s="1182"/>
      <c r="B154" s="1202"/>
      <c r="C154" s="508" t="s">
        <v>45</v>
      </c>
      <c r="D154" s="561" t="s">
        <v>193</v>
      </c>
      <c r="E154" s="503">
        <f t="shared" si="5"/>
        <v>1.04</v>
      </c>
      <c r="F154" s="503"/>
      <c r="G154" s="503">
        <f t="shared" si="8"/>
        <v>1.04</v>
      </c>
      <c r="H154" s="503"/>
      <c r="I154" s="503"/>
      <c r="J154" s="508">
        <v>1.04</v>
      </c>
      <c r="K154" s="503"/>
      <c r="L154" s="503"/>
      <c r="M154" s="503"/>
      <c r="N154" s="503"/>
      <c r="O154" s="503"/>
      <c r="P154" s="503"/>
      <c r="Q154" s="503"/>
      <c r="R154" s="509"/>
      <c r="S154" s="509"/>
      <c r="T154" s="503"/>
      <c r="U154" s="503"/>
      <c r="V154" s="503"/>
      <c r="W154" s="503"/>
      <c r="X154" s="503"/>
      <c r="Y154" s="503"/>
      <c r="Z154" s="503"/>
      <c r="AA154" s="510" t="s">
        <v>173</v>
      </c>
    </row>
    <row r="155" spans="1:27">
      <c r="A155" s="1182">
        <v>4</v>
      </c>
      <c r="B155" s="1202" t="s">
        <v>588</v>
      </c>
      <c r="C155" s="508" t="s">
        <v>45</v>
      </c>
      <c r="D155" s="561" t="s">
        <v>193</v>
      </c>
      <c r="E155" s="503">
        <f t="shared" si="5"/>
        <v>0.5</v>
      </c>
      <c r="F155" s="503"/>
      <c r="G155" s="503">
        <f t="shared" si="8"/>
        <v>0.5</v>
      </c>
      <c r="H155" s="503"/>
      <c r="I155" s="503"/>
      <c r="J155" s="508">
        <v>0.5</v>
      </c>
      <c r="K155" s="503"/>
      <c r="L155" s="503"/>
      <c r="M155" s="503"/>
      <c r="N155" s="503"/>
      <c r="O155" s="503"/>
      <c r="P155" s="503"/>
      <c r="Q155" s="503"/>
      <c r="R155" s="509"/>
      <c r="S155" s="509"/>
      <c r="T155" s="503"/>
      <c r="U155" s="503"/>
      <c r="V155" s="503"/>
      <c r="W155" s="503"/>
      <c r="X155" s="503"/>
      <c r="Y155" s="503"/>
      <c r="Z155" s="503"/>
      <c r="AA155" s="510" t="s">
        <v>171</v>
      </c>
    </row>
    <row r="156" spans="1:27">
      <c r="A156" s="1182"/>
      <c r="B156" s="1202"/>
      <c r="C156" s="508" t="s">
        <v>45</v>
      </c>
      <c r="D156" s="561" t="s">
        <v>193</v>
      </c>
      <c r="E156" s="503">
        <f t="shared" si="5"/>
        <v>0.54</v>
      </c>
      <c r="F156" s="503"/>
      <c r="G156" s="503">
        <f t="shared" si="8"/>
        <v>0.54</v>
      </c>
      <c r="H156" s="503"/>
      <c r="I156" s="503"/>
      <c r="J156" s="508">
        <v>0.54</v>
      </c>
      <c r="K156" s="503"/>
      <c r="L156" s="503"/>
      <c r="M156" s="503"/>
      <c r="N156" s="503"/>
      <c r="O156" s="503"/>
      <c r="P156" s="503"/>
      <c r="Q156" s="503"/>
      <c r="R156" s="509"/>
      <c r="S156" s="509"/>
      <c r="T156" s="503"/>
      <c r="U156" s="503"/>
      <c r="V156" s="503"/>
      <c r="W156" s="503"/>
      <c r="X156" s="503"/>
      <c r="Y156" s="503"/>
      <c r="Z156" s="503"/>
      <c r="AA156" s="510" t="s">
        <v>189</v>
      </c>
    </row>
    <row r="157" spans="1:27" ht="39" customHeight="1">
      <c r="A157" s="1182">
        <v>5</v>
      </c>
      <c r="B157" s="1203" t="s">
        <v>589</v>
      </c>
      <c r="C157" s="508" t="s">
        <v>45</v>
      </c>
      <c r="D157" s="561" t="s">
        <v>193</v>
      </c>
      <c r="E157" s="503">
        <f t="shared" si="5"/>
        <v>166.67999999999998</v>
      </c>
      <c r="F157" s="650">
        <v>161.47999999999999</v>
      </c>
      <c r="G157" s="503">
        <f t="shared" si="8"/>
        <v>5.2</v>
      </c>
      <c r="H157" s="503"/>
      <c r="I157" s="503"/>
      <c r="J157" s="508">
        <v>5.2</v>
      </c>
      <c r="K157" s="503"/>
      <c r="L157" s="503"/>
      <c r="M157" s="503"/>
      <c r="N157" s="503"/>
      <c r="O157" s="503"/>
      <c r="P157" s="503"/>
      <c r="Q157" s="503"/>
      <c r="R157" s="509"/>
      <c r="S157" s="509"/>
      <c r="T157" s="503"/>
      <c r="U157" s="503"/>
      <c r="V157" s="503"/>
      <c r="W157" s="503"/>
      <c r="X157" s="503"/>
      <c r="Y157" s="503"/>
      <c r="Z157" s="503"/>
      <c r="AA157" s="510" t="s">
        <v>174</v>
      </c>
    </row>
    <row r="158" spans="1:27" ht="39" customHeight="1">
      <c r="A158" s="1182"/>
      <c r="B158" s="1203"/>
      <c r="C158" s="508" t="s">
        <v>45</v>
      </c>
      <c r="D158" s="561" t="s">
        <v>193</v>
      </c>
      <c r="E158" s="503">
        <f t="shared" si="5"/>
        <v>67</v>
      </c>
      <c r="F158" s="650">
        <v>67</v>
      </c>
      <c r="G158" s="503">
        <f t="shared" si="8"/>
        <v>0</v>
      </c>
      <c r="H158" s="503"/>
      <c r="I158" s="503"/>
      <c r="J158" s="508"/>
      <c r="K158" s="503"/>
      <c r="L158" s="503"/>
      <c r="M158" s="503"/>
      <c r="N158" s="503"/>
      <c r="O158" s="503"/>
      <c r="P158" s="503"/>
      <c r="Q158" s="503"/>
      <c r="R158" s="509"/>
      <c r="S158" s="509"/>
      <c r="T158" s="503"/>
      <c r="U158" s="503"/>
      <c r="V158" s="503"/>
      <c r="W158" s="503"/>
      <c r="X158" s="503"/>
      <c r="Y158" s="503"/>
      <c r="Z158" s="503"/>
      <c r="AA158" s="510" t="s">
        <v>189</v>
      </c>
    </row>
    <row r="159" spans="1:27">
      <c r="A159" s="500">
        <v>6</v>
      </c>
      <c r="B159" s="557" t="s">
        <v>590</v>
      </c>
      <c r="C159" s="508" t="s">
        <v>45</v>
      </c>
      <c r="D159" s="561" t="s">
        <v>193</v>
      </c>
      <c r="E159" s="503">
        <f t="shared" si="5"/>
        <v>170</v>
      </c>
      <c r="F159" s="503"/>
      <c r="G159" s="503">
        <f t="shared" si="8"/>
        <v>170</v>
      </c>
      <c r="H159" s="503"/>
      <c r="I159" s="503"/>
      <c r="J159" s="508">
        <v>130</v>
      </c>
      <c r="K159" s="503">
        <v>40</v>
      </c>
      <c r="L159" s="503"/>
      <c r="M159" s="503"/>
      <c r="N159" s="503"/>
      <c r="O159" s="503"/>
      <c r="P159" s="503"/>
      <c r="Q159" s="503"/>
      <c r="R159" s="509"/>
      <c r="S159" s="509"/>
      <c r="T159" s="503"/>
      <c r="U159" s="503"/>
      <c r="V159" s="503"/>
      <c r="W159" s="503"/>
      <c r="X159" s="503"/>
      <c r="Y159" s="503"/>
      <c r="Z159" s="503"/>
      <c r="AA159" s="510" t="s">
        <v>189</v>
      </c>
    </row>
    <row r="160" spans="1:27" s="649" customFormat="1">
      <c r="A160" s="500">
        <v>7</v>
      </c>
      <c r="B160" s="642" t="s">
        <v>591</v>
      </c>
      <c r="C160" s="643" t="s">
        <v>45</v>
      </c>
      <c r="D160" s="644" t="s">
        <v>193</v>
      </c>
      <c r="E160" s="503">
        <f t="shared" si="5"/>
        <v>0.02</v>
      </c>
      <c r="F160" s="645"/>
      <c r="G160" s="503">
        <f t="shared" si="8"/>
        <v>0.02</v>
      </c>
      <c r="H160" s="646"/>
      <c r="I160" s="646"/>
      <c r="J160" s="647">
        <v>0.02</v>
      </c>
      <c r="K160" s="648"/>
      <c r="L160" s="648"/>
      <c r="M160" s="648"/>
      <c r="N160" s="648"/>
      <c r="O160" s="648"/>
      <c r="P160" s="648"/>
      <c r="Q160" s="648"/>
      <c r="R160" s="648"/>
      <c r="S160" s="648"/>
      <c r="T160" s="648"/>
      <c r="U160" s="648"/>
      <c r="V160" s="648"/>
      <c r="W160" s="648"/>
      <c r="X160" s="648"/>
      <c r="Y160" s="648"/>
      <c r="Z160" s="648"/>
      <c r="AA160" s="651" t="s">
        <v>190</v>
      </c>
    </row>
    <row r="161" spans="1:27" s="649" customFormat="1">
      <c r="A161" s="500">
        <v>8</v>
      </c>
      <c r="B161" s="642" t="s">
        <v>592</v>
      </c>
      <c r="C161" s="643" t="s">
        <v>45</v>
      </c>
      <c r="D161" s="644" t="s">
        <v>193</v>
      </c>
      <c r="E161" s="503">
        <f t="shared" si="5"/>
        <v>350.52</v>
      </c>
      <c r="F161" s="645">
        <v>350.52</v>
      </c>
      <c r="G161" s="503">
        <f t="shared" si="8"/>
        <v>0</v>
      </c>
      <c r="H161" s="646"/>
      <c r="I161" s="646"/>
      <c r="J161" s="647"/>
      <c r="K161" s="648"/>
      <c r="L161" s="648"/>
      <c r="M161" s="648"/>
      <c r="N161" s="648"/>
      <c r="O161" s="648"/>
      <c r="P161" s="648"/>
      <c r="Q161" s="648"/>
      <c r="R161" s="648"/>
      <c r="S161" s="648"/>
      <c r="T161" s="648"/>
      <c r="U161" s="648"/>
      <c r="V161" s="648"/>
      <c r="W161" s="648"/>
      <c r="X161" s="648"/>
      <c r="Y161" s="648"/>
      <c r="Z161" s="648"/>
      <c r="AA161" s="651" t="s">
        <v>190</v>
      </c>
    </row>
    <row r="162" spans="1:27">
      <c r="A162" s="500">
        <v>9</v>
      </c>
      <c r="B162" s="506" t="s">
        <v>593</v>
      </c>
      <c r="C162" s="502" t="s">
        <v>45</v>
      </c>
      <c r="D162" s="496" t="s">
        <v>193</v>
      </c>
      <c r="E162" s="503">
        <f t="shared" si="5"/>
        <v>5.99</v>
      </c>
      <c r="F162" s="503"/>
      <c r="G162" s="503">
        <f t="shared" si="8"/>
        <v>5.99</v>
      </c>
      <c r="H162" s="503"/>
      <c r="I162" s="503"/>
      <c r="J162" s="504">
        <v>2.2999999999999998</v>
      </c>
      <c r="K162" s="503">
        <v>3.69</v>
      </c>
      <c r="L162" s="503"/>
      <c r="M162" s="503"/>
      <c r="N162" s="503"/>
      <c r="O162" s="503"/>
      <c r="P162" s="503"/>
      <c r="Q162" s="503"/>
      <c r="R162" s="503"/>
      <c r="S162" s="503"/>
      <c r="T162" s="503"/>
      <c r="U162" s="503"/>
      <c r="V162" s="503"/>
      <c r="W162" s="503"/>
      <c r="X162" s="503"/>
      <c r="Y162" s="503"/>
      <c r="Z162" s="503"/>
      <c r="AA162" s="505" t="s">
        <v>172</v>
      </c>
    </row>
    <row r="163" spans="1:27" s="656" customFormat="1">
      <c r="A163" s="500">
        <v>10</v>
      </c>
      <c r="B163" s="652" t="s">
        <v>594</v>
      </c>
      <c r="C163" s="508" t="s">
        <v>45</v>
      </c>
      <c r="D163" s="561" t="s">
        <v>193</v>
      </c>
      <c r="E163" s="503">
        <f t="shared" si="5"/>
        <v>0.05</v>
      </c>
      <c r="F163" s="508"/>
      <c r="G163" s="503">
        <f t="shared" si="8"/>
        <v>0.05</v>
      </c>
      <c r="H163" s="509"/>
      <c r="I163" s="509"/>
      <c r="J163" s="508">
        <v>0.05</v>
      </c>
      <c r="K163" s="509"/>
      <c r="L163" s="509"/>
      <c r="M163" s="509"/>
      <c r="N163" s="509"/>
      <c r="O163" s="509"/>
      <c r="P163" s="509"/>
      <c r="Q163" s="509"/>
      <c r="R163" s="509"/>
      <c r="S163" s="509"/>
      <c r="T163" s="509"/>
      <c r="U163" s="509"/>
      <c r="V163" s="509"/>
      <c r="W163" s="509"/>
      <c r="X163" s="509"/>
      <c r="Y163" s="653"/>
      <c r="Z163" s="654"/>
      <c r="AA163" s="655" t="s">
        <v>168</v>
      </c>
    </row>
    <row r="164" spans="1:27" ht="78.75">
      <c r="A164" s="500">
        <v>11</v>
      </c>
      <c r="B164" s="657" t="s">
        <v>595</v>
      </c>
      <c r="C164" s="563" t="s">
        <v>45</v>
      </c>
      <c r="D164" s="564" t="s">
        <v>193</v>
      </c>
      <c r="E164" s="516">
        <f t="shared" ref="E164:E239" si="9">F164+G164</f>
        <v>0.5</v>
      </c>
      <c r="F164" s="516"/>
      <c r="G164" s="503">
        <f t="shared" si="8"/>
        <v>0.5</v>
      </c>
      <c r="H164" s="516"/>
      <c r="I164" s="516"/>
      <c r="J164" s="563">
        <v>0.2</v>
      </c>
      <c r="K164" s="516">
        <v>0.3</v>
      </c>
      <c r="L164" s="516"/>
      <c r="M164" s="516"/>
      <c r="N164" s="516"/>
      <c r="O164" s="516"/>
      <c r="P164" s="516"/>
      <c r="Q164" s="516"/>
      <c r="R164" s="565"/>
      <c r="S164" s="565"/>
      <c r="T164" s="516"/>
      <c r="U164" s="516"/>
      <c r="V164" s="516"/>
      <c r="W164" s="516"/>
      <c r="X164" s="516"/>
      <c r="Y164" s="516"/>
      <c r="Z164" s="516"/>
      <c r="AA164" s="658" t="s">
        <v>190</v>
      </c>
    </row>
    <row r="165" spans="1:27">
      <c r="A165" s="1182">
        <v>12</v>
      </c>
      <c r="B165" s="1213" t="s">
        <v>596</v>
      </c>
      <c r="C165" s="507" t="s">
        <v>45</v>
      </c>
      <c r="D165" s="475" t="s">
        <v>193</v>
      </c>
      <c r="E165" s="503">
        <f t="shared" si="9"/>
        <v>51.940000000000005</v>
      </c>
      <c r="F165" s="503"/>
      <c r="G165" s="503">
        <f t="shared" si="8"/>
        <v>51.940000000000005</v>
      </c>
      <c r="H165" s="503"/>
      <c r="I165" s="503"/>
      <c r="J165" s="508">
        <v>2.5299999999999998</v>
      </c>
      <c r="K165" s="503">
        <v>4.8899999999999997</v>
      </c>
      <c r="L165" s="503"/>
      <c r="M165" s="503"/>
      <c r="N165" s="503">
        <v>44.52</v>
      </c>
      <c r="O165" s="503"/>
      <c r="P165" s="503"/>
      <c r="Q165" s="503"/>
      <c r="R165" s="509"/>
      <c r="S165" s="509"/>
      <c r="T165" s="503"/>
      <c r="U165" s="503"/>
      <c r="V165" s="503"/>
      <c r="W165" s="503"/>
      <c r="X165" s="503"/>
      <c r="Y165" s="503"/>
      <c r="Z165" s="503"/>
      <c r="AA165" s="510" t="s">
        <v>597</v>
      </c>
    </row>
    <row r="166" spans="1:27">
      <c r="A166" s="1182"/>
      <c r="B166" s="1213"/>
      <c r="C166" s="507" t="s">
        <v>45</v>
      </c>
      <c r="D166" s="475" t="s">
        <v>193</v>
      </c>
      <c r="E166" s="503">
        <f t="shared" si="9"/>
        <v>8.0399999999999991</v>
      </c>
      <c r="F166" s="503"/>
      <c r="G166" s="503">
        <f t="shared" si="8"/>
        <v>8.0399999999999991</v>
      </c>
      <c r="H166" s="503"/>
      <c r="I166" s="503"/>
      <c r="J166" s="508">
        <v>1.1200000000000001</v>
      </c>
      <c r="K166" s="503">
        <v>2.25</v>
      </c>
      <c r="L166" s="503"/>
      <c r="M166" s="503"/>
      <c r="N166" s="503">
        <v>4.67</v>
      </c>
      <c r="O166" s="503"/>
      <c r="P166" s="503"/>
      <c r="Q166" s="503"/>
      <c r="R166" s="509"/>
      <c r="S166" s="509"/>
      <c r="T166" s="503"/>
      <c r="U166" s="503"/>
      <c r="V166" s="503"/>
      <c r="W166" s="503"/>
      <c r="X166" s="503"/>
      <c r="Y166" s="503"/>
      <c r="Z166" s="503"/>
      <c r="AA166" s="510" t="s">
        <v>190</v>
      </c>
    </row>
    <row r="167" spans="1:27">
      <c r="A167" s="1182"/>
      <c r="B167" s="1213"/>
      <c r="C167" s="507" t="s">
        <v>45</v>
      </c>
      <c r="D167" s="475" t="s">
        <v>193</v>
      </c>
      <c r="E167" s="503">
        <f t="shared" si="9"/>
        <v>10.02</v>
      </c>
      <c r="F167" s="503"/>
      <c r="G167" s="503">
        <f t="shared" si="8"/>
        <v>10.02</v>
      </c>
      <c r="H167" s="503"/>
      <c r="I167" s="503"/>
      <c r="J167" s="508">
        <v>2.5</v>
      </c>
      <c r="K167" s="503">
        <v>1.99</v>
      </c>
      <c r="L167" s="503"/>
      <c r="M167" s="503"/>
      <c r="N167" s="503">
        <v>5.53</v>
      </c>
      <c r="O167" s="503"/>
      <c r="P167" s="503"/>
      <c r="Q167" s="503"/>
      <c r="R167" s="509"/>
      <c r="S167" s="509"/>
      <c r="T167" s="503"/>
      <c r="U167" s="503"/>
      <c r="V167" s="503"/>
      <c r="W167" s="503"/>
      <c r="X167" s="503"/>
      <c r="Y167" s="503"/>
      <c r="Z167" s="503"/>
      <c r="AA167" s="510" t="s">
        <v>197</v>
      </c>
    </row>
    <row r="168" spans="1:27">
      <c r="A168" s="659">
        <v>13</v>
      </c>
      <c r="B168" s="660" t="s">
        <v>598</v>
      </c>
      <c r="C168" s="661" t="s">
        <v>45</v>
      </c>
      <c r="D168" s="662" t="s">
        <v>193</v>
      </c>
      <c r="E168" s="663">
        <f t="shared" si="9"/>
        <v>65</v>
      </c>
      <c r="F168" s="663"/>
      <c r="G168" s="515">
        <f t="shared" si="8"/>
        <v>65</v>
      </c>
      <c r="H168" s="663"/>
      <c r="I168" s="663"/>
      <c r="J168" s="664">
        <v>35.6</v>
      </c>
      <c r="K168" s="663">
        <f>65-35.6</f>
        <v>29.4</v>
      </c>
      <c r="L168" s="663"/>
      <c r="M168" s="663"/>
      <c r="N168" s="663"/>
      <c r="O168" s="663"/>
      <c r="P168" s="663"/>
      <c r="Q168" s="663"/>
      <c r="R168" s="665"/>
      <c r="S168" s="665"/>
      <c r="T168" s="663"/>
      <c r="U168" s="663"/>
      <c r="V168" s="663"/>
      <c r="W168" s="663"/>
      <c r="X168" s="663"/>
      <c r="Y168" s="663"/>
      <c r="Z168" s="663"/>
      <c r="AA168" s="666" t="s">
        <v>171</v>
      </c>
    </row>
    <row r="169" spans="1:27" s="675" customFormat="1">
      <c r="A169" s="667"/>
      <c r="B169" s="668" t="s">
        <v>599</v>
      </c>
      <c r="C169" s="669"/>
      <c r="D169" s="670"/>
      <c r="E169" s="532"/>
      <c r="F169" s="671"/>
      <c r="G169" s="532"/>
      <c r="H169" s="672"/>
      <c r="I169" s="672"/>
      <c r="J169" s="673"/>
      <c r="K169" s="672"/>
      <c r="L169" s="672"/>
      <c r="M169" s="672"/>
      <c r="N169" s="672"/>
      <c r="O169" s="672"/>
      <c r="P169" s="672"/>
      <c r="Q169" s="672"/>
      <c r="R169" s="672"/>
      <c r="S169" s="672"/>
      <c r="T169" s="672"/>
      <c r="U169" s="672"/>
      <c r="V169" s="672"/>
      <c r="W169" s="672"/>
      <c r="X169" s="672"/>
      <c r="Y169" s="672"/>
      <c r="Z169" s="672"/>
      <c r="AA169" s="674"/>
    </row>
    <row r="170" spans="1:27" s="545" customFormat="1">
      <c r="A170" s="601">
        <v>1</v>
      </c>
      <c r="B170" s="676" t="s">
        <v>600</v>
      </c>
      <c r="C170" s="677" t="s">
        <v>45</v>
      </c>
      <c r="D170" s="678" t="s">
        <v>47</v>
      </c>
      <c r="E170" s="516">
        <f t="shared" si="9"/>
        <v>1.3</v>
      </c>
      <c r="F170" s="679"/>
      <c r="G170" s="503">
        <f t="shared" si="8"/>
        <v>1.3</v>
      </c>
      <c r="H170" s="680"/>
      <c r="I170" s="680"/>
      <c r="J170" s="681"/>
      <c r="K170" s="680"/>
      <c r="L170" s="680"/>
      <c r="M170" s="680"/>
      <c r="N170" s="680"/>
      <c r="O170" s="680"/>
      <c r="P170" s="680"/>
      <c r="Q170" s="680"/>
      <c r="R170" s="680"/>
      <c r="S170" s="680"/>
      <c r="T170" s="680"/>
      <c r="U170" s="680"/>
      <c r="V170" s="680"/>
      <c r="W170" s="680"/>
      <c r="X170" s="680"/>
      <c r="Y170" s="680"/>
      <c r="Z170" s="680">
        <v>1.3</v>
      </c>
      <c r="AA170" s="682" t="s">
        <v>170</v>
      </c>
    </row>
    <row r="171" spans="1:27" s="545" customFormat="1">
      <c r="A171" s="1214">
        <v>2</v>
      </c>
      <c r="B171" s="1216" t="s">
        <v>601</v>
      </c>
      <c r="C171" s="537" t="s">
        <v>45</v>
      </c>
      <c r="D171" s="538" t="s">
        <v>47</v>
      </c>
      <c r="E171" s="503">
        <f t="shared" si="9"/>
        <v>5.46</v>
      </c>
      <c r="F171" s="539"/>
      <c r="G171" s="503">
        <f t="shared" si="8"/>
        <v>5.46</v>
      </c>
      <c r="H171" s="542"/>
      <c r="I171" s="542"/>
      <c r="J171" s="543"/>
      <c r="K171" s="542">
        <f>6-0.54</f>
        <v>5.46</v>
      </c>
      <c r="L171" s="542"/>
      <c r="M171" s="542"/>
      <c r="N171" s="542"/>
      <c r="O171" s="542"/>
      <c r="P171" s="542"/>
      <c r="Q171" s="542"/>
      <c r="R171" s="542"/>
      <c r="S171" s="542"/>
      <c r="T171" s="542"/>
      <c r="U171" s="542"/>
      <c r="V171" s="542"/>
      <c r="W171" s="542"/>
      <c r="X171" s="542"/>
      <c r="Y171" s="542"/>
      <c r="Z171" s="542"/>
      <c r="AA171" s="544" t="s">
        <v>190</v>
      </c>
    </row>
    <row r="172" spans="1:27" s="545" customFormat="1">
      <c r="A172" s="1215"/>
      <c r="B172" s="1217"/>
      <c r="C172" s="683" t="s">
        <v>45</v>
      </c>
      <c r="D172" s="684" t="s">
        <v>47</v>
      </c>
      <c r="E172" s="515">
        <f t="shared" si="9"/>
        <v>0.54</v>
      </c>
      <c r="F172" s="685"/>
      <c r="G172" s="515">
        <f t="shared" si="8"/>
        <v>0.54</v>
      </c>
      <c r="H172" s="686"/>
      <c r="I172" s="686"/>
      <c r="J172" s="687"/>
      <c r="K172" s="686">
        <v>0.54</v>
      </c>
      <c r="L172" s="686"/>
      <c r="M172" s="686"/>
      <c r="N172" s="686"/>
      <c r="O172" s="686"/>
      <c r="P172" s="686"/>
      <c r="Q172" s="686"/>
      <c r="R172" s="686"/>
      <c r="S172" s="686"/>
      <c r="T172" s="686"/>
      <c r="U172" s="686"/>
      <c r="V172" s="686"/>
      <c r="W172" s="686"/>
      <c r="X172" s="686"/>
      <c r="Y172" s="686"/>
      <c r="Z172" s="686"/>
      <c r="AA172" s="688" t="s">
        <v>170</v>
      </c>
    </row>
    <row r="173" spans="1:27">
      <c r="A173" s="528"/>
      <c r="B173" s="689" t="s">
        <v>602</v>
      </c>
      <c r="C173" s="690"/>
      <c r="D173" s="691"/>
      <c r="E173" s="532"/>
      <c r="F173" s="532"/>
      <c r="G173" s="532"/>
      <c r="H173" s="532"/>
      <c r="I173" s="532"/>
      <c r="J173" s="530"/>
      <c r="K173" s="532"/>
      <c r="L173" s="532"/>
      <c r="M173" s="532"/>
      <c r="N173" s="532"/>
      <c r="O173" s="532"/>
      <c r="P173" s="532"/>
      <c r="Q173" s="532"/>
      <c r="R173" s="533"/>
      <c r="S173" s="533"/>
      <c r="T173" s="532"/>
      <c r="U173" s="532"/>
      <c r="V173" s="532"/>
      <c r="W173" s="532"/>
      <c r="X173" s="532"/>
      <c r="Y173" s="532"/>
      <c r="Z173" s="532"/>
      <c r="AA173" s="534"/>
    </row>
    <row r="174" spans="1:27">
      <c r="A174" s="500">
        <v>1</v>
      </c>
      <c r="B174" s="557" t="s">
        <v>603</v>
      </c>
      <c r="C174" s="508" t="s">
        <v>45</v>
      </c>
      <c r="D174" s="561" t="s">
        <v>51</v>
      </c>
      <c r="E174" s="503">
        <f t="shared" si="9"/>
        <v>2.4</v>
      </c>
      <c r="F174" s="503"/>
      <c r="G174" s="503">
        <f t="shared" si="8"/>
        <v>2.4</v>
      </c>
      <c r="H174" s="503"/>
      <c r="I174" s="503"/>
      <c r="J174" s="508">
        <v>2.4</v>
      </c>
      <c r="K174" s="503"/>
      <c r="L174" s="503"/>
      <c r="M174" s="503"/>
      <c r="N174" s="503"/>
      <c r="O174" s="503"/>
      <c r="P174" s="503"/>
      <c r="Q174" s="503"/>
      <c r="R174" s="509"/>
      <c r="S174" s="509"/>
      <c r="T174" s="503"/>
      <c r="U174" s="503"/>
      <c r="V174" s="503"/>
      <c r="W174" s="503"/>
      <c r="X174" s="503"/>
      <c r="Y174" s="503"/>
      <c r="Z174" s="503"/>
      <c r="AA174" s="510" t="s">
        <v>170</v>
      </c>
    </row>
    <row r="175" spans="1:27">
      <c r="A175" s="500">
        <v>2</v>
      </c>
      <c r="B175" s="557" t="s">
        <v>604</v>
      </c>
      <c r="C175" s="508" t="s">
        <v>45</v>
      </c>
      <c r="D175" s="561" t="s">
        <v>51</v>
      </c>
      <c r="E175" s="503">
        <f t="shared" si="9"/>
        <v>18.5</v>
      </c>
      <c r="F175" s="503"/>
      <c r="G175" s="503">
        <f t="shared" si="8"/>
        <v>18.5</v>
      </c>
      <c r="H175" s="503"/>
      <c r="I175" s="503"/>
      <c r="J175" s="508">
        <v>8</v>
      </c>
      <c r="K175" s="503">
        <v>10.5</v>
      </c>
      <c r="L175" s="503"/>
      <c r="M175" s="503"/>
      <c r="N175" s="503"/>
      <c r="O175" s="503"/>
      <c r="P175" s="503"/>
      <c r="Q175" s="503"/>
      <c r="R175" s="509"/>
      <c r="S175" s="509"/>
      <c r="T175" s="503"/>
      <c r="U175" s="503"/>
      <c r="V175" s="503"/>
      <c r="W175" s="503"/>
      <c r="X175" s="503"/>
      <c r="Y175" s="503"/>
      <c r="Z175" s="503"/>
      <c r="AA175" s="510" t="s">
        <v>174</v>
      </c>
    </row>
    <row r="176" spans="1:27">
      <c r="A176" s="511">
        <v>3</v>
      </c>
      <c r="B176" s="692" t="s">
        <v>605</v>
      </c>
      <c r="C176" s="547" t="s">
        <v>45</v>
      </c>
      <c r="D176" s="548" t="s">
        <v>51</v>
      </c>
      <c r="E176" s="515">
        <f t="shared" si="9"/>
        <v>2</v>
      </c>
      <c r="F176" s="515"/>
      <c r="G176" s="515">
        <f t="shared" si="8"/>
        <v>2</v>
      </c>
      <c r="H176" s="515"/>
      <c r="I176" s="515"/>
      <c r="J176" s="547"/>
      <c r="K176" s="515"/>
      <c r="L176" s="515"/>
      <c r="M176" s="515"/>
      <c r="N176" s="515">
        <v>2</v>
      </c>
      <c r="O176" s="515"/>
      <c r="P176" s="515"/>
      <c r="Q176" s="515"/>
      <c r="R176" s="568"/>
      <c r="S176" s="568"/>
      <c r="T176" s="515"/>
      <c r="U176" s="515"/>
      <c r="V176" s="515"/>
      <c r="W176" s="515"/>
      <c r="X176" s="515"/>
      <c r="Y176" s="515"/>
      <c r="Z176" s="515"/>
      <c r="AA176" s="569" t="s">
        <v>190</v>
      </c>
    </row>
    <row r="177" spans="1:27" s="556" customFormat="1">
      <c r="A177" s="528"/>
      <c r="B177" s="529" t="s">
        <v>606</v>
      </c>
      <c r="C177" s="551"/>
      <c r="D177" s="552"/>
      <c r="E177" s="532"/>
      <c r="F177" s="553"/>
      <c r="G177" s="532"/>
      <c r="H177" s="553"/>
      <c r="I177" s="553"/>
      <c r="J177" s="551"/>
      <c r="K177" s="553"/>
      <c r="L177" s="553"/>
      <c r="M177" s="553"/>
      <c r="N177" s="553"/>
      <c r="O177" s="553"/>
      <c r="P177" s="553"/>
      <c r="Q177" s="553"/>
      <c r="R177" s="570"/>
      <c r="S177" s="570"/>
      <c r="T177" s="553"/>
      <c r="U177" s="553"/>
      <c r="V177" s="553"/>
      <c r="W177" s="553"/>
      <c r="X177" s="553"/>
      <c r="Y177" s="553"/>
      <c r="Z177" s="553"/>
      <c r="AA177" s="571"/>
    </row>
    <row r="178" spans="1:27">
      <c r="A178" s="500">
        <v>1</v>
      </c>
      <c r="B178" s="536" t="s">
        <v>607</v>
      </c>
      <c r="C178" s="508" t="s">
        <v>45</v>
      </c>
      <c r="D178" s="561" t="s">
        <v>63</v>
      </c>
      <c r="E178" s="503">
        <f t="shared" ref="E178:E179" si="10">F178+G178</f>
        <v>3</v>
      </c>
      <c r="F178" s="503"/>
      <c r="G178" s="503">
        <f t="shared" si="8"/>
        <v>3</v>
      </c>
      <c r="H178" s="532"/>
      <c r="I178" s="532"/>
      <c r="J178" s="530"/>
      <c r="K178" s="532">
        <v>3</v>
      </c>
      <c r="L178" s="532"/>
      <c r="M178" s="532"/>
      <c r="N178" s="532"/>
      <c r="O178" s="532"/>
      <c r="P178" s="532"/>
      <c r="Q178" s="532"/>
      <c r="R178" s="533"/>
      <c r="S178" s="533"/>
      <c r="T178" s="532"/>
      <c r="U178" s="532"/>
      <c r="V178" s="532"/>
      <c r="W178" s="532"/>
      <c r="X178" s="532"/>
      <c r="Y178" s="532"/>
      <c r="Z178" s="532"/>
      <c r="AA178" s="534" t="s">
        <v>168</v>
      </c>
    </row>
    <row r="179" spans="1:27">
      <c r="A179" s="535">
        <v>2</v>
      </c>
      <c r="B179" s="536" t="s">
        <v>607</v>
      </c>
      <c r="C179" s="508" t="s">
        <v>45</v>
      </c>
      <c r="D179" s="561" t="s">
        <v>63</v>
      </c>
      <c r="E179" s="503">
        <f t="shared" si="10"/>
        <v>0.26</v>
      </c>
      <c r="F179" s="503"/>
      <c r="G179" s="503">
        <f t="shared" si="8"/>
        <v>0.26</v>
      </c>
      <c r="H179" s="532"/>
      <c r="I179" s="532"/>
      <c r="J179" s="530">
        <v>0.26</v>
      </c>
      <c r="K179" s="532"/>
      <c r="L179" s="532"/>
      <c r="M179" s="532"/>
      <c r="N179" s="532"/>
      <c r="O179" s="532"/>
      <c r="P179" s="532"/>
      <c r="Q179" s="532"/>
      <c r="R179" s="533"/>
      <c r="S179" s="533"/>
      <c r="T179" s="532"/>
      <c r="U179" s="532"/>
      <c r="V179" s="532"/>
      <c r="W179" s="532"/>
      <c r="X179" s="532"/>
      <c r="Y179" s="532"/>
      <c r="Z179" s="532"/>
      <c r="AA179" s="534" t="s">
        <v>173</v>
      </c>
    </row>
    <row r="180" spans="1:27" ht="31.5">
      <c r="A180" s="535">
        <v>3</v>
      </c>
      <c r="B180" s="560" t="s">
        <v>608</v>
      </c>
      <c r="C180" s="508" t="s">
        <v>45</v>
      </c>
      <c r="D180" s="561" t="s">
        <v>63</v>
      </c>
      <c r="E180" s="503">
        <f t="shared" si="9"/>
        <v>0.2</v>
      </c>
      <c r="F180" s="503"/>
      <c r="G180" s="503">
        <f t="shared" si="8"/>
        <v>0.2</v>
      </c>
      <c r="H180" s="503"/>
      <c r="I180" s="503"/>
      <c r="J180" s="508">
        <v>0.2</v>
      </c>
      <c r="K180" s="503"/>
      <c r="L180" s="503"/>
      <c r="M180" s="503"/>
      <c r="N180" s="503"/>
      <c r="O180" s="503"/>
      <c r="P180" s="503"/>
      <c r="Q180" s="503"/>
      <c r="R180" s="509"/>
      <c r="S180" s="509"/>
      <c r="T180" s="503"/>
      <c r="U180" s="503"/>
      <c r="V180" s="503"/>
      <c r="W180" s="503"/>
      <c r="X180" s="503"/>
      <c r="Y180" s="503"/>
      <c r="Z180" s="503"/>
      <c r="AA180" s="510" t="s">
        <v>190</v>
      </c>
    </row>
    <row r="181" spans="1:27" ht="31.5">
      <c r="A181" s="535">
        <v>4</v>
      </c>
      <c r="B181" s="560" t="s">
        <v>609</v>
      </c>
      <c r="C181" s="508" t="s">
        <v>45</v>
      </c>
      <c r="D181" s="561" t="s">
        <v>63</v>
      </c>
      <c r="E181" s="503">
        <f t="shared" si="9"/>
        <v>0.02</v>
      </c>
      <c r="F181" s="503"/>
      <c r="G181" s="503">
        <f t="shared" si="8"/>
        <v>0.02</v>
      </c>
      <c r="H181" s="503"/>
      <c r="I181" s="503"/>
      <c r="J181" s="508">
        <v>0.02</v>
      </c>
      <c r="K181" s="503"/>
      <c r="L181" s="503"/>
      <c r="M181" s="503"/>
      <c r="N181" s="503"/>
      <c r="O181" s="503"/>
      <c r="P181" s="503"/>
      <c r="Q181" s="503"/>
      <c r="R181" s="509"/>
      <c r="S181" s="509"/>
      <c r="T181" s="503"/>
      <c r="U181" s="503"/>
      <c r="V181" s="503"/>
      <c r="W181" s="503"/>
      <c r="X181" s="503"/>
      <c r="Y181" s="503"/>
      <c r="Z181" s="503"/>
      <c r="AA181" s="510" t="s">
        <v>190</v>
      </c>
    </row>
    <row r="182" spans="1:27">
      <c r="A182" s="659">
        <v>5</v>
      </c>
      <c r="B182" s="692" t="s">
        <v>610</v>
      </c>
      <c r="C182" s="547" t="s">
        <v>45</v>
      </c>
      <c r="D182" s="548" t="s">
        <v>63</v>
      </c>
      <c r="E182" s="515">
        <f t="shared" si="9"/>
        <v>3</v>
      </c>
      <c r="F182" s="515"/>
      <c r="G182" s="515">
        <f t="shared" si="8"/>
        <v>3</v>
      </c>
      <c r="H182" s="515"/>
      <c r="I182" s="515"/>
      <c r="J182" s="547">
        <v>1.5</v>
      </c>
      <c r="K182" s="515">
        <v>1.5</v>
      </c>
      <c r="L182" s="515"/>
      <c r="M182" s="515"/>
      <c r="N182" s="515"/>
      <c r="O182" s="515"/>
      <c r="P182" s="515"/>
      <c r="Q182" s="515"/>
      <c r="R182" s="568"/>
      <c r="S182" s="568"/>
      <c r="T182" s="515"/>
      <c r="U182" s="515"/>
      <c r="V182" s="515"/>
      <c r="W182" s="515"/>
      <c r="X182" s="515"/>
      <c r="Y182" s="515"/>
      <c r="Z182" s="515"/>
      <c r="AA182" s="569" t="s">
        <v>170</v>
      </c>
    </row>
    <row r="183" spans="1:27">
      <c r="A183" s="528"/>
      <c r="B183" s="693" t="s">
        <v>611</v>
      </c>
      <c r="C183" s="508"/>
      <c r="D183" s="561"/>
      <c r="E183" s="532"/>
      <c r="F183" s="694"/>
      <c r="G183" s="532"/>
      <c r="H183" s="532"/>
      <c r="I183" s="532"/>
      <c r="J183" s="530"/>
      <c r="K183" s="532"/>
      <c r="L183" s="532"/>
      <c r="M183" s="532"/>
      <c r="N183" s="532"/>
      <c r="O183" s="532"/>
      <c r="P183" s="532"/>
      <c r="Q183" s="532"/>
      <c r="R183" s="533"/>
      <c r="S183" s="533"/>
      <c r="T183" s="532"/>
      <c r="U183" s="532"/>
      <c r="V183" s="532"/>
      <c r="W183" s="532"/>
      <c r="X183" s="532"/>
      <c r="Y183" s="532"/>
      <c r="Z183" s="532"/>
      <c r="AA183" s="534"/>
    </row>
    <row r="184" spans="1:27">
      <c r="A184" s="535">
        <v>1</v>
      </c>
      <c r="B184" s="560" t="s">
        <v>612</v>
      </c>
      <c r="C184" s="508" t="s">
        <v>45</v>
      </c>
      <c r="D184" s="561" t="s">
        <v>64</v>
      </c>
      <c r="E184" s="503">
        <f t="shared" ref="E184" si="11">F184+G184</f>
        <v>5</v>
      </c>
      <c r="F184" s="503"/>
      <c r="G184" s="503">
        <f t="shared" si="8"/>
        <v>5</v>
      </c>
      <c r="H184" s="532"/>
      <c r="I184" s="532"/>
      <c r="J184" s="530"/>
      <c r="K184" s="532">
        <v>5</v>
      </c>
      <c r="L184" s="532"/>
      <c r="M184" s="532"/>
      <c r="N184" s="532"/>
      <c r="O184" s="532"/>
      <c r="P184" s="532"/>
      <c r="Q184" s="532"/>
      <c r="R184" s="533"/>
      <c r="S184" s="533"/>
      <c r="T184" s="532"/>
      <c r="U184" s="532"/>
      <c r="V184" s="532"/>
      <c r="W184" s="532"/>
      <c r="X184" s="532"/>
      <c r="Y184" s="532"/>
      <c r="Z184" s="532"/>
      <c r="AA184" s="534" t="s">
        <v>168</v>
      </c>
    </row>
    <row r="185" spans="1:27">
      <c r="A185" s="500">
        <v>2</v>
      </c>
      <c r="B185" s="560" t="s">
        <v>613</v>
      </c>
      <c r="C185" s="508" t="s">
        <v>45</v>
      </c>
      <c r="D185" s="561" t="s">
        <v>64</v>
      </c>
      <c r="E185" s="503">
        <f t="shared" si="9"/>
        <v>2.5</v>
      </c>
      <c r="F185" s="503"/>
      <c r="G185" s="503">
        <f t="shared" si="8"/>
        <v>2.5</v>
      </c>
      <c r="H185" s="503"/>
      <c r="I185" s="503"/>
      <c r="J185" s="508"/>
      <c r="K185" s="503">
        <v>2.5</v>
      </c>
      <c r="L185" s="503"/>
      <c r="M185" s="503"/>
      <c r="N185" s="503"/>
      <c r="O185" s="503"/>
      <c r="P185" s="503"/>
      <c r="Q185" s="503"/>
      <c r="R185" s="509"/>
      <c r="S185" s="509"/>
      <c r="T185" s="503"/>
      <c r="U185" s="503"/>
      <c r="V185" s="503"/>
      <c r="W185" s="503"/>
      <c r="X185" s="503"/>
      <c r="Y185" s="503"/>
      <c r="Z185" s="503"/>
      <c r="AA185" s="510" t="s">
        <v>171</v>
      </c>
    </row>
    <row r="186" spans="1:27">
      <c r="A186" s="500">
        <v>3</v>
      </c>
      <c r="B186" s="560" t="s">
        <v>614</v>
      </c>
      <c r="C186" s="508" t="s">
        <v>45</v>
      </c>
      <c r="D186" s="561" t="s">
        <v>64</v>
      </c>
      <c r="E186" s="503">
        <f t="shared" si="9"/>
        <v>0.5</v>
      </c>
      <c r="F186" s="503"/>
      <c r="G186" s="503">
        <f t="shared" si="8"/>
        <v>0.5</v>
      </c>
      <c r="H186" s="503"/>
      <c r="I186" s="503"/>
      <c r="J186" s="508"/>
      <c r="K186" s="503">
        <v>0.5</v>
      </c>
      <c r="L186" s="503"/>
      <c r="M186" s="503"/>
      <c r="N186" s="503"/>
      <c r="O186" s="503"/>
      <c r="P186" s="503"/>
      <c r="Q186" s="503"/>
      <c r="R186" s="509"/>
      <c r="S186" s="509"/>
      <c r="T186" s="503"/>
      <c r="U186" s="503"/>
      <c r="V186" s="503"/>
      <c r="W186" s="503"/>
      <c r="X186" s="503"/>
      <c r="Y186" s="503"/>
      <c r="Z186" s="503"/>
      <c r="AA186" s="510" t="s">
        <v>171</v>
      </c>
    </row>
    <row r="187" spans="1:27">
      <c r="A187" s="500">
        <v>4</v>
      </c>
      <c r="B187" s="560" t="s">
        <v>615</v>
      </c>
      <c r="C187" s="508" t="s">
        <v>45</v>
      </c>
      <c r="D187" s="561" t="s">
        <v>64</v>
      </c>
      <c r="E187" s="503">
        <f t="shared" si="9"/>
        <v>0.5</v>
      </c>
      <c r="F187" s="503"/>
      <c r="G187" s="503">
        <f t="shared" si="8"/>
        <v>0.5</v>
      </c>
      <c r="H187" s="503"/>
      <c r="I187" s="503"/>
      <c r="J187" s="508"/>
      <c r="K187" s="503">
        <v>0.5</v>
      </c>
      <c r="L187" s="503"/>
      <c r="M187" s="503"/>
      <c r="N187" s="503"/>
      <c r="O187" s="503"/>
      <c r="P187" s="503"/>
      <c r="Q187" s="503"/>
      <c r="R187" s="509"/>
      <c r="S187" s="509"/>
      <c r="T187" s="503"/>
      <c r="U187" s="503"/>
      <c r="V187" s="503"/>
      <c r="W187" s="503"/>
      <c r="X187" s="503"/>
      <c r="Y187" s="503"/>
      <c r="Z187" s="503"/>
      <c r="AA187" s="510" t="s">
        <v>171</v>
      </c>
    </row>
    <row r="188" spans="1:27">
      <c r="A188" s="500">
        <v>5</v>
      </c>
      <c r="B188" s="557" t="s">
        <v>616</v>
      </c>
      <c r="C188" s="508" t="s">
        <v>45</v>
      </c>
      <c r="D188" s="561" t="s">
        <v>64</v>
      </c>
      <c r="E188" s="503">
        <f t="shared" si="9"/>
        <v>6.3</v>
      </c>
      <c r="F188" s="503"/>
      <c r="G188" s="503">
        <f t="shared" si="8"/>
        <v>6.3</v>
      </c>
      <c r="H188" s="503"/>
      <c r="I188" s="503"/>
      <c r="J188" s="508">
        <v>4</v>
      </c>
      <c r="K188" s="503">
        <v>2.2999999999999998</v>
      </c>
      <c r="L188" s="503"/>
      <c r="M188" s="503"/>
      <c r="N188" s="503"/>
      <c r="O188" s="503"/>
      <c r="P188" s="503"/>
      <c r="Q188" s="503"/>
      <c r="R188" s="509"/>
      <c r="S188" s="509"/>
      <c r="T188" s="503"/>
      <c r="U188" s="503"/>
      <c r="V188" s="503"/>
      <c r="W188" s="503"/>
      <c r="X188" s="503"/>
      <c r="Y188" s="503"/>
      <c r="Z188" s="503"/>
      <c r="AA188" s="510" t="s">
        <v>170</v>
      </c>
    </row>
    <row r="189" spans="1:27">
      <c r="A189" s="500">
        <v>6</v>
      </c>
      <c r="B189" s="557" t="s">
        <v>617</v>
      </c>
      <c r="C189" s="508" t="s">
        <v>45</v>
      </c>
      <c r="D189" s="561" t="s">
        <v>64</v>
      </c>
      <c r="E189" s="503">
        <f t="shared" si="9"/>
        <v>2</v>
      </c>
      <c r="F189" s="503"/>
      <c r="G189" s="503">
        <f t="shared" si="8"/>
        <v>2</v>
      </c>
      <c r="H189" s="503"/>
      <c r="I189" s="503"/>
      <c r="J189" s="508">
        <v>2</v>
      </c>
      <c r="K189" s="503"/>
      <c r="L189" s="503"/>
      <c r="M189" s="503"/>
      <c r="N189" s="503"/>
      <c r="O189" s="503"/>
      <c r="P189" s="503"/>
      <c r="Q189" s="503"/>
      <c r="R189" s="509"/>
      <c r="S189" s="509"/>
      <c r="T189" s="503"/>
      <c r="U189" s="503"/>
      <c r="V189" s="503"/>
      <c r="W189" s="503"/>
      <c r="X189" s="503"/>
      <c r="Y189" s="503"/>
      <c r="Z189" s="503"/>
      <c r="AA189" s="510" t="s">
        <v>170</v>
      </c>
    </row>
    <row r="190" spans="1:27">
      <c r="A190" s="500">
        <v>7</v>
      </c>
      <c r="B190" s="506" t="s">
        <v>618</v>
      </c>
      <c r="C190" s="507" t="s">
        <v>45</v>
      </c>
      <c r="D190" s="475" t="s">
        <v>64</v>
      </c>
      <c r="E190" s="503">
        <f t="shared" si="9"/>
        <v>2</v>
      </c>
      <c r="F190" s="558"/>
      <c r="G190" s="503">
        <f t="shared" si="8"/>
        <v>2</v>
      </c>
      <c r="H190" s="503"/>
      <c r="I190" s="503"/>
      <c r="J190" s="504">
        <v>2</v>
      </c>
      <c r="K190" s="503"/>
      <c r="L190" s="503"/>
      <c r="M190" s="503"/>
      <c r="N190" s="503"/>
      <c r="O190" s="503"/>
      <c r="P190" s="503"/>
      <c r="Q190" s="503"/>
      <c r="R190" s="503"/>
      <c r="S190" s="503"/>
      <c r="T190" s="503"/>
      <c r="U190" s="503"/>
      <c r="V190" s="503"/>
      <c r="W190" s="503"/>
      <c r="X190" s="503"/>
      <c r="Y190" s="503"/>
      <c r="Z190" s="503"/>
      <c r="AA190" s="559" t="s">
        <v>173</v>
      </c>
    </row>
    <row r="191" spans="1:27">
      <c r="A191" s="500">
        <v>8</v>
      </c>
      <c r="B191" s="506" t="s">
        <v>619</v>
      </c>
      <c r="C191" s="507" t="s">
        <v>45</v>
      </c>
      <c r="D191" s="475" t="s">
        <v>64</v>
      </c>
      <c r="E191" s="503">
        <f t="shared" si="9"/>
        <v>2</v>
      </c>
      <c r="F191" s="558"/>
      <c r="G191" s="503">
        <f t="shared" si="8"/>
        <v>2</v>
      </c>
      <c r="H191" s="503"/>
      <c r="I191" s="503"/>
      <c r="J191" s="504"/>
      <c r="K191" s="503">
        <v>2</v>
      </c>
      <c r="L191" s="503"/>
      <c r="M191" s="503"/>
      <c r="N191" s="503"/>
      <c r="O191" s="503"/>
      <c r="P191" s="503"/>
      <c r="Q191" s="503"/>
      <c r="R191" s="503"/>
      <c r="S191" s="503"/>
      <c r="T191" s="503"/>
      <c r="U191" s="503"/>
      <c r="V191" s="503"/>
      <c r="W191" s="503"/>
      <c r="X191" s="503"/>
      <c r="Y191" s="503"/>
      <c r="Z191" s="503"/>
      <c r="AA191" s="559" t="s">
        <v>173</v>
      </c>
    </row>
    <row r="192" spans="1:27">
      <c r="A192" s="500">
        <v>9</v>
      </c>
      <c r="B192" s="506" t="s">
        <v>620</v>
      </c>
      <c r="C192" s="507" t="s">
        <v>45</v>
      </c>
      <c r="D192" s="475" t="s">
        <v>64</v>
      </c>
      <c r="E192" s="503">
        <f t="shared" si="9"/>
        <v>0.6</v>
      </c>
      <c r="F192" s="558"/>
      <c r="G192" s="503">
        <f t="shared" si="8"/>
        <v>0.6</v>
      </c>
      <c r="H192" s="503"/>
      <c r="I192" s="503"/>
      <c r="J192" s="504"/>
      <c r="K192" s="503">
        <v>0.6</v>
      </c>
      <c r="L192" s="503"/>
      <c r="M192" s="503"/>
      <c r="N192" s="503"/>
      <c r="O192" s="503"/>
      <c r="P192" s="503"/>
      <c r="Q192" s="503"/>
      <c r="R192" s="503"/>
      <c r="S192" s="503"/>
      <c r="T192" s="503"/>
      <c r="U192" s="503"/>
      <c r="V192" s="503"/>
      <c r="W192" s="503"/>
      <c r="X192" s="503"/>
      <c r="Y192" s="503"/>
      <c r="Z192" s="503"/>
      <c r="AA192" s="559" t="s">
        <v>174</v>
      </c>
    </row>
    <row r="193" spans="1:27">
      <c r="A193" s="511">
        <v>10</v>
      </c>
      <c r="B193" s="546" t="s">
        <v>621</v>
      </c>
      <c r="C193" s="547" t="s">
        <v>45</v>
      </c>
      <c r="D193" s="548" t="s">
        <v>64</v>
      </c>
      <c r="E193" s="515">
        <f t="shared" si="9"/>
        <v>4.5999999999999996</v>
      </c>
      <c r="F193" s="515"/>
      <c r="G193" s="515">
        <f t="shared" si="8"/>
        <v>4.5999999999999996</v>
      </c>
      <c r="H193" s="515"/>
      <c r="I193" s="515"/>
      <c r="J193" s="547">
        <v>4.5999999999999996</v>
      </c>
      <c r="K193" s="515"/>
      <c r="L193" s="515"/>
      <c r="M193" s="515"/>
      <c r="N193" s="515"/>
      <c r="O193" s="515"/>
      <c r="P193" s="515"/>
      <c r="Q193" s="515"/>
      <c r="R193" s="568"/>
      <c r="S193" s="568"/>
      <c r="T193" s="515"/>
      <c r="U193" s="515"/>
      <c r="V193" s="515"/>
      <c r="W193" s="515"/>
      <c r="X193" s="515"/>
      <c r="Y193" s="515"/>
      <c r="Z193" s="515"/>
      <c r="AA193" s="569" t="s">
        <v>169</v>
      </c>
    </row>
    <row r="194" spans="1:27">
      <c r="A194" s="528"/>
      <c r="B194" s="695" t="s">
        <v>622</v>
      </c>
      <c r="C194" s="690"/>
      <c r="D194" s="691"/>
      <c r="E194" s="532"/>
      <c r="F194" s="532"/>
      <c r="G194" s="532"/>
      <c r="H194" s="532"/>
      <c r="I194" s="532"/>
      <c r="J194" s="530"/>
      <c r="K194" s="532"/>
      <c r="L194" s="532"/>
      <c r="M194" s="532"/>
      <c r="N194" s="532"/>
      <c r="O194" s="532"/>
      <c r="P194" s="532"/>
      <c r="Q194" s="532"/>
      <c r="R194" s="533"/>
      <c r="S194" s="533"/>
      <c r="T194" s="532"/>
      <c r="U194" s="532"/>
      <c r="V194" s="532"/>
      <c r="W194" s="532"/>
      <c r="X194" s="532"/>
      <c r="Y194" s="532"/>
      <c r="Z194" s="532"/>
      <c r="AA194" s="534"/>
    </row>
    <row r="195" spans="1:27">
      <c r="A195" s="500">
        <v>1</v>
      </c>
      <c r="B195" s="560" t="s">
        <v>623</v>
      </c>
      <c r="C195" s="508" t="s">
        <v>45</v>
      </c>
      <c r="D195" s="561" t="s">
        <v>204</v>
      </c>
      <c r="E195" s="503">
        <f t="shared" si="9"/>
        <v>0.22</v>
      </c>
      <c r="F195" s="503"/>
      <c r="G195" s="503">
        <f t="shared" si="8"/>
        <v>0.22</v>
      </c>
      <c r="H195" s="503"/>
      <c r="I195" s="503"/>
      <c r="J195" s="508">
        <v>0.22</v>
      </c>
      <c r="K195" s="503"/>
      <c r="L195" s="503"/>
      <c r="M195" s="503"/>
      <c r="N195" s="503"/>
      <c r="O195" s="503"/>
      <c r="P195" s="503"/>
      <c r="Q195" s="503"/>
      <c r="R195" s="509"/>
      <c r="S195" s="509"/>
      <c r="T195" s="503"/>
      <c r="U195" s="503"/>
      <c r="V195" s="503"/>
      <c r="W195" s="503"/>
      <c r="X195" s="503"/>
      <c r="Y195" s="503"/>
      <c r="Z195" s="503"/>
      <c r="AA195" s="510" t="s">
        <v>190</v>
      </c>
    </row>
    <row r="196" spans="1:27">
      <c r="A196" s="500">
        <v>2</v>
      </c>
      <c r="B196" s="560" t="s">
        <v>624</v>
      </c>
      <c r="C196" s="508" t="s">
        <v>45</v>
      </c>
      <c r="D196" s="561" t="s">
        <v>204</v>
      </c>
      <c r="E196" s="503">
        <f t="shared" si="9"/>
        <v>0.14000000000000001</v>
      </c>
      <c r="F196" s="503"/>
      <c r="G196" s="503">
        <f t="shared" si="8"/>
        <v>0.14000000000000001</v>
      </c>
      <c r="H196" s="503"/>
      <c r="I196" s="503"/>
      <c r="J196" s="508"/>
      <c r="K196" s="503"/>
      <c r="L196" s="503"/>
      <c r="M196" s="503"/>
      <c r="N196" s="503"/>
      <c r="O196" s="503"/>
      <c r="P196" s="503"/>
      <c r="Q196" s="503">
        <v>0.14000000000000001</v>
      </c>
      <c r="R196" s="509"/>
      <c r="S196" s="509"/>
      <c r="T196" s="503"/>
      <c r="U196" s="503"/>
      <c r="V196" s="503"/>
      <c r="W196" s="503"/>
      <c r="X196" s="503"/>
      <c r="Y196" s="503"/>
      <c r="Z196" s="503"/>
      <c r="AA196" s="510" t="s">
        <v>172</v>
      </c>
    </row>
    <row r="197" spans="1:27" ht="31.5">
      <c r="A197" s="511">
        <v>3</v>
      </c>
      <c r="B197" s="696" t="s">
        <v>625</v>
      </c>
      <c r="C197" s="566" t="s">
        <v>45</v>
      </c>
      <c r="D197" s="567" t="s">
        <v>204</v>
      </c>
      <c r="E197" s="516">
        <f t="shared" si="9"/>
        <v>1</v>
      </c>
      <c r="F197" s="516"/>
      <c r="G197" s="516">
        <f t="shared" si="8"/>
        <v>1</v>
      </c>
      <c r="H197" s="515"/>
      <c r="I197" s="515"/>
      <c r="J197" s="547">
        <v>0.5</v>
      </c>
      <c r="K197" s="515">
        <v>0.5</v>
      </c>
      <c r="L197" s="515"/>
      <c r="M197" s="515"/>
      <c r="N197" s="515"/>
      <c r="O197" s="515"/>
      <c r="P197" s="515"/>
      <c r="Q197" s="515"/>
      <c r="R197" s="568"/>
      <c r="S197" s="568"/>
      <c r="T197" s="515"/>
      <c r="U197" s="515"/>
      <c r="V197" s="515"/>
      <c r="W197" s="515"/>
      <c r="X197" s="515"/>
      <c r="Y197" s="515"/>
      <c r="Z197" s="515"/>
      <c r="AA197" s="569" t="s">
        <v>173</v>
      </c>
    </row>
    <row r="198" spans="1:27" s="556" customFormat="1">
      <c r="A198" s="528" t="s">
        <v>532</v>
      </c>
      <c r="B198" s="529" t="s">
        <v>626</v>
      </c>
      <c r="C198" s="636"/>
      <c r="D198" s="637"/>
      <c r="E198" s="632"/>
      <c r="F198" s="697"/>
      <c r="G198" s="632"/>
      <c r="H198" s="553"/>
      <c r="I198" s="553"/>
      <c r="J198" s="554"/>
      <c r="K198" s="553"/>
      <c r="L198" s="553"/>
      <c r="M198" s="553"/>
      <c r="N198" s="553"/>
      <c r="O198" s="553"/>
      <c r="P198" s="553"/>
      <c r="Q198" s="553"/>
      <c r="R198" s="553"/>
      <c r="S198" s="553"/>
      <c r="T198" s="553"/>
      <c r="U198" s="553"/>
      <c r="V198" s="553"/>
      <c r="W198" s="553"/>
      <c r="X198" s="553"/>
      <c r="Y198" s="553"/>
      <c r="Z198" s="553"/>
      <c r="AA198" s="555"/>
    </row>
    <row r="199" spans="1:27" ht="31.5">
      <c r="A199" s="500">
        <v>1</v>
      </c>
      <c r="B199" s="560" t="s">
        <v>627</v>
      </c>
      <c r="C199" s="502" t="s">
        <v>55</v>
      </c>
      <c r="D199" s="496" t="s">
        <v>55</v>
      </c>
      <c r="E199" s="503">
        <f t="shared" si="9"/>
        <v>6.8</v>
      </c>
      <c r="F199" s="503">
        <v>0.8</v>
      </c>
      <c r="G199" s="503">
        <f t="shared" si="8"/>
        <v>6</v>
      </c>
      <c r="H199" s="503"/>
      <c r="I199" s="503"/>
      <c r="J199" s="504">
        <v>1</v>
      </c>
      <c r="K199" s="503">
        <v>5</v>
      </c>
      <c r="L199" s="503"/>
      <c r="M199" s="503"/>
      <c r="N199" s="503"/>
      <c r="O199" s="503"/>
      <c r="P199" s="503"/>
      <c r="Q199" s="503"/>
      <c r="R199" s="503"/>
      <c r="S199" s="503"/>
      <c r="T199" s="503"/>
      <c r="U199" s="503"/>
      <c r="V199" s="503"/>
      <c r="W199" s="503"/>
      <c r="X199" s="503"/>
      <c r="Y199" s="503"/>
      <c r="Z199" s="503"/>
      <c r="AA199" s="505" t="s">
        <v>168</v>
      </c>
    </row>
    <row r="200" spans="1:27" ht="31.5">
      <c r="A200" s="500">
        <v>2</v>
      </c>
      <c r="B200" s="557" t="s">
        <v>628</v>
      </c>
      <c r="C200" s="508" t="s">
        <v>55</v>
      </c>
      <c r="D200" s="561" t="s">
        <v>55</v>
      </c>
      <c r="E200" s="503">
        <f t="shared" si="9"/>
        <v>1.5</v>
      </c>
      <c r="F200" s="593"/>
      <c r="G200" s="503">
        <f t="shared" si="8"/>
        <v>1.5</v>
      </c>
      <c r="H200" s="503"/>
      <c r="I200" s="503"/>
      <c r="J200" s="504">
        <v>1.5</v>
      </c>
      <c r="K200" s="503"/>
      <c r="L200" s="503"/>
      <c r="M200" s="503"/>
      <c r="N200" s="503"/>
      <c r="O200" s="503"/>
      <c r="P200" s="503"/>
      <c r="Q200" s="503"/>
      <c r="R200" s="503"/>
      <c r="S200" s="503"/>
      <c r="T200" s="503"/>
      <c r="U200" s="503"/>
      <c r="V200" s="503"/>
      <c r="W200" s="503"/>
      <c r="X200" s="503"/>
      <c r="Y200" s="503"/>
      <c r="Z200" s="503"/>
      <c r="AA200" s="505" t="s">
        <v>168</v>
      </c>
    </row>
    <row r="201" spans="1:27">
      <c r="A201" s="500">
        <v>3</v>
      </c>
      <c r="B201" s="557" t="s">
        <v>629</v>
      </c>
      <c r="C201" s="508" t="s">
        <v>55</v>
      </c>
      <c r="D201" s="561" t="s">
        <v>55</v>
      </c>
      <c r="E201" s="503">
        <f t="shared" si="9"/>
        <v>50</v>
      </c>
      <c r="F201" s="593"/>
      <c r="G201" s="503">
        <f t="shared" si="8"/>
        <v>50</v>
      </c>
      <c r="H201" s="503"/>
      <c r="I201" s="503"/>
      <c r="J201" s="504">
        <v>15.5</v>
      </c>
      <c r="K201" s="503">
        <v>34.5</v>
      </c>
      <c r="L201" s="503"/>
      <c r="M201" s="503"/>
      <c r="N201" s="503"/>
      <c r="O201" s="503"/>
      <c r="P201" s="503"/>
      <c r="Q201" s="503"/>
      <c r="R201" s="503"/>
      <c r="S201" s="503"/>
      <c r="T201" s="503"/>
      <c r="U201" s="503"/>
      <c r="V201" s="503"/>
      <c r="W201" s="503"/>
      <c r="X201" s="503"/>
      <c r="Y201" s="503"/>
      <c r="Z201" s="503"/>
      <c r="AA201" s="505" t="s">
        <v>168</v>
      </c>
    </row>
    <row r="202" spans="1:27" ht="47.25">
      <c r="A202" s="500">
        <v>4</v>
      </c>
      <c r="B202" s="557" t="s">
        <v>630</v>
      </c>
      <c r="C202" s="508" t="s">
        <v>55</v>
      </c>
      <c r="D202" s="561" t="s">
        <v>55</v>
      </c>
      <c r="E202" s="503">
        <f t="shared" si="9"/>
        <v>1.1600000000000001</v>
      </c>
      <c r="F202" s="503">
        <v>0.5</v>
      </c>
      <c r="G202" s="503">
        <f t="shared" si="8"/>
        <v>0.66</v>
      </c>
      <c r="H202" s="503"/>
      <c r="I202" s="503"/>
      <c r="J202" s="504">
        <v>0.16</v>
      </c>
      <c r="K202" s="503">
        <v>0.5</v>
      </c>
      <c r="L202" s="503"/>
      <c r="M202" s="503"/>
      <c r="N202" s="503"/>
      <c r="O202" s="503"/>
      <c r="P202" s="503"/>
      <c r="Q202" s="503"/>
      <c r="R202" s="503"/>
      <c r="S202" s="503"/>
      <c r="T202" s="503"/>
      <c r="U202" s="503"/>
      <c r="V202" s="503"/>
      <c r="W202" s="503"/>
      <c r="X202" s="503"/>
      <c r="Y202" s="503"/>
      <c r="Z202" s="503"/>
      <c r="AA202" s="505" t="s">
        <v>168</v>
      </c>
    </row>
    <row r="203" spans="1:27" ht="47.25">
      <c r="A203" s="500">
        <v>5</v>
      </c>
      <c r="B203" s="557" t="s">
        <v>631</v>
      </c>
      <c r="C203" s="508" t="s">
        <v>55</v>
      </c>
      <c r="D203" s="561" t="s">
        <v>55</v>
      </c>
      <c r="E203" s="503">
        <f t="shared" si="9"/>
        <v>1.1000000000000001</v>
      </c>
      <c r="F203" s="503">
        <v>0.5</v>
      </c>
      <c r="G203" s="503">
        <f t="shared" si="8"/>
        <v>0.6</v>
      </c>
      <c r="H203" s="503"/>
      <c r="I203" s="503"/>
      <c r="J203" s="504">
        <v>0.3</v>
      </c>
      <c r="K203" s="503">
        <v>0.3</v>
      </c>
      <c r="L203" s="503"/>
      <c r="M203" s="503"/>
      <c r="N203" s="503"/>
      <c r="O203" s="503"/>
      <c r="P203" s="503"/>
      <c r="Q203" s="503"/>
      <c r="R203" s="503"/>
      <c r="S203" s="503"/>
      <c r="T203" s="503"/>
      <c r="U203" s="503"/>
      <c r="V203" s="503"/>
      <c r="W203" s="503"/>
      <c r="X203" s="503"/>
      <c r="Y203" s="503"/>
      <c r="Z203" s="503"/>
      <c r="AA203" s="505" t="s">
        <v>168</v>
      </c>
    </row>
    <row r="204" spans="1:27" s="545" customFormat="1">
      <c r="A204" s="500">
        <v>6</v>
      </c>
      <c r="B204" s="541" t="s">
        <v>632</v>
      </c>
      <c r="C204" s="537" t="s">
        <v>55</v>
      </c>
      <c r="D204" s="538" t="s">
        <v>55</v>
      </c>
      <c r="E204" s="503">
        <f t="shared" si="9"/>
        <v>1.4</v>
      </c>
      <c r="F204" s="539"/>
      <c r="G204" s="503">
        <f t="shared" si="8"/>
        <v>1.4</v>
      </c>
      <c r="H204" s="542"/>
      <c r="I204" s="542"/>
      <c r="J204" s="543">
        <v>0.4</v>
      </c>
      <c r="K204" s="542">
        <v>1</v>
      </c>
      <c r="L204" s="542"/>
      <c r="M204" s="542"/>
      <c r="N204" s="542"/>
      <c r="O204" s="542"/>
      <c r="P204" s="542"/>
      <c r="Q204" s="542"/>
      <c r="R204" s="542"/>
      <c r="S204" s="542"/>
      <c r="T204" s="542"/>
      <c r="U204" s="542"/>
      <c r="V204" s="542"/>
      <c r="W204" s="542"/>
      <c r="X204" s="542"/>
      <c r="Y204" s="542"/>
      <c r="Z204" s="542"/>
      <c r="AA204" s="544" t="s">
        <v>168</v>
      </c>
    </row>
    <row r="205" spans="1:27" s="649" customFormat="1">
      <c r="A205" s="500">
        <v>7</v>
      </c>
      <c r="B205" s="541" t="s">
        <v>633</v>
      </c>
      <c r="C205" s="537" t="s">
        <v>55</v>
      </c>
      <c r="D205" s="538" t="s">
        <v>55</v>
      </c>
      <c r="E205" s="503">
        <f t="shared" si="9"/>
        <v>5</v>
      </c>
      <c r="F205" s="539"/>
      <c r="G205" s="503">
        <f t="shared" si="8"/>
        <v>5</v>
      </c>
      <c r="H205" s="542"/>
      <c r="I205" s="542"/>
      <c r="J205" s="543">
        <v>2</v>
      </c>
      <c r="K205" s="542">
        <v>3</v>
      </c>
      <c r="L205" s="542"/>
      <c r="M205" s="542"/>
      <c r="N205" s="542"/>
      <c r="O205" s="542"/>
      <c r="P205" s="542"/>
      <c r="Q205" s="542"/>
      <c r="R205" s="542"/>
      <c r="S205" s="542"/>
      <c r="T205" s="542"/>
      <c r="U205" s="542"/>
      <c r="V205" s="542"/>
      <c r="W205" s="542"/>
      <c r="X205" s="542"/>
      <c r="Y205" s="542"/>
      <c r="Z205" s="542"/>
      <c r="AA205" s="544" t="s">
        <v>168</v>
      </c>
    </row>
    <row r="206" spans="1:27" s="649" customFormat="1">
      <c r="A206" s="500">
        <v>8</v>
      </c>
      <c r="B206" s="541" t="s">
        <v>634</v>
      </c>
      <c r="C206" s="537" t="s">
        <v>55</v>
      </c>
      <c r="D206" s="538" t="s">
        <v>55</v>
      </c>
      <c r="E206" s="503">
        <f t="shared" si="9"/>
        <v>0.18</v>
      </c>
      <c r="F206" s="539"/>
      <c r="G206" s="503">
        <f t="shared" si="8"/>
        <v>0.18</v>
      </c>
      <c r="H206" s="542"/>
      <c r="I206" s="542"/>
      <c r="J206" s="543">
        <v>7.0000000000000007E-2</v>
      </c>
      <c r="K206" s="542">
        <v>0.11</v>
      </c>
      <c r="L206" s="542"/>
      <c r="M206" s="542"/>
      <c r="N206" s="542"/>
      <c r="O206" s="542"/>
      <c r="P206" s="542"/>
      <c r="Q206" s="542"/>
      <c r="R206" s="542"/>
      <c r="S206" s="542"/>
      <c r="T206" s="542"/>
      <c r="U206" s="542"/>
      <c r="V206" s="542"/>
      <c r="W206" s="542"/>
      <c r="X206" s="542"/>
      <c r="Y206" s="542"/>
      <c r="Z206" s="542"/>
      <c r="AA206" s="544" t="s">
        <v>168</v>
      </c>
    </row>
    <row r="207" spans="1:27" s="649" customFormat="1">
      <c r="A207" s="500">
        <v>9</v>
      </c>
      <c r="B207" s="541" t="s">
        <v>635</v>
      </c>
      <c r="C207" s="537" t="s">
        <v>55</v>
      </c>
      <c r="D207" s="538" t="s">
        <v>55</v>
      </c>
      <c r="E207" s="503">
        <f t="shared" si="9"/>
        <v>0.43</v>
      </c>
      <c r="F207" s="539"/>
      <c r="G207" s="503">
        <f t="shared" si="8"/>
        <v>0.43</v>
      </c>
      <c r="H207" s="542"/>
      <c r="I207" s="542"/>
      <c r="J207" s="543"/>
      <c r="K207" s="542">
        <v>0.43</v>
      </c>
      <c r="L207" s="542"/>
      <c r="M207" s="542"/>
      <c r="N207" s="542"/>
      <c r="O207" s="542"/>
      <c r="P207" s="542"/>
      <c r="Q207" s="542"/>
      <c r="R207" s="542"/>
      <c r="S207" s="542"/>
      <c r="T207" s="542"/>
      <c r="U207" s="542"/>
      <c r="V207" s="542"/>
      <c r="W207" s="542"/>
      <c r="X207" s="542"/>
      <c r="Y207" s="542"/>
      <c r="Z207" s="542"/>
      <c r="AA207" s="544" t="s">
        <v>168</v>
      </c>
    </row>
    <row r="208" spans="1:27" s="649" customFormat="1">
      <c r="A208" s="500">
        <v>10</v>
      </c>
      <c r="B208" s="541" t="s">
        <v>636</v>
      </c>
      <c r="C208" s="537" t="s">
        <v>55</v>
      </c>
      <c r="D208" s="538" t="s">
        <v>55</v>
      </c>
      <c r="E208" s="503">
        <f t="shared" si="9"/>
        <v>4.2</v>
      </c>
      <c r="F208" s="539"/>
      <c r="G208" s="503">
        <f t="shared" si="8"/>
        <v>4.2</v>
      </c>
      <c r="H208" s="542"/>
      <c r="I208" s="542"/>
      <c r="J208" s="543">
        <v>1.2</v>
      </c>
      <c r="K208" s="542">
        <v>3</v>
      </c>
      <c r="L208" s="542"/>
      <c r="M208" s="542"/>
      <c r="N208" s="542"/>
      <c r="O208" s="542"/>
      <c r="P208" s="542"/>
      <c r="Q208" s="542"/>
      <c r="R208" s="542"/>
      <c r="S208" s="542"/>
      <c r="T208" s="542"/>
      <c r="U208" s="542"/>
      <c r="V208" s="542"/>
      <c r="W208" s="542"/>
      <c r="X208" s="542"/>
      <c r="Y208" s="542"/>
      <c r="Z208" s="542"/>
      <c r="AA208" s="544" t="s">
        <v>168</v>
      </c>
    </row>
    <row r="209" spans="1:27" ht="47.25">
      <c r="A209" s="500">
        <v>5</v>
      </c>
      <c r="B209" s="560" t="s">
        <v>345</v>
      </c>
      <c r="C209" s="537" t="s">
        <v>55</v>
      </c>
      <c r="D209" s="538" t="s">
        <v>55</v>
      </c>
      <c r="E209" s="503">
        <f t="shared" si="9"/>
        <v>2.5</v>
      </c>
      <c r="F209" s="503"/>
      <c r="G209" s="503">
        <f t="shared" si="8"/>
        <v>2.5</v>
      </c>
      <c r="H209" s="503"/>
      <c r="I209" s="503"/>
      <c r="J209" s="504">
        <v>1.5</v>
      </c>
      <c r="K209" s="503">
        <v>1</v>
      </c>
      <c r="L209" s="503"/>
      <c r="M209" s="503"/>
      <c r="N209" s="503"/>
      <c r="O209" s="503"/>
      <c r="P209" s="503"/>
      <c r="Q209" s="503"/>
      <c r="R209" s="503"/>
      <c r="S209" s="503"/>
      <c r="T209" s="503"/>
      <c r="U209" s="503"/>
      <c r="V209" s="503"/>
      <c r="W209" s="503"/>
      <c r="X209" s="503"/>
      <c r="Y209" s="503"/>
      <c r="Z209" s="503"/>
      <c r="AA209" s="505" t="s">
        <v>168</v>
      </c>
    </row>
    <row r="210" spans="1:27" ht="47.25">
      <c r="A210" s="500">
        <v>6</v>
      </c>
      <c r="B210" s="560" t="s">
        <v>346</v>
      </c>
      <c r="C210" s="537" t="s">
        <v>55</v>
      </c>
      <c r="D210" s="538" t="s">
        <v>55</v>
      </c>
      <c r="E210" s="503">
        <f t="shared" si="9"/>
        <v>2.0299999999999998</v>
      </c>
      <c r="F210" s="503"/>
      <c r="G210" s="503">
        <f t="shared" si="8"/>
        <v>2.0299999999999998</v>
      </c>
      <c r="H210" s="503"/>
      <c r="I210" s="503"/>
      <c r="J210" s="504">
        <f>0.85-0.2</f>
        <v>0.64999999999999991</v>
      </c>
      <c r="K210" s="503">
        <f>1.68-0.3</f>
        <v>1.38</v>
      </c>
      <c r="L210" s="503"/>
      <c r="M210" s="503"/>
      <c r="N210" s="503"/>
      <c r="O210" s="503"/>
      <c r="P210" s="503"/>
      <c r="Q210" s="503"/>
      <c r="R210" s="503"/>
      <c r="S210" s="503"/>
      <c r="T210" s="503"/>
      <c r="U210" s="503"/>
      <c r="V210" s="503"/>
      <c r="W210" s="503"/>
      <c r="X210" s="503"/>
      <c r="Y210" s="503"/>
      <c r="Z210" s="503"/>
      <c r="AA210" s="505" t="s">
        <v>168</v>
      </c>
    </row>
    <row r="211" spans="1:27" ht="47.25">
      <c r="A211" s="500">
        <v>7</v>
      </c>
      <c r="B211" s="560" t="s">
        <v>538</v>
      </c>
      <c r="C211" s="537" t="s">
        <v>55</v>
      </c>
      <c r="D211" s="538" t="s">
        <v>55</v>
      </c>
      <c r="E211" s="503">
        <f t="shared" si="9"/>
        <v>1.1000000000000001</v>
      </c>
      <c r="F211" s="503"/>
      <c r="G211" s="503">
        <f t="shared" si="8"/>
        <v>1.1000000000000001</v>
      </c>
      <c r="H211" s="503"/>
      <c r="I211" s="503"/>
      <c r="J211" s="504"/>
      <c r="K211" s="503"/>
      <c r="L211" s="503"/>
      <c r="M211" s="503"/>
      <c r="N211" s="503"/>
      <c r="O211" s="503"/>
      <c r="P211" s="503">
        <v>1.1000000000000001</v>
      </c>
      <c r="Q211" s="503"/>
      <c r="R211" s="503"/>
      <c r="S211" s="503"/>
      <c r="T211" s="503"/>
      <c r="U211" s="503"/>
      <c r="V211" s="503"/>
      <c r="W211" s="503"/>
      <c r="X211" s="503"/>
      <c r="Y211" s="503"/>
      <c r="Z211" s="503"/>
      <c r="AA211" s="505" t="s">
        <v>168</v>
      </c>
    </row>
    <row r="212" spans="1:27" ht="31.5">
      <c r="A212" s="500">
        <v>8</v>
      </c>
      <c r="B212" s="560" t="s">
        <v>539</v>
      </c>
      <c r="C212" s="537" t="s">
        <v>55</v>
      </c>
      <c r="D212" s="538" t="s">
        <v>55</v>
      </c>
      <c r="E212" s="503">
        <f t="shared" si="9"/>
        <v>1.5</v>
      </c>
      <c r="F212" s="503"/>
      <c r="G212" s="503">
        <f t="shared" si="8"/>
        <v>1.5</v>
      </c>
      <c r="H212" s="503"/>
      <c r="I212" s="503"/>
      <c r="J212" s="504">
        <v>0.5</v>
      </c>
      <c r="K212" s="503">
        <v>1</v>
      </c>
      <c r="L212" s="503"/>
      <c r="M212" s="503"/>
      <c r="N212" s="503"/>
      <c r="O212" s="503"/>
      <c r="P212" s="503"/>
      <c r="Q212" s="503"/>
      <c r="R212" s="503"/>
      <c r="S212" s="503"/>
      <c r="T212" s="503"/>
      <c r="U212" s="503"/>
      <c r="V212" s="503"/>
      <c r="W212" s="503"/>
      <c r="X212" s="503"/>
      <c r="Y212" s="503"/>
      <c r="Z212" s="503"/>
      <c r="AA212" s="505" t="s">
        <v>168</v>
      </c>
    </row>
    <row r="213" spans="1:27" s="649" customFormat="1">
      <c r="A213" s="511"/>
      <c r="B213" s="698"/>
      <c r="C213" s="683"/>
      <c r="D213" s="684"/>
      <c r="E213" s="516"/>
      <c r="F213" s="679"/>
      <c r="G213" s="516"/>
      <c r="H213" s="686"/>
      <c r="I213" s="686"/>
      <c r="J213" s="687"/>
      <c r="K213" s="686"/>
      <c r="L213" s="686"/>
      <c r="M213" s="686"/>
      <c r="N213" s="686"/>
      <c r="O213" s="686"/>
      <c r="P213" s="686"/>
      <c r="Q213" s="686"/>
      <c r="R213" s="686"/>
      <c r="S213" s="686"/>
      <c r="T213" s="686"/>
      <c r="U213" s="686"/>
      <c r="V213" s="686"/>
      <c r="W213" s="686"/>
      <c r="X213" s="686"/>
      <c r="Y213" s="686"/>
      <c r="Z213" s="686"/>
      <c r="AA213" s="688"/>
    </row>
    <row r="214" spans="1:27" s="556" customFormat="1">
      <c r="A214" s="528" t="s">
        <v>637</v>
      </c>
      <c r="B214" s="550" t="s">
        <v>638</v>
      </c>
      <c r="C214" s="551"/>
      <c r="D214" s="552"/>
      <c r="E214" s="632"/>
      <c r="F214" s="699"/>
      <c r="G214" s="632"/>
      <c r="H214" s="553"/>
      <c r="I214" s="553"/>
      <c r="J214" s="554"/>
      <c r="K214" s="553"/>
      <c r="L214" s="553"/>
      <c r="M214" s="553"/>
      <c r="N214" s="553"/>
      <c r="O214" s="553"/>
      <c r="P214" s="553"/>
      <c r="Q214" s="553"/>
      <c r="R214" s="553"/>
      <c r="S214" s="553"/>
      <c r="T214" s="553"/>
      <c r="U214" s="553"/>
      <c r="V214" s="553"/>
      <c r="W214" s="553"/>
      <c r="X214" s="553"/>
      <c r="Y214" s="553"/>
      <c r="Z214" s="553"/>
      <c r="AA214" s="555"/>
    </row>
    <row r="215" spans="1:27">
      <c r="A215" s="500">
        <v>1</v>
      </c>
      <c r="B215" s="700" t="s">
        <v>639</v>
      </c>
      <c r="C215" s="508" t="s">
        <v>53</v>
      </c>
      <c r="D215" s="561" t="s">
        <v>53</v>
      </c>
      <c r="E215" s="503">
        <f t="shared" si="9"/>
        <v>1.6</v>
      </c>
      <c r="F215" s="503"/>
      <c r="G215" s="503">
        <f t="shared" si="8"/>
        <v>1.6</v>
      </c>
      <c r="H215" s="503"/>
      <c r="I215" s="503"/>
      <c r="J215" s="504">
        <v>1</v>
      </c>
      <c r="K215" s="503">
        <v>0.6</v>
      </c>
      <c r="L215" s="503"/>
      <c r="M215" s="503"/>
      <c r="N215" s="503"/>
      <c r="O215" s="503"/>
      <c r="P215" s="503"/>
      <c r="Q215" s="503"/>
      <c r="R215" s="503"/>
      <c r="S215" s="503"/>
      <c r="T215" s="503"/>
      <c r="U215" s="503"/>
      <c r="V215" s="503"/>
      <c r="W215" s="503"/>
      <c r="X215" s="503"/>
      <c r="Y215" s="503"/>
      <c r="Z215" s="503"/>
      <c r="AA215" s="591" t="s">
        <v>189</v>
      </c>
    </row>
    <row r="216" spans="1:27" ht="31.5">
      <c r="A216" s="500">
        <v>2</v>
      </c>
      <c r="B216" s="557" t="s">
        <v>640</v>
      </c>
      <c r="C216" s="508" t="s">
        <v>53</v>
      </c>
      <c r="D216" s="561" t="s">
        <v>53</v>
      </c>
      <c r="E216" s="503">
        <f t="shared" si="9"/>
        <v>0.2</v>
      </c>
      <c r="F216" s="503"/>
      <c r="G216" s="503">
        <f t="shared" ref="G216:G281" si="12">H216+SUM(J216:Z216)</f>
        <v>0.2</v>
      </c>
      <c r="H216" s="503"/>
      <c r="I216" s="503"/>
      <c r="J216" s="504">
        <v>0.2</v>
      </c>
      <c r="K216" s="503"/>
      <c r="L216" s="503"/>
      <c r="M216" s="503"/>
      <c r="N216" s="503"/>
      <c r="O216" s="503"/>
      <c r="P216" s="503"/>
      <c r="Q216" s="503"/>
      <c r="R216" s="503"/>
      <c r="S216" s="503"/>
      <c r="T216" s="503"/>
      <c r="U216" s="503"/>
      <c r="V216" s="503"/>
      <c r="W216" s="503"/>
      <c r="X216" s="503"/>
      <c r="Y216" s="503"/>
      <c r="Z216" s="503"/>
      <c r="AA216" s="559" t="s">
        <v>170</v>
      </c>
    </row>
    <row r="217" spans="1:27">
      <c r="A217" s="500">
        <v>3</v>
      </c>
      <c r="B217" s="560" t="s">
        <v>641</v>
      </c>
      <c r="C217" s="508" t="s">
        <v>53</v>
      </c>
      <c r="D217" s="561" t="s">
        <v>53</v>
      </c>
      <c r="E217" s="503">
        <f t="shared" si="9"/>
        <v>0.09</v>
      </c>
      <c r="F217" s="503"/>
      <c r="G217" s="503">
        <f t="shared" si="12"/>
        <v>0.09</v>
      </c>
      <c r="H217" s="503"/>
      <c r="I217" s="503"/>
      <c r="J217" s="508"/>
      <c r="K217" s="503"/>
      <c r="L217" s="503"/>
      <c r="M217" s="503"/>
      <c r="N217" s="503"/>
      <c r="O217" s="503"/>
      <c r="P217" s="503"/>
      <c r="Q217" s="503">
        <v>0.09</v>
      </c>
      <c r="R217" s="509"/>
      <c r="S217" s="509"/>
      <c r="T217" s="503"/>
      <c r="U217" s="503"/>
      <c r="V217" s="503"/>
      <c r="W217" s="503"/>
      <c r="X217" s="503"/>
      <c r="Y217" s="503"/>
      <c r="Z217" s="503"/>
      <c r="AA217" s="510" t="s">
        <v>170</v>
      </c>
    </row>
    <row r="218" spans="1:27" ht="31.5">
      <c r="A218" s="500">
        <v>4</v>
      </c>
      <c r="B218" s="560" t="s">
        <v>322</v>
      </c>
      <c r="C218" s="508" t="s">
        <v>53</v>
      </c>
      <c r="D218" s="561" t="s">
        <v>53</v>
      </c>
      <c r="E218" s="503">
        <f t="shared" si="9"/>
        <v>4.2</v>
      </c>
      <c r="F218" s="503"/>
      <c r="G218" s="503">
        <f t="shared" si="12"/>
        <v>4.2</v>
      </c>
      <c r="H218" s="503"/>
      <c r="I218" s="503"/>
      <c r="J218" s="508">
        <v>4.2</v>
      </c>
      <c r="K218" s="503"/>
      <c r="L218" s="503"/>
      <c r="M218" s="503"/>
      <c r="N218" s="503"/>
      <c r="O218" s="503"/>
      <c r="P218" s="503"/>
      <c r="Q218" s="503"/>
      <c r="R218" s="509"/>
      <c r="S218" s="509"/>
      <c r="T218" s="503"/>
      <c r="U218" s="503"/>
      <c r="V218" s="503"/>
      <c r="W218" s="503"/>
      <c r="X218" s="503"/>
      <c r="Y218" s="503"/>
      <c r="Z218" s="503"/>
      <c r="AA218" s="510" t="s">
        <v>172</v>
      </c>
    </row>
    <row r="219" spans="1:27" ht="31.5">
      <c r="A219" s="500">
        <v>5</v>
      </c>
      <c r="B219" s="560" t="s">
        <v>642</v>
      </c>
      <c r="C219" s="508" t="s">
        <v>53</v>
      </c>
      <c r="D219" s="561" t="s">
        <v>53</v>
      </c>
      <c r="E219" s="503">
        <f t="shared" si="9"/>
        <v>10</v>
      </c>
      <c r="F219" s="503"/>
      <c r="G219" s="503">
        <f t="shared" si="12"/>
        <v>10</v>
      </c>
      <c r="H219" s="503"/>
      <c r="I219" s="503"/>
      <c r="J219" s="508">
        <v>10</v>
      </c>
      <c r="K219" s="503"/>
      <c r="L219" s="503"/>
      <c r="M219" s="503"/>
      <c r="N219" s="503"/>
      <c r="O219" s="503"/>
      <c r="P219" s="503"/>
      <c r="Q219" s="503"/>
      <c r="R219" s="509"/>
      <c r="S219" s="509"/>
      <c r="T219" s="503"/>
      <c r="U219" s="503"/>
      <c r="V219" s="503"/>
      <c r="W219" s="503"/>
      <c r="X219" s="503"/>
      <c r="Y219" s="503"/>
      <c r="Z219" s="503"/>
      <c r="AA219" s="510" t="s">
        <v>172</v>
      </c>
    </row>
    <row r="220" spans="1:27" s="649" customFormat="1">
      <c r="A220" s="500">
        <v>6</v>
      </c>
      <c r="B220" s="701" t="s">
        <v>643</v>
      </c>
      <c r="C220" s="702" t="s">
        <v>53</v>
      </c>
      <c r="D220" s="703" t="s">
        <v>53</v>
      </c>
      <c r="E220" s="503">
        <f t="shared" si="9"/>
        <v>3.05</v>
      </c>
      <c r="F220" s="704"/>
      <c r="G220" s="503">
        <f t="shared" si="12"/>
        <v>3.05</v>
      </c>
      <c r="H220" s="503"/>
      <c r="I220" s="503"/>
      <c r="J220" s="705"/>
      <c r="K220" s="706">
        <v>3.05</v>
      </c>
      <c r="L220" s="706"/>
      <c r="M220" s="706"/>
      <c r="N220" s="706"/>
      <c r="O220" s="706"/>
      <c r="P220" s="706"/>
      <c r="Q220" s="706"/>
      <c r="R220" s="706"/>
      <c r="S220" s="706"/>
      <c r="T220" s="706"/>
      <c r="U220" s="706"/>
      <c r="V220" s="706"/>
      <c r="W220" s="706"/>
      <c r="X220" s="706"/>
      <c r="Y220" s="706"/>
      <c r="Z220" s="706"/>
      <c r="AA220" s="707" t="s">
        <v>644</v>
      </c>
    </row>
    <row r="221" spans="1:27" s="649" customFormat="1">
      <c r="A221" s="500">
        <v>7</v>
      </c>
      <c r="B221" s="701" t="s">
        <v>645</v>
      </c>
      <c r="C221" s="702" t="s">
        <v>53</v>
      </c>
      <c r="D221" s="703" t="s">
        <v>53</v>
      </c>
      <c r="E221" s="503">
        <f t="shared" si="9"/>
        <v>2.5</v>
      </c>
      <c r="F221" s="704"/>
      <c r="G221" s="503">
        <f t="shared" si="12"/>
        <v>2.5</v>
      </c>
      <c r="H221" s="503"/>
      <c r="I221" s="503"/>
      <c r="J221" s="705"/>
      <c r="K221" s="706"/>
      <c r="L221" s="706"/>
      <c r="M221" s="706"/>
      <c r="N221" s="706">
        <v>2.5</v>
      </c>
      <c r="O221" s="706"/>
      <c r="P221" s="706"/>
      <c r="Q221" s="706"/>
      <c r="R221" s="706"/>
      <c r="S221" s="706"/>
      <c r="T221" s="706"/>
      <c r="U221" s="706"/>
      <c r="V221" s="706"/>
      <c r="W221" s="706"/>
      <c r="X221" s="706"/>
      <c r="Y221" s="706"/>
      <c r="Z221" s="706"/>
      <c r="AA221" s="707" t="s">
        <v>644</v>
      </c>
    </row>
    <row r="222" spans="1:27" s="649" customFormat="1">
      <c r="A222" s="500">
        <v>8</v>
      </c>
      <c r="B222" s="701" t="s">
        <v>646</v>
      </c>
      <c r="C222" s="702" t="s">
        <v>53</v>
      </c>
      <c r="D222" s="703" t="s">
        <v>53</v>
      </c>
      <c r="E222" s="503">
        <f t="shared" si="9"/>
        <v>1.5</v>
      </c>
      <c r="F222" s="704"/>
      <c r="G222" s="503">
        <f t="shared" si="12"/>
        <v>1.5</v>
      </c>
      <c r="H222" s="503"/>
      <c r="I222" s="503"/>
      <c r="J222" s="705">
        <v>1</v>
      </c>
      <c r="K222" s="706">
        <v>0.5</v>
      </c>
      <c r="L222" s="706"/>
      <c r="M222" s="706"/>
      <c r="N222" s="706"/>
      <c r="O222" s="706"/>
      <c r="P222" s="706"/>
      <c r="Q222" s="706"/>
      <c r="R222" s="706"/>
      <c r="S222" s="706"/>
      <c r="T222" s="706"/>
      <c r="U222" s="706"/>
      <c r="V222" s="706"/>
      <c r="W222" s="706"/>
      <c r="X222" s="706"/>
      <c r="Y222" s="706"/>
      <c r="Z222" s="706"/>
      <c r="AA222" s="707" t="s">
        <v>169</v>
      </c>
    </row>
    <row r="223" spans="1:27" s="649" customFormat="1">
      <c r="A223" s="500">
        <v>9</v>
      </c>
      <c r="B223" s="701" t="s">
        <v>323</v>
      </c>
      <c r="C223" s="702" t="s">
        <v>53</v>
      </c>
      <c r="D223" s="703" t="s">
        <v>53</v>
      </c>
      <c r="E223" s="503">
        <f t="shared" si="9"/>
        <v>5</v>
      </c>
      <c r="F223" s="704"/>
      <c r="G223" s="503">
        <f t="shared" si="12"/>
        <v>5</v>
      </c>
      <c r="H223" s="503"/>
      <c r="I223" s="503"/>
      <c r="J223" s="705">
        <v>2</v>
      </c>
      <c r="K223" s="706">
        <v>3</v>
      </c>
      <c r="L223" s="706"/>
      <c r="M223" s="706"/>
      <c r="N223" s="706"/>
      <c r="O223" s="706"/>
      <c r="P223" s="706"/>
      <c r="Q223" s="706"/>
      <c r="R223" s="706"/>
      <c r="S223" s="706"/>
      <c r="T223" s="706"/>
      <c r="U223" s="706"/>
      <c r="V223" s="706"/>
      <c r="W223" s="706"/>
      <c r="X223" s="706"/>
      <c r="Y223" s="706"/>
      <c r="Z223" s="706"/>
      <c r="AA223" s="707" t="s">
        <v>169</v>
      </c>
    </row>
    <row r="224" spans="1:27" s="649" customFormat="1">
      <c r="A224" s="500">
        <v>10</v>
      </c>
      <c r="B224" s="701" t="s">
        <v>647</v>
      </c>
      <c r="C224" s="702" t="s">
        <v>53</v>
      </c>
      <c r="D224" s="703" t="s">
        <v>53</v>
      </c>
      <c r="E224" s="503">
        <f t="shared" si="9"/>
        <v>5</v>
      </c>
      <c r="F224" s="704"/>
      <c r="G224" s="503">
        <f t="shared" si="12"/>
        <v>5</v>
      </c>
      <c r="H224" s="503"/>
      <c r="I224" s="503"/>
      <c r="J224" s="705">
        <v>3.2</v>
      </c>
      <c r="K224" s="706">
        <v>1.8</v>
      </c>
      <c r="L224" s="706"/>
      <c r="M224" s="706"/>
      <c r="N224" s="706"/>
      <c r="O224" s="706"/>
      <c r="P224" s="706"/>
      <c r="Q224" s="706"/>
      <c r="R224" s="706"/>
      <c r="S224" s="706"/>
      <c r="T224" s="706"/>
      <c r="U224" s="706"/>
      <c r="V224" s="706"/>
      <c r="W224" s="706"/>
      <c r="X224" s="706"/>
      <c r="Y224" s="706"/>
      <c r="Z224" s="706"/>
      <c r="AA224" s="707" t="s">
        <v>190</v>
      </c>
    </row>
    <row r="225" spans="1:27" s="649" customFormat="1">
      <c r="A225" s="500">
        <v>11</v>
      </c>
      <c r="B225" s="701" t="s">
        <v>648</v>
      </c>
      <c r="C225" s="702" t="s">
        <v>53</v>
      </c>
      <c r="D225" s="703" t="s">
        <v>53</v>
      </c>
      <c r="E225" s="503">
        <f t="shared" si="9"/>
        <v>5</v>
      </c>
      <c r="F225" s="704"/>
      <c r="G225" s="503">
        <f t="shared" si="12"/>
        <v>5</v>
      </c>
      <c r="H225" s="503"/>
      <c r="I225" s="503"/>
      <c r="J225" s="705">
        <v>3</v>
      </c>
      <c r="K225" s="706">
        <v>2</v>
      </c>
      <c r="L225" s="706"/>
      <c r="M225" s="706"/>
      <c r="N225" s="706"/>
      <c r="O225" s="706"/>
      <c r="P225" s="706"/>
      <c r="Q225" s="706"/>
      <c r="R225" s="706"/>
      <c r="S225" s="706"/>
      <c r="T225" s="706"/>
      <c r="U225" s="706"/>
      <c r="V225" s="706"/>
      <c r="W225" s="706"/>
      <c r="X225" s="706"/>
      <c r="Y225" s="706"/>
      <c r="Z225" s="706"/>
      <c r="AA225" s="707" t="s">
        <v>190</v>
      </c>
    </row>
    <row r="226" spans="1:27" s="649" customFormat="1">
      <c r="A226" s="500">
        <v>12</v>
      </c>
      <c r="B226" s="701" t="s">
        <v>649</v>
      </c>
      <c r="C226" s="702" t="s">
        <v>53</v>
      </c>
      <c r="D226" s="703" t="s">
        <v>53</v>
      </c>
      <c r="E226" s="503">
        <f t="shared" si="9"/>
        <v>6</v>
      </c>
      <c r="F226" s="704"/>
      <c r="G226" s="503">
        <f t="shared" si="12"/>
        <v>6</v>
      </c>
      <c r="H226" s="503"/>
      <c r="I226" s="503"/>
      <c r="J226" s="705">
        <v>2.35</v>
      </c>
      <c r="K226" s="706">
        <v>3.65</v>
      </c>
      <c r="L226" s="706"/>
      <c r="M226" s="706"/>
      <c r="N226" s="706"/>
      <c r="O226" s="706"/>
      <c r="P226" s="706"/>
      <c r="Q226" s="706"/>
      <c r="R226" s="706"/>
      <c r="S226" s="706"/>
      <c r="T226" s="706"/>
      <c r="U226" s="706"/>
      <c r="V226" s="706"/>
      <c r="W226" s="706"/>
      <c r="X226" s="706"/>
      <c r="Y226" s="706"/>
      <c r="Z226" s="706"/>
      <c r="AA226" s="707" t="s">
        <v>190</v>
      </c>
    </row>
    <row r="227" spans="1:27" s="649" customFormat="1">
      <c r="A227" s="500">
        <v>13</v>
      </c>
      <c r="B227" s="701" t="s">
        <v>650</v>
      </c>
      <c r="C227" s="702" t="s">
        <v>53</v>
      </c>
      <c r="D227" s="703" t="s">
        <v>53</v>
      </c>
      <c r="E227" s="503">
        <f t="shared" si="9"/>
        <v>5</v>
      </c>
      <c r="F227" s="704"/>
      <c r="G227" s="503">
        <f t="shared" si="12"/>
        <v>5</v>
      </c>
      <c r="H227" s="503"/>
      <c r="I227" s="503"/>
      <c r="J227" s="705">
        <v>3.55</v>
      </c>
      <c r="K227" s="706">
        <v>1.45</v>
      </c>
      <c r="L227" s="706"/>
      <c r="M227" s="706"/>
      <c r="N227" s="706"/>
      <c r="O227" s="706"/>
      <c r="P227" s="706"/>
      <c r="Q227" s="706"/>
      <c r="R227" s="706"/>
      <c r="S227" s="706"/>
      <c r="T227" s="706"/>
      <c r="U227" s="706"/>
      <c r="V227" s="706"/>
      <c r="W227" s="706"/>
      <c r="X227" s="706"/>
      <c r="Y227" s="706"/>
      <c r="Z227" s="706"/>
      <c r="AA227" s="707" t="s">
        <v>190</v>
      </c>
    </row>
    <row r="228" spans="1:27" s="649" customFormat="1">
      <c r="A228" s="500">
        <v>14</v>
      </c>
      <c r="B228" s="701" t="s">
        <v>651</v>
      </c>
      <c r="C228" s="702" t="s">
        <v>53</v>
      </c>
      <c r="D228" s="703" t="s">
        <v>53</v>
      </c>
      <c r="E228" s="503">
        <f t="shared" si="9"/>
        <v>2</v>
      </c>
      <c r="F228" s="704"/>
      <c r="G228" s="503">
        <f t="shared" si="12"/>
        <v>2</v>
      </c>
      <c r="H228" s="503"/>
      <c r="I228" s="503"/>
      <c r="J228" s="705">
        <v>1.05</v>
      </c>
      <c r="K228" s="706">
        <v>0.95</v>
      </c>
      <c r="L228" s="706"/>
      <c r="M228" s="706"/>
      <c r="N228" s="706"/>
      <c r="O228" s="706"/>
      <c r="P228" s="706"/>
      <c r="Q228" s="706"/>
      <c r="R228" s="706"/>
      <c r="S228" s="706"/>
      <c r="T228" s="706"/>
      <c r="U228" s="706"/>
      <c r="V228" s="706"/>
      <c r="W228" s="706"/>
      <c r="X228" s="706"/>
      <c r="Y228" s="706"/>
      <c r="Z228" s="706"/>
      <c r="AA228" s="707" t="s">
        <v>190</v>
      </c>
    </row>
    <row r="229" spans="1:27" ht="15.75" customHeight="1">
      <c r="A229" s="1182">
        <v>15</v>
      </c>
      <c r="B229" s="1219" t="s">
        <v>458</v>
      </c>
      <c r="C229" s="508" t="s">
        <v>53</v>
      </c>
      <c r="D229" s="561" t="s">
        <v>53</v>
      </c>
      <c r="E229" s="503">
        <f t="shared" si="9"/>
        <v>38.36</v>
      </c>
      <c r="F229" s="650"/>
      <c r="G229" s="503">
        <f t="shared" si="12"/>
        <v>38.36</v>
      </c>
      <c r="H229" s="503"/>
      <c r="I229" s="503"/>
      <c r="J229" s="708">
        <v>25.13</v>
      </c>
      <c r="K229" s="709">
        <v>13.23</v>
      </c>
      <c r="L229" s="709"/>
      <c r="M229" s="503"/>
      <c r="N229" s="503"/>
      <c r="O229" s="503"/>
      <c r="P229" s="503"/>
      <c r="Q229" s="503"/>
      <c r="R229" s="709"/>
      <c r="S229" s="709"/>
      <c r="T229" s="503"/>
      <c r="U229" s="503"/>
      <c r="V229" s="503"/>
      <c r="W229" s="503"/>
      <c r="X229" s="709"/>
      <c r="Y229" s="503"/>
      <c r="Z229" s="503"/>
      <c r="AA229" s="710" t="s">
        <v>169</v>
      </c>
    </row>
    <row r="230" spans="1:27">
      <c r="A230" s="1182"/>
      <c r="B230" s="1220"/>
      <c r="C230" s="508" t="s">
        <v>57</v>
      </c>
      <c r="D230" s="561" t="s">
        <v>57</v>
      </c>
      <c r="E230" s="503">
        <f t="shared" si="9"/>
        <v>1.75</v>
      </c>
      <c r="F230" s="650"/>
      <c r="G230" s="503">
        <f t="shared" si="12"/>
        <v>1.75</v>
      </c>
      <c r="H230" s="503"/>
      <c r="I230" s="503"/>
      <c r="J230" s="708">
        <v>1.75</v>
      </c>
      <c r="K230" s="709"/>
      <c r="L230" s="709"/>
      <c r="M230" s="503"/>
      <c r="N230" s="503"/>
      <c r="O230" s="503"/>
      <c r="P230" s="503"/>
      <c r="Q230" s="503"/>
      <c r="R230" s="709"/>
      <c r="S230" s="709"/>
      <c r="T230" s="503"/>
      <c r="U230" s="503"/>
      <c r="V230" s="503"/>
      <c r="W230" s="503"/>
      <c r="X230" s="709"/>
      <c r="Y230" s="503"/>
      <c r="Z230" s="503"/>
      <c r="AA230" s="710" t="s">
        <v>169</v>
      </c>
    </row>
    <row r="231" spans="1:27">
      <c r="A231" s="1182"/>
      <c r="B231" s="1220"/>
      <c r="C231" s="508" t="s">
        <v>70</v>
      </c>
      <c r="D231" s="561" t="s">
        <v>70</v>
      </c>
      <c r="E231" s="503">
        <f t="shared" si="9"/>
        <v>2.77</v>
      </c>
      <c r="F231" s="650"/>
      <c r="G231" s="503">
        <f t="shared" si="12"/>
        <v>2.77</v>
      </c>
      <c r="H231" s="503"/>
      <c r="I231" s="503"/>
      <c r="J231" s="708">
        <v>1.57</v>
      </c>
      <c r="K231" s="709">
        <v>1.2</v>
      </c>
      <c r="L231" s="709"/>
      <c r="M231" s="503"/>
      <c r="N231" s="503"/>
      <c r="O231" s="503"/>
      <c r="P231" s="503"/>
      <c r="Q231" s="503"/>
      <c r="R231" s="709"/>
      <c r="S231" s="709"/>
      <c r="T231" s="503"/>
      <c r="U231" s="503"/>
      <c r="V231" s="503"/>
      <c r="W231" s="503"/>
      <c r="X231" s="709"/>
      <c r="Y231" s="503"/>
      <c r="Z231" s="503"/>
      <c r="AA231" s="710" t="s">
        <v>169</v>
      </c>
    </row>
    <row r="232" spans="1:27">
      <c r="A232" s="1182"/>
      <c r="B232" s="1220"/>
      <c r="C232" s="508" t="s">
        <v>68</v>
      </c>
      <c r="D232" s="561" t="s">
        <v>68</v>
      </c>
      <c r="E232" s="503">
        <f t="shared" si="9"/>
        <v>0.13</v>
      </c>
      <c r="F232" s="650"/>
      <c r="G232" s="503">
        <f t="shared" si="12"/>
        <v>0.13</v>
      </c>
      <c r="H232" s="503"/>
      <c r="I232" s="503"/>
      <c r="J232" s="708">
        <v>0.13</v>
      </c>
      <c r="K232" s="709"/>
      <c r="L232" s="709"/>
      <c r="M232" s="503"/>
      <c r="N232" s="503"/>
      <c r="O232" s="503"/>
      <c r="P232" s="503"/>
      <c r="Q232" s="503"/>
      <c r="R232" s="709"/>
      <c r="S232" s="709"/>
      <c r="T232" s="503"/>
      <c r="U232" s="503"/>
      <c r="V232" s="503"/>
      <c r="W232" s="503"/>
      <c r="X232" s="709"/>
      <c r="Y232" s="503"/>
      <c r="Z232" s="503"/>
      <c r="AA232" s="710" t="s">
        <v>169</v>
      </c>
    </row>
    <row r="233" spans="1:27">
      <c r="A233" s="1182"/>
      <c r="B233" s="1220"/>
      <c r="C233" s="508" t="s">
        <v>45</v>
      </c>
      <c r="D233" s="561" t="s">
        <v>194</v>
      </c>
      <c r="E233" s="503">
        <f t="shared" si="9"/>
        <v>7.4</v>
      </c>
      <c r="F233" s="650"/>
      <c r="G233" s="503">
        <f t="shared" si="12"/>
        <v>7.4</v>
      </c>
      <c r="H233" s="503"/>
      <c r="I233" s="627"/>
      <c r="J233" s="708">
        <v>4.9000000000000004</v>
      </c>
      <c r="K233" s="709">
        <v>2.5</v>
      </c>
      <c r="L233" s="709"/>
      <c r="M233" s="503"/>
      <c r="N233" s="503"/>
      <c r="O233" s="503"/>
      <c r="P233" s="503"/>
      <c r="Q233" s="503"/>
      <c r="R233" s="709"/>
      <c r="S233" s="709"/>
      <c r="T233" s="503"/>
      <c r="U233" s="503"/>
      <c r="V233" s="503"/>
      <c r="W233" s="503"/>
      <c r="X233" s="709"/>
      <c r="Y233" s="503"/>
      <c r="Z233" s="503"/>
      <c r="AA233" s="710" t="s">
        <v>169</v>
      </c>
    </row>
    <row r="234" spans="1:27">
      <c r="A234" s="1182"/>
      <c r="B234" s="1220"/>
      <c r="C234" s="508" t="s">
        <v>45</v>
      </c>
      <c r="D234" s="561" t="s">
        <v>192</v>
      </c>
      <c r="E234" s="503">
        <f t="shared" si="9"/>
        <v>0.27</v>
      </c>
      <c r="F234" s="650"/>
      <c r="G234" s="503">
        <f t="shared" si="12"/>
        <v>0.27</v>
      </c>
      <c r="H234" s="503"/>
      <c r="I234" s="503"/>
      <c r="J234" s="708">
        <v>0.27</v>
      </c>
      <c r="K234" s="709"/>
      <c r="L234" s="709"/>
      <c r="M234" s="503"/>
      <c r="N234" s="503"/>
      <c r="O234" s="503"/>
      <c r="P234" s="503"/>
      <c r="Q234" s="503"/>
      <c r="R234" s="709"/>
      <c r="S234" s="709"/>
      <c r="T234" s="503"/>
      <c r="U234" s="503"/>
      <c r="V234" s="503"/>
      <c r="W234" s="503"/>
      <c r="X234" s="709"/>
      <c r="Y234" s="503"/>
      <c r="Z234" s="503"/>
      <c r="AA234" s="710" t="s">
        <v>169</v>
      </c>
    </row>
    <row r="235" spans="1:27">
      <c r="A235" s="1218"/>
      <c r="B235" s="1221"/>
      <c r="C235" s="547" t="s">
        <v>45</v>
      </c>
      <c r="D235" s="548" t="s">
        <v>196</v>
      </c>
      <c r="E235" s="516">
        <f t="shared" si="9"/>
        <v>22.32</v>
      </c>
      <c r="F235" s="711">
        <v>2.89</v>
      </c>
      <c r="G235" s="516">
        <f t="shared" si="12"/>
        <v>19.43</v>
      </c>
      <c r="H235" s="515"/>
      <c r="I235" s="515"/>
      <c r="J235" s="547">
        <v>9.73</v>
      </c>
      <c r="K235" s="712">
        <v>8.1999999999999993</v>
      </c>
      <c r="L235" s="712"/>
      <c r="M235" s="515"/>
      <c r="N235" s="515"/>
      <c r="O235" s="515"/>
      <c r="P235" s="515"/>
      <c r="Q235" s="515"/>
      <c r="R235" s="568"/>
      <c r="S235" s="568"/>
      <c r="T235" s="515"/>
      <c r="U235" s="515"/>
      <c r="V235" s="515"/>
      <c r="W235" s="515"/>
      <c r="X235" s="712"/>
      <c r="Y235" s="515">
        <v>1.5</v>
      </c>
      <c r="Z235" s="515"/>
      <c r="AA235" s="518" t="s">
        <v>169</v>
      </c>
    </row>
    <row r="236" spans="1:27" s="556" customFormat="1">
      <c r="A236" s="528"/>
      <c r="B236" s="529" t="s">
        <v>652</v>
      </c>
      <c r="C236" s="551"/>
      <c r="D236" s="552"/>
      <c r="E236" s="632"/>
      <c r="F236" s="713"/>
      <c r="G236" s="632"/>
      <c r="H236" s="553"/>
      <c r="I236" s="553"/>
      <c r="J236" s="530"/>
      <c r="K236" s="714"/>
      <c r="L236" s="714"/>
      <c r="M236" s="553"/>
      <c r="N236" s="553"/>
      <c r="O236" s="553"/>
      <c r="P236" s="553"/>
      <c r="Q236" s="553"/>
      <c r="R236" s="570"/>
      <c r="S236" s="570"/>
      <c r="T236" s="553"/>
      <c r="U236" s="553"/>
      <c r="V236" s="553"/>
      <c r="W236" s="553"/>
      <c r="X236" s="714"/>
      <c r="Y236" s="553"/>
      <c r="Z236" s="553"/>
      <c r="AA236" s="715"/>
    </row>
    <row r="237" spans="1:27">
      <c r="A237" s="500">
        <v>1</v>
      </c>
      <c r="B237" s="560" t="s">
        <v>653</v>
      </c>
      <c r="C237" s="508" t="s">
        <v>57</v>
      </c>
      <c r="D237" s="561" t="s">
        <v>57</v>
      </c>
      <c r="E237" s="503">
        <f t="shared" si="9"/>
        <v>0.6</v>
      </c>
      <c r="F237" s="650"/>
      <c r="G237" s="503">
        <f t="shared" si="12"/>
        <v>0.6</v>
      </c>
      <c r="H237" s="503"/>
      <c r="I237" s="503"/>
      <c r="J237" s="508">
        <v>0.6</v>
      </c>
      <c r="K237" s="654"/>
      <c r="L237" s="654"/>
      <c r="M237" s="503"/>
      <c r="N237" s="503"/>
      <c r="O237" s="503"/>
      <c r="P237" s="503"/>
      <c r="Q237" s="503"/>
      <c r="R237" s="509"/>
      <c r="S237" s="509"/>
      <c r="T237" s="503"/>
      <c r="U237" s="503"/>
      <c r="V237" s="503"/>
      <c r="W237" s="503"/>
      <c r="X237" s="654"/>
      <c r="Y237" s="503"/>
      <c r="Z237" s="503"/>
      <c r="AA237" s="710" t="s">
        <v>168</v>
      </c>
    </row>
    <row r="238" spans="1:27">
      <c r="A238" s="500">
        <v>2</v>
      </c>
      <c r="B238" s="657" t="s">
        <v>654</v>
      </c>
      <c r="C238" s="508" t="s">
        <v>57</v>
      </c>
      <c r="D238" s="561" t="s">
        <v>57</v>
      </c>
      <c r="E238" s="503">
        <f t="shared" si="9"/>
        <v>0.5</v>
      </c>
      <c r="F238" s="650"/>
      <c r="G238" s="503">
        <f t="shared" si="12"/>
        <v>0.5</v>
      </c>
      <c r="H238" s="516"/>
      <c r="I238" s="516"/>
      <c r="J238" s="563"/>
      <c r="K238" s="716">
        <v>0.5</v>
      </c>
      <c r="L238" s="716"/>
      <c r="M238" s="516"/>
      <c r="N238" s="516"/>
      <c r="O238" s="516"/>
      <c r="P238" s="516"/>
      <c r="Q238" s="516"/>
      <c r="R238" s="565"/>
      <c r="S238" s="565"/>
      <c r="T238" s="516"/>
      <c r="U238" s="516"/>
      <c r="V238" s="516"/>
      <c r="W238" s="516"/>
      <c r="X238" s="716"/>
      <c r="Y238" s="516"/>
      <c r="Z238" s="516"/>
      <c r="AA238" s="710" t="s">
        <v>168</v>
      </c>
    </row>
    <row r="239" spans="1:27">
      <c r="A239" s="511">
        <v>3</v>
      </c>
      <c r="B239" s="546" t="s">
        <v>655</v>
      </c>
      <c r="C239" s="547" t="s">
        <v>57</v>
      </c>
      <c r="D239" s="548" t="s">
        <v>57</v>
      </c>
      <c r="E239" s="516">
        <f t="shared" si="9"/>
        <v>0.1</v>
      </c>
      <c r="F239" s="711">
        <v>0.1</v>
      </c>
      <c r="G239" s="516">
        <f t="shared" si="12"/>
        <v>0</v>
      </c>
      <c r="H239" s="515"/>
      <c r="I239" s="515"/>
      <c r="J239" s="547"/>
      <c r="K239" s="712"/>
      <c r="L239" s="712"/>
      <c r="M239" s="515"/>
      <c r="N239" s="515"/>
      <c r="O239" s="515"/>
      <c r="P239" s="515"/>
      <c r="Q239" s="515"/>
      <c r="R239" s="568"/>
      <c r="S239" s="568"/>
      <c r="T239" s="515"/>
      <c r="U239" s="515"/>
      <c r="V239" s="515"/>
      <c r="W239" s="515"/>
      <c r="X239" s="712"/>
      <c r="Y239" s="515"/>
      <c r="Z239" s="515"/>
      <c r="AA239" s="518" t="s">
        <v>190</v>
      </c>
    </row>
    <row r="240" spans="1:27" s="556" customFormat="1">
      <c r="A240" s="535"/>
      <c r="B240" s="529" t="s">
        <v>656</v>
      </c>
      <c r="C240" s="551"/>
      <c r="D240" s="552"/>
      <c r="E240" s="632"/>
      <c r="F240" s="713"/>
      <c r="G240" s="632"/>
      <c r="H240" s="553"/>
      <c r="I240" s="553"/>
      <c r="J240" s="551"/>
      <c r="K240" s="714"/>
      <c r="L240" s="714"/>
      <c r="M240" s="553"/>
      <c r="N240" s="553"/>
      <c r="O240" s="553"/>
      <c r="P240" s="553"/>
      <c r="Q240" s="553"/>
      <c r="R240" s="570"/>
      <c r="S240" s="570"/>
      <c r="T240" s="553"/>
      <c r="U240" s="553"/>
      <c r="V240" s="553"/>
      <c r="W240" s="553"/>
      <c r="X240" s="714"/>
      <c r="Y240" s="553"/>
      <c r="Z240" s="553"/>
      <c r="AA240" s="715"/>
    </row>
    <row r="241" spans="1:27" s="556" customFormat="1">
      <c r="A241" s="500">
        <v>1</v>
      </c>
      <c r="B241" s="560" t="s">
        <v>657</v>
      </c>
      <c r="C241" s="508" t="s">
        <v>68</v>
      </c>
      <c r="D241" s="561" t="s">
        <v>68</v>
      </c>
      <c r="E241" s="503">
        <f t="shared" ref="E241:E387" si="13">F241+G241</f>
        <v>0.9</v>
      </c>
      <c r="F241" s="650"/>
      <c r="G241" s="503">
        <f t="shared" si="12"/>
        <v>0.9</v>
      </c>
      <c r="H241" s="717"/>
      <c r="I241" s="717"/>
      <c r="J241" s="508">
        <v>0.4</v>
      </c>
      <c r="K241" s="654">
        <v>0.5</v>
      </c>
      <c r="L241" s="654"/>
      <c r="M241" s="717"/>
      <c r="N241" s="717"/>
      <c r="O241" s="717"/>
      <c r="P241" s="717"/>
      <c r="Q241" s="717"/>
      <c r="R241" s="718"/>
      <c r="S241" s="718"/>
      <c r="T241" s="717"/>
      <c r="U241" s="717"/>
      <c r="V241" s="717"/>
      <c r="W241" s="717"/>
      <c r="X241" s="719"/>
      <c r="Y241" s="717"/>
      <c r="Z241" s="717"/>
      <c r="AA241" s="710" t="s">
        <v>168</v>
      </c>
    </row>
    <row r="242" spans="1:27">
      <c r="A242" s="500">
        <v>2</v>
      </c>
      <c r="B242" s="560" t="s">
        <v>658</v>
      </c>
      <c r="C242" s="508" t="s">
        <v>68</v>
      </c>
      <c r="D242" s="561" t="s">
        <v>68</v>
      </c>
      <c r="E242" s="503">
        <f t="shared" si="13"/>
        <v>0.1</v>
      </c>
      <c r="F242" s="650"/>
      <c r="G242" s="503">
        <f t="shared" si="12"/>
        <v>0.1</v>
      </c>
      <c r="H242" s="503"/>
      <c r="I242" s="503"/>
      <c r="J242" s="508">
        <v>0.1</v>
      </c>
      <c r="K242" s="654"/>
      <c r="L242" s="654"/>
      <c r="M242" s="503"/>
      <c r="N242" s="503"/>
      <c r="O242" s="503"/>
      <c r="P242" s="503"/>
      <c r="Q242" s="503"/>
      <c r="R242" s="509"/>
      <c r="S242" s="509"/>
      <c r="T242" s="503"/>
      <c r="U242" s="503"/>
      <c r="V242" s="503"/>
      <c r="W242" s="503"/>
      <c r="X242" s="654"/>
      <c r="Y242" s="503"/>
      <c r="Z242" s="503"/>
      <c r="AA242" s="710" t="s">
        <v>171</v>
      </c>
    </row>
    <row r="243" spans="1:27" ht="31.5">
      <c r="A243" s="500">
        <v>3</v>
      </c>
      <c r="B243" s="560" t="s">
        <v>659</v>
      </c>
      <c r="C243" s="508" t="s">
        <v>68</v>
      </c>
      <c r="D243" s="561" t="s">
        <v>68</v>
      </c>
      <c r="E243" s="503">
        <f t="shared" si="13"/>
        <v>0.5</v>
      </c>
      <c r="F243" s="650"/>
      <c r="G243" s="503">
        <f t="shared" si="12"/>
        <v>0.5</v>
      </c>
      <c r="H243" s="503"/>
      <c r="I243" s="503"/>
      <c r="J243" s="508">
        <v>0.5</v>
      </c>
      <c r="K243" s="654"/>
      <c r="L243" s="654"/>
      <c r="M243" s="503"/>
      <c r="N243" s="503"/>
      <c r="O243" s="503"/>
      <c r="P243" s="503"/>
      <c r="Q243" s="503"/>
      <c r="R243" s="509"/>
      <c r="S243" s="509"/>
      <c r="T243" s="503"/>
      <c r="U243" s="503"/>
      <c r="V243" s="503"/>
      <c r="W243" s="503"/>
      <c r="X243" s="654"/>
      <c r="Y243" s="503"/>
      <c r="Z243" s="503"/>
      <c r="AA243" s="710" t="s">
        <v>191</v>
      </c>
    </row>
    <row r="244" spans="1:27">
      <c r="A244" s="500">
        <v>4</v>
      </c>
      <c r="B244" s="560" t="s">
        <v>660</v>
      </c>
      <c r="C244" s="508" t="s">
        <v>68</v>
      </c>
      <c r="D244" s="561" t="s">
        <v>68</v>
      </c>
      <c r="E244" s="503">
        <f t="shared" si="13"/>
        <v>0.1</v>
      </c>
      <c r="F244" s="650"/>
      <c r="G244" s="503">
        <f t="shared" si="12"/>
        <v>0.1</v>
      </c>
      <c r="H244" s="503"/>
      <c r="I244" s="503"/>
      <c r="J244" s="508">
        <v>0.1</v>
      </c>
      <c r="K244" s="654"/>
      <c r="L244" s="654"/>
      <c r="M244" s="503"/>
      <c r="N244" s="503"/>
      <c r="O244" s="503"/>
      <c r="P244" s="503"/>
      <c r="Q244" s="503"/>
      <c r="R244" s="509"/>
      <c r="S244" s="509"/>
      <c r="T244" s="503"/>
      <c r="U244" s="503"/>
      <c r="V244" s="503"/>
      <c r="W244" s="503"/>
      <c r="X244" s="654"/>
      <c r="Y244" s="503"/>
      <c r="Z244" s="503"/>
      <c r="AA244" s="710" t="s">
        <v>189</v>
      </c>
    </row>
    <row r="245" spans="1:27">
      <c r="A245" s="511">
        <v>5</v>
      </c>
      <c r="B245" s="546" t="s">
        <v>661</v>
      </c>
      <c r="C245" s="547" t="s">
        <v>68</v>
      </c>
      <c r="D245" s="548" t="s">
        <v>68</v>
      </c>
      <c r="E245" s="515">
        <f t="shared" si="13"/>
        <v>0.3</v>
      </c>
      <c r="F245" s="720"/>
      <c r="G245" s="516">
        <f t="shared" si="12"/>
        <v>0.3</v>
      </c>
      <c r="H245" s="515"/>
      <c r="I245" s="515"/>
      <c r="J245" s="547">
        <v>0.3</v>
      </c>
      <c r="K245" s="712"/>
      <c r="L245" s="712"/>
      <c r="M245" s="515"/>
      <c r="N245" s="515"/>
      <c r="O245" s="515"/>
      <c r="P245" s="515"/>
      <c r="Q245" s="515"/>
      <c r="R245" s="568"/>
      <c r="S245" s="568"/>
      <c r="T245" s="515"/>
      <c r="U245" s="515"/>
      <c r="V245" s="515"/>
      <c r="W245" s="515"/>
      <c r="X245" s="712"/>
      <c r="Y245" s="515"/>
      <c r="Z245" s="515"/>
      <c r="AA245" s="518" t="s">
        <v>189</v>
      </c>
    </row>
    <row r="246" spans="1:27" s="729" customFormat="1" ht="32.25" customHeight="1">
      <c r="A246" s="721" t="s">
        <v>138</v>
      </c>
      <c r="B246" s="722" t="s">
        <v>275</v>
      </c>
      <c r="C246" s="723"/>
      <c r="D246" s="724"/>
      <c r="E246" s="522"/>
      <c r="F246" s="725"/>
      <c r="G246" s="726"/>
      <c r="H246" s="725"/>
      <c r="I246" s="725"/>
      <c r="J246" s="727"/>
      <c r="K246" s="725"/>
      <c r="L246" s="725"/>
      <c r="M246" s="725"/>
      <c r="N246" s="725"/>
      <c r="O246" s="725"/>
      <c r="P246" s="725"/>
      <c r="Q246" s="725"/>
      <c r="R246" s="725"/>
      <c r="S246" s="725"/>
      <c r="T246" s="725"/>
      <c r="U246" s="725"/>
      <c r="V246" s="725"/>
      <c r="W246" s="725"/>
      <c r="X246" s="725"/>
      <c r="Y246" s="725"/>
      <c r="Z246" s="725"/>
      <c r="AA246" s="728"/>
    </row>
    <row r="247" spans="1:27" s="556" customFormat="1" ht="17.25" customHeight="1">
      <c r="A247" s="528" t="s">
        <v>662</v>
      </c>
      <c r="B247" s="550" t="s">
        <v>663</v>
      </c>
      <c r="C247" s="551"/>
      <c r="D247" s="552"/>
      <c r="E247" s="532"/>
      <c r="F247" s="553"/>
      <c r="G247" s="632"/>
      <c r="H247" s="553"/>
      <c r="I247" s="553"/>
      <c r="J247" s="551"/>
      <c r="K247" s="553"/>
      <c r="L247" s="553"/>
      <c r="M247" s="553"/>
      <c r="N247" s="553"/>
      <c r="O247" s="553"/>
      <c r="P247" s="553"/>
      <c r="Q247" s="553"/>
      <c r="R247" s="570"/>
      <c r="S247" s="570"/>
      <c r="T247" s="553"/>
      <c r="U247" s="553"/>
      <c r="V247" s="553"/>
      <c r="W247" s="553"/>
      <c r="X247" s="553"/>
      <c r="Y247" s="553"/>
      <c r="Z247" s="553"/>
      <c r="AA247" s="571"/>
    </row>
    <row r="248" spans="1:27" ht="78.75">
      <c r="A248" s="500">
        <v>1</v>
      </c>
      <c r="B248" s="730" t="s">
        <v>664</v>
      </c>
      <c r="C248" s="507" t="s">
        <v>21</v>
      </c>
      <c r="D248" s="475" t="s">
        <v>21</v>
      </c>
      <c r="E248" s="503">
        <f t="shared" si="13"/>
        <v>5000</v>
      </c>
      <c r="F248" s="503">
        <v>5000</v>
      </c>
      <c r="G248" s="503">
        <f t="shared" si="12"/>
        <v>0</v>
      </c>
      <c r="H248" s="503"/>
      <c r="I248" s="503"/>
      <c r="J248" s="509"/>
      <c r="K248" s="503"/>
      <c r="L248" s="503"/>
      <c r="M248" s="503"/>
      <c r="N248" s="503"/>
      <c r="O248" s="503"/>
      <c r="P248" s="503"/>
      <c r="Q248" s="503"/>
      <c r="R248" s="509"/>
      <c r="S248" s="509"/>
      <c r="T248" s="503"/>
      <c r="U248" s="503"/>
      <c r="V248" s="503"/>
      <c r="W248" s="503"/>
      <c r="X248" s="503"/>
      <c r="Y248" s="503"/>
      <c r="Z248" s="503"/>
      <c r="AA248" s="510" t="s">
        <v>665</v>
      </c>
    </row>
    <row r="249" spans="1:27">
      <c r="A249" s="500">
        <v>2</v>
      </c>
      <c r="B249" s="560" t="s">
        <v>666</v>
      </c>
      <c r="C249" s="508" t="s">
        <v>21</v>
      </c>
      <c r="D249" s="561" t="s">
        <v>21</v>
      </c>
      <c r="E249" s="503">
        <f t="shared" si="13"/>
        <v>330</v>
      </c>
      <c r="F249" s="503"/>
      <c r="G249" s="503">
        <f t="shared" ref="G249:G250" si="14">H249+SUM(J249:Z249)</f>
        <v>330</v>
      </c>
      <c r="H249" s="503"/>
      <c r="I249" s="503"/>
      <c r="J249" s="509">
        <v>50</v>
      </c>
      <c r="K249" s="503">
        <v>250</v>
      </c>
      <c r="L249" s="503"/>
      <c r="M249" s="503"/>
      <c r="N249" s="503"/>
      <c r="O249" s="503"/>
      <c r="P249" s="503"/>
      <c r="Q249" s="503"/>
      <c r="R249" s="509"/>
      <c r="S249" s="509"/>
      <c r="T249" s="503"/>
      <c r="U249" s="503"/>
      <c r="V249" s="503"/>
      <c r="W249" s="503"/>
      <c r="X249" s="503"/>
      <c r="Y249" s="503"/>
      <c r="Z249" s="503">
        <v>30</v>
      </c>
      <c r="AA249" s="510" t="s">
        <v>173</v>
      </c>
    </row>
    <row r="250" spans="1:27">
      <c r="A250" s="500">
        <v>3</v>
      </c>
      <c r="B250" s="560" t="s">
        <v>667</v>
      </c>
      <c r="C250" s="508" t="s">
        <v>21</v>
      </c>
      <c r="D250" s="561" t="s">
        <v>21</v>
      </c>
      <c r="E250" s="516">
        <f t="shared" si="13"/>
        <v>778</v>
      </c>
      <c r="F250" s="516"/>
      <c r="G250" s="516">
        <f t="shared" si="14"/>
        <v>778</v>
      </c>
      <c r="H250" s="503"/>
      <c r="I250" s="503"/>
      <c r="J250" s="509">
        <v>412</v>
      </c>
      <c r="K250" s="503">
        <v>366</v>
      </c>
      <c r="L250" s="503"/>
      <c r="M250" s="503"/>
      <c r="N250" s="503"/>
      <c r="O250" s="503"/>
      <c r="P250" s="503"/>
      <c r="Q250" s="503"/>
      <c r="R250" s="509"/>
      <c r="S250" s="509"/>
      <c r="T250" s="503"/>
      <c r="U250" s="503"/>
      <c r="V250" s="503"/>
      <c r="W250" s="503"/>
      <c r="X250" s="503"/>
      <c r="Y250" s="503"/>
      <c r="Z250" s="503"/>
      <c r="AA250" s="510" t="s">
        <v>174</v>
      </c>
    </row>
    <row r="251" spans="1:27">
      <c r="A251" s="535">
        <v>4</v>
      </c>
      <c r="B251" s="536" t="s">
        <v>668</v>
      </c>
      <c r="C251" s="530" t="s">
        <v>21</v>
      </c>
      <c r="D251" s="531" t="s">
        <v>21</v>
      </c>
      <c r="E251" s="516">
        <f t="shared" si="13"/>
        <v>500</v>
      </c>
      <c r="F251" s="516"/>
      <c r="G251" s="516">
        <f t="shared" ref="G251:G252" si="15">H251+SUM(J251:Z251)</f>
        <v>500</v>
      </c>
      <c r="H251" s="532"/>
      <c r="I251" s="532"/>
      <c r="J251" s="533">
        <v>54.5</v>
      </c>
      <c r="K251" s="532">
        <v>445.5</v>
      </c>
      <c r="L251" s="532"/>
      <c r="M251" s="532"/>
      <c r="N251" s="532"/>
      <c r="O251" s="532"/>
      <c r="P251" s="532"/>
      <c r="Q251" s="532"/>
      <c r="R251" s="533"/>
      <c r="S251" s="533"/>
      <c r="T251" s="532"/>
      <c r="U251" s="532"/>
      <c r="V251" s="532"/>
      <c r="W251" s="532"/>
      <c r="X251" s="532"/>
      <c r="Y251" s="532"/>
      <c r="Z251" s="532"/>
      <c r="AA251" s="534" t="s">
        <v>190</v>
      </c>
    </row>
    <row r="252" spans="1:27">
      <c r="A252" s="511">
        <v>5</v>
      </c>
      <c r="B252" s="546" t="s">
        <v>669</v>
      </c>
      <c r="C252" s="547" t="s">
        <v>21</v>
      </c>
      <c r="D252" s="548" t="s">
        <v>21</v>
      </c>
      <c r="E252" s="516">
        <f t="shared" si="13"/>
        <v>17.47</v>
      </c>
      <c r="F252" s="516"/>
      <c r="G252" s="516">
        <f t="shared" si="15"/>
        <v>17.47</v>
      </c>
      <c r="H252" s="515"/>
      <c r="I252" s="515"/>
      <c r="J252" s="568">
        <v>10.4</v>
      </c>
      <c r="K252" s="515">
        <v>7.07</v>
      </c>
      <c r="L252" s="515"/>
      <c r="M252" s="515"/>
      <c r="N252" s="515"/>
      <c r="O252" s="515"/>
      <c r="P252" s="515"/>
      <c r="Q252" s="515"/>
      <c r="R252" s="568"/>
      <c r="S252" s="568"/>
      <c r="T252" s="515"/>
      <c r="U252" s="515"/>
      <c r="V252" s="515"/>
      <c r="W252" s="515"/>
      <c r="X252" s="515"/>
      <c r="Y252" s="515"/>
      <c r="Z252" s="515"/>
      <c r="AA252" s="569" t="s">
        <v>172</v>
      </c>
    </row>
    <row r="253" spans="1:27" ht="30">
      <c r="A253" s="528" t="s">
        <v>670</v>
      </c>
      <c r="B253" s="731" t="s">
        <v>671</v>
      </c>
      <c r="C253" s="690"/>
      <c r="D253" s="691"/>
      <c r="E253" s="632"/>
      <c r="F253" s="632"/>
      <c r="G253" s="632"/>
      <c r="H253" s="532"/>
      <c r="I253" s="532"/>
      <c r="J253" s="530"/>
      <c r="K253" s="532"/>
      <c r="L253" s="532"/>
      <c r="M253" s="532"/>
      <c r="N253" s="532"/>
      <c r="O253" s="532"/>
      <c r="P253" s="532"/>
      <c r="Q253" s="532"/>
      <c r="R253" s="533"/>
      <c r="S253" s="533"/>
      <c r="T253" s="532"/>
      <c r="U253" s="532"/>
      <c r="V253" s="532"/>
      <c r="W253" s="532"/>
      <c r="X253" s="532"/>
      <c r="Y253" s="532"/>
      <c r="Z253" s="532"/>
      <c r="AA253" s="534"/>
    </row>
    <row r="254" spans="1:27">
      <c r="A254" s="1178">
        <v>1</v>
      </c>
      <c r="B254" s="1180" t="s">
        <v>672</v>
      </c>
      <c r="C254" s="507" t="s">
        <v>23</v>
      </c>
      <c r="D254" s="475" t="s">
        <v>23</v>
      </c>
      <c r="E254" s="503">
        <f t="shared" si="13"/>
        <v>3.7</v>
      </c>
      <c r="F254" s="503"/>
      <c r="G254" s="503">
        <f t="shared" si="12"/>
        <v>3.7</v>
      </c>
      <c r="H254" s="503"/>
      <c r="I254" s="503"/>
      <c r="J254" s="509">
        <v>1.2</v>
      </c>
      <c r="K254" s="503">
        <v>2.5</v>
      </c>
      <c r="L254" s="503"/>
      <c r="M254" s="503"/>
      <c r="N254" s="503"/>
      <c r="O254" s="503"/>
      <c r="P254" s="503"/>
      <c r="Q254" s="503"/>
      <c r="R254" s="509"/>
      <c r="S254" s="509"/>
      <c r="T254" s="503"/>
      <c r="U254" s="503"/>
      <c r="V254" s="503"/>
      <c r="W254" s="503"/>
      <c r="X254" s="503"/>
      <c r="Y254" s="503"/>
      <c r="Z254" s="503"/>
      <c r="AA254" s="510" t="s">
        <v>190</v>
      </c>
    </row>
    <row r="255" spans="1:27">
      <c r="A255" s="1222"/>
      <c r="B255" s="1223"/>
      <c r="C255" s="507" t="s">
        <v>74</v>
      </c>
      <c r="D255" s="475" t="s">
        <v>74</v>
      </c>
      <c r="E255" s="503">
        <f t="shared" si="13"/>
        <v>0.5</v>
      </c>
      <c r="F255" s="503">
        <v>0.5</v>
      </c>
      <c r="G255" s="503">
        <f t="shared" si="12"/>
        <v>0</v>
      </c>
      <c r="H255" s="503"/>
      <c r="I255" s="503"/>
      <c r="J255" s="509"/>
      <c r="K255" s="503"/>
      <c r="L255" s="503"/>
      <c r="M255" s="503"/>
      <c r="N255" s="503"/>
      <c r="O255" s="503"/>
      <c r="P255" s="503"/>
      <c r="Q255" s="503"/>
      <c r="R255" s="509"/>
      <c r="S255" s="509"/>
      <c r="T255" s="503"/>
      <c r="U255" s="503"/>
      <c r="V255" s="503"/>
      <c r="W255" s="503"/>
      <c r="X255" s="503"/>
      <c r="Y255" s="503"/>
      <c r="Z255" s="503"/>
      <c r="AA255" s="510" t="s">
        <v>190</v>
      </c>
    </row>
    <row r="256" spans="1:27">
      <c r="A256" s="1222"/>
      <c r="B256" s="1223"/>
      <c r="C256" s="507" t="s">
        <v>45</v>
      </c>
      <c r="D256" s="475" t="s">
        <v>193</v>
      </c>
      <c r="E256" s="503">
        <f t="shared" si="13"/>
        <v>7.83</v>
      </c>
      <c r="F256" s="503">
        <v>7.83</v>
      </c>
      <c r="G256" s="503"/>
      <c r="H256" s="503"/>
      <c r="I256" s="503"/>
      <c r="J256" s="509"/>
      <c r="K256" s="503"/>
      <c r="L256" s="503"/>
      <c r="M256" s="503"/>
      <c r="N256" s="503"/>
      <c r="O256" s="503"/>
      <c r="P256" s="503"/>
      <c r="Q256" s="503"/>
      <c r="R256" s="509"/>
      <c r="S256" s="509"/>
      <c r="T256" s="503"/>
      <c r="U256" s="503"/>
      <c r="V256" s="503"/>
      <c r="W256" s="503"/>
      <c r="X256" s="503"/>
      <c r="Y256" s="503"/>
      <c r="Z256" s="503"/>
      <c r="AA256" s="510" t="s">
        <v>190</v>
      </c>
    </row>
    <row r="257" spans="1:27">
      <c r="A257" s="1222"/>
      <c r="B257" s="1223"/>
      <c r="C257" s="507" t="s">
        <v>23</v>
      </c>
      <c r="D257" s="475" t="s">
        <v>23</v>
      </c>
      <c r="E257" s="503">
        <f t="shared" si="13"/>
        <v>1.9000000000000001</v>
      </c>
      <c r="F257" s="503"/>
      <c r="G257" s="503">
        <f t="shared" si="12"/>
        <v>1.9000000000000001</v>
      </c>
      <c r="H257" s="503"/>
      <c r="I257" s="503"/>
      <c r="J257" s="509">
        <v>0.8</v>
      </c>
      <c r="K257" s="503">
        <v>1.1000000000000001</v>
      </c>
      <c r="L257" s="503"/>
      <c r="M257" s="503"/>
      <c r="N257" s="503"/>
      <c r="O257" s="503"/>
      <c r="P257" s="503"/>
      <c r="Q257" s="503"/>
      <c r="R257" s="509"/>
      <c r="S257" s="509"/>
      <c r="T257" s="503"/>
      <c r="U257" s="503"/>
      <c r="V257" s="503"/>
      <c r="W257" s="503"/>
      <c r="X257" s="503"/>
      <c r="Y257" s="503"/>
      <c r="Z257" s="503"/>
      <c r="AA257" s="510" t="s">
        <v>172</v>
      </c>
    </row>
    <row r="258" spans="1:27">
      <c r="A258" s="1222"/>
      <c r="B258" s="1223"/>
      <c r="C258" s="507" t="s">
        <v>45</v>
      </c>
      <c r="D258" s="475" t="s">
        <v>193</v>
      </c>
      <c r="E258" s="503">
        <f t="shared" si="13"/>
        <v>8.6999999999999993</v>
      </c>
      <c r="F258" s="503">
        <v>8.6999999999999993</v>
      </c>
      <c r="G258" s="503">
        <f t="shared" si="12"/>
        <v>0</v>
      </c>
      <c r="H258" s="503"/>
      <c r="I258" s="503"/>
      <c r="J258" s="509"/>
      <c r="K258" s="503"/>
      <c r="L258" s="503"/>
      <c r="M258" s="503"/>
      <c r="N258" s="503"/>
      <c r="O258" s="503"/>
      <c r="P258" s="503"/>
      <c r="Q258" s="503"/>
      <c r="R258" s="509"/>
      <c r="S258" s="509"/>
      <c r="T258" s="503"/>
      <c r="U258" s="503"/>
      <c r="V258" s="503"/>
      <c r="W258" s="503"/>
      <c r="X258" s="503"/>
      <c r="Y258" s="503"/>
      <c r="Z258" s="503"/>
      <c r="AA258" s="510" t="s">
        <v>172</v>
      </c>
    </row>
    <row r="259" spans="1:27">
      <c r="A259" s="1222"/>
      <c r="B259" s="1223"/>
      <c r="C259" s="507" t="s">
        <v>74</v>
      </c>
      <c r="D259" s="475" t="s">
        <v>74</v>
      </c>
      <c r="E259" s="503">
        <f t="shared" si="13"/>
        <v>0.5</v>
      </c>
      <c r="F259" s="503">
        <v>0.5</v>
      </c>
      <c r="G259" s="503">
        <f t="shared" si="12"/>
        <v>0</v>
      </c>
      <c r="H259" s="503"/>
      <c r="I259" s="503"/>
      <c r="J259" s="509"/>
      <c r="K259" s="503"/>
      <c r="L259" s="503"/>
      <c r="M259" s="503"/>
      <c r="N259" s="503"/>
      <c r="O259" s="503"/>
      <c r="P259" s="503"/>
      <c r="Q259" s="503"/>
      <c r="R259" s="509"/>
      <c r="S259" s="509"/>
      <c r="T259" s="503"/>
      <c r="U259" s="503"/>
      <c r="V259" s="503"/>
      <c r="W259" s="503"/>
      <c r="X259" s="503"/>
      <c r="Y259" s="503"/>
      <c r="Z259" s="503"/>
      <c r="AA259" s="510" t="s">
        <v>172</v>
      </c>
    </row>
    <row r="260" spans="1:27">
      <c r="A260" s="1222"/>
      <c r="B260" s="1223"/>
      <c r="C260" s="507" t="s">
        <v>23</v>
      </c>
      <c r="D260" s="475" t="s">
        <v>23</v>
      </c>
      <c r="E260" s="503">
        <f t="shared" si="13"/>
        <v>2.5700000000000003</v>
      </c>
      <c r="F260" s="503"/>
      <c r="G260" s="503">
        <f t="shared" si="12"/>
        <v>2.5700000000000003</v>
      </c>
      <c r="H260" s="503"/>
      <c r="I260" s="503"/>
      <c r="J260" s="509">
        <v>1.45</v>
      </c>
      <c r="K260" s="503">
        <v>1.1200000000000001</v>
      </c>
      <c r="L260" s="503"/>
      <c r="M260" s="503"/>
      <c r="N260" s="503"/>
      <c r="O260" s="503"/>
      <c r="P260" s="503"/>
      <c r="Q260" s="503"/>
      <c r="R260" s="509"/>
      <c r="S260" s="509"/>
      <c r="T260" s="503"/>
      <c r="U260" s="503"/>
      <c r="V260" s="503"/>
      <c r="W260" s="503"/>
      <c r="X260" s="503"/>
      <c r="Y260" s="503"/>
      <c r="Z260" s="503"/>
      <c r="AA260" s="510" t="s">
        <v>189</v>
      </c>
    </row>
    <row r="261" spans="1:27">
      <c r="A261" s="1222"/>
      <c r="B261" s="1223"/>
      <c r="C261" s="507" t="s">
        <v>45</v>
      </c>
      <c r="D261" s="475" t="s">
        <v>193</v>
      </c>
      <c r="E261" s="503">
        <f t="shared" si="13"/>
        <v>7.7</v>
      </c>
      <c r="F261" s="503">
        <v>7.7</v>
      </c>
      <c r="G261" s="503">
        <f t="shared" si="12"/>
        <v>0</v>
      </c>
      <c r="H261" s="503"/>
      <c r="I261" s="503"/>
      <c r="J261" s="509"/>
      <c r="K261" s="503"/>
      <c r="L261" s="503"/>
      <c r="M261" s="503"/>
      <c r="N261" s="503"/>
      <c r="O261" s="503"/>
      <c r="P261" s="503"/>
      <c r="Q261" s="503"/>
      <c r="R261" s="509"/>
      <c r="S261" s="509"/>
      <c r="T261" s="503"/>
      <c r="U261" s="503"/>
      <c r="V261" s="503"/>
      <c r="W261" s="503"/>
      <c r="X261" s="503"/>
      <c r="Y261" s="503"/>
      <c r="Z261" s="503"/>
      <c r="AA261" s="510" t="s">
        <v>189</v>
      </c>
    </row>
    <row r="262" spans="1:27">
      <c r="A262" s="1222"/>
      <c r="B262" s="1223"/>
      <c r="C262" s="507" t="s">
        <v>74</v>
      </c>
      <c r="D262" s="475" t="s">
        <v>74</v>
      </c>
      <c r="E262" s="503">
        <f t="shared" si="13"/>
        <v>0.5</v>
      </c>
      <c r="F262" s="503">
        <v>0.5</v>
      </c>
      <c r="G262" s="503">
        <f t="shared" si="12"/>
        <v>0</v>
      </c>
      <c r="H262" s="503"/>
      <c r="I262" s="503"/>
      <c r="J262" s="509"/>
      <c r="K262" s="503"/>
      <c r="L262" s="503"/>
      <c r="M262" s="503"/>
      <c r="N262" s="503"/>
      <c r="O262" s="503"/>
      <c r="P262" s="503"/>
      <c r="Q262" s="503"/>
      <c r="R262" s="509"/>
      <c r="S262" s="509"/>
      <c r="T262" s="503"/>
      <c r="U262" s="503"/>
      <c r="V262" s="503"/>
      <c r="W262" s="503"/>
      <c r="X262" s="503"/>
      <c r="Y262" s="503"/>
      <c r="Z262" s="503"/>
      <c r="AA262" s="510" t="s">
        <v>189</v>
      </c>
    </row>
    <row r="263" spans="1:27">
      <c r="A263" s="1222"/>
      <c r="B263" s="1223"/>
      <c r="C263" s="507" t="s">
        <v>74</v>
      </c>
      <c r="D263" s="475" t="s">
        <v>74</v>
      </c>
      <c r="E263" s="503">
        <f t="shared" si="13"/>
        <v>0.5</v>
      </c>
      <c r="F263" s="503">
        <v>0.5</v>
      </c>
      <c r="G263" s="503">
        <f t="shared" si="12"/>
        <v>0</v>
      </c>
      <c r="H263" s="503"/>
      <c r="I263" s="503"/>
      <c r="J263" s="509"/>
      <c r="K263" s="503"/>
      <c r="L263" s="503"/>
      <c r="M263" s="503"/>
      <c r="N263" s="503"/>
      <c r="O263" s="503"/>
      <c r="P263" s="503"/>
      <c r="Q263" s="503"/>
      <c r="R263" s="509"/>
      <c r="S263" s="509"/>
      <c r="T263" s="503"/>
      <c r="U263" s="503"/>
      <c r="V263" s="503"/>
      <c r="W263" s="503"/>
      <c r="X263" s="503"/>
      <c r="Y263" s="503"/>
      <c r="Z263" s="503"/>
      <c r="AA263" s="510" t="s">
        <v>174</v>
      </c>
    </row>
    <row r="264" spans="1:27">
      <c r="A264" s="1222"/>
      <c r="B264" s="1223"/>
      <c r="C264" s="507" t="s">
        <v>23</v>
      </c>
      <c r="D264" s="475" t="s">
        <v>23</v>
      </c>
      <c r="E264" s="503">
        <f t="shared" si="13"/>
        <v>3.7</v>
      </c>
      <c r="F264" s="503"/>
      <c r="G264" s="503">
        <f t="shared" si="12"/>
        <v>3.7</v>
      </c>
      <c r="H264" s="503"/>
      <c r="I264" s="503"/>
      <c r="J264" s="509">
        <v>1.7</v>
      </c>
      <c r="K264" s="503">
        <v>2</v>
      </c>
      <c r="L264" s="503"/>
      <c r="M264" s="503"/>
      <c r="N264" s="503"/>
      <c r="O264" s="503"/>
      <c r="P264" s="503"/>
      <c r="Q264" s="503"/>
      <c r="R264" s="509"/>
      <c r="S264" s="509"/>
      <c r="T264" s="503"/>
      <c r="U264" s="503"/>
      <c r="V264" s="503"/>
      <c r="W264" s="503"/>
      <c r="X264" s="503"/>
      <c r="Y264" s="503"/>
      <c r="Z264" s="503"/>
      <c r="AA264" s="510" t="s">
        <v>174</v>
      </c>
    </row>
    <row r="265" spans="1:27">
      <c r="A265" s="1222"/>
      <c r="B265" s="1223"/>
      <c r="C265" s="507" t="s">
        <v>45</v>
      </c>
      <c r="D265" s="475" t="s">
        <v>193</v>
      </c>
      <c r="E265" s="503">
        <f t="shared" si="13"/>
        <v>6.6</v>
      </c>
      <c r="F265" s="503">
        <v>6.6</v>
      </c>
      <c r="G265" s="503">
        <f t="shared" si="12"/>
        <v>0</v>
      </c>
      <c r="H265" s="503"/>
      <c r="I265" s="503"/>
      <c r="J265" s="509"/>
      <c r="K265" s="503"/>
      <c r="L265" s="503"/>
      <c r="M265" s="503"/>
      <c r="N265" s="503"/>
      <c r="O265" s="503"/>
      <c r="P265" s="503"/>
      <c r="Q265" s="503"/>
      <c r="R265" s="509"/>
      <c r="S265" s="509"/>
      <c r="T265" s="503"/>
      <c r="U265" s="503"/>
      <c r="V265" s="503"/>
      <c r="W265" s="503"/>
      <c r="X265" s="503"/>
      <c r="Y265" s="503"/>
      <c r="Z265" s="503"/>
      <c r="AA265" s="510" t="s">
        <v>174</v>
      </c>
    </row>
    <row r="266" spans="1:27">
      <c r="A266" s="1210"/>
      <c r="B266" s="1224"/>
      <c r="C266" s="507" t="s">
        <v>41</v>
      </c>
      <c r="D266" s="475" t="s">
        <v>41</v>
      </c>
      <c r="E266" s="503">
        <f t="shared" si="13"/>
        <v>5.3</v>
      </c>
      <c r="F266" s="503"/>
      <c r="G266" s="503">
        <f t="shared" si="12"/>
        <v>5.3</v>
      </c>
      <c r="H266" s="503"/>
      <c r="I266" s="503"/>
      <c r="J266" s="508">
        <v>2.5</v>
      </c>
      <c r="K266" s="503">
        <v>2.8</v>
      </c>
      <c r="L266" s="503"/>
      <c r="M266" s="503"/>
      <c r="N266" s="503"/>
      <c r="O266" s="503"/>
      <c r="P266" s="503"/>
      <c r="Q266" s="503"/>
      <c r="R266" s="509"/>
      <c r="S266" s="509"/>
      <c r="T266" s="503"/>
      <c r="U266" s="503"/>
      <c r="V266" s="503"/>
      <c r="W266" s="503"/>
      <c r="X266" s="503"/>
      <c r="Y266" s="503"/>
      <c r="Z266" s="503"/>
      <c r="AA266" s="510" t="s">
        <v>172</v>
      </c>
    </row>
    <row r="267" spans="1:27">
      <c r="A267" s="592">
        <v>2</v>
      </c>
      <c r="B267" s="732" t="s">
        <v>673</v>
      </c>
      <c r="C267" s="733" t="s">
        <v>23</v>
      </c>
      <c r="D267" s="734" t="s">
        <v>23</v>
      </c>
      <c r="E267" s="516">
        <f t="shared" si="13"/>
        <v>0.5</v>
      </c>
      <c r="F267" s="516"/>
      <c r="G267" s="516">
        <f t="shared" si="12"/>
        <v>0.5</v>
      </c>
      <c r="H267" s="516"/>
      <c r="I267" s="516"/>
      <c r="J267" s="563">
        <v>0.5</v>
      </c>
      <c r="K267" s="516"/>
      <c r="L267" s="516"/>
      <c r="M267" s="516"/>
      <c r="N267" s="516"/>
      <c r="O267" s="516"/>
      <c r="P267" s="516"/>
      <c r="Q267" s="516"/>
      <c r="R267" s="565"/>
      <c r="S267" s="565"/>
      <c r="T267" s="516"/>
      <c r="U267" s="516"/>
      <c r="V267" s="516"/>
      <c r="W267" s="516"/>
      <c r="X267" s="516"/>
      <c r="Y267" s="516"/>
      <c r="Z267" s="516"/>
      <c r="AA267" s="574" t="s">
        <v>191</v>
      </c>
    </row>
    <row r="268" spans="1:27" ht="30">
      <c r="A268" s="735" t="s">
        <v>670</v>
      </c>
      <c r="B268" s="736" t="s">
        <v>674</v>
      </c>
      <c r="C268" s="737"/>
      <c r="D268" s="738"/>
      <c r="E268" s="632"/>
      <c r="F268" s="632"/>
      <c r="G268" s="632"/>
      <c r="H268" s="632"/>
      <c r="I268" s="632"/>
      <c r="J268" s="739"/>
      <c r="K268" s="632"/>
      <c r="L268" s="632"/>
      <c r="M268" s="632"/>
      <c r="N268" s="632"/>
      <c r="O268" s="632"/>
      <c r="P268" s="632"/>
      <c r="Q268" s="632"/>
      <c r="R268" s="740"/>
      <c r="S268" s="740"/>
      <c r="T268" s="632"/>
      <c r="U268" s="632"/>
      <c r="V268" s="632"/>
      <c r="W268" s="632"/>
      <c r="X268" s="632"/>
      <c r="Y268" s="632"/>
      <c r="Z268" s="632"/>
      <c r="AA268" s="741"/>
    </row>
    <row r="269" spans="1:27">
      <c r="A269" s="1178">
        <v>1</v>
      </c>
      <c r="B269" s="1225" t="s">
        <v>675</v>
      </c>
      <c r="C269" s="508" t="s">
        <v>27</v>
      </c>
      <c r="D269" s="561" t="s">
        <v>27</v>
      </c>
      <c r="E269" s="503">
        <f t="shared" ref="E269" si="16">F269+G269</f>
        <v>85</v>
      </c>
      <c r="F269" s="503">
        <v>85</v>
      </c>
      <c r="G269" s="503">
        <f t="shared" si="12"/>
        <v>0</v>
      </c>
      <c r="H269" s="503"/>
      <c r="I269" s="503"/>
      <c r="J269" s="509"/>
      <c r="K269" s="503"/>
      <c r="L269" s="503"/>
      <c r="M269" s="503"/>
      <c r="N269" s="503"/>
      <c r="O269" s="503"/>
      <c r="P269" s="503"/>
      <c r="Q269" s="503"/>
      <c r="R269" s="509"/>
      <c r="S269" s="509"/>
      <c r="T269" s="503"/>
      <c r="U269" s="503"/>
      <c r="V269" s="503"/>
      <c r="W269" s="503"/>
      <c r="X269" s="503"/>
      <c r="Y269" s="503"/>
      <c r="Z269" s="503"/>
      <c r="AA269" s="510" t="s">
        <v>169</v>
      </c>
    </row>
    <row r="270" spans="1:27">
      <c r="A270" s="1222"/>
      <c r="B270" s="1226"/>
      <c r="C270" s="508" t="s">
        <v>13</v>
      </c>
      <c r="D270" s="561" t="s">
        <v>13</v>
      </c>
      <c r="E270" s="503">
        <f t="shared" si="13"/>
        <v>265.71999999999997</v>
      </c>
      <c r="F270" s="503">
        <f>273+3.9-4.45-6.73</f>
        <v>265.71999999999997</v>
      </c>
      <c r="G270" s="503">
        <f t="shared" si="12"/>
        <v>0</v>
      </c>
      <c r="H270" s="503"/>
      <c r="I270" s="503"/>
      <c r="J270" s="509"/>
      <c r="K270" s="503"/>
      <c r="L270" s="503"/>
      <c r="M270" s="503"/>
      <c r="N270" s="503"/>
      <c r="O270" s="503"/>
      <c r="P270" s="503"/>
      <c r="Q270" s="503"/>
      <c r="R270" s="509"/>
      <c r="S270" s="509"/>
      <c r="T270" s="503"/>
      <c r="U270" s="503"/>
      <c r="V270" s="503"/>
      <c r="W270" s="503"/>
      <c r="X270" s="503"/>
      <c r="Y270" s="503"/>
      <c r="Z270" s="503"/>
      <c r="AA270" s="510" t="s">
        <v>169</v>
      </c>
    </row>
    <row r="271" spans="1:27">
      <c r="A271" s="1222"/>
      <c r="B271" s="1226"/>
      <c r="C271" s="508" t="s">
        <v>45</v>
      </c>
      <c r="D271" s="561" t="s">
        <v>196</v>
      </c>
      <c r="E271" s="503">
        <f t="shared" si="13"/>
        <v>6.98</v>
      </c>
      <c r="F271" s="503">
        <v>2.5299999999999998</v>
      </c>
      <c r="G271" s="503">
        <f t="shared" si="12"/>
        <v>4.45</v>
      </c>
      <c r="H271" s="503"/>
      <c r="I271" s="503"/>
      <c r="J271" s="509">
        <v>4.45</v>
      </c>
      <c r="K271" s="503"/>
      <c r="L271" s="503"/>
      <c r="M271" s="503"/>
      <c r="N271" s="503"/>
      <c r="O271" s="503"/>
      <c r="P271" s="503"/>
      <c r="Q271" s="503"/>
      <c r="R271" s="509"/>
      <c r="S271" s="509"/>
      <c r="T271" s="503"/>
      <c r="U271" s="503"/>
      <c r="V271" s="503"/>
      <c r="W271" s="503"/>
      <c r="X271" s="503"/>
      <c r="Y271" s="503"/>
      <c r="Z271" s="503"/>
      <c r="AA271" s="510" t="s">
        <v>169</v>
      </c>
    </row>
    <row r="272" spans="1:27">
      <c r="A272" s="1210"/>
      <c r="B272" s="1227"/>
      <c r="C272" s="508" t="s">
        <v>78</v>
      </c>
      <c r="D272" s="561" t="s">
        <v>78</v>
      </c>
      <c r="E272" s="503">
        <f t="shared" si="13"/>
        <v>6.73</v>
      </c>
      <c r="F272" s="503"/>
      <c r="G272" s="503">
        <f t="shared" si="12"/>
        <v>6.73</v>
      </c>
      <c r="H272" s="503"/>
      <c r="I272" s="503"/>
      <c r="J272" s="509">
        <v>6.73</v>
      </c>
      <c r="K272" s="503"/>
      <c r="L272" s="503"/>
      <c r="M272" s="503"/>
      <c r="N272" s="503"/>
      <c r="O272" s="503"/>
      <c r="P272" s="503"/>
      <c r="Q272" s="503"/>
      <c r="R272" s="509"/>
      <c r="S272" s="509"/>
      <c r="T272" s="503"/>
      <c r="U272" s="503"/>
      <c r="V272" s="503"/>
      <c r="W272" s="503"/>
      <c r="X272" s="503"/>
      <c r="Y272" s="503"/>
      <c r="Z272" s="503"/>
      <c r="AA272" s="510" t="s">
        <v>169</v>
      </c>
    </row>
    <row r="273" spans="1:27" ht="31.5" customHeight="1">
      <c r="A273" s="1178">
        <v>2</v>
      </c>
      <c r="B273" s="1225" t="s">
        <v>676</v>
      </c>
      <c r="C273" s="508" t="s">
        <v>27</v>
      </c>
      <c r="D273" s="561" t="s">
        <v>27</v>
      </c>
      <c r="E273" s="503">
        <f t="shared" si="13"/>
        <v>15.040000000000001</v>
      </c>
      <c r="F273" s="503"/>
      <c r="G273" s="503">
        <f t="shared" si="12"/>
        <v>15.040000000000001</v>
      </c>
      <c r="H273" s="503"/>
      <c r="I273" s="503"/>
      <c r="J273" s="509">
        <v>0.46</v>
      </c>
      <c r="K273" s="503">
        <f>15.08-0.5</f>
        <v>14.58</v>
      </c>
      <c r="L273" s="503"/>
      <c r="M273" s="503"/>
      <c r="N273" s="503"/>
      <c r="O273" s="503"/>
      <c r="P273" s="503"/>
      <c r="Q273" s="503"/>
      <c r="R273" s="509"/>
      <c r="S273" s="509"/>
      <c r="T273" s="503"/>
      <c r="U273" s="503"/>
      <c r="V273" s="503"/>
      <c r="W273" s="503"/>
      <c r="X273" s="503"/>
      <c r="Y273" s="503"/>
      <c r="Z273" s="503"/>
      <c r="AA273" s="510" t="s">
        <v>190</v>
      </c>
    </row>
    <row r="274" spans="1:27">
      <c r="A274" s="1210"/>
      <c r="B274" s="1227"/>
      <c r="C274" s="508" t="s">
        <v>78</v>
      </c>
      <c r="D274" s="561" t="s">
        <v>78</v>
      </c>
      <c r="E274" s="503">
        <f t="shared" si="13"/>
        <v>0.5</v>
      </c>
      <c r="F274" s="503"/>
      <c r="G274" s="503">
        <f t="shared" si="12"/>
        <v>0.5</v>
      </c>
      <c r="H274" s="503"/>
      <c r="I274" s="503"/>
      <c r="J274" s="509"/>
      <c r="K274" s="503">
        <v>0.5</v>
      </c>
      <c r="L274" s="503"/>
      <c r="M274" s="503"/>
      <c r="N274" s="503"/>
      <c r="O274" s="503"/>
      <c r="P274" s="503"/>
      <c r="Q274" s="503"/>
      <c r="R274" s="509"/>
      <c r="S274" s="509"/>
      <c r="T274" s="503"/>
      <c r="U274" s="503"/>
      <c r="V274" s="503"/>
      <c r="W274" s="503"/>
      <c r="X274" s="503"/>
      <c r="Y274" s="503"/>
      <c r="Z274" s="503"/>
      <c r="AA274" s="510" t="s">
        <v>190</v>
      </c>
    </row>
    <row r="275" spans="1:27">
      <c r="A275" s="1178">
        <v>3</v>
      </c>
      <c r="B275" s="1225" t="s">
        <v>325</v>
      </c>
      <c r="C275" s="508" t="s">
        <v>27</v>
      </c>
      <c r="D275" s="561" t="s">
        <v>27</v>
      </c>
      <c r="E275" s="503">
        <f t="shared" si="13"/>
        <v>4.68</v>
      </c>
      <c r="F275" s="503"/>
      <c r="G275" s="503">
        <f t="shared" si="12"/>
        <v>4.68</v>
      </c>
      <c r="H275" s="503"/>
      <c r="I275" s="503"/>
      <c r="J275" s="509"/>
      <c r="K275" s="503">
        <v>4.68</v>
      </c>
      <c r="L275" s="503"/>
      <c r="M275" s="503"/>
      <c r="N275" s="503"/>
      <c r="O275" s="503"/>
      <c r="P275" s="503"/>
      <c r="Q275" s="503"/>
      <c r="R275" s="509"/>
      <c r="S275" s="509"/>
      <c r="T275" s="503"/>
      <c r="U275" s="503"/>
      <c r="V275" s="503"/>
      <c r="W275" s="503"/>
      <c r="X275" s="503"/>
      <c r="Y275" s="503"/>
      <c r="Z275" s="503"/>
      <c r="AA275" s="510" t="s">
        <v>190</v>
      </c>
    </row>
    <row r="276" spans="1:27">
      <c r="A276" s="1222"/>
      <c r="B276" s="1226"/>
      <c r="C276" s="508" t="s">
        <v>78</v>
      </c>
      <c r="D276" s="561" t="s">
        <v>78</v>
      </c>
      <c r="E276" s="503">
        <f t="shared" si="13"/>
        <v>0.5</v>
      </c>
      <c r="F276" s="503"/>
      <c r="G276" s="503">
        <f t="shared" si="12"/>
        <v>0.5</v>
      </c>
      <c r="H276" s="503"/>
      <c r="I276" s="503"/>
      <c r="J276" s="509"/>
      <c r="K276" s="503">
        <v>0.5</v>
      </c>
      <c r="L276" s="503"/>
      <c r="M276" s="503"/>
      <c r="N276" s="503"/>
      <c r="O276" s="503"/>
      <c r="P276" s="503"/>
      <c r="Q276" s="503"/>
      <c r="R276" s="509"/>
      <c r="S276" s="509"/>
      <c r="T276" s="503"/>
      <c r="U276" s="503"/>
      <c r="V276" s="503"/>
      <c r="W276" s="503"/>
      <c r="X276" s="503"/>
      <c r="Y276" s="503"/>
      <c r="Z276" s="503"/>
      <c r="AA276" s="510" t="s">
        <v>190</v>
      </c>
    </row>
    <row r="277" spans="1:27">
      <c r="A277" s="1210"/>
      <c r="B277" s="1227"/>
      <c r="C277" s="508" t="s">
        <v>15</v>
      </c>
      <c r="D277" s="561" t="s">
        <v>15</v>
      </c>
      <c r="E277" s="503">
        <f t="shared" si="13"/>
        <v>19.350000000000001</v>
      </c>
      <c r="F277" s="503">
        <v>19.350000000000001</v>
      </c>
      <c r="G277" s="503">
        <f t="shared" si="12"/>
        <v>0</v>
      </c>
      <c r="H277" s="503"/>
      <c r="I277" s="503"/>
      <c r="J277" s="509"/>
      <c r="K277" s="503"/>
      <c r="L277" s="503"/>
      <c r="M277" s="503"/>
      <c r="N277" s="503"/>
      <c r="O277" s="503"/>
      <c r="P277" s="503"/>
      <c r="Q277" s="503"/>
      <c r="R277" s="509"/>
      <c r="S277" s="509"/>
      <c r="T277" s="503"/>
      <c r="U277" s="503"/>
      <c r="V277" s="503"/>
      <c r="W277" s="503"/>
      <c r="X277" s="503"/>
      <c r="Y277" s="503"/>
      <c r="Z277" s="503"/>
      <c r="AA277" s="510" t="s">
        <v>190</v>
      </c>
    </row>
    <row r="278" spans="1:27">
      <c r="A278" s="1178">
        <v>4</v>
      </c>
      <c r="B278" s="1180" t="s">
        <v>677</v>
      </c>
      <c r="C278" s="508" t="s">
        <v>78</v>
      </c>
      <c r="D278" s="561" t="s">
        <v>78</v>
      </c>
      <c r="E278" s="503">
        <f t="shared" si="13"/>
        <v>0.01</v>
      </c>
      <c r="F278" s="503"/>
      <c r="G278" s="503">
        <f t="shared" si="12"/>
        <v>0.01</v>
      </c>
      <c r="H278" s="503"/>
      <c r="I278" s="503"/>
      <c r="J278" s="509"/>
      <c r="K278" s="503">
        <v>0.01</v>
      </c>
      <c r="L278" s="503"/>
      <c r="M278" s="503"/>
      <c r="N278" s="503"/>
      <c r="O278" s="503"/>
      <c r="P278" s="503"/>
      <c r="Q278" s="503"/>
      <c r="R278" s="509"/>
      <c r="S278" s="509"/>
      <c r="T278" s="503"/>
      <c r="U278" s="503"/>
      <c r="V278" s="503"/>
      <c r="W278" s="503"/>
      <c r="X278" s="503"/>
      <c r="Y278" s="503"/>
      <c r="Z278" s="503"/>
      <c r="AA278" s="510" t="s">
        <v>190</v>
      </c>
    </row>
    <row r="279" spans="1:27">
      <c r="A279" s="1210"/>
      <c r="B279" s="1224"/>
      <c r="C279" s="508" t="s">
        <v>27</v>
      </c>
      <c r="D279" s="561" t="s">
        <v>27</v>
      </c>
      <c r="E279" s="503">
        <f t="shared" si="13"/>
        <v>0.99</v>
      </c>
      <c r="F279" s="503"/>
      <c r="G279" s="503">
        <f t="shared" si="12"/>
        <v>0.99</v>
      </c>
      <c r="H279" s="503"/>
      <c r="I279" s="503"/>
      <c r="J279" s="509"/>
      <c r="K279" s="503">
        <v>0.99</v>
      </c>
      <c r="L279" s="503"/>
      <c r="M279" s="503"/>
      <c r="N279" s="503"/>
      <c r="O279" s="503"/>
      <c r="P279" s="503"/>
      <c r="Q279" s="503"/>
      <c r="R279" s="509"/>
      <c r="S279" s="509"/>
      <c r="T279" s="503"/>
      <c r="U279" s="503"/>
      <c r="V279" s="503"/>
      <c r="W279" s="503"/>
      <c r="X279" s="503"/>
      <c r="Y279" s="503"/>
      <c r="Z279" s="503"/>
      <c r="AA279" s="510" t="s">
        <v>190</v>
      </c>
    </row>
    <row r="280" spans="1:27" ht="31.5" customHeight="1">
      <c r="A280" s="1178">
        <v>5</v>
      </c>
      <c r="B280" s="1225" t="s">
        <v>678</v>
      </c>
      <c r="C280" s="508" t="s">
        <v>27</v>
      </c>
      <c r="D280" s="561" t="s">
        <v>27</v>
      </c>
      <c r="E280" s="503">
        <f t="shared" si="13"/>
        <v>10</v>
      </c>
      <c r="F280" s="503"/>
      <c r="G280" s="503">
        <f t="shared" si="12"/>
        <v>10</v>
      </c>
      <c r="H280" s="503"/>
      <c r="I280" s="503"/>
      <c r="J280" s="509"/>
      <c r="K280" s="503">
        <v>10</v>
      </c>
      <c r="L280" s="503"/>
      <c r="M280" s="503"/>
      <c r="N280" s="503"/>
      <c r="O280" s="503"/>
      <c r="P280" s="503"/>
      <c r="Q280" s="503"/>
      <c r="R280" s="509"/>
      <c r="S280" s="509"/>
      <c r="T280" s="503"/>
      <c r="U280" s="503"/>
      <c r="V280" s="503"/>
      <c r="W280" s="503"/>
      <c r="X280" s="503"/>
      <c r="Y280" s="503"/>
      <c r="Z280" s="503"/>
      <c r="AA280" s="510" t="s">
        <v>190</v>
      </c>
    </row>
    <row r="281" spans="1:27">
      <c r="A281" s="1222"/>
      <c r="B281" s="1226"/>
      <c r="C281" s="508" t="s">
        <v>13</v>
      </c>
      <c r="D281" s="561" t="s">
        <v>13</v>
      </c>
      <c r="E281" s="503">
        <f t="shared" si="13"/>
        <v>15.5</v>
      </c>
      <c r="F281" s="503"/>
      <c r="G281" s="503">
        <f t="shared" si="12"/>
        <v>15.5</v>
      </c>
      <c r="H281" s="516"/>
      <c r="I281" s="516"/>
      <c r="J281" s="565"/>
      <c r="K281" s="516">
        <v>15.5</v>
      </c>
      <c r="L281" s="516"/>
      <c r="M281" s="516"/>
      <c r="N281" s="516"/>
      <c r="O281" s="516"/>
      <c r="P281" s="516"/>
      <c r="Q281" s="516"/>
      <c r="R281" s="565"/>
      <c r="S281" s="565"/>
      <c r="T281" s="516"/>
      <c r="U281" s="516"/>
      <c r="V281" s="516"/>
      <c r="W281" s="516"/>
      <c r="X281" s="516"/>
      <c r="Y281" s="516"/>
      <c r="Z281" s="516"/>
      <c r="AA281" s="510" t="s">
        <v>190</v>
      </c>
    </row>
    <row r="282" spans="1:27">
      <c r="A282" s="1222"/>
      <c r="B282" s="1226"/>
      <c r="C282" s="508" t="s">
        <v>15</v>
      </c>
      <c r="D282" s="561" t="s">
        <v>15</v>
      </c>
      <c r="E282" s="503">
        <f t="shared" si="13"/>
        <v>23.5</v>
      </c>
      <c r="F282" s="503">
        <v>23.5</v>
      </c>
      <c r="G282" s="503">
        <f t="shared" ref="G282:G366" si="17">H282+SUM(J282:Z282)</f>
        <v>0</v>
      </c>
      <c r="H282" s="516"/>
      <c r="I282" s="516"/>
      <c r="J282" s="565"/>
      <c r="K282" s="516"/>
      <c r="L282" s="516"/>
      <c r="M282" s="516"/>
      <c r="N282" s="516"/>
      <c r="O282" s="516"/>
      <c r="P282" s="516"/>
      <c r="Q282" s="516"/>
      <c r="R282" s="565"/>
      <c r="S282" s="565"/>
      <c r="T282" s="516"/>
      <c r="U282" s="516"/>
      <c r="V282" s="516"/>
      <c r="W282" s="516"/>
      <c r="X282" s="516"/>
      <c r="Y282" s="516"/>
      <c r="Z282" s="516"/>
      <c r="AA282" s="510" t="s">
        <v>190</v>
      </c>
    </row>
    <row r="283" spans="1:27">
      <c r="A283" s="1210"/>
      <c r="B283" s="1227"/>
      <c r="C283" s="508" t="s">
        <v>78</v>
      </c>
      <c r="D283" s="561" t="s">
        <v>78</v>
      </c>
      <c r="E283" s="503">
        <f t="shared" si="13"/>
        <v>1</v>
      </c>
      <c r="F283" s="503"/>
      <c r="G283" s="503">
        <f t="shared" si="17"/>
        <v>1</v>
      </c>
      <c r="H283" s="516"/>
      <c r="I283" s="516"/>
      <c r="J283" s="565"/>
      <c r="K283" s="516">
        <v>1</v>
      </c>
      <c r="L283" s="516"/>
      <c r="M283" s="516"/>
      <c r="N283" s="516"/>
      <c r="O283" s="516"/>
      <c r="P283" s="516"/>
      <c r="Q283" s="516"/>
      <c r="R283" s="565"/>
      <c r="S283" s="565"/>
      <c r="T283" s="516"/>
      <c r="U283" s="516"/>
      <c r="V283" s="516"/>
      <c r="W283" s="516"/>
      <c r="X283" s="516"/>
      <c r="Y283" s="516"/>
      <c r="Z283" s="516"/>
      <c r="AA283" s="510" t="s">
        <v>190</v>
      </c>
    </row>
    <row r="284" spans="1:27">
      <c r="A284" s="1178">
        <v>6</v>
      </c>
      <c r="B284" s="1180" t="s">
        <v>679</v>
      </c>
      <c r="C284" s="507" t="s">
        <v>27</v>
      </c>
      <c r="D284" s="475" t="s">
        <v>27</v>
      </c>
      <c r="E284" s="503">
        <f>F284+G284</f>
        <v>2.8</v>
      </c>
      <c r="F284" s="503"/>
      <c r="G284" s="503">
        <f t="shared" si="17"/>
        <v>2.8</v>
      </c>
      <c r="H284" s="516"/>
      <c r="I284" s="516"/>
      <c r="J284" s="565">
        <v>1.8</v>
      </c>
      <c r="K284" s="516">
        <v>1</v>
      </c>
      <c r="L284" s="516"/>
      <c r="M284" s="516"/>
      <c r="N284" s="516"/>
      <c r="O284" s="516"/>
      <c r="P284" s="516"/>
      <c r="Q284" s="516"/>
      <c r="R284" s="565"/>
      <c r="S284" s="565"/>
      <c r="T284" s="516"/>
      <c r="U284" s="516"/>
      <c r="V284" s="516"/>
      <c r="W284" s="516"/>
      <c r="X284" s="516"/>
      <c r="Y284" s="516"/>
      <c r="Z284" s="516"/>
      <c r="AA284" s="574" t="s">
        <v>190</v>
      </c>
    </row>
    <row r="285" spans="1:27">
      <c r="A285" s="1222"/>
      <c r="B285" s="1223"/>
      <c r="C285" s="507" t="s">
        <v>13</v>
      </c>
      <c r="D285" s="475" t="s">
        <v>13</v>
      </c>
      <c r="E285" s="503">
        <f t="shared" ref="E285:E287" si="18">F285+G285</f>
        <v>1.8</v>
      </c>
      <c r="F285" s="503">
        <v>1.8</v>
      </c>
      <c r="G285" s="503">
        <f t="shared" si="17"/>
        <v>0</v>
      </c>
      <c r="H285" s="516"/>
      <c r="I285" s="516"/>
      <c r="J285" s="565"/>
      <c r="K285" s="516"/>
      <c r="L285" s="516"/>
      <c r="M285" s="516"/>
      <c r="N285" s="516"/>
      <c r="O285" s="516"/>
      <c r="P285" s="516"/>
      <c r="Q285" s="516"/>
      <c r="R285" s="565"/>
      <c r="S285" s="565"/>
      <c r="T285" s="516"/>
      <c r="U285" s="516"/>
      <c r="V285" s="516"/>
      <c r="W285" s="516"/>
      <c r="X285" s="516"/>
      <c r="Y285" s="516"/>
      <c r="Z285" s="516"/>
      <c r="AA285" s="574" t="s">
        <v>190</v>
      </c>
    </row>
    <row r="286" spans="1:27">
      <c r="A286" s="1222"/>
      <c r="B286" s="1223"/>
      <c r="C286" s="507" t="s">
        <v>15</v>
      </c>
      <c r="D286" s="475" t="s">
        <v>15</v>
      </c>
      <c r="E286" s="503">
        <f t="shared" si="18"/>
        <v>8.6999999999999993</v>
      </c>
      <c r="F286" s="503">
        <v>8.6999999999999993</v>
      </c>
      <c r="G286" s="503">
        <f t="shared" si="17"/>
        <v>0</v>
      </c>
      <c r="H286" s="516"/>
      <c r="I286" s="516"/>
      <c r="J286" s="565"/>
      <c r="K286" s="516"/>
      <c r="L286" s="516"/>
      <c r="M286" s="516"/>
      <c r="N286" s="516"/>
      <c r="O286" s="516"/>
      <c r="P286" s="516"/>
      <c r="Q286" s="516"/>
      <c r="R286" s="565"/>
      <c r="S286" s="565"/>
      <c r="T286" s="516"/>
      <c r="U286" s="516"/>
      <c r="V286" s="516"/>
      <c r="W286" s="516"/>
      <c r="X286" s="516"/>
      <c r="Y286" s="516"/>
      <c r="Z286" s="516"/>
      <c r="AA286" s="574" t="s">
        <v>190</v>
      </c>
    </row>
    <row r="287" spans="1:27">
      <c r="A287" s="1210"/>
      <c r="B287" s="1224"/>
      <c r="C287" s="507" t="s">
        <v>78</v>
      </c>
      <c r="D287" s="475" t="s">
        <v>78</v>
      </c>
      <c r="E287" s="503">
        <f t="shared" si="18"/>
        <v>0.7</v>
      </c>
      <c r="F287" s="503"/>
      <c r="G287" s="503">
        <f t="shared" si="17"/>
        <v>0.7</v>
      </c>
      <c r="H287" s="516"/>
      <c r="I287" s="516"/>
      <c r="J287" s="565">
        <v>0.7</v>
      </c>
      <c r="K287" s="516"/>
      <c r="L287" s="516"/>
      <c r="M287" s="516"/>
      <c r="N287" s="516"/>
      <c r="O287" s="516"/>
      <c r="P287" s="516"/>
      <c r="Q287" s="516"/>
      <c r="R287" s="565"/>
      <c r="S287" s="565"/>
      <c r="T287" s="516"/>
      <c r="U287" s="516"/>
      <c r="V287" s="516"/>
      <c r="W287" s="516"/>
      <c r="X287" s="516"/>
      <c r="Y287" s="516"/>
      <c r="Z287" s="516"/>
      <c r="AA287" s="574" t="s">
        <v>190</v>
      </c>
    </row>
    <row r="288" spans="1:27">
      <c r="A288" s="1178">
        <v>7</v>
      </c>
      <c r="B288" s="1180" t="s">
        <v>680</v>
      </c>
      <c r="C288" s="507" t="s">
        <v>27</v>
      </c>
      <c r="D288" s="475" t="s">
        <v>27</v>
      </c>
      <c r="E288" s="503">
        <f>F288+G288</f>
        <v>3.4</v>
      </c>
      <c r="F288" s="503"/>
      <c r="G288" s="503">
        <f t="shared" si="17"/>
        <v>3.4</v>
      </c>
      <c r="H288" s="516"/>
      <c r="I288" s="516"/>
      <c r="J288" s="565">
        <v>1</v>
      </c>
      <c r="K288" s="516">
        <v>2.4</v>
      </c>
      <c r="L288" s="516"/>
      <c r="M288" s="516"/>
      <c r="N288" s="516"/>
      <c r="O288" s="516"/>
      <c r="P288" s="516"/>
      <c r="Q288" s="516"/>
      <c r="R288" s="565"/>
      <c r="S288" s="565"/>
      <c r="T288" s="516"/>
      <c r="U288" s="516"/>
      <c r="V288" s="516"/>
      <c r="W288" s="516"/>
      <c r="X288" s="516"/>
      <c r="Y288" s="516"/>
      <c r="Z288" s="516"/>
      <c r="AA288" s="574" t="s">
        <v>190</v>
      </c>
    </row>
    <row r="289" spans="1:27">
      <c r="A289" s="1222"/>
      <c r="B289" s="1223"/>
      <c r="C289" s="507" t="s">
        <v>13</v>
      </c>
      <c r="D289" s="475" t="s">
        <v>13</v>
      </c>
      <c r="E289" s="503">
        <f t="shared" ref="E289:E291" si="19">F289+G289</f>
        <v>1.5</v>
      </c>
      <c r="F289" s="503">
        <v>1.5</v>
      </c>
      <c r="G289" s="503">
        <f t="shared" si="17"/>
        <v>0</v>
      </c>
      <c r="H289" s="516"/>
      <c r="I289" s="516"/>
      <c r="J289" s="565"/>
      <c r="K289" s="516"/>
      <c r="L289" s="516"/>
      <c r="M289" s="516"/>
      <c r="N289" s="516"/>
      <c r="O289" s="516"/>
      <c r="P289" s="516"/>
      <c r="Q289" s="516"/>
      <c r="R289" s="565"/>
      <c r="S289" s="565"/>
      <c r="T289" s="516"/>
      <c r="U289" s="516"/>
      <c r="V289" s="516"/>
      <c r="W289" s="516"/>
      <c r="X289" s="516"/>
      <c r="Y289" s="516"/>
      <c r="Z289" s="516"/>
      <c r="AA289" s="574" t="s">
        <v>190</v>
      </c>
    </row>
    <row r="290" spans="1:27">
      <c r="A290" s="1222"/>
      <c r="B290" s="1223"/>
      <c r="C290" s="507" t="s">
        <v>15</v>
      </c>
      <c r="D290" s="475" t="s">
        <v>15</v>
      </c>
      <c r="E290" s="503">
        <f t="shared" si="19"/>
        <v>11.25</v>
      </c>
      <c r="F290" s="503">
        <v>11.25</v>
      </c>
      <c r="G290" s="503">
        <f t="shared" si="17"/>
        <v>0</v>
      </c>
      <c r="H290" s="516"/>
      <c r="I290" s="516"/>
      <c r="J290" s="565"/>
      <c r="K290" s="516"/>
      <c r="L290" s="516"/>
      <c r="M290" s="516"/>
      <c r="N290" s="516"/>
      <c r="O290" s="516"/>
      <c r="P290" s="516"/>
      <c r="Q290" s="516"/>
      <c r="R290" s="565"/>
      <c r="S290" s="565"/>
      <c r="T290" s="516"/>
      <c r="U290" s="516"/>
      <c r="V290" s="516"/>
      <c r="W290" s="516"/>
      <c r="X290" s="516"/>
      <c r="Y290" s="516"/>
      <c r="Z290" s="516"/>
      <c r="AA290" s="574" t="s">
        <v>190</v>
      </c>
    </row>
    <row r="291" spans="1:27">
      <c r="A291" s="1210"/>
      <c r="B291" s="1224"/>
      <c r="C291" s="507" t="s">
        <v>78</v>
      </c>
      <c r="D291" s="475" t="s">
        <v>78</v>
      </c>
      <c r="E291" s="503">
        <f t="shared" si="19"/>
        <v>0.85</v>
      </c>
      <c r="F291" s="503"/>
      <c r="G291" s="503">
        <f t="shared" si="17"/>
        <v>0.85</v>
      </c>
      <c r="H291" s="516"/>
      <c r="I291" s="516"/>
      <c r="J291" s="565"/>
      <c r="K291" s="516">
        <v>0.85</v>
      </c>
      <c r="L291" s="516"/>
      <c r="M291" s="516"/>
      <c r="N291" s="516"/>
      <c r="O291" s="516"/>
      <c r="P291" s="516"/>
      <c r="Q291" s="516"/>
      <c r="R291" s="565"/>
      <c r="S291" s="565"/>
      <c r="T291" s="516"/>
      <c r="U291" s="516"/>
      <c r="V291" s="516"/>
      <c r="W291" s="516"/>
      <c r="X291" s="516"/>
      <c r="Y291" s="516"/>
      <c r="Z291" s="516"/>
      <c r="AA291" s="574" t="s">
        <v>190</v>
      </c>
    </row>
    <row r="292" spans="1:27" ht="31.5" customHeight="1">
      <c r="A292" s="1178">
        <v>8</v>
      </c>
      <c r="B292" s="1225" t="s">
        <v>681</v>
      </c>
      <c r="C292" s="508" t="s">
        <v>27</v>
      </c>
      <c r="D292" s="561" t="s">
        <v>27</v>
      </c>
      <c r="E292" s="503">
        <f t="shared" si="13"/>
        <v>4.4000000000000004</v>
      </c>
      <c r="F292" s="503"/>
      <c r="G292" s="503">
        <f t="shared" si="17"/>
        <v>4.4000000000000004</v>
      </c>
      <c r="H292" s="503"/>
      <c r="I292" s="503"/>
      <c r="J292" s="509"/>
      <c r="K292" s="503">
        <v>4.4000000000000004</v>
      </c>
      <c r="L292" s="503"/>
      <c r="M292" s="503"/>
      <c r="N292" s="503"/>
      <c r="O292" s="503"/>
      <c r="P292" s="503"/>
      <c r="Q292" s="503"/>
      <c r="R292" s="509"/>
      <c r="S292" s="509"/>
      <c r="T292" s="503"/>
      <c r="U292" s="503"/>
      <c r="V292" s="503"/>
      <c r="W292" s="503"/>
      <c r="X292" s="503"/>
      <c r="Y292" s="503"/>
      <c r="Z292" s="503"/>
      <c r="AA292" s="510" t="s">
        <v>171</v>
      </c>
    </row>
    <row r="293" spans="1:27">
      <c r="A293" s="1222"/>
      <c r="B293" s="1226"/>
      <c r="C293" s="507" t="s">
        <v>13</v>
      </c>
      <c r="D293" s="475" t="s">
        <v>13</v>
      </c>
      <c r="E293" s="503">
        <f t="shared" si="13"/>
        <v>6.5</v>
      </c>
      <c r="F293" s="503"/>
      <c r="G293" s="503">
        <f t="shared" si="17"/>
        <v>6.5</v>
      </c>
      <c r="H293" s="503"/>
      <c r="I293" s="503"/>
      <c r="J293" s="509"/>
      <c r="K293" s="503">
        <v>6.5</v>
      </c>
      <c r="L293" s="503"/>
      <c r="M293" s="503"/>
      <c r="N293" s="503"/>
      <c r="O293" s="503"/>
      <c r="P293" s="503"/>
      <c r="Q293" s="503"/>
      <c r="R293" s="509"/>
      <c r="S293" s="509"/>
      <c r="T293" s="503"/>
      <c r="U293" s="503"/>
      <c r="V293" s="503"/>
      <c r="W293" s="503"/>
      <c r="X293" s="503"/>
      <c r="Y293" s="503"/>
      <c r="Z293" s="503"/>
      <c r="AA293" s="510" t="s">
        <v>171</v>
      </c>
    </row>
    <row r="294" spans="1:27">
      <c r="A294" s="1222"/>
      <c r="B294" s="1226"/>
      <c r="C294" s="507" t="s">
        <v>15</v>
      </c>
      <c r="D294" s="475" t="s">
        <v>15</v>
      </c>
      <c r="E294" s="503">
        <f t="shared" si="13"/>
        <v>10</v>
      </c>
      <c r="F294" s="503">
        <v>10</v>
      </c>
      <c r="G294" s="503">
        <f t="shared" si="17"/>
        <v>0</v>
      </c>
      <c r="H294" s="503"/>
      <c r="I294" s="503"/>
      <c r="J294" s="509"/>
      <c r="K294" s="503"/>
      <c r="L294" s="503"/>
      <c r="M294" s="503"/>
      <c r="N294" s="503"/>
      <c r="O294" s="503"/>
      <c r="P294" s="503"/>
      <c r="Q294" s="503"/>
      <c r="R294" s="509"/>
      <c r="S294" s="509"/>
      <c r="T294" s="503"/>
      <c r="U294" s="503"/>
      <c r="V294" s="503"/>
      <c r="W294" s="503"/>
      <c r="X294" s="503"/>
      <c r="Y294" s="503"/>
      <c r="Z294" s="503"/>
      <c r="AA294" s="510" t="s">
        <v>171</v>
      </c>
    </row>
    <row r="295" spans="1:27">
      <c r="A295" s="1210"/>
      <c r="B295" s="1227"/>
      <c r="C295" s="507" t="s">
        <v>78</v>
      </c>
      <c r="D295" s="475" t="s">
        <v>78</v>
      </c>
      <c r="E295" s="503">
        <f t="shared" si="13"/>
        <v>1.1000000000000001</v>
      </c>
      <c r="F295" s="503"/>
      <c r="G295" s="503">
        <f t="shared" si="17"/>
        <v>1.1000000000000001</v>
      </c>
      <c r="H295" s="503"/>
      <c r="I295" s="503"/>
      <c r="J295" s="509"/>
      <c r="K295" s="503">
        <v>1.1000000000000001</v>
      </c>
      <c r="L295" s="503"/>
      <c r="M295" s="503"/>
      <c r="N295" s="503"/>
      <c r="O295" s="503"/>
      <c r="P295" s="503"/>
      <c r="Q295" s="503"/>
      <c r="R295" s="509"/>
      <c r="S295" s="509"/>
      <c r="T295" s="503"/>
      <c r="U295" s="503"/>
      <c r="V295" s="503"/>
      <c r="W295" s="503"/>
      <c r="X295" s="503"/>
      <c r="Y295" s="503"/>
      <c r="Z295" s="503"/>
      <c r="AA295" s="510" t="s">
        <v>171</v>
      </c>
    </row>
    <row r="296" spans="1:27" ht="31.5" customHeight="1">
      <c r="A296" s="1178">
        <v>9</v>
      </c>
      <c r="B296" s="1225" t="s">
        <v>682</v>
      </c>
      <c r="C296" s="508" t="s">
        <v>27</v>
      </c>
      <c r="D296" s="561" t="s">
        <v>27</v>
      </c>
      <c r="E296" s="503">
        <f t="shared" si="13"/>
        <v>1.6</v>
      </c>
      <c r="F296" s="503"/>
      <c r="G296" s="503">
        <f t="shared" si="17"/>
        <v>1.6</v>
      </c>
      <c r="H296" s="503"/>
      <c r="I296" s="503"/>
      <c r="J296" s="509">
        <v>1.6</v>
      </c>
      <c r="K296" s="503"/>
      <c r="L296" s="503"/>
      <c r="M296" s="503"/>
      <c r="N296" s="503"/>
      <c r="O296" s="503"/>
      <c r="P296" s="503"/>
      <c r="Q296" s="503"/>
      <c r="R296" s="509"/>
      <c r="S296" s="509"/>
      <c r="T296" s="503"/>
      <c r="U296" s="503"/>
      <c r="V296" s="503"/>
      <c r="W296" s="503"/>
      <c r="X296" s="503"/>
      <c r="Y296" s="503"/>
      <c r="Z296" s="503"/>
      <c r="AA296" s="510" t="s">
        <v>171</v>
      </c>
    </row>
    <row r="297" spans="1:27">
      <c r="A297" s="1222"/>
      <c r="B297" s="1226"/>
      <c r="C297" s="507" t="s">
        <v>15</v>
      </c>
      <c r="D297" s="475" t="s">
        <v>15</v>
      </c>
      <c r="E297" s="503">
        <f t="shared" si="13"/>
        <v>6</v>
      </c>
      <c r="F297" s="503"/>
      <c r="G297" s="503">
        <f t="shared" si="17"/>
        <v>6</v>
      </c>
      <c r="H297" s="503"/>
      <c r="I297" s="503"/>
      <c r="J297" s="509">
        <v>6</v>
      </c>
      <c r="K297" s="503"/>
      <c r="L297" s="503"/>
      <c r="M297" s="503"/>
      <c r="N297" s="503"/>
      <c r="O297" s="503"/>
      <c r="P297" s="503"/>
      <c r="Q297" s="503"/>
      <c r="R297" s="509"/>
      <c r="S297" s="509"/>
      <c r="T297" s="503"/>
      <c r="U297" s="503"/>
      <c r="V297" s="503"/>
      <c r="W297" s="503"/>
      <c r="X297" s="503"/>
      <c r="Y297" s="503"/>
      <c r="Z297" s="503"/>
      <c r="AA297" s="510" t="s">
        <v>171</v>
      </c>
    </row>
    <row r="298" spans="1:27">
      <c r="A298" s="1210"/>
      <c r="B298" s="1227"/>
      <c r="C298" s="507" t="s">
        <v>78</v>
      </c>
      <c r="D298" s="475" t="s">
        <v>78</v>
      </c>
      <c r="E298" s="503">
        <f t="shared" si="13"/>
        <v>0.4</v>
      </c>
      <c r="F298" s="503"/>
      <c r="G298" s="503">
        <f t="shared" si="17"/>
        <v>0.4</v>
      </c>
      <c r="H298" s="503"/>
      <c r="I298" s="503"/>
      <c r="J298" s="509">
        <v>0.4</v>
      </c>
      <c r="K298" s="503"/>
      <c r="L298" s="503"/>
      <c r="M298" s="503"/>
      <c r="N298" s="503"/>
      <c r="O298" s="503"/>
      <c r="P298" s="503"/>
      <c r="Q298" s="503"/>
      <c r="R298" s="509"/>
      <c r="S298" s="509"/>
      <c r="T298" s="503"/>
      <c r="U298" s="503"/>
      <c r="V298" s="503"/>
      <c r="W298" s="503"/>
      <c r="X298" s="503"/>
      <c r="Y298" s="503"/>
      <c r="Z298" s="503"/>
      <c r="AA298" s="510" t="s">
        <v>171</v>
      </c>
    </row>
    <row r="299" spans="1:27">
      <c r="A299" s="1178">
        <v>10</v>
      </c>
      <c r="B299" s="1225" t="s">
        <v>683</v>
      </c>
      <c r="C299" s="508" t="s">
        <v>27</v>
      </c>
      <c r="D299" s="561" t="s">
        <v>27</v>
      </c>
      <c r="E299" s="503">
        <f t="shared" si="13"/>
        <v>1</v>
      </c>
      <c r="F299" s="503"/>
      <c r="G299" s="503">
        <f t="shared" si="17"/>
        <v>1</v>
      </c>
      <c r="H299" s="503"/>
      <c r="I299" s="503"/>
      <c r="J299" s="509"/>
      <c r="K299" s="503">
        <v>1</v>
      </c>
      <c r="L299" s="503"/>
      <c r="M299" s="503"/>
      <c r="N299" s="503"/>
      <c r="O299" s="503"/>
      <c r="P299" s="503"/>
      <c r="Q299" s="503"/>
      <c r="R299" s="509"/>
      <c r="S299" s="509"/>
      <c r="T299" s="503"/>
      <c r="U299" s="503"/>
      <c r="V299" s="503"/>
      <c r="W299" s="503"/>
      <c r="X299" s="503"/>
      <c r="Y299" s="503"/>
      <c r="Z299" s="503"/>
      <c r="AA299" s="510" t="s">
        <v>172</v>
      </c>
    </row>
    <row r="300" spans="1:27">
      <c r="A300" s="1222"/>
      <c r="B300" s="1226"/>
      <c r="C300" s="507" t="s">
        <v>13</v>
      </c>
      <c r="D300" s="475" t="s">
        <v>13</v>
      </c>
      <c r="E300" s="503">
        <f t="shared" si="13"/>
        <v>4.0599999999999996</v>
      </c>
      <c r="F300" s="503">
        <v>4.0599999999999996</v>
      </c>
      <c r="G300" s="503">
        <f t="shared" si="17"/>
        <v>0</v>
      </c>
      <c r="H300" s="503"/>
      <c r="I300" s="503"/>
      <c r="J300" s="509"/>
      <c r="K300" s="503"/>
      <c r="L300" s="503"/>
      <c r="M300" s="503"/>
      <c r="N300" s="503"/>
      <c r="O300" s="503"/>
      <c r="P300" s="503"/>
      <c r="Q300" s="503"/>
      <c r="R300" s="509"/>
      <c r="S300" s="509"/>
      <c r="T300" s="503"/>
      <c r="U300" s="503"/>
      <c r="V300" s="503"/>
      <c r="W300" s="503"/>
      <c r="X300" s="503"/>
      <c r="Y300" s="503"/>
      <c r="Z300" s="503"/>
      <c r="AA300" s="510" t="s">
        <v>172</v>
      </c>
    </row>
    <row r="301" spans="1:27">
      <c r="A301" s="1222"/>
      <c r="B301" s="1226"/>
      <c r="C301" s="507" t="s">
        <v>15</v>
      </c>
      <c r="D301" s="475" t="s">
        <v>15</v>
      </c>
      <c r="E301" s="503">
        <f t="shared" si="13"/>
        <v>4.4400000000000004</v>
      </c>
      <c r="F301" s="503">
        <v>4.4400000000000004</v>
      </c>
      <c r="G301" s="503">
        <f t="shared" si="17"/>
        <v>0</v>
      </c>
      <c r="H301" s="503"/>
      <c r="I301" s="503"/>
      <c r="J301" s="509"/>
      <c r="K301" s="503"/>
      <c r="L301" s="503"/>
      <c r="M301" s="503"/>
      <c r="N301" s="503"/>
      <c r="O301" s="503"/>
      <c r="P301" s="503"/>
      <c r="Q301" s="503"/>
      <c r="R301" s="509"/>
      <c r="S301" s="509"/>
      <c r="T301" s="503"/>
      <c r="U301" s="503"/>
      <c r="V301" s="503"/>
      <c r="W301" s="503"/>
      <c r="X301" s="503"/>
      <c r="Y301" s="503"/>
      <c r="Z301" s="503"/>
      <c r="AA301" s="510" t="s">
        <v>172</v>
      </c>
    </row>
    <row r="302" spans="1:27">
      <c r="A302" s="1210"/>
      <c r="B302" s="1227"/>
      <c r="C302" s="507" t="s">
        <v>78</v>
      </c>
      <c r="D302" s="475" t="s">
        <v>78</v>
      </c>
      <c r="E302" s="503">
        <f t="shared" si="13"/>
        <v>0.5</v>
      </c>
      <c r="F302" s="503"/>
      <c r="G302" s="503">
        <f t="shared" si="17"/>
        <v>0.5</v>
      </c>
      <c r="H302" s="503"/>
      <c r="I302" s="503"/>
      <c r="J302" s="509">
        <v>0.5</v>
      </c>
      <c r="K302" s="503"/>
      <c r="L302" s="503"/>
      <c r="M302" s="503"/>
      <c r="N302" s="503"/>
      <c r="O302" s="503"/>
      <c r="P302" s="503"/>
      <c r="Q302" s="503"/>
      <c r="R302" s="509"/>
      <c r="S302" s="509"/>
      <c r="T302" s="503"/>
      <c r="U302" s="503"/>
      <c r="V302" s="503"/>
      <c r="W302" s="503"/>
      <c r="X302" s="503"/>
      <c r="Y302" s="503"/>
      <c r="Z302" s="503"/>
      <c r="AA302" s="510" t="s">
        <v>172</v>
      </c>
    </row>
    <row r="303" spans="1:27">
      <c r="A303" s="1178">
        <v>11</v>
      </c>
      <c r="B303" s="1225" t="s">
        <v>684</v>
      </c>
      <c r="C303" s="508" t="s">
        <v>27</v>
      </c>
      <c r="D303" s="561" t="s">
        <v>27</v>
      </c>
      <c r="E303" s="503">
        <f t="shared" si="13"/>
        <v>1.23</v>
      </c>
      <c r="F303" s="503"/>
      <c r="G303" s="503">
        <f t="shared" si="17"/>
        <v>1.23</v>
      </c>
      <c r="H303" s="503"/>
      <c r="I303" s="503"/>
      <c r="J303" s="509">
        <f>1.3-0.07</f>
        <v>1.23</v>
      </c>
      <c r="K303" s="503"/>
      <c r="L303" s="503"/>
      <c r="M303" s="503"/>
      <c r="N303" s="503"/>
      <c r="O303" s="503"/>
      <c r="P303" s="503"/>
      <c r="Q303" s="503"/>
      <c r="R303" s="509"/>
      <c r="S303" s="509"/>
      <c r="T303" s="503"/>
      <c r="U303" s="503"/>
      <c r="V303" s="503"/>
      <c r="W303" s="503"/>
      <c r="X303" s="503"/>
      <c r="Y303" s="503"/>
      <c r="Z303" s="503"/>
      <c r="AA303" s="510" t="s">
        <v>172</v>
      </c>
    </row>
    <row r="304" spans="1:27">
      <c r="A304" s="1210"/>
      <c r="B304" s="1227"/>
      <c r="C304" s="507" t="s">
        <v>78</v>
      </c>
      <c r="D304" s="475" t="s">
        <v>78</v>
      </c>
      <c r="E304" s="503">
        <f t="shared" si="13"/>
        <v>7.0000000000000007E-2</v>
      </c>
      <c r="F304" s="503"/>
      <c r="G304" s="503">
        <f t="shared" si="17"/>
        <v>7.0000000000000007E-2</v>
      </c>
      <c r="H304" s="503"/>
      <c r="I304" s="503"/>
      <c r="J304" s="509">
        <v>7.0000000000000007E-2</v>
      </c>
      <c r="K304" s="503"/>
      <c r="L304" s="503"/>
      <c r="M304" s="503"/>
      <c r="N304" s="503"/>
      <c r="O304" s="503"/>
      <c r="P304" s="503"/>
      <c r="Q304" s="503"/>
      <c r="R304" s="509"/>
      <c r="S304" s="509"/>
      <c r="T304" s="503"/>
      <c r="U304" s="503"/>
      <c r="V304" s="503"/>
      <c r="W304" s="503"/>
      <c r="X304" s="503"/>
      <c r="Y304" s="503"/>
      <c r="Z304" s="503"/>
      <c r="AA304" s="510" t="s">
        <v>172</v>
      </c>
    </row>
    <row r="305" spans="1:27">
      <c r="A305" s="1178">
        <v>12</v>
      </c>
      <c r="B305" s="1225" t="s">
        <v>685</v>
      </c>
      <c r="C305" s="508" t="s">
        <v>27</v>
      </c>
      <c r="D305" s="561" t="s">
        <v>27</v>
      </c>
      <c r="E305" s="503">
        <f t="shared" si="13"/>
        <v>2.4</v>
      </c>
      <c r="F305" s="503"/>
      <c r="G305" s="503">
        <f t="shared" si="17"/>
        <v>2.4</v>
      </c>
      <c r="H305" s="503"/>
      <c r="I305" s="503"/>
      <c r="J305" s="509">
        <v>1</v>
      </c>
      <c r="K305" s="503">
        <v>1.4</v>
      </c>
      <c r="L305" s="503"/>
      <c r="M305" s="503"/>
      <c r="N305" s="503"/>
      <c r="O305" s="503"/>
      <c r="P305" s="503"/>
      <c r="Q305" s="503"/>
      <c r="R305" s="509"/>
      <c r="S305" s="509"/>
      <c r="T305" s="503"/>
      <c r="U305" s="503"/>
      <c r="V305" s="503"/>
      <c r="W305" s="503"/>
      <c r="X305" s="503"/>
      <c r="Y305" s="503"/>
      <c r="Z305" s="503"/>
      <c r="AA305" s="510" t="s">
        <v>172</v>
      </c>
    </row>
    <row r="306" spans="1:27">
      <c r="A306" s="1222"/>
      <c r="B306" s="1226"/>
      <c r="C306" s="507" t="s">
        <v>13</v>
      </c>
      <c r="D306" s="475" t="s">
        <v>13</v>
      </c>
      <c r="E306" s="503">
        <f t="shared" si="13"/>
        <v>4.6999999999999993</v>
      </c>
      <c r="F306" s="503">
        <f>6.3-1.6</f>
        <v>4.6999999999999993</v>
      </c>
      <c r="G306" s="503">
        <f t="shared" si="17"/>
        <v>0</v>
      </c>
      <c r="H306" s="503"/>
      <c r="I306" s="503"/>
      <c r="J306" s="509"/>
      <c r="K306" s="503"/>
      <c r="L306" s="503"/>
      <c r="M306" s="503"/>
      <c r="N306" s="503"/>
      <c r="O306" s="503"/>
      <c r="P306" s="503"/>
      <c r="Q306" s="503"/>
      <c r="R306" s="509"/>
      <c r="S306" s="509"/>
      <c r="T306" s="503"/>
      <c r="U306" s="503"/>
      <c r="V306" s="503"/>
      <c r="W306" s="503"/>
      <c r="X306" s="503"/>
      <c r="Y306" s="503"/>
      <c r="Z306" s="503"/>
      <c r="AA306" s="510" t="s">
        <v>172</v>
      </c>
    </row>
    <row r="307" spans="1:27">
      <c r="A307" s="1222"/>
      <c r="B307" s="1226"/>
      <c r="C307" s="507" t="s">
        <v>15</v>
      </c>
      <c r="D307" s="475" t="s">
        <v>15</v>
      </c>
      <c r="E307" s="503">
        <f t="shared" si="13"/>
        <v>4.3000000000000007</v>
      </c>
      <c r="F307" s="503">
        <f>5.7-1.4</f>
        <v>4.3000000000000007</v>
      </c>
      <c r="G307" s="503">
        <f t="shared" si="17"/>
        <v>0</v>
      </c>
      <c r="H307" s="503"/>
      <c r="I307" s="503"/>
      <c r="J307" s="509"/>
      <c r="K307" s="503"/>
      <c r="L307" s="503"/>
      <c r="M307" s="503"/>
      <c r="N307" s="503"/>
      <c r="O307" s="503"/>
      <c r="P307" s="503"/>
      <c r="Q307" s="503"/>
      <c r="R307" s="509"/>
      <c r="S307" s="509"/>
      <c r="T307" s="503"/>
      <c r="U307" s="503"/>
      <c r="V307" s="503"/>
      <c r="W307" s="503"/>
      <c r="X307" s="503"/>
      <c r="Y307" s="503"/>
      <c r="Z307" s="503"/>
      <c r="AA307" s="510" t="s">
        <v>172</v>
      </c>
    </row>
    <row r="308" spans="1:27">
      <c r="A308" s="1210"/>
      <c r="B308" s="1227"/>
      <c r="C308" s="507" t="s">
        <v>78</v>
      </c>
      <c r="D308" s="475" t="s">
        <v>78</v>
      </c>
      <c r="E308" s="503">
        <f t="shared" si="13"/>
        <v>0.6</v>
      </c>
      <c r="F308" s="503"/>
      <c r="G308" s="503">
        <f t="shared" si="17"/>
        <v>0.6</v>
      </c>
      <c r="H308" s="503"/>
      <c r="I308" s="503"/>
      <c r="J308" s="509">
        <v>0.6</v>
      </c>
      <c r="K308" s="503"/>
      <c r="L308" s="503"/>
      <c r="M308" s="503"/>
      <c r="N308" s="503"/>
      <c r="O308" s="503"/>
      <c r="P308" s="503"/>
      <c r="Q308" s="503"/>
      <c r="R308" s="509"/>
      <c r="S308" s="509"/>
      <c r="T308" s="503"/>
      <c r="U308" s="503"/>
      <c r="V308" s="503"/>
      <c r="W308" s="503"/>
      <c r="X308" s="503"/>
      <c r="Y308" s="503"/>
      <c r="Z308" s="503"/>
      <c r="AA308" s="510" t="s">
        <v>172</v>
      </c>
    </row>
    <row r="309" spans="1:27">
      <c r="A309" s="1178">
        <v>13</v>
      </c>
      <c r="B309" s="1225" t="s">
        <v>686</v>
      </c>
      <c r="C309" s="508" t="s">
        <v>27</v>
      </c>
      <c r="D309" s="561" t="s">
        <v>27</v>
      </c>
      <c r="E309" s="503">
        <f t="shared" si="13"/>
        <v>7.4</v>
      </c>
      <c r="F309" s="503"/>
      <c r="G309" s="503">
        <f t="shared" si="17"/>
        <v>7.4</v>
      </c>
      <c r="H309" s="503"/>
      <c r="I309" s="503"/>
      <c r="J309" s="509">
        <v>3</v>
      </c>
      <c r="K309" s="503">
        <v>4.4000000000000004</v>
      </c>
      <c r="L309" s="503"/>
      <c r="M309" s="503"/>
      <c r="N309" s="503"/>
      <c r="O309" s="503"/>
      <c r="P309" s="503"/>
      <c r="Q309" s="503"/>
      <c r="R309" s="509"/>
      <c r="S309" s="509"/>
      <c r="T309" s="503"/>
      <c r="U309" s="503"/>
      <c r="V309" s="503"/>
      <c r="W309" s="503"/>
      <c r="X309" s="503"/>
      <c r="Y309" s="503"/>
      <c r="Z309" s="503"/>
      <c r="AA309" s="510" t="s">
        <v>172</v>
      </c>
    </row>
    <row r="310" spans="1:27">
      <c r="A310" s="1222"/>
      <c r="B310" s="1226"/>
      <c r="C310" s="507" t="s">
        <v>13</v>
      </c>
      <c r="D310" s="475" t="s">
        <v>13</v>
      </c>
      <c r="E310" s="503">
        <f t="shared" si="13"/>
        <v>10.15</v>
      </c>
      <c r="F310" s="503">
        <f>15-4.85</f>
        <v>10.15</v>
      </c>
      <c r="G310" s="503">
        <f t="shared" si="17"/>
        <v>0</v>
      </c>
      <c r="H310" s="503"/>
      <c r="I310" s="503"/>
      <c r="J310" s="509"/>
      <c r="K310" s="503"/>
      <c r="L310" s="503"/>
      <c r="M310" s="503"/>
      <c r="N310" s="503"/>
      <c r="O310" s="503"/>
      <c r="P310" s="503"/>
      <c r="Q310" s="503"/>
      <c r="R310" s="509"/>
      <c r="S310" s="509"/>
      <c r="T310" s="503"/>
      <c r="U310" s="503"/>
      <c r="V310" s="503"/>
      <c r="W310" s="503"/>
      <c r="X310" s="503"/>
      <c r="Y310" s="503"/>
      <c r="Z310" s="503"/>
      <c r="AA310" s="510" t="s">
        <v>172</v>
      </c>
    </row>
    <row r="311" spans="1:27">
      <c r="A311" s="1222"/>
      <c r="B311" s="1226"/>
      <c r="C311" s="507" t="s">
        <v>15</v>
      </c>
      <c r="D311" s="475" t="s">
        <v>15</v>
      </c>
      <c r="E311" s="503">
        <f t="shared" si="13"/>
        <v>17.600000000000001</v>
      </c>
      <c r="F311" s="503">
        <f>22-4.4</f>
        <v>17.600000000000001</v>
      </c>
      <c r="G311" s="503">
        <f t="shared" si="17"/>
        <v>0</v>
      </c>
      <c r="H311" s="503"/>
      <c r="I311" s="503"/>
      <c r="J311" s="509"/>
      <c r="K311" s="503"/>
      <c r="L311" s="503"/>
      <c r="M311" s="503"/>
      <c r="N311" s="503"/>
      <c r="O311" s="503"/>
      <c r="P311" s="503"/>
      <c r="Q311" s="503"/>
      <c r="R311" s="509"/>
      <c r="S311" s="509"/>
      <c r="T311" s="503"/>
      <c r="U311" s="503"/>
      <c r="V311" s="503"/>
      <c r="W311" s="503"/>
      <c r="X311" s="503"/>
      <c r="Y311" s="503"/>
      <c r="Z311" s="503"/>
      <c r="AA311" s="510" t="s">
        <v>172</v>
      </c>
    </row>
    <row r="312" spans="1:27">
      <c r="A312" s="1210"/>
      <c r="B312" s="1227"/>
      <c r="C312" s="507" t="s">
        <v>78</v>
      </c>
      <c r="D312" s="475" t="s">
        <v>78</v>
      </c>
      <c r="E312" s="503">
        <f t="shared" si="13"/>
        <v>1.85</v>
      </c>
      <c r="F312" s="503"/>
      <c r="G312" s="503">
        <f t="shared" si="17"/>
        <v>1.85</v>
      </c>
      <c r="H312" s="503"/>
      <c r="I312" s="503"/>
      <c r="J312" s="509">
        <v>1.85</v>
      </c>
      <c r="K312" s="503"/>
      <c r="L312" s="503"/>
      <c r="M312" s="503"/>
      <c r="N312" s="503"/>
      <c r="O312" s="503"/>
      <c r="P312" s="503"/>
      <c r="Q312" s="503"/>
      <c r="R312" s="509"/>
      <c r="S312" s="509"/>
      <c r="T312" s="503"/>
      <c r="U312" s="503"/>
      <c r="V312" s="503"/>
      <c r="W312" s="503"/>
      <c r="X312" s="503"/>
      <c r="Y312" s="503"/>
      <c r="Z312" s="503"/>
      <c r="AA312" s="510" t="s">
        <v>172</v>
      </c>
    </row>
    <row r="313" spans="1:27">
      <c r="A313" s="1178">
        <v>14</v>
      </c>
      <c r="B313" s="1225" t="s">
        <v>687</v>
      </c>
      <c r="C313" s="507" t="s">
        <v>27</v>
      </c>
      <c r="D313" s="475" t="s">
        <v>27</v>
      </c>
      <c r="E313" s="503">
        <f t="shared" si="13"/>
        <v>3.8</v>
      </c>
      <c r="F313" s="503"/>
      <c r="G313" s="503">
        <f t="shared" ref="G313:G315" si="20">H313+SUM(J313:Z313)</f>
        <v>3.8</v>
      </c>
      <c r="H313" s="503"/>
      <c r="I313" s="503"/>
      <c r="J313" s="509">
        <v>3.8</v>
      </c>
      <c r="K313" s="503"/>
      <c r="L313" s="503"/>
      <c r="M313" s="503"/>
      <c r="N313" s="503"/>
      <c r="O313" s="503"/>
      <c r="P313" s="503"/>
      <c r="Q313" s="503"/>
      <c r="R313" s="509"/>
      <c r="S313" s="509"/>
      <c r="T313" s="503"/>
      <c r="U313" s="503"/>
      <c r="V313" s="503"/>
      <c r="W313" s="503"/>
      <c r="X313" s="503"/>
      <c r="Y313" s="503"/>
      <c r="Z313" s="503"/>
      <c r="AA313" s="510" t="s">
        <v>172</v>
      </c>
    </row>
    <row r="314" spans="1:27">
      <c r="A314" s="1222"/>
      <c r="B314" s="1226"/>
      <c r="C314" s="507" t="s">
        <v>78</v>
      </c>
      <c r="D314" s="475" t="s">
        <v>78</v>
      </c>
      <c r="E314" s="503">
        <f t="shared" si="13"/>
        <v>1</v>
      </c>
      <c r="F314" s="503"/>
      <c r="G314" s="503">
        <f t="shared" si="20"/>
        <v>1</v>
      </c>
      <c r="H314" s="503"/>
      <c r="I314" s="503"/>
      <c r="J314" s="509">
        <v>1</v>
      </c>
      <c r="K314" s="503"/>
      <c r="L314" s="503"/>
      <c r="M314" s="503"/>
      <c r="N314" s="503"/>
      <c r="O314" s="503"/>
      <c r="P314" s="503"/>
      <c r="Q314" s="503"/>
      <c r="R314" s="509"/>
      <c r="S314" s="509"/>
      <c r="T314" s="503"/>
      <c r="U314" s="503"/>
      <c r="V314" s="503"/>
      <c r="W314" s="503"/>
      <c r="X314" s="503"/>
      <c r="Y314" s="503"/>
      <c r="Z314" s="503"/>
      <c r="AA314" s="510" t="s">
        <v>172</v>
      </c>
    </row>
    <row r="315" spans="1:27">
      <c r="A315" s="1210"/>
      <c r="B315" s="1227"/>
      <c r="C315" s="507" t="s">
        <v>15</v>
      </c>
      <c r="D315" s="475" t="s">
        <v>15</v>
      </c>
      <c r="E315" s="503">
        <f t="shared" si="13"/>
        <v>14.2</v>
      </c>
      <c r="F315" s="503"/>
      <c r="G315" s="503">
        <f t="shared" si="20"/>
        <v>14.2</v>
      </c>
      <c r="H315" s="503"/>
      <c r="I315" s="503"/>
      <c r="J315" s="509">
        <v>14.2</v>
      </c>
      <c r="K315" s="503"/>
      <c r="L315" s="503"/>
      <c r="M315" s="503"/>
      <c r="N315" s="503"/>
      <c r="O315" s="503"/>
      <c r="P315" s="503"/>
      <c r="Q315" s="503"/>
      <c r="R315" s="509"/>
      <c r="S315" s="509"/>
      <c r="T315" s="503"/>
      <c r="U315" s="503"/>
      <c r="V315" s="503"/>
      <c r="W315" s="503"/>
      <c r="X315" s="503"/>
      <c r="Y315" s="503"/>
      <c r="Z315" s="503"/>
      <c r="AA315" s="510" t="s">
        <v>172</v>
      </c>
    </row>
    <row r="316" spans="1:27" ht="31.5">
      <c r="A316" s="592">
        <v>15</v>
      </c>
      <c r="B316" s="562" t="s">
        <v>686</v>
      </c>
      <c r="C316" s="508" t="s">
        <v>27</v>
      </c>
      <c r="D316" s="561" t="s">
        <v>27</v>
      </c>
      <c r="E316" s="503">
        <f t="shared" si="13"/>
        <v>2.4</v>
      </c>
      <c r="F316" s="503"/>
      <c r="G316" s="503">
        <f t="shared" ref="G316:G317" si="21">H316+SUM(J316:Z316)</f>
        <v>2.4</v>
      </c>
      <c r="H316" s="503"/>
      <c r="I316" s="503"/>
      <c r="J316" s="509">
        <v>2.4</v>
      </c>
      <c r="K316" s="503"/>
      <c r="L316" s="503"/>
      <c r="M316" s="503"/>
      <c r="N316" s="503"/>
      <c r="O316" s="503"/>
      <c r="P316" s="503"/>
      <c r="Q316" s="503"/>
      <c r="R316" s="509"/>
      <c r="S316" s="509"/>
      <c r="T316" s="503"/>
      <c r="U316" s="503"/>
      <c r="V316" s="503"/>
      <c r="W316" s="503"/>
      <c r="X316" s="503"/>
      <c r="Y316" s="503"/>
      <c r="Z316" s="503"/>
      <c r="AA316" s="510" t="s">
        <v>172</v>
      </c>
    </row>
    <row r="317" spans="1:27" ht="31.5">
      <c r="A317" s="500">
        <v>16</v>
      </c>
      <c r="B317" s="560" t="s">
        <v>686</v>
      </c>
      <c r="C317" s="508" t="s">
        <v>27</v>
      </c>
      <c r="D317" s="561" t="s">
        <v>27</v>
      </c>
      <c r="E317" s="503">
        <f t="shared" si="13"/>
        <v>0.6</v>
      </c>
      <c r="F317" s="503"/>
      <c r="G317" s="503">
        <f t="shared" si="21"/>
        <v>0.6</v>
      </c>
      <c r="H317" s="503"/>
      <c r="I317" s="503"/>
      <c r="J317" s="509">
        <v>0.6</v>
      </c>
      <c r="K317" s="503"/>
      <c r="L317" s="503"/>
      <c r="M317" s="503"/>
      <c r="N317" s="503"/>
      <c r="O317" s="503"/>
      <c r="P317" s="503"/>
      <c r="Q317" s="503"/>
      <c r="R317" s="509"/>
      <c r="S317" s="509"/>
      <c r="T317" s="503"/>
      <c r="U317" s="503"/>
      <c r="V317" s="503"/>
      <c r="W317" s="503"/>
      <c r="X317" s="503"/>
      <c r="Y317" s="503"/>
      <c r="Z317" s="503"/>
      <c r="AA317" s="510" t="s">
        <v>197</v>
      </c>
    </row>
    <row r="318" spans="1:27">
      <c r="A318" s="1178">
        <v>17</v>
      </c>
      <c r="B318" s="1225" t="s">
        <v>686</v>
      </c>
      <c r="C318" s="508" t="s">
        <v>27</v>
      </c>
      <c r="D318" s="561" t="s">
        <v>27</v>
      </c>
      <c r="E318" s="503">
        <f t="shared" si="13"/>
        <v>4.5999999999999996</v>
      </c>
      <c r="F318" s="503"/>
      <c r="G318" s="503">
        <f t="shared" si="17"/>
        <v>4.5999999999999996</v>
      </c>
      <c r="H318" s="503"/>
      <c r="I318" s="503"/>
      <c r="J318" s="509">
        <v>4.5999999999999996</v>
      </c>
      <c r="K318" s="503"/>
      <c r="L318" s="503"/>
      <c r="M318" s="503"/>
      <c r="N318" s="503"/>
      <c r="O318" s="503"/>
      <c r="P318" s="503"/>
      <c r="Q318" s="503"/>
      <c r="R318" s="509"/>
      <c r="S318" s="509"/>
      <c r="T318" s="503"/>
      <c r="U318" s="503"/>
      <c r="V318" s="503"/>
      <c r="W318" s="503"/>
      <c r="X318" s="503"/>
      <c r="Y318" s="503"/>
      <c r="Z318" s="503"/>
      <c r="AA318" s="510" t="s">
        <v>174</v>
      </c>
    </row>
    <row r="319" spans="1:27">
      <c r="A319" s="1222"/>
      <c r="B319" s="1226"/>
      <c r="C319" s="507" t="s">
        <v>13</v>
      </c>
      <c r="D319" s="475" t="s">
        <v>13</v>
      </c>
      <c r="E319" s="503">
        <f t="shared" si="13"/>
        <v>9.25</v>
      </c>
      <c r="F319" s="503">
        <f>15-5.75</f>
        <v>9.25</v>
      </c>
      <c r="G319" s="503">
        <f t="shared" si="17"/>
        <v>0</v>
      </c>
      <c r="H319" s="503"/>
      <c r="I319" s="503"/>
      <c r="J319" s="509"/>
      <c r="K319" s="503"/>
      <c r="L319" s="503"/>
      <c r="M319" s="503"/>
      <c r="N319" s="503"/>
      <c r="O319" s="503"/>
      <c r="P319" s="503"/>
      <c r="Q319" s="503"/>
      <c r="R319" s="509"/>
      <c r="S319" s="509"/>
      <c r="T319" s="503"/>
      <c r="U319" s="503"/>
      <c r="V319" s="503"/>
      <c r="W319" s="503"/>
      <c r="X319" s="503"/>
      <c r="Y319" s="503"/>
      <c r="Z319" s="503"/>
      <c r="AA319" s="510" t="s">
        <v>174</v>
      </c>
    </row>
    <row r="320" spans="1:27">
      <c r="A320" s="1222"/>
      <c r="B320" s="1226"/>
      <c r="C320" s="507" t="s">
        <v>15</v>
      </c>
      <c r="D320" s="475" t="s">
        <v>15</v>
      </c>
      <c r="E320" s="503">
        <f t="shared" si="13"/>
        <v>8</v>
      </c>
      <c r="F320" s="503">
        <v>8</v>
      </c>
      <c r="G320" s="503">
        <f t="shared" si="17"/>
        <v>0</v>
      </c>
      <c r="H320" s="503"/>
      <c r="I320" s="503"/>
      <c r="J320" s="509"/>
      <c r="K320" s="503"/>
      <c r="L320" s="503"/>
      <c r="M320" s="503"/>
      <c r="N320" s="503"/>
      <c r="O320" s="503"/>
      <c r="P320" s="503"/>
      <c r="Q320" s="503"/>
      <c r="R320" s="509"/>
      <c r="S320" s="509"/>
      <c r="T320" s="503"/>
      <c r="U320" s="503"/>
      <c r="V320" s="503"/>
      <c r="W320" s="503"/>
      <c r="X320" s="503"/>
      <c r="Y320" s="503"/>
      <c r="Z320" s="503"/>
      <c r="AA320" s="510" t="s">
        <v>174</v>
      </c>
    </row>
    <row r="321" spans="1:27">
      <c r="A321" s="1210"/>
      <c r="B321" s="1227"/>
      <c r="C321" s="507" t="s">
        <v>78</v>
      </c>
      <c r="D321" s="475" t="s">
        <v>78</v>
      </c>
      <c r="E321" s="503">
        <f t="shared" si="13"/>
        <v>1.1499999999999999</v>
      </c>
      <c r="F321" s="503"/>
      <c r="G321" s="503">
        <f t="shared" si="17"/>
        <v>1.1499999999999999</v>
      </c>
      <c r="H321" s="503"/>
      <c r="I321" s="503"/>
      <c r="J321" s="509">
        <v>1.1499999999999999</v>
      </c>
      <c r="K321" s="503"/>
      <c r="L321" s="503"/>
      <c r="M321" s="503"/>
      <c r="N321" s="503"/>
      <c r="O321" s="503"/>
      <c r="P321" s="503"/>
      <c r="Q321" s="503"/>
      <c r="R321" s="509"/>
      <c r="S321" s="509"/>
      <c r="T321" s="503"/>
      <c r="U321" s="503"/>
      <c r="V321" s="503"/>
      <c r="W321" s="503"/>
      <c r="X321" s="503"/>
      <c r="Y321" s="503"/>
      <c r="Z321" s="503"/>
      <c r="AA321" s="510" t="s">
        <v>174</v>
      </c>
    </row>
    <row r="322" spans="1:27">
      <c r="A322" s="1178">
        <v>18</v>
      </c>
      <c r="B322" s="1225" t="s">
        <v>686</v>
      </c>
      <c r="C322" s="507" t="s">
        <v>27</v>
      </c>
      <c r="D322" s="475" t="s">
        <v>27</v>
      </c>
      <c r="E322" s="503">
        <f t="shared" si="13"/>
        <v>35</v>
      </c>
      <c r="F322" s="503"/>
      <c r="G322" s="503">
        <f t="shared" ref="G322:G325" si="22">H322+SUM(J322:Z322)</f>
        <v>35</v>
      </c>
      <c r="H322" s="503"/>
      <c r="I322" s="503"/>
      <c r="J322" s="509">
        <v>15</v>
      </c>
      <c r="K322" s="503">
        <v>20</v>
      </c>
      <c r="L322" s="503"/>
      <c r="M322" s="503"/>
      <c r="N322" s="503"/>
      <c r="O322" s="503"/>
      <c r="P322" s="503"/>
      <c r="Q322" s="503"/>
      <c r="R322" s="509"/>
      <c r="S322" s="509"/>
      <c r="T322" s="503"/>
      <c r="U322" s="503"/>
      <c r="V322" s="503"/>
      <c r="W322" s="503"/>
      <c r="X322" s="503"/>
      <c r="Y322" s="503"/>
      <c r="Z322" s="503"/>
      <c r="AA322" s="510" t="s">
        <v>174</v>
      </c>
    </row>
    <row r="323" spans="1:27">
      <c r="A323" s="1222"/>
      <c r="B323" s="1226"/>
      <c r="C323" s="507" t="s">
        <v>13</v>
      </c>
      <c r="D323" s="475" t="s">
        <v>13</v>
      </c>
      <c r="E323" s="503">
        <f t="shared" si="13"/>
        <v>37</v>
      </c>
      <c r="F323" s="503">
        <v>37</v>
      </c>
      <c r="G323" s="503">
        <f t="shared" si="22"/>
        <v>0</v>
      </c>
      <c r="H323" s="503"/>
      <c r="I323" s="503"/>
      <c r="J323" s="509"/>
      <c r="K323" s="503"/>
      <c r="L323" s="503"/>
      <c r="M323" s="503"/>
      <c r="N323" s="503"/>
      <c r="O323" s="503"/>
      <c r="P323" s="503"/>
      <c r="Q323" s="503"/>
      <c r="R323" s="509"/>
      <c r="S323" s="509"/>
      <c r="T323" s="503"/>
      <c r="U323" s="503"/>
      <c r="V323" s="503"/>
      <c r="W323" s="503"/>
      <c r="X323" s="503"/>
      <c r="Y323" s="503"/>
      <c r="Z323" s="503"/>
      <c r="AA323" s="510" t="s">
        <v>174</v>
      </c>
    </row>
    <row r="324" spans="1:27">
      <c r="A324" s="1222"/>
      <c r="B324" s="1226"/>
      <c r="C324" s="507" t="s">
        <v>15</v>
      </c>
      <c r="D324" s="475" t="s">
        <v>15</v>
      </c>
      <c r="E324" s="503">
        <f t="shared" si="13"/>
        <v>50</v>
      </c>
      <c r="F324" s="503">
        <v>50</v>
      </c>
      <c r="G324" s="503">
        <f t="shared" si="22"/>
        <v>0</v>
      </c>
      <c r="H324" s="503"/>
      <c r="I324" s="503"/>
      <c r="J324" s="509"/>
      <c r="K324" s="503"/>
      <c r="L324" s="503"/>
      <c r="M324" s="503"/>
      <c r="N324" s="503"/>
      <c r="O324" s="503"/>
      <c r="P324" s="503"/>
      <c r="Q324" s="503"/>
      <c r="R324" s="509"/>
      <c r="S324" s="509"/>
      <c r="T324" s="503"/>
      <c r="U324" s="503"/>
      <c r="V324" s="503"/>
      <c r="W324" s="503"/>
      <c r="X324" s="503"/>
      <c r="Y324" s="503"/>
      <c r="Z324" s="503"/>
      <c r="AA324" s="510" t="s">
        <v>174</v>
      </c>
    </row>
    <row r="325" spans="1:27">
      <c r="A325" s="1210"/>
      <c r="B325" s="1227"/>
      <c r="C325" s="507" t="s">
        <v>78</v>
      </c>
      <c r="D325" s="475" t="s">
        <v>78</v>
      </c>
      <c r="E325" s="503">
        <f t="shared" si="13"/>
        <v>8</v>
      </c>
      <c r="F325" s="503"/>
      <c r="G325" s="503">
        <f t="shared" si="22"/>
        <v>8</v>
      </c>
      <c r="H325" s="503"/>
      <c r="I325" s="503"/>
      <c r="J325" s="509">
        <v>5</v>
      </c>
      <c r="K325" s="503">
        <v>3</v>
      </c>
      <c r="L325" s="503"/>
      <c r="M325" s="503"/>
      <c r="N325" s="503"/>
      <c r="O325" s="503"/>
      <c r="P325" s="503"/>
      <c r="Q325" s="503"/>
      <c r="R325" s="509"/>
      <c r="S325" s="509"/>
      <c r="T325" s="503"/>
      <c r="U325" s="503"/>
      <c r="V325" s="503"/>
      <c r="W325" s="503"/>
      <c r="X325" s="503"/>
      <c r="Y325" s="503"/>
      <c r="Z325" s="503"/>
      <c r="AA325" s="510" t="s">
        <v>174</v>
      </c>
    </row>
    <row r="326" spans="1:27" ht="31.5" customHeight="1">
      <c r="A326" s="1178">
        <v>19</v>
      </c>
      <c r="B326" s="1180" t="s">
        <v>688</v>
      </c>
      <c r="C326" s="507" t="s">
        <v>27</v>
      </c>
      <c r="D326" s="475" t="s">
        <v>27</v>
      </c>
      <c r="E326" s="503">
        <f t="shared" si="13"/>
        <v>7.8</v>
      </c>
      <c r="F326" s="503"/>
      <c r="G326" s="503">
        <f t="shared" si="17"/>
        <v>7.8</v>
      </c>
      <c r="H326" s="503"/>
      <c r="I326" s="503"/>
      <c r="J326" s="509">
        <v>2</v>
      </c>
      <c r="K326" s="503">
        <v>5.8</v>
      </c>
      <c r="L326" s="503"/>
      <c r="M326" s="503"/>
      <c r="N326" s="503"/>
      <c r="O326" s="503"/>
      <c r="P326" s="503"/>
      <c r="Q326" s="503"/>
      <c r="R326" s="509"/>
      <c r="S326" s="509"/>
      <c r="T326" s="503"/>
      <c r="U326" s="503"/>
      <c r="V326" s="503"/>
      <c r="W326" s="503"/>
      <c r="X326" s="503"/>
      <c r="Y326" s="503"/>
      <c r="Z326" s="503"/>
      <c r="AA326" s="510" t="s">
        <v>170</v>
      </c>
    </row>
    <row r="327" spans="1:27">
      <c r="A327" s="1222"/>
      <c r="B327" s="1223"/>
      <c r="C327" s="507" t="s">
        <v>13</v>
      </c>
      <c r="D327" s="475" t="s">
        <v>13</v>
      </c>
      <c r="E327" s="503">
        <f t="shared" si="13"/>
        <v>14.06</v>
      </c>
      <c r="F327" s="503">
        <f>18-3.94</f>
        <v>14.06</v>
      </c>
      <c r="G327" s="503">
        <f t="shared" si="17"/>
        <v>0</v>
      </c>
      <c r="H327" s="503"/>
      <c r="I327" s="503"/>
      <c r="J327" s="509"/>
      <c r="K327" s="503"/>
      <c r="L327" s="503"/>
      <c r="M327" s="503"/>
      <c r="N327" s="503"/>
      <c r="O327" s="503"/>
      <c r="P327" s="503"/>
      <c r="Q327" s="503"/>
      <c r="R327" s="509"/>
      <c r="S327" s="509"/>
      <c r="T327" s="503"/>
      <c r="U327" s="503"/>
      <c r="V327" s="503"/>
      <c r="W327" s="503"/>
      <c r="X327" s="503"/>
      <c r="Y327" s="503"/>
      <c r="Z327" s="503"/>
      <c r="AA327" s="510" t="s">
        <v>170</v>
      </c>
    </row>
    <row r="328" spans="1:27">
      <c r="A328" s="1222"/>
      <c r="B328" s="1223"/>
      <c r="C328" s="507" t="s">
        <v>15</v>
      </c>
      <c r="D328" s="475" t="s">
        <v>15</v>
      </c>
      <c r="E328" s="503">
        <f t="shared" si="13"/>
        <v>15.029999999999998</v>
      </c>
      <c r="F328" s="503">
        <f>20.83-5.8</f>
        <v>15.029999999999998</v>
      </c>
      <c r="G328" s="503">
        <f t="shared" si="17"/>
        <v>0</v>
      </c>
      <c r="H328" s="503"/>
      <c r="I328" s="503"/>
      <c r="J328" s="509"/>
      <c r="K328" s="503"/>
      <c r="L328" s="503"/>
      <c r="M328" s="503"/>
      <c r="N328" s="503"/>
      <c r="O328" s="503"/>
      <c r="P328" s="503"/>
      <c r="Q328" s="503"/>
      <c r="R328" s="509"/>
      <c r="S328" s="509"/>
      <c r="T328" s="503"/>
      <c r="U328" s="503"/>
      <c r="V328" s="503"/>
      <c r="W328" s="503"/>
      <c r="X328" s="503"/>
      <c r="Y328" s="503"/>
      <c r="Z328" s="503"/>
      <c r="AA328" s="510" t="s">
        <v>170</v>
      </c>
    </row>
    <row r="329" spans="1:27">
      <c r="A329" s="1210"/>
      <c r="B329" s="1224"/>
      <c r="C329" s="507" t="s">
        <v>78</v>
      </c>
      <c r="D329" s="475" t="s">
        <v>78</v>
      </c>
      <c r="E329" s="503">
        <f t="shared" si="13"/>
        <v>1.94</v>
      </c>
      <c r="F329" s="503"/>
      <c r="G329" s="503">
        <f t="shared" si="17"/>
        <v>1.94</v>
      </c>
      <c r="H329" s="503"/>
      <c r="I329" s="503"/>
      <c r="J329" s="509">
        <v>1.94</v>
      </c>
      <c r="K329" s="503"/>
      <c r="L329" s="503"/>
      <c r="M329" s="503"/>
      <c r="N329" s="503"/>
      <c r="O329" s="503"/>
      <c r="P329" s="503"/>
      <c r="Q329" s="503"/>
      <c r="R329" s="509"/>
      <c r="S329" s="509"/>
      <c r="T329" s="503"/>
      <c r="U329" s="503"/>
      <c r="V329" s="503"/>
      <c r="W329" s="503"/>
      <c r="X329" s="503"/>
      <c r="Y329" s="503"/>
      <c r="Z329" s="503"/>
      <c r="AA329" s="510" t="s">
        <v>170</v>
      </c>
    </row>
    <row r="330" spans="1:27">
      <c r="A330" s="1178">
        <v>20</v>
      </c>
      <c r="B330" s="1180" t="s">
        <v>689</v>
      </c>
      <c r="C330" s="507" t="s">
        <v>27</v>
      </c>
      <c r="D330" s="475" t="s">
        <v>27</v>
      </c>
      <c r="E330" s="503">
        <f t="shared" si="13"/>
        <v>3.38</v>
      </c>
      <c r="F330" s="503"/>
      <c r="G330" s="503">
        <f t="shared" si="17"/>
        <v>3.38</v>
      </c>
      <c r="H330" s="503"/>
      <c r="I330" s="503"/>
      <c r="J330" s="509"/>
      <c r="K330" s="503">
        <v>3.38</v>
      </c>
      <c r="L330" s="503"/>
      <c r="M330" s="503"/>
      <c r="N330" s="503"/>
      <c r="O330" s="503"/>
      <c r="P330" s="503"/>
      <c r="Q330" s="503"/>
      <c r="R330" s="509"/>
      <c r="S330" s="509"/>
      <c r="T330" s="503"/>
      <c r="U330" s="503"/>
      <c r="V330" s="503"/>
      <c r="W330" s="503"/>
      <c r="X330" s="503"/>
      <c r="Y330" s="503"/>
      <c r="Z330" s="503"/>
      <c r="AA330" s="510" t="s">
        <v>170</v>
      </c>
    </row>
    <row r="331" spans="1:27">
      <c r="A331" s="1222"/>
      <c r="B331" s="1223"/>
      <c r="C331" s="507" t="s">
        <v>15</v>
      </c>
      <c r="D331" s="475" t="s">
        <v>15</v>
      </c>
      <c r="E331" s="503">
        <f t="shared" si="13"/>
        <v>12.58</v>
      </c>
      <c r="F331" s="503">
        <v>12.58</v>
      </c>
      <c r="G331" s="503">
        <f t="shared" si="17"/>
        <v>0</v>
      </c>
      <c r="H331" s="503"/>
      <c r="I331" s="503"/>
      <c r="J331" s="509"/>
      <c r="K331" s="503"/>
      <c r="L331" s="503"/>
      <c r="M331" s="503"/>
      <c r="N331" s="503"/>
      <c r="O331" s="503"/>
      <c r="P331" s="503"/>
      <c r="Q331" s="503"/>
      <c r="R331" s="509"/>
      <c r="S331" s="509"/>
      <c r="T331" s="503"/>
      <c r="U331" s="503"/>
      <c r="V331" s="503"/>
      <c r="W331" s="503"/>
      <c r="X331" s="503"/>
      <c r="Y331" s="503"/>
      <c r="Z331" s="503"/>
      <c r="AA331" s="510" t="s">
        <v>170</v>
      </c>
    </row>
    <row r="332" spans="1:27">
      <c r="A332" s="1210"/>
      <c r="B332" s="1224"/>
      <c r="C332" s="507" t="s">
        <v>78</v>
      </c>
      <c r="D332" s="475" t="s">
        <v>78</v>
      </c>
      <c r="E332" s="503">
        <f t="shared" si="13"/>
        <v>0.93</v>
      </c>
      <c r="F332" s="503"/>
      <c r="G332" s="503">
        <f t="shared" si="17"/>
        <v>0.93</v>
      </c>
      <c r="H332" s="503"/>
      <c r="I332" s="503"/>
      <c r="J332" s="509"/>
      <c r="K332" s="503">
        <v>0.93</v>
      </c>
      <c r="L332" s="503"/>
      <c r="M332" s="503"/>
      <c r="N332" s="503"/>
      <c r="O332" s="503"/>
      <c r="P332" s="503"/>
      <c r="Q332" s="503"/>
      <c r="R332" s="509"/>
      <c r="S332" s="509"/>
      <c r="T332" s="503"/>
      <c r="U332" s="503"/>
      <c r="V332" s="503"/>
      <c r="W332" s="503"/>
      <c r="X332" s="503"/>
      <c r="Y332" s="503"/>
      <c r="Z332" s="503"/>
      <c r="AA332" s="510" t="s">
        <v>170</v>
      </c>
    </row>
    <row r="333" spans="1:27" ht="31.5" customHeight="1">
      <c r="A333" s="1178">
        <v>21</v>
      </c>
      <c r="B333" s="1180" t="s">
        <v>690</v>
      </c>
      <c r="C333" s="507" t="s">
        <v>27</v>
      </c>
      <c r="D333" s="475" t="s">
        <v>27</v>
      </c>
      <c r="E333" s="503">
        <f t="shared" si="13"/>
        <v>3.9</v>
      </c>
      <c r="F333" s="503"/>
      <c r="G333" s="503">
        <f t="shared" si="17"/>
        <v>3.9</v>
      </c>
      <c r="H333" s="503"/>
      <c r="I333" s="503"/>
      <c r="J333" s="509">
        <v>3.9</v>
      </c>
      <c r="K333" s="503"/>
      <c r="L333" s="503"/>
      <c r="M333" s="503"/>
      <c r="N333" s="503"/>
      <c r="O333" s="503"/>
      <c r="P333" s="503"/>
      <c r="Q333" s="503"/>
      <c r="R333" s="509"/>
      <c r="S333" s="509"/>
      <c r="T333" s="503"/>
      <c r="U333" s="503"/>
      <c r="V333" s="503"/>
      <c r="W333" s="503"/>
      <c r="X333" s="503"/>
      <c r="Y333" s="503"/>
      <c r="Z333" s="503"/>
      <c r="AA333" s="510" t="s">
        <v>170</v>
      </c>
    </row>
    <row r="334" spans="1:27">
      <c r="A334" s="1222"/>
      <c r="B334" s="1223"/>
      <c r="C334" s="507" t="s">
        <v>13</v>
      </c>
      <c r="D334" s="475" t="s">
        <v>13</v>
      </c>
      <c r="E334" s="503">
        <f t="shared" si="13"/>
        <v>9.02</v>
      </c>
      <c r="F334" s="503">
        <f>13.9-4.88</f>
        <v>9.02</v>
      </c>
      <c r="G334" s="503">
        <f t="shared" si="17"/>
        <v>0</v>
      </c>
      <c r="H334" s="516"/>
      <c r="I334" s="516"/>
      <c r="J334" s="565"/>
      <c r="K334" s="516"/>
      <c r="L334" s="516"/>
      <c r="M334" s="516"/>
      <c r="N334" s="516"/>
      <c r="O334" s="516"/>
      <c r="P334" s="516"/>
      <c r="Q334" s="516"/>
      <c r="R334" s="565"/>
      <c r="S334" s="565"/>
      <c r="T334" s="516"/>
      <c r="U334" s="516"/>
      <c r="V334" s="516"/>
      <c r="W334" s="516"/>
      <c r="X334" s="516"/>
      <c r="Y334" s="516"/>
      <c r="Z334" s="516"/>
      <c r="AA334" s="510" t="s">
        <v>170</v>
      </c>
    </row>
    <row r="335" spans="1:27">
      <c r="A335" s="1222"/>
      <c r="B335" s="1223"/>
      <c r="C335" s="507" t="s">
        <v>15</v>
      </c>
      <c r="D335" s="475" t="s">
        <v>15</v>
      </c>
      <c r="E335" s="503">
        <f t="shared" si="13"/>
        <v>5.6</v>
      </c>
      <c r="F335" s="503">
        <v>5.6</v>
      </c>
      <c r="G335" s="503">
        <f t="shared" si="17"/>
        <v>0</v>
      </c>
      <c r="H335" s="516"/>
      <c r="I335" s="516"/>
      <c r="J335" s="565"/>
      <c r="K335" s="516"/>
      <c r="L335" s="516"/>
      <c r="M335" s="516"/>
      <c r="N335" s="516"/>
      <c r="O335" s="516"/>
      <c r="P335" s="516"/>
      <c r="Q335" s="516"/>
      <c r="R335" s="565"/>
      <c r="S335" s="565"/>
      <c r="T335" s="516"/>
      <c r="U335" s="516"/>
      <c r="V335" s="516"/>
      <c r="W335" s="516"/>
      <c r="X335" s="516"/>
      <c r="Y335" s="516"/>
      <c r="Z335" s="516"/>
      <c r="AA335" s="510" t="s">
        <v>170</v>
      </c>
    </row>
    <row r="336" spans="1:27">
      <c r="A336" s="1210"/>
      <c r="B336" s="1224"/>
      <c r="C336" s="507" t="s">
        <v>78</v>
      </c>
      <c r="D336" s="475" t="s">
        <v>78</v>
      </c>
      <c r="E336" s="503">
        <f t="shared" si="13"/>
        <v>0.98</v>
      </c>
      <c r="F336" s="503"/>
      <c r="G336" s="503">
        <f t="shared" si="17"/>
        <v>0.98</v>
      </c>
      <c r="H336" s="516"/>
      <c r="I336" s="516"/>
      <c r="J336" s="565">
        <v>0.98</v>
      </c>
      <c r="K336" s="516"/>
      <c r="L336" s="516"/>
      <c r="M336" s="516"/>
      <c r="N336" s="516"/>
      <c r="O336" s="516"/>
      <c r="P336" s="516"/>
      <c r="Q336" s="516"/>
      <c r="R336" s="565"/>
      <c r="S336" s="565"/>
      <c r="T336" s="516"/>
      <c r="U336" s="516"/>
      <c r="V336" s="516"/>
      <c r="W336" s="516"/>
      <c r="X336" s="516"/>
      <c r="Y336" s="516"/>
      <c r="Z336" s="516"/>
      <c r="AA336" s="510" t="s">
        <v>170</v>
      </c>
    </row>
    <row r="337" spans="1:27">
      <c r="A337" s="1178">
        <v>22</v>
      </c>
      <c r="B337" s="1180" t="s">
        <v>679</v>
      </c>
      <c r="C337" s="475" t="s">
        <v>27</v>
      </c>
      <c r="D337" s="475" t="s">
        <v>27</v>
      </c>
      <c r="E337" s="503">
        <f t="shared" si="13"/>
        <v>14</v>
      </c>
      <c r="F337" s="503"/>
      <c r="G337" s="503">
        <f t="shared" ref="G337:G344" si="23">H337+SUM(J337:Z337)</f>
        <v>14</v>
      </c>
      <c r="H337" s="516"/>
      <c r="I337" s="516"/>
      <c r="J337" s="565">
        <v>4</v>
      </c>
      <c r="K337" s="516">
        <v>10</v>
      </c>
      <c r="L337" s="516"/>
      <c r="M337" s="516"/>
      <c r="N337" s="516"/>
      <c r="O337" s="516"/>
      <c r="P337" s="516"/>
      <c r="Q337" s="516"/>
      <c r="R337" s="565"/>
      <c r="S337" s="565"/>
      <c r="T337" s="516"/>
      <c r="U337" s="516"/>
      <c r="V337" s="516"/>
      <c r="W337" s="516"/>
      <c r="X337" s="516"/>
      <c r="Y337" s="516"/>
      <c r="Z337" s="516"/>
      <c r="AA337" s="510" t="s">
        <v>170</v>
      </c>
    </row>
    <row r="338" spans="1:27">
      <c r="A338" s="1222"/>
      <c r="B338" s="1223"/>
      <c r="C338" s="475" t="s">
        <v>13</v>
      </c>
      <c r="D338" s="475" t="s">
        <v>13</v>
      </c>
      <c r="E338" s="503">
        <f t="shared" si="13"/>
        <v>10</v>
      </c>
      <c r="F338" s="503"/>
      <c r="G338" s="503">
        <f t="shared" si="23"/>
        <v>10</v>
      </c>
      <c r="H338" s="516"/>
      <c r="I338" s="516"/>
      <c r="J338" s="565"/>
      <c r="K338" s="516">
        <v>10</v>
      </c>
      <c r="L338" s="516"/>
      <c r="M338" s="516"/>
      <c r="N338" s="516"/>
      <c r="O338" s="516"/>
      <c r="P338" s="516"/>
      <c r="Q338" s="516"/>
      <c r="R338" s="565"/>
      <c r="S338" s="565"/>
      <c r="T338" s="516"/>
      <c r="U338" s="516"/>
      <c r="V338" s="516"/>
      <c r="W338" s="516"/>
      <c r="X338" s="516"/>
      <c r="Y338" s="516"/>
      <c r="Z338" s="516"/>
      <c r="AA338" s="510" t="s">
        <v>170</v>
      </c>
    </row>
    <row r="339" spans="1:27">
      <c r="A339" s="1222"/>
      <c r="B339" s="1223"/>
      <c r="C339" s="475" t="s">
        <v>15</v>
      </c>
      <c r="D339" s="475" t="s">
        <v>15</v>
      </c>
      <c r="E339" s="503">
        <f t="shared" si="13"/>
        <v>42.5</v>
      </c>
      <c r="F339" s="503">
        <v>42.5</v>
      </c>
      <c r="G339" s="503">
        <f t="shared" si="23"/>
        <v>0</v>
      </c>
      <c r="H339" s="516"/>
      <c r="I339" s="516"/>
      <c r="J339" s="565"/>
      <c r="K339" s="516"/>
      <c r="L339" s="516"/>
      <c r="M339" s="516"/>
      <c r="N339" s="516"/>
      <c r="O339" s="516"/>
      <c r="P339" s="516"/>
      <c r="Q339" s="516"/>
      <c r="R339" s="565"/>
      <c r="S339" s="565"/>
      <c r="T339" s="516"/>
      <c r="U339" s="516"/>
      <c r="V339" s="516"/>
      <c r="W339" s="516"/>
      <c r="X339" s="516"/>
      <c r="Y339" s="516"/>
      <c r="Z339" s="516"/>
      <c r="AA339" s="510" t="s">
        <v>170</v>
      </c>
    </row>
    <row r="340" spans="1:27">
      <c r="A340" s="1210"/>
      <c r="B340" s="1224"/>
      <c r="C340" s="475" t="s">
        <v>78</v>
      </c>
      <c r="D340" s="475" t="s">
        <v>78</v>
      </c>
      <c r="E340" s="503">
        <f t="shared" si="13"/>
        <v>3.5</v>
      </c>
      <c r="F340" s="503"/>
      <c r="G340" s="503">
        <f t="shared" si="23"/>
        <v>3.5</v>
      </c>
      <c r="H340" s="516"/>
      <c r="I340" s="516"/>
      <c r="J340" s="565">
        <v>1.5</v>
      </c>
      <c r="K340" s="516">
        <v>2</v>
      </c>
      <c r="L340" s="516"/>
      <c r="M340" s="516"/>
      <c r="N340" s="516"/>
      <c r="O340" s="516"/>
      <c r="P340" s="516"/>
      <c r="Q340" s="516"/>
      <c r="R340" s="565"/>
      <c r="S340" s="565"/>
      <c r="T340" s="516"/>
      <c r="U340" s="516"/>
      <c r="V340" s="516"/>
      <c r="W340" s="516"/>
      <c r="X340" s="516"/>
      <c r="Y340" s="516"/>
      <c r="Z340" s="516"/>
      <c r="AA340" s="510" t="s">
        <v>170</v>
      </c>
    </row>
    <row r="341" spans="1:27">
      <c r="A341" s="1178">
        <v>23</v>
      </c>
      <c r="B341" s="1180" t="s">
        <v>679</v>
      </c>
      <c r="C341" s="475" t="s">
        <v>27</v>
      </c>
      <c r="D341" s="475" t="s">
        <v>27</v>
      </c>
      <c r="E341" s="503">
        <f t="shared" si="13"/>
        <v>5.0999999999999996</v>
      </c>
      <c r="F341" s="503"/>
      <c r="G341" s="503">
        <f t="shared" si="23"/>
        <v>5.0999999999999996</v>
      </c>
      <c r="H341" s="516"/>
      <c r="I341" s="516"/>
      <c r="J341" s="565">
        <v>2.1</v>
      </c>
      <c r="K341" s="516">
        <v>3</v>
      </c>
      <c r="L341" s="516"/>
      <c r="M341" s="516"/>
      <c r="N341" s="516"/>
      <c r="O341" s="516"/>
      <c r="P341" s="516"/>
      <c r="Q341" s="516"/>
      <c r="R341" s="565"/>
      <c r="S341" s="565"/>
      <c r="T341" s="516"/>
      <c r="U341" s="516"/>
      <c r="V341" s="516"/>
      <c r="W341" s="516"/>
      <c r="X341" s="516"/>
      <c r="Y341" s="516"/>
      <c r="Z341" s="516"/>
      <c r="AA341" s="510" t="s">
        <v>170</v>
      </c>
    </row>
    <row r="342" spans="1:27">
      <c r="A342" s="1222"/>
      <c r="B342" s="1223"/>
      <c r="C342" s="475" t="s">
        <v>13</v>
      </c>
      <c r="D342" s="475" t="s">
        <v>13</v>
      </c>
      <c r="E342" s="503">
        <f t="shared" si="13"/>
        <v>5</v>
      </c>
      <c r="F342" s="503">
        <v>5</v>
      </c>
      <c r="G342" s="503">
        <f t="shared" si="23"/>
        <v>0</v>
      </c>
      <c r="H342" s="516"/>
      <c r="I342" s="516"/>
      <c r="J342" s="565"/>
      <c r="K342" s="516"/>
      <c r="L342" s="516"/>
      <c r="M342" s="516"/>
      <c r="N342" s="516"/>
      <c r="O342" s="516"/>
      <c r="P342" s="516"/>
      <c r="Q342" s="516"/>
      <c r="R342" s="565"/>
      <c r="S342" s="565"/>
      <c r="T342" s="516"/>
      <c r="U342" s="516"/>
      <c r="V342" s="516"/>
      <c r="W342" s="516"/>
      <c r="X342" s="516"/>
      <c r="Y342" s="516"/>
      <c r="Z342" s="516"/>
      <c r="AA342" s="510" t="s">
        <v>170</v>
      </c>
    </row>
    <row r="343" spans="1:27">
      <c r="A343" s="1222"/>
      <c r="B343" s="1223"/>
      <c r="C343" s="475" t="s">
        <v>15</v>
      </c>
      <c r="D343" s="475" t="s">
        <v>15</v>
      </c>
      <c r="E343" s="503">
        <f t="shared" si="13"/>
        <v>14.15</v>
      </c>
      <c r="F343" s="503">
        <v>14.15</v>
      </c>
      <c r="G343" s="503">
        <f t="shared" si="23"/>
        <v>0</v>
      </c>
      <c r="H343" s="516"/>
      <c r="I343" s="516"/>
      <c r="J343" s="565"/>
      <c r="K343" s="516"/>
      <c r="L343" s="516"/>
      <c r="M343" s="516"/>
      <c r="N343" s="516"/>
      <c r="O343" s="516"/>
      <c r="P343" s="516"/>
      <c r="Q343" s="516"/>
      <c r="R343" s="565"/>
      <c r="S343" s="565"/>
      <c r="T343" s="516"/>
      <c r="U343" s="516"/>
      <c r="V343" s="516"/>
      <c r="W343" s="516"/>
      <c r="X343" s="516"/>
      <c r="Y343" s="516"/>
      <c r="Z343" s="516"/>
      <c r="AA343" s="510" t="s">
        <v>170</v>
      </c>
    </row>
    <row r="344" spans="1:27">
      <c r="A344" s="1210"/>
      <c r="B344" s="1224"/>
      <c r="C344" s="475" t="s">
        <v>78</v>
      </c>
      <c r="D344" s="475" t="s">
        <v>78</v>
      </c>
      <c r="E344" s="503">
        <f t="shared" si="13"/>
        <v>1.25</v>
      </c>
      <c r="F344" s="503"/>
      <c r="G344" s="503">
        <f t="shared" si="23"/>
        <v>1.25</v>
      </c>
      <c r="H344" s="516"/>
      <c r="I344" s="516"/>
      <c r="J344" s="565">
        <v>0.75</v>
      </c>
      <c r="K344" s="516">
        <v>0.5</v>
      </c>
      <c r="L344" s="516"/>
      <c r="M344" s="516"/>
      <c r="N344" s="516"/>
      <c r="O344" s="516"/>
      <c r="P344" s="516"/>
      <c r="Q344" s="516"/>
      <c r="R344" s="565"/>
      <c r="S344" s="565"/>
      <c r="T344" s="516"/>
      <c r="U344" s="516"/>
      <c r="V344" s="516"/>
      <c r="W344" s="516"/>
      <c r="X344" s="516"/>
      <c r="Y344" s="516"/>
      <c r="Z344" s="516"/>
      <c r="AA344" s="510" t="s">
        <v>170</v>
      </c>
    </row>
    <row r="345" spans="1:27">
      <c r="A345" s="1178">
        <v>24</v>
      </c>
      <c r="B345" s="1180" t="s">
        <v>679</v>
      </c>
      <c r="C345" s="507" t="s">
        <v>27</v>
      </c>
      <c r="D345" s="475" t="s">
        <v>27</v>
      </c>
      <c r="E345" s="503">
        <f t="shared" si="13"/>
        <v>3.1</v>
      </c>
      <c r="F345" s="503"/>
      <c r="G345" s="503">
        <f t="shared" si="17"/>
        <v>3.1</v>
      </c>
      <c r="H345" s="516"/>
      <c r="I345" s="516"/>
      <c r="J345" s="565"/>
      <c r="K345" s="516">
        <f>15.5*20/100</f>
        <v>3.1</v>
      </c>
      <c r="L345" s="516"/>
      <c r="M345" s="516"/>
      <c r="N345" s="516"/>
      <c r="O345" s="516"/>
      <c r="P345" s="516"/>
      <c r="Q345" s="516"/>
      <c r="R345" s="565"/>
      <c r="S345" s="565"/>
      <c r="T345" s="516"/>
      <c r="U345" s="516"/>
      <c r="V345" s="516"/>
      <c r="W345" s="516"/>
      <c r="X345" s="516"/>
      <c r="Y345" s="516"/>
      <c r="Z345" s="516"/>
      <c r="AA345" s="574" t="s">
        <v>189</v>
      </c>
    </row>
    <row r="346" spans="1:27">
      <c r="A346" s="1222"/>
      <c r="B346" s="1223"/>
      <c r="C346" s="507" t="s">
        <v>15</v>
      </c>
      <c r="D346" s="475" t="s">
        <v>15</v>
      </c>
      <c r="E346" s="503">
        <f t="shared" si="13"/>
        <v>11.62</v>
      </c>
      <c r="F346" s="503">
        <v>11.62</v>
      </c>
      <c r="G346" s="503">
        <f t="shared" si="17"/>
        <v>0</v>
      </c>
      <c r="H346" s="516"/>
      <c r="I346" s="516"/>
      <c r="J346" s="565"/>
      <c r="K346" s="516"/>
      <c r="L346" s="516"/>
      <c r="M346" s="516"/>
      <c r="N346" s="516"/>
      <c r="O346" s="516"/>
      <c r="P346" s="516"/>
      <c r="Q346" s="516"/>
      <c r="R346" s="565"/>
      <c r="S346" s="565"/>
      <c r="T346" s="516"/>
      <c r="U346" s="516"/>
      <c r="V346" s="516"/>
      <c r="W346" s="516"/>
      <c r="X346" s="516"/>
      <c r="Y346" s="516"/>
      <c r="Z346" s="516"/>
      <c r="AA346" s="574" t="s">
        <v>189</v>
      </c>
    </row>
    <row r="347" spans="1:27">
      <c r="A347" s="1210"/>
      <c r="B347" s="1224"/>
      <c r="C347" s="507" t="s">
        <v>78</v>
      </c>
      <c r="D347" s="475" t="s">
        <v>78</v>
      </c>
      <c r="E347" s="503">
        <f t="shared" si="13"/>
        <v>0.78</v>
      </c>
      <c r="F347" s="503"/>
      <c r="G347" s="503">
        <f t="shared" si="17"/>
        <v>0.78</v>
      </c>
      <c r="H347" s="516"/>
      <c r="I347" s="516"/>
      <c r="J347" s="565"/>
      <c r="K347" s="516">
        <v>0.78</v>
      </c>
      <c r="L347" s="516"/>
      <c r="M347" s="516"/>
      <c r="N347" s="516"/>
      <c r="O347" s="516"/>
      <c r="P347" s="516"/>
      <c r="Q347" s="516"/>
      <c r="R347" s="565"/>
      <c r="S347" s="565"/>
      <c r="T347" s="516"/>
      <c r="U347" s="516"/>
      <c r="V347" s="516"/>
      <c r="W347" s="516"/>
      <c r="X347" s="516"/>
      <c r="Y347" s="516"/>
      <c r="Z347" s="516"/>
      <c r="AA347" s="574" t="s">
        <v>189</v>
      </c>
    </row>
    <row r="348" spans="1:27">
      <c r="A348" s="1178">
        <v>25</v>
      </c>
      <c r="B348" s="1180" t="s">
        <v>679</v>
      </c>
      <c r="C348" s="507" t="s">
        <v>27</v>
      </c>
      <c r="D348" s="475" t="s">
        <v>27</v>
      </c>
      <c r="E348" s="503">
        <f t="shared" si="13"/>
        <v>5.44</v>
      </c>
      <c r="F348" s="503"/>
      <c r="G348" s="503">
        <f t="shared" si="17"/>
        <v>5.44</v>
      </c>
      <c r="H348" s="516"/>
      <c r="I348" s="516"/>
      <c r="J348" s="565"/>
      <c r="K348" s="516">
        <v>5.44</v>
      </c>
      <c r="L348" s="516"/>
      <c r="M348" s="516"/>
      <c r="N348" s="516"/>
      <c r="O348" s="516"/>
      <c r="P348" s="516"/>
      <c r="Q348" s="516"/>
      <c r="R348" s="565"/>
      <c r="S348" s="565"/>
      <c r="T348" s="516"/>
      <c r="U348" s="516"/>
      <c r="V348" s="516"/>
      <c r="W348" s="516"/>
      <c r="X348" s="516"/>
      <c r="Y348" s="516"/>
      <c r="Z348" s="516"/>
      <c r="AA348" s="574" t="s">
        <v>189</v>
      </c>
    </row>
    <row r="349" spans="1:27">
      <c r="A349" s="1222"/>
      <c r="B349" s="1223"/>
      <c r="C349" s="507" t="s">
        <v>15</v>
      </c>
      <c r="D349" s="475" t="s">
        <v>15</v>
      </c>
      <c r="E349" s="503">
        <f t="shared" si="13"/>
        <v>20.399999999999999</v>
      </c>
      <c r="F349" s="503">
        <v>20.399999999999999</v>
      </c>
      <c r="G349" s="503">
        <f t="shared" si="17"/>
        <v>0</v>
      </c>
      <c r="H349" s="516"/>
      <c r="I349" s="516"/>
      <c r="J349" s="565"/>
      <c r="K349" s="516"/>
      <c r="L349" s="516"/>
      <c r="M349" s="516"/>
      <c r="N349" s="516"/>
      <c r="O349" s="516"/>
      <c r="P349" s="516"/>
      <c r="Q349" s="516"/>
      <c r="R349" s="565"/>
      <c r="S349" s="565"/>
      <c r="T349" s="516"/>
      <c r="U349" s="516"/>
      <c r="V349" s="516"/>
      <c r="W349" s="516"/>
      <c r="X349" s="516"/>
      <c r="Y349" s="516"/>
      <c r="Z349" s="516"/>
      <c r="AA349" s="574" t="s">
        <v>189</v>
      </c>
    </row>
    <row r="350" spans="1:27">
      <c r="A350" s="1210"/>
      <c r="B350" s="1224"/>
      <c r="C350" s="507" t="s">
        <v>78</v>
      </c>
      <c r="D350" s="475" t="s">
        <v>78</v>
      </c>
      <c r="E350" s="503">
        <f>F350+G350</f>
        <v>1.36</v>
      </c>
      <c r="F350" s="503"/>
      <c r="G350" s="503">
        <f t="shared" si="17"/>
        <v>1.36</v>
      </c>
      <c r="H350" s="516"/>
      <c r="I350" s="516"/>
      <c r="J350" s="565"/>
      <c r="K350" s="516">
        <v>1.36</v>
      </c>
      <c r="L350" s="516"/>
      <c r="M350" s="516"/>
      <c r="N350" s="516"/>
      <c r="O350" s="516"/>
      <c r="P350" s="516"/>
      <c r="Q350" s="516"/>
      <c r="R350" s="565"/>
      <c r="S350" s="565"/>
      <c r="T350" s="516"/>
      <c r="U350" s="516"/>
      <c r="V350" s="516"/>
      <c r="W350" s="516"/>
      <c r="X350" s="516"/>
      <c r="Y350" s="516"/>
      <c r="Z350" s="516"/>
      <c r="AA350" s="574" t="s">
        <v>189</v>
      </c>
    </row>
    <row r="351" spans="1:27" ht="31.5" customHeight="1">
      <c r="A351" s="1178">
        <v>26</v>
      </c>
      <c r="B351" s="1180" t="s">
        <v>691</v>
      </c>
      <c r="C351" s="507" t="s">
        <v>27</v>
      </c>
      <c r="D351" s="475" t="s">
        <v>27</v>
      </c>
      <c r="E351" s="503">
        <f t="shared" ref="E351:E353" si="24">F351+G351</f>
        <v>7.3999999999999995</v>
      </c>
      <c r="F351" s="503"/>
      <c r="G351" s="503">
        <f t="shared" ref="G351:G353" si="25">H351+SUM(J351:Z351)</f>
        <v>7.3999999999999995</v>
      </c>
      <c r="H351" s="516"/>
      <c r="I351" s="516"/>
      <c r="J351" s="565">
        <v>2.2999999999999998</v>
      </c>
      <c r="K351" s="516">
        <v>5.0999999999999996</v>
      </c>
      <c r="L351" s="516"/>
      <c r="M351" s="516"/>
      <c r="N351" s="516"/>
      <c r="O351" s="516"/>
      <c r="P351" s="516"/>
      <c r="Q351" s="516"/>
      <c r="R351" s="565"/>
      <c r="S351" s="565"/>
      <c r="T351" s="516"/>
      <c r="U351" s="516"/>
      <c r="V351" s="516"/>
      <c r="W351" s="516"/>
      <c r="X351" s="516"/>
      <c r="Y351" s="516"/>
      <c r="Z351" s="516"/>
      <c r="AA351" s="574" t="s">
        <v>189</v>
      </c>
    </row>
    <row r="352" spans="1:27">
      <c r="A352" s="1222"/>
      <c r="B352" s="1223"/>
      <c r="C352" s="507" t="s">
        <v>78</v>
      </c>
      <c r="D352" s="475" t="s">
        <v>78</v>
      </c>
      <c r="E352" s="503">
        <f t="shared" si="24"/>
        <v>1.85</v>
      </c>
      <c r="F352" s="503"/>
      <c r="G352" s="503">
        <f t="shared" si="25"/>
        <v>1.85</v>
      </c>
      <c r="H352" s="516"/>
      <c r="I352" s="516"/>
      <c r="J352" s="565">
        <v>1.85</v>
      </c>
      <c r="K352" s="516"/>
      <c r="L352" s="516"/>
      <c r="M352" s="516"/>
      <c r="N352" s="516"/>
      <c r="O352" s="516"/>
      <c r="P352" s="516"/>
      <c r="Q352" s="516"/>
      <c r="R352" s="565"/>
      <c r="S352" s="565"/>
      <c r="T352" s="516"/>
      <c r="U352" s="516"/>
      <c r="V352" s="516"/>
      <c r="W352" s="516"/>
      <c r="X352" s="516"/>
      <c r="Y352" s="516"/>
      <c r="Z352" s="516"/>
      <c r="AA352" s="574" t="s">
        <v>189</v>
      </c>
    </row>
    <row r="353" spans="1:27">
      <c r="A353" s="1222"/>
      <c r="B353" s="1223"/>
      <c r="C353" s="507" t="s">
        <v>15</v>
      </c>
      <c r="D353" s="475" t="s">
        <v>15</v>
      </c>
      <c r="E353" s="503">
        <f t="shared" si="24"/>
        <v>27.75</v>
      </c>
      <c r="F353" s="503">
        <v>17.75</v>
      </c>
      <c r="G353" s="503">
        <f t="shared" si="25"/>
        <v>10</v>
      </c>
      <c r="H353" s="516"/>
      <c r="I353" s="516"/>
      <c r="J353" s="565">
        <v>10</v>
      </c>
      <c r="K353" s="516"/>
      <c r="L353" s="516"/>
      <c r="M353" s="516"/>
      <c r="N353" s="516"/>
      <c r="O353" s="516"/>
      <c r="P353" s="516"/>
      <c r="Q353" s="516"/>
      <c r="R353" s="565"/>
      <c r="S353" s="565"/>
      <c r="T353" s="516"/>
      <c r="U353" s="516"/>
      <c r="V353" s="516"/>
      <c r="W353" s="516"/>
      <c r="X353" s="516"/>
      <c r="Y353" s="516"/>
      <c r="Z353" s="516"/>
      <c r="AA353" s="574" t="s">
        <v>189</v>
      </c>
    </row>
    <row r="354" spans="1:27">
      <c r="A354" s="1222">
        <v>27</v>
      </c>
      <c r="B354" s="1180" t="s">
        <v>692</v>
      </c>
      <c r="C354" s="507" t="s">
        <v>27</v>
      </c>
      <c r="D354" s="475" t="s">
        <v>27</v>
      </c>
      <c r="E354" s="503">
        <f t="shared" si="13"/>
        <v>10</v>
      </c>
      <c r="F354" s="516"/>
      <c r="G354" s="503">
        <f t="shared" si="17"/>
        <v>10</v>
      </c>
      <c r="H354" s="516"/>
      <c r="I354" s="516"/>
      <c r="J354" s="565"/>
      <c r="K354" s="516">
        <v>10</v>
      </c>
      <c r="L354" s="516"/>
      <c r="M354" s="516"/>
      <c r="N354" s="516"/>
      <c r="O354" s="516"/>
      <c r="P354" s="516"/>
      <c r="Q354" s="516"/>
      <c r="R354" s="565"/>
      <c r="S354" s="565"/>
      <c r="T354" s="516"/>
      <c r="U354" s="516"/>
      <c r="V354" s="516"/>
      <c r="W354" s="516"/>
      <c r="X354" s="516"/>
      <c r="Y354" s="516"/>
      <c r="Z354" s="516"/>
      <c r="AA354" s="574" t="s">
        <v>191</v>
      </c>
    </row>
    <row r="355" spans="1:27">
      <c r="A355" s="1222"/>
      <c r="B355" s="1223"/>
      <c r="C355" s="507" t="s">
        <v>13</v>
      </c>
      <c r="D355" s="475" t="s">
        <v>13</v>
      </c>
      <c r="E355" s="503">
        <f t="shared" si="13"/>
        <v>15</v>
      </c>
      <c r="F355" s="516"/>
      <c r="G355" s="503">
        <f t="shared" si="17"/>
        <v>15</v>
      </c>
      <c r="H355" s="516"/>
      <c r="I355" s="516"/>
      <c r="J355" s="565"/>
      <c r="K355" s="516">
        <v>15</v>
      </c>
      <c r="L355" s="516"/>
      <c r="M355" s="516"/>
      <c r="N355" s="516"/>
      <c r="O355" s="516"/>
      <c r="P355" s="516"/>
      <c r="Q355" s="516"/>
      <c r="R355" s="565"/>
      <c r="S355" s="565"/>
      <c r="T355" s="516"/>
      <c r="U355" s="516"/>
      <c r="V355" s="516"/>
      <c r="W355" s="516"/>
      <c r="X355" s="516"/>
      <c r="Y355" s="516"/>
      <c r="Z355" s="516"/>
      <c r="AA355" s="574" t="s">
        <v>191</v>
      </c>
    </row>
    <row r="356" spans="1:27">
      <c r="A356" s="1222"/>
      <c r="B356" s="1223"/>
      <c r="C356" s="507" t="s">
        <v>15</v>
      </c>
      <c r="D356" s="475" t="s">
        <v>15</v>
      </c>
      <c r="E356" s="503">
        <f t="shared" si="13"/>
        <v>22.5</v>
      </c>
      <c r="F356" s="516">
        <f>50-27.5</f>
        <v>22.5</v>
      </c>
      <c r="G356" s="503">
        <f t="shared" si="17"/>
        <v>0</v>
      </c>
      <c r="H356" s="516"/>
      <c r="I356" s="516"/>
      <c r="J356" s="565"/>
      <c r="K356" s="516"/>
      <c r="L356" s="516"/>
      <c r="M356" s="516"/>
      <c r="N356" s="516"/>
      <c r="O356" s="516"/>
      <c r="P356" s="516"/>
      <c r="Q356" s="516"/>
      <c r="R356" s="565"/>
      <c r="S356" s="565"/>
      <c r="T356" s="516"/>
      <c r="U356" s="516"/>
      <c r="V356" s="516"/>
      <c r="W356" s="516"/>
      <c r="X356" s="516"/>
      <c r="Y356" s="516"/>
      <c r="Z356" s="516"/>
      <c r="AA356" s="574" t="s">
        <v>191</v>
      </c>
    </row>
    <row r="357" spans="1:27">
      <c r="A357" s="1179"/>
      <c r="B357" s="1181"/>
      <c r="C357" s="566" t="s">
        <v>78</v>
      </c>
      <c r="D357" s="567" t="s">
        <v>78</v>
      </c>
      <c r="E357" s="515">
        <f t="shared" si="13"/>
        <v>2.5</v>
      </c>
      <c r="F357" s="515"/>
      <c r="G357" s="515">
        <f t="shared" si="17"/>
        <v>2.5</v>
      </c>
      <c r="H357" s="515"/>
      <c r="I357" s="515"/>
      <c r="J357" s="568"/>
      <c r="K357" s="515">
        <v>2.5</v>
      </c>
      <c r="L357" s="515"/>
      <c r="M357" s="515"/>
      <c r="N357" s="515"/>
      <c r="O357" s="515"/>
      <c r="P357" s="515"/>
      <c r="Q357" s="515"/>
      <c r="R357" s="568"/>
      <c r="S357" s="568"/>
      <c r="T357" s="515"/>
      <c r="U357" s="515"/>
      <c r="V357" s="515"/>
      <c r="W357" s="515"/>
      <c r="X357" s="515"/>
      <c r="Y357" s="515"/>
      <c r="Z357" s="515"/>
      <c r="AA357" s="569" t="s">
        <v>191</v>
      </c>
    </row>
    <row r="358" spans="1:27" ht="30">
      <c r="A358" s="528" t="s">
        <v>693</v>
      </c>
      <c r="B358" s="689" t="s">
        <v>694</v>
      </c>
      <c r="C358" s="690"/>
      <c r="D358" s="691"/>
      <c r="E358" s="532"/>
      <c r="F358" s="532"/>
      <c r="G358" s="532"/>
      <c r="H358" s="532"/>
      <c r="I358" s="532"/>
      <c r="J358" s="530"/>
      <c r="K358" s="532"/>
      <c r="L358" s="532"/>
      <c r="M358" s="532"/>
      <c r="N358" s="532"/>
      <c r="O358" s="532"/>
      <c r="P358" s="532"/>
      <c r="Q358" s="532"/>
      <c r="R358" s="533"/>
      <c r="S358" s="533"/>
      <c r="T358" s="532"/>
      <c r="U358" s="532"/>
      <c r="V358" s="532"/>
      <c r="W358" s="532"/>
      <c r="X358" s="532"/>
      <c r="Y358" s="532"/>
      <c r="Z358" s="532"/>
      <c r="AA358" s="534"/>
    </row>
    <row r="359" spans="1:27" ht="31.5">
      <c r="A359" s="500">
        <v>1</v>
      </c>
      <c r="B359" s="557" t="s">
        <v>695</v>
      </c>
      <c r="C359" s="507" t="s">
        <v>66</v>
      </c>
      <c r="D359" s="475" t="s">
        <v>66</v>
      </c>
      <c r="E359" s="503">
        <f t="shared" si="13"/>
        <v>4.4000000000000004</v>
      </c>
      <c r="F359" s="503"/>
      <c r="G359" s="503">
        <f t="shared" si="17"/>
        <v>4.4000000000000004</v>
      </c>
      <c r="H359" s="503"/>
      <c r="I359" s="503"/>
      <c r="J359" s="508">
        <v>4.4000000000000004</v>
      </c>
      <c r="K359" s="503"/>
      <c r="L359" s="503"/>
      <c r="M359" s="503"/>
      <c r="N359" s="503"/>
      <c r="O359" s="503"/>
      <c r="P359" s="503"/>
      <c r="Q359" s="503"/>
      <c r="R359" s="509"/>
      <c r="S359" s="509"/>
      <c r="T359" s="503"/>
      <c r="U359" s="503"/>
      <c r="V359" s="503"/>
      <c r="W359" s="503"/>
      <c r="X359" s="503"/>
      <c r="Y359" s="503"/>
      <c r="Z359" s="503"/>
      <c r="AA359" s="510" t="s">
        <v>191</v>
      </c>
    </row>
    <row r="360" spans="1:27" ht="31.5">
      <c r="A360" s="500">
        <v>2</v>
      </c>
      <c r="B360" s="557" t="s">
        <v>696</v>
      </c>
      <c r="C360" s="507" t="s">
        <v>66</v>
      </c>
      <c r="D360" s="475" t="s">
        <v>66</v>
      </c>
      <c r="E360" s="503">
        <f t="shared" si="13"/>
        <v>4.5</v>
      </c>
      <c r="F360" s="503"/>
      <c r="G360" s="503">
        <f t="shared" si="17"/>
        <v>4.5</v>
      </c>
      <c r="H360" s="503"/>
      <c r="I360" s="503"/>
      <c r="J360" s="508">
        <v>4.5</v>
      </c>
      <c r="K360" s="503"/>
      <c r="L360" s="503"/>
      <c r="M360" s="503"/>
      <c r="N360" s="503"/>
      <c r="O360" s="503"/>
      <c r="P360" s="503"/>
      <c r="Q360" s="503"/>
      <c r="R360" s="509"/>
      <c r="S360" s="509"/>
      <c r="T360" s="503"/>
      <c r="U360" s="503"/>
      <c r="V360" s="503"/>
      <c r="W360" s="503"/>
      <c r="X360" s="503"/>
      <c r="Y360" s="503"/>
      <c r="Z360" s="503"/>
      <c r="AA360" s="510" t="s">
        <v>191</v>
      </c>
    </row>
    <row r="361" spans="1:27" ht="47.25" customHeight="1">
      <c r="A361" s="1178">
        <v>3</v>
      </c>
      <c r="B361" s="1228" t="s">
        <v>697</v>
      </c>
      <c r="C361" s="507" t="s">
        <v>66</v>
      </c>
      <c r="D361" s="475" t="s">
        <v>66</v>
      </c>
      <c r="E361" s="503">
        <f t="shared" si="13"/>
        <v>2.5</v>
      </c>
      <c r="F361" s="503"/>
      <c r="G361" s="503">
        <f t="shared" si="17"/>
        <v>2.5</v>
      </c>
      <c r="H361" s="503"/>
      <c r="I361" s="503"/>
      <c r="J361" s="508">
        <v>2.5</v>
      </c>
      <c r="K361" s="503"/>
      <c r="L361" s="503"/>
      <c r="M361" s="503"/>
      <c r="N361" s="503"/>
      <c r="O361" s="503"/>
      <c r="P361" s="503"/>
      <c r="Q361" s="503"/>
      <c r="R361" s="509"/>
      <c r="S361" s="509"/>
      <c r="T361" s="503"/>
      <c r="U361" s="503"/>
      <c r="V361" s="503"/>
      <c r="W361" s="503"/>
      <c r="X361" s="503"/>
      <c r="Y361" s="503"/>
      <c r="Z361" s="503"/>
      <c r="AA361" s="510" t="s">
        <v>190</v>
      </c>
    </row>
    <row r="362" spans="1:27">
      <c r="A362" s="1210"/>
      <c r="B362" s="1229"/>
      <c r="C362" s="507" t="s">
        <v>45</v>
      </c>
      <c r="D362" s="475" t="s">
        <v>193</v>
      </c>
      <c r="E362" s="503">
        <f t="shared" si="13"/>
        <v>7.5</v>
      </c>
      <c r="F362" s="503">
        <v>7.5</v>
      </c>
      <c r="G362" s="503">
        <f t="shared" ref="G362" si="26">H362+SUM(J362:Z362)</f>
        <v>0</v>
      </c>
      <c r="H362" s="503"/>
      <c r="I362" s="503"/>
      <c r="J362" s="508"/>
      <c r="K362" s="503"/>
      <c r="L362" s="503"/>
      <c r="M362" s="503"/>
      <c r="N362" s="503"/>
      <c r="O362" s="503"/>
      <c r="P362" s="503"/>
      <c r="Q362" s="503"/>
      <c r="R362" s="509"/>
      <c r="S362" s="509"/>
      <c r="T362" s="503"/>
      <c r="U362" s="503"/>
      <c r="V362" s="503"/>
      <c r="W362" s="503"/>
      <c r="X362" s="503"/>
      <c r="Y362" s="503"/>
      <c r="Z362" s="503"/>
      <c r="AA362" s="510" t="s">
        <v>190</v>
      </c>
    </row>
    <row r="363" spans="1:27" s="649" customFormat="1" ht="31.5" customHeight="1">
      <c r="A363" s="1178">
        <v>4</v>
      </c>
      <c r="B363" s="1231" t="s">
        <v>698</v>
      </c>
      <c r="C363" s="507" t="s">
        <v>66</v>
      </c>
      <c r="D363" s="475" t="s">
        <v>66</v>
      </c>
      <c r="E363" s="503">
        <f t="shared" si="13"/>
        <v>0.4</v>
      </c>
      <c r="F363" s="742"/>
      <c r="G363" s="503">
        <f t="shared" si="17"/>
        <v>0.4</v>
      </c>
      <c r="H363" s="743"/>
      <c r="I363" s="743"/>
      <c r="J363" s="744"/>
      <c r="K363" s="743">
        <v>0.4</v>
      </c>
      <c r="L363" s="743"/>
      <c r="M363" s="743"/>
      <c r="N363" s="743"/>
      <c r="O363" s="743"/>
      <c r="P363" s="743"/>
      <c r="Q363" s="743"/>
      <c r="R363" s="743"/>
      <c r="S363" s="743"/>
      <c r="T363" s="743"/>
      <c r="U363" s="743"/>
      <c r="V363" s="743"/>
      <c r="W363" s="743"/>
      <c r="X363" s="743"/>
      <c r="Y363" s="743"/>
      <c r="Z363" s="743"/>
      <c r="AA363" s="544" t="s">
        <v>168</v>
      </c>
    </row>
    <row r="364" spans="1:27" s="649" customFormat="1">
      <c r="A364" s="1210"/>
      <c r="B364" s="1232"/>
      <c r="C364" s="507" t="s">
        <v>74</v>
      </c>
      <c r="D364" s="475" t="s">
        <v>74</v>
      </c>
      <c r="E364" s="503">
        <f t="shared" si="13"/>
        <v>0.57999999999999996</v>
      </c>
      <c r="F364" s="742">
        <v>0.57999999999999996</v>
      </c>
      <c r="G364" s="503">
        <f t="shared" si="17"/>
        <v>0</v>
      </c>
      <c r="H364" s="743"/>
      <c r="I364" s="743"/>
      <c r="J364" s="744"/>
      <c r="K364" s="743"/>
      <c r="L364" s="743"/>
      <c r="M364" s="743"/>
      <c r="N364" s="743"/>
      <c r="O364" s="743"/>
      <c r="P364" s="743"/>
      <c r="Q364" s="743"/>
      <c r="R364" s="743"/>
      <c r="S364" s="743"/>
      <c r="T364" s="743"/>
      <c r="U364" s="743"/>
      <c r="V364" s="743"/>
      <c r="W364" s="743"/>
      <c r="X364" s="743"/>
      <c r="Y364" s="743"/>
      <c r="Z364" s="743"/>
      <c r="AA364" s="544" t="s">
        <v>168</v>
      </c>
    </row>
    <row r="365" spans="1:27" s="649" customFormat="1" ht="31.5">
      <c r="A365" s="500">
        <v>5</v>
      </c>
      <c r="B365" s="642" t="s">
        <v>699</v>
      </c>
      <c r="C365" s="507" t="s">
        <v>66</v>
      </c>
      <c r="D365" s="475" t="s">
        <v>66</v>
      </c>
      <c r="E365" s="503">
        <f t="shared" si="13"/>
        <v>12.1</v>
      </c>
      <c r="F365" s="745"/>
      <c r="G365" s="503">
        <f t="shared" si="17"/>
        <v>12.1</v>
      </c>
      <c r="H365" s="646"/>
      <c r="I365" s="646"/>
      <c r="J365" s="746">
        <v>5</v>
      </c>
      <c r="K365" s="747">
        <v>7.1</v>
      </c>
      <c r="L365" s="747"/>
      <c r="M365" s="747"/>
      <c r="N365" s="747"/>
      <c r="O365" s="747"/>
      <c r="P365" s="747"/>
      <c r="Q365" s="747"/>
      <c r="R365" s="747"/>
      <c r="S365" s="747"/>
      <c r="T365" s="747"/>
      <c r="U365" s="747"/>
      <c r="V365" s="747"/>
      <c r="W365" s="747"/>
      <c r="X365" s="747"/>
      <c r="Y365" s="747"/>
      <c r="Z365" s="747"/>
      <c r="AA365" s="651" t="s">
        <v>190</v>
      </c>
    </row>
    <row r="366" spans="1:27" s="649" customFormat="1" ht="31.5">
      <c r="A366" s="500">
        <v>6</v>
      </c>
      <c r="B366" s="642" t="s">
        <v>700</v>
      </c>
      <c r="C366" s="507" t="s">
        <v>66</v>
      </c>
      <c r="D366" s="475" t="s">
        <v>66</v>
      </c>
      <c r="E366" s="503">
        <f t="shared" si="13"/>
        <v>5</v>
      </c>
      <c r="F366" s="745"/>
      <c r="G366" s="503">
        <f t="shared" si="17"/>
        <v>5</v>
      </c>
      <c r="H366" s="646"/>
      <c r="I366" s="646"/>
      <c r="J366" s="746">
        <v>2.5</v>
      </c>
      <c r="K366" s="747">
        <v>2.5</v>
      </c>
      <c r="L366" s="747"/>
      <c r="M366" s="747"/>
      <c r="N366" s="747"/>
      <c r="O366" s="747"/>
      <c r="P366" s="747"/>
      <c r="Q366" s="747"/>
      <c r="R366" s="747"/>
      <c r="S366" s="747"/>
      <c r="T366" s="747"/>
      <c r="U366" s="747"/>
      <c r="V366" s="747"/>
      <c r="W366" s="747"/>
      <c r="X366" s="747"/>
      <c r="Y366" s="747"/>
      <c r="Z366" s="747"/>
      <c r="AA366" s="599" t="s">
        <v>169</v>
      </c>
    </row>
    <row r="367" spans="1:27" s="649" customFormat="1" ht="31.5">
      <c r="A367" s="500">
        <v>7</v>
      </c>
      <c r="B367" s="642" t="s">
        <v>701</v>
      </c>
      <c r="C367" s="507" t="s">
        <v>66</v>
      </c>
      <c r="D367" s="475" t="s">
        <v>66</v>
      </c>
      <c r="E367" s="503">
        <f t="shared" si="13"/>
        <v>15</v>
      </c>
      <c r="F367" s="745"/>
      <c r="G367" s="503">
        <f t="shared" ref="G367:G440" si="27">H367+SUM(J367:Z367)</f>
        <v>15</v>
      </c>
      <c r="H367" s="646"/>
      <c r="I367" s="646"/>
      <c r="J367" s="746">
        <v>6</v>
      </c>
      <c r="K367" s="747">
        <v>9</v>
      </c>
      <c r="L367" s="747"/>
      <c r="M367" s="747"/>
      <c r="N367" s="747"/>
      <c r="O367" s="747"/>
      <c r="P367" s="747"/>
      <c r="Q367" s="747"/>
      <c r="R367" s="747"/>
      <c r="S367" s="747"/>
      <c r="T367" s="747"/>
      <c r="U367" s="747"/>
      <c r="V367" s="747"/>
      <c r="W367" s="747"/>
      <c r="X367" s="747"/>
      <c r="Y367" s="747"/>
      <c r="Z367" s="747"/>
      <c r="AA367" s="599" t="s">
        <v>169</v>
      </c>
    </row>
    <row r="368" spans="1:27" s="649" customFormat="1" ht="31.5">
      <c r="A368" s="500">
        <v>8</v>
      </c>
      <c r="B368" s="642" t="s">
        <v>702</v>
      </c>
      <c r="C368" s="507" t="s">
        <v>66</v>
      </c>
      <c r="D368" s="475" t="s">
        <v>66</v>
      </c>
      <c r="E368" s="503">
        <f t="shared" si="13"/>
        <v>1.87</v>
      </c>
      <c r="F368" s="745"/>
      <c r="G368" s="503">
        <f t="shared" si="27"/>
        <v>1.87</v>
      </c>
      <c r="H368" s="646"/>
      <c r="I368" s="646"/>
      <c r="J368" s="746"/>
      <c r="K368" s="748">
        <v>1.87</v>
      </c>
      <c r="L368" s="747"/>
      <c r="M368" s="747"/>
      <c r="N368" s="747"/>
      <c r="O368" s="747"/>
      <c r="P368" s="747"/>
      <c r="Q368" s="747"/>
      <c r="R368" s="747"/>
      <c r="S368" s="747"/>
      <c r="T368" s="747"/>
      <c r="U368" s="747"/>
      <c r="V368" s="747"/>
      <c r="W368" s="747"/>
      <c r="X368" s="747"/>
      <c r="Y368" s="747"/>
      <c r="Z368" s="747"/>
      <c r="AA368" s="599" t="s">
        <v>169</v>
      </c>
    </row>
    <row r="369" spans="1:27" s="649" customFormat="1">
      <c r="A369" s="500">
        <v>9</v>
      </c>
      <c r="B369" s="642" t="s">
        <v>703</v>
      </c>
      <c r="C369" s="507" t="s">
        <v>66</v>
      </c>
      <c r="D369" s="475" t="s">
        <v>66</v>
      </c>
      <c r="E369" s="503">
        <f t="shared" si="13"/>
        <v>19.899999999999999</v>
      </c>
      <c r="F369" s="745"/>
      <c r="G369" s="503">
        <f t="shared" si="27"/>
        <v>19.899999999999999</v>
      </c>
      <c r="H369" s="646"/>
      <c r="I369" s="646"/>
      <c r="J369" s="746">
        <v>9.9</v>
      </c>
      <c r="K369" s="748">
        <v>10</v>
      </c>
      <c r="L369" s="747"/>
      <c r="M369" s="747"/>
      <c r="N369" s="747"/>
      <c r="O369" s="747"/>
      <c r="P369" s="747"/>
      <c r="Q369" s="747"/>
      <c r="R369" s="747"/>
      <c r="S369" s="747"/>
      <c r="T369" s="747"/>
      <c r="U369" s="747"/>
      <c r="V369" s="747"/>
      <c r="W369" s="747"/>
      <c r="X369" s="747"/>
      <c r="Y369" s="747"/>
      <c r="Z369" s="747"/>
      <c r="AA369" s="599" t="s">
        <v>169</v>
      </c>
    </row>
    <row r="370" spans="1:27" s="649" customFormat="1" ht="31.5">
      <c r="A370" s="500">
        <v>10</v>
      </c>
      <c r="B370" s="642" t="s">
        <v>704</v>
      </c>
      <c r="C370" s="507" t="s">
        <v>74</v>
      </c>
      <c r="D370" s="475" t="s">
        <v>74</v>
      </c>
      <c r="E370" s="503">
        <f t="shared" si="13"/>
        <v>1.7</v>
      </c>
      <c r="F370" s="749">
        <v>1.7</v>
      </c>
      <c r="G370" s="503">
        <f t="shared" si="27"/>
        <v>0</v>
      </c>
      <c r="H370" s="646"/>
      <c r="I370" s="646"/>
      <c r="J370" s="746"/>
      <c r="K370" s="748"/>
      <c r="L370" s="747"/>
      <c r="M370" s="747"/>
      <c r="N370" s="747"/>
      <c r="O370" s="747"/>
      <c r="P370" s="747"/>
      <c r="Q370" s="747"/>
      <c r="R370" s="747"/>
      <c r="S370" s="747"/>
      <c r="T370" s="747"/>
      <c r="U370" s="747"/>
      <c r="V370" s="747"/>
      <c r="W370" s="747"/>
      <c r="X370" s="747"/>
      <c r="Y370" s="747"/>
      <c r="Z370" s="747"/>
      <c r="AA370" s="599" t="s">
        <v>169</v>
      </c>
    </row>
    <row r="371" spans="1:27" s="649" customFormat="1" ht="31.5">
      <c r="A371" s="500">
        <v>11</v>
      </c>
      <c r="B371" s="642" t="s">
        <v>705</v>
      </c>
      <c r="C371" s="507" t="s">
        <v>74</v>
      </c>
      <c r="D371" s="475" t="s">
        <v>74</v>
      </c>
      <c r="E371" s="503">
        <f t="shared" si="13"/>
        <v>1.41</v>
      </c>
      <c r="F371" s="749">
        <v>1.41</v>
      </c>
      <c r="G371" s="503">
        <f t="shared" si="27"/>
        <v>0</v>
      </c>
      <c r="H371" s="646"/>
      <c r="I371" s="646"/>
      <c r="J371" s="746"/>
      <c r="K371" s="748"/>
      <c r="L371" s="747"/>
      <c r="M371" s="747"/>
      <c r="N371" s="747"/>
      <c r="O371" s="747"/>
      <c r="P371" s="747"/>
      <c r="Q371" s="747"/>
      <c r="R371" s="747"/>
      <c r="S371" s="747"/>
      <c r="T371" s="747"/>
      <c r="U371" s="747"/>
      <c r="V371" s="747"/>
      <c r="W371" s="747"/>
      <c r="X371" s="747"/>
      <c r="Y371" s="747"/>
      <c r="Z371" s="747"/>
      <c r="AA371" s="599" t="s">
        <v>169</v>
      </c>
    </row>
    <row r="372" spans="1:27" s="649" customFormat="1" ht="31.5" customHeight="1">
      <c r="A372" s="1178">
        <v>12</v>
      </c>
      <c r="B372" s="1231" t="s">
        <v>706</v>
      </c>
      <c r="C372" s="507" t="s">
        <v>66</v>
      </c>
      <c r="D372" s="475" t="s">
        <v>66</v>
      </c>
      <c r="E372" s="503">
        <f t="shared" si="13"/>
        <v>0.7</v>
      </c>
      <c r="F372" s="745"/>
      <c r="G372" s="503">
        <f t="shared" si="27"/>
        <v>0.7</v>
      </c>
      <c r="H372" s="646"/>
      <c r="I372" s="646"/>
      <c r="J372" s="746"/>
      <c r="K372" s="748"/>
      <c r="L372" s="747"/>
      <c r="M372" s="747"/>
      <c r="N372" s="747"/>
      <c r="O372" s="747"/>
      <c r="P372" s="747"/>
      <c r="Q372" s="747"/>
      <c r="R372" s="747"/>
      <c r="S372" s="747"/>
      <c r="T372" s="747"/>
      <c r="U372" s="747"/>
      <c r="V372" s="747"/>
      <c r="W372" s="747"/>
      <c r="X372" s="747"/>
      <c r="Y372" s="747"/>
      <c r="Z372" s="747">
        <v>0.7</v>
      </c>
      <c r="AA372" s="599" t="s">
        <v>169</v>
      </c>
    </row>
    <row r="373" spans="1:27" s="649" customFormat="1">
      <c r="A373" s="1210"/>
      <c r="B373" s="1232"/>
      <c r="C373" s="507" t="s">
        <v>74</v>
      </c>
      <c r="D373" s="475" t="s">
        <v>74</v>
      </c>
      <c r="E373" s="503">
        <f t="shared" si="13"/>
        <v>0.3</v>
      </c>
      <c r="F373" s="745">
        <v>0.3</v>
      </c>
      <c r="G373" s="503">
        <f t="shared" si="27"/>
        <v>0</v>
      </c>
      <c r="H373" s="646"/>
      <c r="I373" s="646"/>
      <c r="J373" s="746"/>
      <c r="K373" s="748"/>
      <c r="L373" s="747"/>
      <c r="M373" s="747"/>
      <c r="N373" s="747"/>
      <c r="O373" s="747"/>
      <c r="P373" s="747"/>
      <c r="Q373" s="747"/>
      <c r="R373" s="747"/>
      <c r="S373" s="747"/>
      <c r="T373" s="747"/>
      <c r="U373" s="747"/>
      <c r="V373" s="747"/>
      <c r="W373" s="747"/>
      <c r="X373" s="747"/>
      <c r="Y373" s="747"/>
      <c r="Z373" s="747"/>
      <c r="AA373" s="599" t="s">
        <v>169</v>
      </c>
    </row>
    <row r="374" spans="1:27" s="649" customFormat="1" ht="31.5">
      <c r="A374" s="500">
        <v>13</v>
      </c>
      <c r="B374" s="642" t="s">
        <v>707</v>
      </c>
      <c r="C374" s="507" t="s">
        <v>66</v>
      </c>
      <c r="D374" s="475" t="s">
        <v>66</v>
      </c>
      <c r="E374" s="503">
        <f t="shared" si="13"/>
        <v>3.5</v>
      </c>
      <c r="F374" s="750"/>
      <c r="G374" s="503">
        <f t="shared" si="27"/>
        <v>3.5</v>
      </c>
      <c r="H374" s="748"/>
      <c r="I374" s="748"/>
      <c r="J374" s="510">
        <v>2</v>
      </c>
      <c r="K374" s="748">
        <v>1.5</v>
      </c>
      <c r="L374" s="748"/>
      <c r="M374" s="748"/>
      <c r="N374" s="748"/>
      <c r="O374" s="748"/>
      <c r="P374" s="748"/>
      <c r="Q374" s="748"/>
      <c r="R374" s="748"/>
      <c r="S374" s="748"/>
      <c r="T374" s="748"/>
      <c r="U374" s="748"/>
      <c r="V374" s="748"/>
      <c r="W374" s="748"/>
      <c r="X374" s="748"/>
      <c r="Y374" s="748"/>
      <c r="Z374" s="748"/>
      <c r="AA374" s="751" t="s">
        <v>172</v>
      </c>
    </row>
    <row r="375" spans="1:27" s="649" customFormat="1" ht="31.5">
      <c r="A375" s="500">
        <v>14</v>
      </c>
      <c r="B375" s="642" t="s">
        <v>708</v>
      </c>
      <c r="C375" s="507" t="s">
        <v>66</v>
      </c>
      <c r="D375" s="475" t="s">
        <v>66</v>
      </c>
      <c r="E375" s="503">
        <f t="shared" si="13"/>
        <v>50</v>
      </c>
      <c r="F375" s="750"/>
      <c r="G375" s="503">
        <f t="shared" si="27"/>
        <v>50</v>
      </c>
      <c r="H375" s="748"/>
      <c r="I375" s="748"/>
      <c r="J375" s="510">
        <v>21.59</v>
      </c>
      <c r="K375" s="748">
        <v>28.41</v>
      </c>
      <c r="L375" s="748"/>
      <c r="M375" s="748"/>
      <c r="N375" s="748"/>
      <c r="O375" s="748"/>
      <c r="P375" s="748"/>
      <c r="Q375" s="748"/>
      <c r="R375" s="748"/>
      <c r="S375" s="748"/>
      <c r="T375" s="748"/>
      <c r="U375" s="748"/>
      <c r="V375" s="748"/>
      <c r="W375" s="748"/>
      <c r="X375" s="748"/>
      <c r="Y375" s="748"/>
      <c r="Z375" s="748"/>
      <c r="AA375" s="751" t="s">
        <v>172</v>
      </c>
    </row>
    <row r="376" spans="1:27" s="649" customFormat="1">
      <c r="A376" s="500">
        <v>15</v>
      </c>
      <c r="B376" s="642" t="s">
        <v>709</v>
      </c>
      <c r="C376" s="507" t="s">
        <v>66</v>
      </c>
      <c r="D376" s="475" t="s">
        <v>66</v>
      </c>
      <c r="E376" s="503">
        <f t="shared" si="13"/>
        <v>5</v>
      </c>
      <c r="F376" s="750"/>
      <c r="G376" s="503">
        <f t="shared" si="27"/>
        <v>5</v>
      </c>
      <c r="H376" s="748"/>
      <c r="I376" s="748"/>
      <c r="J376" s="510"/>
      <c r="K376" s="748">
        <v>5</v>
      </c>
      <c r="L376" s="748"/>
      <c r="M376" s="748"/>
      <c r="N376" s="748"/>
      <c r="O376" s="748"/>
      <c r="P376" s="748"/>
      <c r="Q376" s="748"/>
      <c r="R376" s="748"/>
      <c r="S376" s="748"/>
      <c r="T376" s="748"/>
      <c r="U376" s="748"/>
      <c r="V376" s="748"/>
      <c r="W376" s="748"/>
      <c r="X376" s="748"/>
      <c r="Y376" s="748"/>
      <c r="Z376" s="748"/>
      <c r="AA376" s="751" t="s">
        <v>172</v>
      </c>
    </row>
    <row r="377" spans="1:27" s="545" customFormat="1" ht="31.5" customHeight="1">
      <c r="A377" s="1178">
        <v>16</v>
      </c>
      <c r="B377" s="1231" t="s">
        <v>710</v>
      </c>
      <c r="C377" s="507" t="s">
        <v>66</v>
      </c>
      <c r="D377" s="475" t="s">
        <v>66</v>
      </c>
      <c r="E377" s="503">
        <f t="shared" si="13"/>
        <v>1.5</v>
      </c>
      <c r="F377" s="752"/>
      <c r="G377" s="503">
        <f t="shared" si="27"/>
        <v>1.5</v>
      </c>
      <c r="H377" s="748"/>
      <c r="I377" s="748"/>
      <c r="J377" s="510">
        <v>1</v>
      </c>
      <c r="K377" s="748"/>
      <c r="L377" s="748"/>
      <c r="M377" s="748"/>
      <c r="N377" s="748"/>
      <c r="O377" s="748"/>
      <c r="P377" s="748"/>
      <c r="Q377" s="748"/>
      <c r="R377" s="748"/>
      <c r="S377" s="748"/>
      <c r="T377" s="748"/>
      <c r="U377" s="748"/>
      <c r="V377" s="748"/>
      <c r="W377" s="748"/>
      <c r="X377" s="748"/>
      <c r="Y377" s="748"/>
      <c r="Z377" s="748">
        <v>0.5</v>
      </c>
      <c r="AA377" s="617" t="s">
        <v>173</v>
      </c>
    </row>
    <row r="378" spans="1:27" s="545" customFormat="1">
      <c r="A378" s="1210"/>
      <c r="B378" s="1232"/>
      <c r="C378" s="733" t="s">
        <v>74</v>
      </c>
      <c r="D378" s="734" t="s">
        <v>74</v>
      </c>
      <c r="E378" s="503">
        <f t="shared" si="13"/>
        <v>0.45</v>
      </c>
      <c r="F378" s="752">
        <v>0.45</v>
      </c>
      <c r="G378" s="503">
        <f t="shared" si="27"/>
        <v>0</v>
      </c>
      <c r="H378" s="481"/>
      <c r="I378" s="481"/>
      <c r="J378" s="574"/>
      <c r="K378" s="481"/>
      <c r="L378" s="481"/>
      <c r="M378" s="481"/>
      <c r="N378" s="481"/>
      <c r="O378" s="481"/>
      <c r="P378" s="481"/>
      <c r="Q378" s="481"/>
      <c r="R378" s="481"/>
      <c r="S378" s="481"/>
      <c r="T378" s="481"/>
      <c r="U378" s="481"/>
      <c r="V378" s="481"/>
      <c r="W378" s="481"/>
      <c r="X378" s="481"/>
      <c r="Y378" s="481"/>
      <c r="Z378" s="481"/>
      <c r="AA378" s="617" t="s">
        <v>173</v>
      </c>
    </row>
    <row r="379" spans="1:27" s="545" customFormat="1">
      <c r="A379" s="511">
        <v>17</v>
      </c>
      <c r="B379" s="753" t="s">
        <v>711</v>
      </c>
      <c r="C379" s="566" t="s">
        <v>66</v>
      </c>
      <c r="D379" s="567" t="s">
        <v>66</v>
      </c>
      <c r="E379" s="516">
        <f t="shared" si="13"/>
        <v>10</v>
      </c>
      <c r="F379" s="479"/>
      <c r="G379" s="516">
        <f t="shared" si="27"/>
        <v>10</v>
      </c>
      <c r="H379" s="481"/>
      <c r="I379" s="754"/>
      <c r="J379" s="569">
        <v>4.5</v>
      </c>
      <c r="K379" s="754">
        <v>5.5</v>
      </c>
      <c r="L379" s="754"/>
      <c r="M379" s="754"/>
      <c r="N379" s="754"/>
      <c r="O379" s="754"/>
      <c r="P379" s="754"/>
      <c r="Q379" s="754"/>
      <c r="R379" s="754"/>
      <c r="S379" s="754"/>
      <c r="T379" s="754"/>
      <c r="U379" s="754"/>
      <c r="V379" s="754"/>
      <c r="W379" s="754"/>
      <c r="X379" s="754"/>
      <c r="Y379" s="754"/>
      <c r="Z379" s="754"/>
      <c r="AA379" s="625" t="s">
        <v>170</v>
      </c>
    </row>
    <row r="380" spans="1:27">
      <c r="A380" s="528" t="s">
        <v>712</v>
      </c>
      <c r="B380" s="529" t="s">
        <v>638</v>
      </c>
      <c r="C380" s="530"/>
      <c r="D380" s="531"/>
      <c r="E380" s="632"/>
      <c r="F380" s="739"/>
      <c r="G380" s="632"/>
      <c r="H380" s="632"/>
      <c r="I380" s="532"/>
      <c r="J380" s="638"/>
      <c r="K380" s="532"/>
      <c r="L380" s="532"/>
      <c r="M380" s="532"/>
      <c r="N380" s="532"/>
      <c r="O380" s="532"/>
      <c r="P380" s="532"/>
      <c r="Q380" s="532"/>
      <c r="R380" s="532"/>
      <c r="S380" s="532"/>
      <c r="T380" s="532"/>
      <c r="U380" s="532"/>
      <c r="V380" s="532"/>
      <c r="W380" s="532"/>
      <c r="X380" s="532"/>
      <c r="Y380" s="532"/>
      <c r="Z380" s="532"/>
      <c r="AA380" s="755"/>
    </row>
    <row r="381" spans="1:27" ht="31.5">
      <c r="A381" s="500">
        <v>1</v>
      </c>
      <c r="B381" s="560" t="s">
        <v>713</v>
      </c>
      <c r="C381" s="508" t="s">
        <v>53</v>
      </c>
      <c r="D381" s="561" t="s">
        <v>53</v>
      </c>
      <c r="E381" s="503">
        <f t="shared" si="13"/>
        <v>6.08</v>
      </c>
      <c r="F381" s="503">
        <v>6.08</v>
      </c>
      <c r="G381" s="503">
        <f t="shared" si="27"/>
        <v>0</v>
      </c>
      <c r="H381" s="503"/>
      <c r="I381" s="503"/>
      <c r="J381" s="504"/>
      <c r="K381" s="503"/>
      <c r="L381" s="503"/>
      <c r="M381" s="503"/>
      <c r="N381" s="503"/>
      <c r="O381" s="503"/>
      <c r="P381" s="503"/>
      <c r="Q381" s="503"/>
      <c r="R381" s="503"/>
      <c r="S381" s="503"/>
      <c r="T381" s="503"/>
      <c r="U381" s="503"/>
      <c r="V381" s="503"/>
      <c r="W381" s="503"/>
      <c r="X381" s="503"/>
      <c r="Y381" s="503"/>
      <c r="Z381" s="503"/>
      <c r="AA381" s="510" t="s">
        <v>169</v>
      </c>
    </row>
    <row r="382" spans="1:27" ht="31.5">
      <c r="A382" s="756">
        <v>2</v>
      </c>
      <c r="B382" s="757" t="s">
        <v>714</v>
      </c>
      <c r="C382" s="758" t="s">
        <v>53</v>
      </c>
      <c r="D382" s="759" t="s">
        <v>53</v>
      </c>
      <c r="E382" s="503">
        <f t="shared" si="13"/>
        <v>25</v>
      </c>
      <c r="F382" s="760"/>
      <c r="G382" s="503">
        <f t="shared" si="27"/>
        <v>25</v>
      </c>
      <c r="H382" s="761"/>
      <c r="I382" s="761"/>
      <c r="J382" s="762">
        <v>15</v>
      </c>
      <c r="K382" s="761">
        <v>10</v>
      </c>
      <c r="L382" s="761"/>
      <c r="M382" s="761"/>
      <c r="N382" s="761"/>
      <c r="O382" s="761"/>
      <c r="P382" s="761"/>
      <c r="Q382" s="761"/>
      <c r="R382" s="761"/>
      <c r="S382" s="761"/>
      <c r="T382" s="761"/>
      <c r="U382" s="761"/>
      <c r="V382" s="761"/>
      <c r="W382" s="761"/>
      <c r="X382" s="761"/>
      <c r="Y382" s="761"/>
      <c r="Z382" s="761"/>
      <c r="AA382" s="763" t="s">
        <v>715</v>
      </c>
    </row>
    <row r="383" spans="1:27" ht="31.5">
      <c r="A383" s="500">
        <v>3</v>
      </c>
      <c r="B383" s="757" t="s">
        <v>716</v>
      </c>
      <c r="C383" s="758" t="s">
        <v>53</v>
      </c>
      <c r="D383" s="759" t="s">
        <v>53</v>
      </c>
      <c r="E383" s="503">
        <f t="shared" si="13"/>
        <v>21</v>
      </c>
      <c r="F383" s="760"/>
      <c r="G383" s="503">
        <f t="shared" si="27"/>
        <v>21</v>
      </c>
      <c r="H383" s="761"/>
      <c r="I383" s="761"/>
      <c r="J383" s="762">
        <v>13</v>
      </c>
      <c r="K383" s="761">
        <v>8</v>
      </c>
      <c r="L383" s="761"/>
      <c r="M383" s="761"/>
      <c r="N383" s="761"/>
      <c r="O383" s="761"/>
      <c r="P383" s="761"/>
      <c r="Q383" s="761"/>
      <c r="R383" s="761"/>
      <c r="S383" s="761"/>
      <c r="T383" s="761"/>
      <c r="U383" s="761"/>
      <c r="V383" s="761"/>
      <c r="W383" s="761"/>
      <c r="X383" s="761"/>
      <c r="Y383" s="761"/>
      <c r="Z383" s="761"/>
      <c r="AA383" s="763" t="s">
        <v>229</v>
      </c>
    </row>
    <row r="384" spans="1:27" ht="31.5">
      <c r="A384" s="756">
        <v>4</v>
      </c>
      <c r="B384" s="757" t="s">
        <v>717</v>
      </c>
      <c r="C384" s="758" t="s">
        <v>53</v>
      </c>
      <c r="D384" s="759" t="s">
        <v>53</v>
      </c>
      <c r="E384" s="503">
        <f t="shared" si="13"/>
        <v>20</v>
      </c>
      <c r="F384" s="760"/>
      <c r="G384" s="503">
        <f t="shared" si="27"/>
        <v>20</v>
      </c>
      <c r="H384" s="761"/>
      <c r="I384" s="761"/>
      <c r="J384" s="762">
        <v>12</v>
      </c>
      <c r="K384" s="761">
        <v>8</v>
      </c>
      <c r="L384" s="761"/>
      <c r="M384" s="761"/>
      <c r="N384" s="761"/>
      <c r="O384" s="761"/>
      <c r="P384" s="761"/>
      <c r="Q384" s="761"/>
      <c r="R384" s="761"/>
      <c r="S384" s="761"/>
      <c r="T384" s="761"/>
      <c r="U384" s="761"/>
      <c r="V384" s="761"/>
      <c r="W384" s="761"/>
      <c r="X384" s="761"/>
      <c r="Y384" s="761"/>
      <c r="Z384" s="761"/>
      <c r="AA384" s="763" t="s">
        <v>718</v>
      </c>
    </row>
    <row r="385" spans="1:27" ht="31.5">
      <c r="A385" s="500">
        <v>5</v>
      </c>
      <c r="B385" s="757" t="s">
        <v>719</v>
      </c>
      <c r="C385" s="758" t="s">
        <v>53</v>
      </c>
      <c r="D385" s="759" t="s">
        <v>53</v>
      </c>
      <c r="E385" s="503">
        <f t="shared" si="13"/>
        <v>30</v>
      </c>
      <c r="F385" s="760"/>
      <c r="G385" s="503">
        <f t="shared" si="27"/>
        <v>30</v>
      </c>
      <c r="H385" s="761"/>
      <c r="I385" s="761"/>
      <c r="J385" s="762">
        <v>20</v>
      </c>
      <c r="K385" s="761">
        <v>10</v>
      </c>
      <c r="L385" s="761"/>
      <c r="M385" s="761"/>
      <c r="N385" s="761"/>
      <c r="O385" s="761"/>
      <c r="P385" s="761"/>
      <c r="Q385" s="761"/>
      <c r="R385" s="761"/>
      <c r="S385" s="761"/>
      <c r="T385" s="761"/>
      <c r="U385" s="761"/>
      <c r="V385" s="761"/>
      <c r="W385" s="761"/>
      <c r="X385" s="761"/>
      <c r="Y385" s="761"/>
      <c r="Z385" s="761"/>
      <c r="AA385" s="763" t="s">
        <v>720</v>
      </c>
    </row>
    <row r="386" spans="1:27" ht="31.5">
      <c r="A386" s="756">
        <v>6</v>
      </c>
      <c r="B386" s="757" t="s">
        <v>721</v>
      </c>
      <c r="C386" s="758" t="s">
        <v>53</v>
      </c>
      <c r="D386" s="759" t="s">
        <v>53</v>
      </c>
      <c r="E386" s="503">
        <f t="shared" si="13"/>
        <v>30</v>
      </c>
      <c r="F386" s="760"/>
      <c r="G386" s="503">
        <f t="shared" si="27"/>
        <v>30</v>
      </c>
      <c r="H386" s="761"/>
      <c r="I386" s="761"/>
      <c r="J386" s="762">
        <v>15</v>
      </c>
      <c r="K386" s="761">
        <v>15</v>
      </c>
      <c r="L386" s="761"/>
      <c r="M386" s="761"/>
      <c r="N386" s="761"/>
      <c r="O386" s="761"/>
      <c r="P386" s="761"/>
      <c r="Q386" s="761"/>
      <c r="R386" s="761"/>
      <c r="S386" s="761"/>
      <c r="T386" s="761"/>
      <c r="U386" s="761"/>
      <c r="V386" s="761"/>
      <c r="W386" s="761"/>
      <c r="X386" s="761"/>
      <c r="Y386" s="761"/>
      <c r="Z386" s="761"/>
      <c r="AA386" s="763" t="s">
        <v>597</v>
      </c>
    </row>
    <row r="387" spans="1:27" ht="31.5">
      <c r="A387" s="500">
        <v>7</v>
      </c>
      <c r="B387" s="757" t="s">
        <v>722</v>
      </c>
      <c r="C387" s="758" t="s">
        <v>53</v>
      </c>
      <c r="D387" s="759" t="s">
        <v>53</v>
      </c>
      <c r="E387" s="503">
        <f t="shared" si="13"/>
        <v>30</v>
      </c>
      <c r="F387" s="760"/>
      <c r="G387" s="503">
        <f t="shared" si="27"/>
        <v>30</v>
      </c>
      <c r="H387" s="761"/>
      <c r="I387" s="761"/>
      <c r="J387" s="762">
        <v>20</v>
      </c>
      <c r="K387" s="761">
        <v>10</v>
      </c>
      <c r="L387" s="761"/>
      <c r="M387" s="761"/>
      <c r="N387" s="761"/>
      <c r="O387" s="761"/>
      <c r="P387" s="761"/>
      <c r="Q387" s="761"/>
      <c r="R387" s="761"/>
      <c r="S387" s="761"/>
      <c r="T387" s="761"/>
      <c r="U387" s="761"/>
      <c r="V387" s="761"/>
      <c r="W387" s="761"/>
      <c r="X387" s="761"/>
      <c r="Y387" s="761"/>
      <c r="Z387" s="761"/>
      <c r="AA387" s="763" t="s">
        <v>545</v>
      </c>
    </row>
    <row r="388" spans="1:27" ht="31.5">
      <c r="A388" s="756">
        <v>8</v>
      </c>
      <c r="B388" s="757" t="s">
        <v>723</v>
      </c>
      <c r="C388" s="758" t="s">
        <v>53</v>
      </c>
      <c r="D388" s="759" t="s">
        <v>53</v>
      </c>
      <c r="E388" s="503">
        <f t="shared" ref="E388:E462" si="28">F388+G388</f>
        <v>30</v>
      </c>
      <c r="F388" s="760"/>
      <c r="G388" s="503">
        <f t="shared" si="27"/>
        <v>30</v>
      </c>
      <c r="H388" s="761"/>
      <c r="I388" s="761"/>
      <c r="J388" s="762">
        <v>20</v>
      </c>
      <c r="K388" s="761">
        <v>10</v>
      </c>
      <c r="L388" s="761"/>
      <c r="M388" s="761"/>
      <c r="N388" s="761"/>
      <c r="O388" s="761"/>
      <c r="P388" s="761"/>
      <c r="Q388" s="761"/>
      <c r="R388" s="761"/>
      <c r="S388" s="761"/>
      <c r="T388" s="761"/>
      <c r="U388" s="761"/>
      <c r="V388" s="761"/>
      <c r="W388" s="761"/>
      <c r="X388" s="761"/>
      <c r="Y388" s="761"/>
      <c r="Z388" s="761"/>
      <c r="AA388" s="763" t="s">
        <v>724</v>
      </c>
    </row>
    <row r="389" spans="1:27" ht="31.5">
      <c r="A389" s="500">
        <v>9</v>
      </c>
      <c r="B389" s="757" t="s">
        <v>725</v>
      </c>
      <c r="C389" s="758" t="s">
        <v>53</v>
      </c>
      <c r="D389" s="759" t="s">
        <v>53</v>
      </c>
      <c r="E389" s="503">
        <f t="shared" si="28"/>
        <v>30</v>
      </c>
      <c r="F389" s="760"/>
      <c r="G389" s="503">
        <f t="shared" si="27"/>
        <v>30</v>
      </c>
      <c r="H389" s="761"/>
      <c r="I389" s="761"/>
      <c r="J389" s="762">
        <v>20</v>
      </c>
      <c r="K389" s="761">
        <v>10</v>
      </c>
      <c r="L389" s="761"/>
      <c r="M389" s="761"/>
      <c r="N389" s="761"/>
      <c r="O389" s="761"/>
      <c r="P389" s="761"/>
      <c r="Q389" s="761"/>
      <c r="R389" s="761"/>
      <c r="S389" s="761"/>
      <c r="T389" s="761"/>
      <c r="U389" s="761"/>
      <c r="V389" s="761"/>
      <c r="W389" s="761"/>
      <c r="X389" s="761"/>
      <c r="Y389" s="761"/>
      <c r="Z389" s="761"/>
      <c r="AA389" s="763" t="s">
        <v>726</v>
      </c>
    </row>
    <row r="390" spans="1:27" ht="31.5">
      <c r="A390" s="756">
        <v>10</v>
      </c>
      <c r="B390" s="757" t="s">
        <v>727</v>
      </c>
      <c r="C390" s="758" t="s">
        <v>53</v>
      </c>
      <c r="D390" s="759" t="s">
        <v>53</v>
      </c>
      <c r="E390" s="503">
        <f t="shared" si="28"/>
        <v>20.7</v>
      </c>
      <c r="F390" s="760"/>
      <c r="G390" s="503">
        <f t="shared" si="27"/>
        <v>20.7</v>
      </c>
      <c r="H390" s="761"/>
      <c r="I390" s="761"/>
      <c r="J390" s="762">
        <v>12.7</v>
      </c>
      <c r="K390" s="761">
        <v>8</v>
      </c>
      <c r="L390" s="761"/>
      <c r="M390" s="761"/>
      <c r="N390" s="761"/>
      <c r="O390" s="761"/>
      <c r="P390" s="761"/>
      <c r="Q390" s="761"/>
      <c r="R390" s="761"/>
      <c r="S390" s="761"/>
      <c r="T390" s="761"/>
      <c r="U390" s="761"/>
      <c r="V390" s="761"/>
      <c r="W390" s="761"/>
      <c r="X390" s="761"/>
      <c r="Y390" s="761"/>
      <c r="Z390" s="761"/>
      <c r="AA390" s="763" t="s">
        <v>566</v>
      </c>
    </row>
    <row r="391" spans="1:27" ht="31.5">
      <c r="A391" s="511">
        <v>11</v>
      </c>
      <c r="B391" s="764" t="s">
        <v>728</v>
      </c>
      <c r="C391" s="765" t="s">
        <v>53</v>
      </c>
      <c r="D391" s="766" t="s">
        <v>53</v>
      </c>
      <c r="E391" s="516">
        <f t="shared" si="28"/>
        <v>15</v>
      </c>
      <c r="F391" s="767"/>
      <c r="G391" s="516">
        <f t="shared" si="27"/>
        <v>15</v>
      </c>
      <c r="H391" s="768"/>
      <c r="I391" s="768"/>
      <c r="J391" s="769">
        <v>8.9</v>
      </c>
      <c r="K391" s="768">
        <v>5.58</v>
      </c>
      <c r="L391" s="768"/>
      <c r="M391" s="768"/>
      <c r="N391" s="768"/>
      <c r="O391" s="768"/>
      <c r="P391" s="768"/>
      <c r="Q391" s="768">
        <v>0.52</v>
      </c>
      <c r="R391" s="768"/>
      <c r="S391" s="768"/>
      <c r="T391" s="768"/>
      <c r="U391" s="768"/>
      <c r="V391" s="768"/>
      <c r="W391" s="768"/>
      <c r="X391" s="768"/>
      <c r="Y391" s="768"/>
      <c r="Z391" s="768"/>
      <c r="AA391" s="770" t="s">
        <v>729</v>
      </c>
    </row>
    <row r="392" spans="1:27">
      <c r="A392" s="771" t="s">
        <v>730</v>
      </c>
      <c r="B392" s="529" t="s">
        <v>626</v>
      </c>
      <c r="C392" s="530"/>
      <c r="D392" s="531"/>
      <c r="E392" s="632"/>
      <c r="F392" s="632"/>
      <c r="G392" s="632"/>
      <c r="H392" s="532"/>
      <c r="I392" s="532"/>
      <c r="J392" s="530"/>
      <c r="K392" s="532"/>
      <c r="L392" s="532"/>
      <c r="M392" s="532"/>
      <c r="N392" s="532"/>
      <c r="O392" s="532"/>
      <c r="P392" s="532"/>
      <c r="Q392" s="532"/>
      <c r="R392" s="533"/>
      <c r="S392" s="533"/>
      <c r="T392" s="532"/>
      <c r="U392" s="532"/>
      <c r="V392" s="532"/>
      <c r="W392" s="532"/>
      <c r="X392" s="532"/>
      <c r="Y392" s="532"/>
      <c r="Z392" s="532"/>
      <c r="AA392" s="534"/>
    </row>
    <row r="393" spans="1:27" ht="31.5">
      <c r="A393" s="756">
        <v>1</v>
      </c>
      <c r="B393" s="757" t="s">
        <v>731</v>
      </c>
      <c r="C393" s="758" t="s">
        <v>55</v>
      </c>
      <c r="D393" s="759" t="s">
        <v>55</v>
      </c>
      <c r="E393" s="503">
        <f t="shared" si="28"/>
        <v>28.34</v>
      </c>
      <c r="F393" s="760"/>
      <c r="G393" s="503">
        <f t="shared" si="27"/>
        <v>28.34</v>
      </c>
      <c r="H393" s="761"/>
      <c r="I393" s="761"/>
      <c r="J393" s="762">
        <v>18.34</v>
      </c>
      <c r="K393" s="761">
        <v>10</v>
      </c>
      <c r="L393" s="761"/>
      <c r="M393" s="761"/>
      <c r="N393" s="761"/>
      <c r="O393" s="761"/>
      <c r="P393" s="761"/>
      <c r="Q393" s="761"/>
      <c r="R393" s="761"/>
      <c r="S393" s="761"/>
      <c r="T393" s="761"/>
      <c r="U393" s="761"/>
      <c r="V393" s="761"/>
      <c r="W393" s="761"/>
      <c r="X393" s="761"/>
      <c r="Y393" s="761"/>
      <c r="Z393" s="761"/>
      <c r="AA393" s="763" t="s">
        <v>168</v>
      </c>
    </row>
    <row r="394" spans="1:27" ht="31.5">
      <c r="A394" s="772">
        <v>2</v>
      </c>
      <c r="B394" s="773" t="s">
        <v>732</v>
      </c>
      <c r="C394" s="563" t="s">
        <v>55</v>
      </c>
      <c r="D394" s="564" t="s">
        <v>55</v>
      </c>
      <c r="E394" s="516">
        <f t="shared" si="28"/>
        <v>1.3</v>
      </c>
      <c r="F394" s="516">
        <v>1.3</v>
      </c>
      <c r="G394" s="516">
        <f t="shared" si="27"/>
        <v>0</v>
      </c>
      <c r="H394" s="516"/>
      <c r="I394" s="516"/>
      <c r="J394" s="774"/>
      <c r="K394" s="516"/>
      <c r="L394" s="516"/>
      <c r="M394" s="516"/>
      <c r="N394" s="516"/>
      <c r="O394" s="516"/>
      <c r="P394" s="516"/>
      <c r="Q394" s="516"/>
      <c r="R394" s="516"/>
      <c r="S394" s="516"/>
      <c r="T394" s="516"/>
      <c r="U394" s="516"/>
      <c r="V394" s="516"/>
      <c r="W394" s="516"/>
      <c r="X394" s="516"/>
      <c r="Y394" s="516"/>
      <c r="Z394" s="516"/>
      <c r="AA394" s="710" t="s">
        <v>168</v>
      </c>
    </row>
    <row r="395" spans="1:27">
      <c r="A395" s="735" t="s">
        <v>733</v>
      </c>
      <c r="B395" s="775" t="s">
        <v>734</v>
      </c>
      <c r="C395" s="739"/>
      <c r="D395" s="776"/>
      <c r="E395" s="632"/>
      <c r="F395" s="632"/>
      <c r="G395" s="632"/>
      <c r="H395" s="632"/>
      <c r="I395" s="632"/>
      <c r="J395" s="634"/>
      <c r="K395" s="632"/>
      <c r="L395" s="632"/>
      <c r="M395" s="632"/>
      <c r="N395" s="632"/>
      <c r="O395" s="632"/>
      <c r="P395" s="632"/>
      <c r="Q395" s="632"/>
      <c r="R395" s="632"/>
      <c r="S395" s="632"/>
      <c r="T395" s="632"/>
      <c r="U395" s="632"/>
      <c r="V395" s="632"/>
      <c r="W395" s="632"/>
      <c r="X395" s="632"/>
      <c r="Y395" s="632"/>
      <c r="Z395" s="632"/>
      <c r="AA395" s="777"/>
    </row>
    <row r="396" spans="1:27" ht="31.5">
      <c r="A396" s="500">
        <v>1</v>
      </c>
      <c r="B396" s="557" t="s">
        <v>330</v>
      </c>
      <c r="C396" s="508" t="s">
        <v>78</v>
      </c>
      <c r="D396" s="561" t="s">
        <v>78</v>
      </c>
      <c r="E396" s="516">
        <f t="shared" si="28"/>
        <v>0.5</v>
      </c>
      <c r="F396" s="516"/>
      <c r="G396" s="516">
        <f t="shared" ref="G396:G401" si="29">H396+SUM(J396:Z396)</f>
        <v>0.5</v>
      </c>
      <c r="H396" s="503"/>
      <c r="I396" s="503"/>
      <c r="J396" s="504"/>
      <c r="K396" s="503"/>
      <c r="L396" s="503"/>
      <c r="M396" s="503">
        <v>0.5</v>
      </c>
      <c r="N396" s="503"/>
      <c r="O396" s="503"/>
      <c r="P396" s="503"/>
      <c r="Q396" s="503"/>
      <c r="R396" s="503"/>
      <c r="S396" s="503"/>
      <c r="T396" s="503"/>
      <c r="U396" s="503"/>
      <c r="V396" s="503"/>
      <c r="W396" s="503"/>
      <c r="X396" s="503"/>
      <c r="Y396" s="503"/>
      <c r="Z396" s="503"/>
      <c r="AA396" s="505" t="s">
        <v>174</v>
      </c>
    </row>
    <row r="397" spans="1:27" ht="31.5">
      <c r="A397" s="500">
        <v>2</v>
      </c>
      <c r="B397" s="557" t="s">
        <v>331</v>
      </c>
      <c r="C397" s="508" t="s">
        <v>78</v>
      </c>
      <c r="D397" s="561" t="s">
        <v>78</v>
      </c>
      <c r="E397" s="516">
        <f t="shared" si="28"/>
        <v>0.5</v>
      </c>
      <c r="F397" s="516"/>
      <c r="G397" s="516">
        <f t="shared" si="29"/>
        <v>0.5</v>
      </c>
      <c r="H397" s="503"/>
      <c r="I397" s="503"/>
      <c r="J397" s="504"/>
      <c r="K397" s="503"/>
      <c r="L397" s="503"/>
      <c r="M397" s="503">
        <v>0.5</v>
      </c>
      <c r="N397" s="503"/>
      <c r="O397" s="503"/>
      <c r="P397" s="503"/>
      <c r="Q397" s="503"/>
      <c r="R397" s="503"/>
      <c r="S397" s="503"/>
      <c r="T397" s="503"/>
      <c r="U397" s="503"/>
      <c r="V397" s="503"/>
      <c r="W397" s="503"/>
      <c r="X397" s="503"/>
      <c r="Y397" s="503"/>
      <c r="Z397" s="503"/>
      <c r="AA397" s="505" t="s">
        <v>174</v>
      </c>
    </row>
    <row r="398" spans="1:27" ht="31.5">
      <c r="A398" s="500">
        <v>3</v>
      </c>
      <c r="B398" s="557" t="s">
        <v>332</v>
      </c>
      <c r="C398" s="508" t="s">
        <v>78</v>
      </c>
      <c r="D398" s="561" t="s">
        <v>78</v>
      </c>
      <c r="E398" s="516">
        <f t="shared" si="28"/>
        <v>0.05</v>
      </c>
      <c r="F398" s="516"/>
      <c r="G398" s="516">
        <f t="shared" si="29"/>
        <v>0.05</v>
      </c>
      <c r="H398" s="503"/>
      <c r="I398" s="503"/>
      <c r="J398" s="504"/>
      <c r="K398" s="503"/>
      <c r="L398" s="503"/>
      <c r="M398" s="503">
        <v>0.05</v>
      </c>
      <c r="N398" s="503"/>
      <c r="O398" s="503"/>
      <c r="P398" s="503"/>
      <c r="Q398" s="503"/>
      <c r="R398" s="503"/>
      <c r="S398" s="503"/>
      <c r="T398" s="503"/>
      <c r="U398" s="503"/>
      <c r="V398" s="503"/>
      <c r="W398" s="503"/>
      <c r="X398" s="503"/>
      <c r="Y398" s="503"/>
      <c r="Z398" s="503"/>
      <c r="AA398" s="505" t="s">
        <v>174</v>
      </c>
    </row>
    <row r="399" spans="1:27" ht="31.5">
      <c r="A399" s="500">
        <v>4</v>
      </c>
      <c r="B399" s="557" t="s">
        <v>333</v>
      </c>
      <c r="C399" s="508" t="s">
        <v>78</v>
      </c>
      <c r="D399" s="561" t="s">
        <v>78</v>
      </c>
      <c r="E399" s="516">
        <f t="shared" si="28"/>
        <v>0.05</v>
      </c>
      <c r="F399" s="516"/>
      <c r="G399" s="516">
        <f t="shared" si="29"/>
        <v>0.05</v>
      </c>
      <c r="H399" s="503"/>
      <c r="I399" s="503"/>
      <c r="J399" s="504"/>
      <c r="K399" s="503"/>
      <c r="L399" s="503"/>
      <c r="M399" s="503">
        <v>0.05</v>
      </c>
      <c r="N399" s="503"/>
      <c r="O399" s="503"/>
      <c r="P399" s="503"/>
      <c r="Q399" s="503"/>
      <c r="R399" s="503"/>
      <c r="S399" s="503"/>
      <c r="T399" s="503"/>
      <c r="U399" s="503"/>
      <c r="V399" s="503"/>
      <c r="W399" s="503"/>
      <c r="X399" s="503"/>
      <c r="Y399" s="503"/>
      <c r="Z399" s="503"/>
      <c r="AA399" s="505" t="s">
        <v>169</v>
      </c>
    </row>
    <row r="400" spans="1:27" ht="31.5">
      <c r="A400" s="500">
        <v>5</v>
      </c>
      <c r="B400" s="557" t="s">
        <v>334</v>
      </c>
      <c r="C400" s="508" t="s">
        <v>78</v>
      </c>
      <c r="D400" s="561" t="s">
        <v>78</v>
      </c>
      <c r="E400" s="516">
        <f t="shared" si="28"/>
        <v>0.05</v>
      </c>
      <c r="F400" s="516"/>
      <c r="G400" s="516">
        <f t="shared" si="29"/>
        <v>0.05</v>
      </c>
      <c r="H400" s="503"/>
      <c r="I400" s="503"/>
      <c r="J400" s="504"/>
      <c r="K400" s="503"/>
      <c r="L400" s="503"/>
      <c r="M400" s="503"/>
      <c r="N400" s="503"/>
      <c r="O400" s="503"/>
      <c r="P400" s="503"/>
      <c r="Q400" s="503"/>
      <c r="R400" s="503"/>
      <c r="S400" s="503"/>
      <c r="T400" s="503"/>
      <c r="U400" s="503"/>
      <c r="V400" s="503"/>
      <c r="W400" s="503"/>
      <c r="X400" s="503"/>
      <c r="Y400" s="503"/>
      <c r="Z400" s="503">
        <v>0.05</v>
      </c>
      <c r="AA400" s="505" t="s">
        <v>169</v>
      </c>
    </row>
    <row r="401" spans="1:28" ht="31.5">
      <c r="A401" s="500">
        <v>6</v>
      </c>
      <c r="B401" s="557" t="s">
        <v>335</v>
      </c>
      <c r="C401" s="508" t="s">
        <v>78</v>
      </c>
      <c r="D401" s="561" t="s">
        <v>78</v>
      </c>
      <c r="E401" s="516">
        <f t="shared" si="28"/>
        <v>0.05</v>
      </c>
      <c r="F401" s="516"/>
      <c r="G401" s="516">
        <f t="shared" si="29"/>
        <v>0.05</v>
      </c>
      <c r="H401" s="503"/>
      <c r="I401" s="503"/>
      <c r="J401" s="504"/>
      <c r="K401" s="503"/>
      <c r="L401" s="503"/>
      <c r="M401" s="503"/>
      <c r="N401" s="503">
        <v>0.05</v>
      </c>
      <c r="O401" s="503"/>
      <c r="P401" s="503"/>
      <c r="Q401" s="503"/>
      <c r="R401" s="503"/>
      <c r="S401" s="503"/>
      <c r="T401" s="503"/>
      <c r="U401" s="503"/>
      <c r="V401" s="503"/>
      <c r="W401" s="503"/>
      <c r="X401" s="503"/>
      <c r="Y401" s="503"/>
      <c r="Z401" s="503"/>
      <c r="AA401" s="505" t="s">
        <v>169</v>
      </c>
    </row>
    <row r="402" spans="1:28" ht="31.5">
      <c r="A402" s="500">
        <v>7</v>
      </c>
      <c r="B402" s="501" t="s">
        <v>735</v>
      </c>
      <c r="C402" s="702" t="s">
        <v>78</v>
      </c>
      <c r="D402" s="702" t="s">
        <v>78</v>
      </c>
      <c r="E402" s="503">
        <f>F402+G402</f>
        <v>1</v>
      </c>
      <c r="F402" s="503"/>
      <c r="G402" s="503">
        <f>H402+SUM(J402:Z402)</f>
        <v>1</v>
      </c>
      <c r="H402" s="503"/>
      <c r="I402" s="503"/>
      <c r="J402" s="504">
        <v>1</v>
      </c>
      <c r="K402" s="503"/>
      <c r="L402" s="503"/>
      <c r="M402" s="503"/>
      <c r="N402" s="503"/>
      <c r="O402" s="503"/>
      <c r="P402" s="503"/>
      <c r="Q402" s="503"/>
      <c r="R402" s="503"/>
      <c r="S402" s="503"/>
      <c r="T402" s="503"/>
      <c r="U402" s="503"/>
      <c r="V402" s="503"/>
      <c r="W402" s="503"/>
      <c r="X402" s="503"/>
      <c r="Y402" s="503"/>
      <c r="Z402" s="503"/>
      <c r="AA402" s="505" t="s">
        <v>169</v>
      </c>
    </row>
    <row r="403" spans="1:28" ht="31.5">
      <c r="A403" s="500">
        <v>8</v>
      </c>
      <c r="B403" s="501" t="s">
        <v>736</v>
      </c>
      <c r="C403" s="702" t="s">
        <v>78</v>
      </c>
      <c r="D403" s="702" t="s">
        <v>78</v>
      </c>
      <c r="E403" s="503">
        <f>F403+G403</f>
        <v>0.41</v>
      </c>
      <c r="F403" s="503"/>
      <c r="G403" s="516">
        <f>H403+SUM(J403:Z403)</f>
        <v>0.41</v>
      </c>
      <c r="H403" s="503"/>
      <c r="I403" s="503"/>
      <c r="J403" s="504">
        <v>0.41</v>
      </c>
      <c r="K403" s="503"/>
      <c r="L403" s="503"/>
      <c r="M403" s="503"/>
      <c r="N403" s="503"/>
      <c r="O403" s="503"/>
      <c r="P403" s="503"/>
      <c r="Q403" s="503"/>
      <c r="R403" s="503"/>
      <c r="S403" s="503"/>
      <c r="T403" s="503"/>
      <c r="U403" s="503"/>
      <c r="V403" s="503"/>
      <c r="W403" s="503"/>
      <c r="X403" s="503"/>
      <c r="Y403" s="503"/>
      <c r="Z403" s="503"/>
      <c r="AA403" s="505" t="s">
        <v>169</v>
      </c>
    </row>
    <row r="404" spans="1:28">
      <c r="A404" s="528" t="s">
        <v>737</v>
      </c>
      <c r="B404" s="550" t="s">
        <v>738</v>
      </c>
      <c r="C404" s="530"/>
      <c r="D404" s="531"/>
      <c r="E404" s="532"/>
      <c r="F404" s="532"/>
      <c r="G404" s="532"/>
      <c r="H404" s="532"/>
      <c r="I404" s="532"/>
      <c r="J404" s="638"/>
      <c r="K404" s="532"/>
      <c r="L404" s="532"/>
      <c r="M404" s="532"/>
      <c r="N404" s="532"/>
      <c r="O404" s="532"/>
      <c r="P404" s="532"/>
      <c r="Q404" s="532"/>
      <c r="R404" s="532"/>
      <c r="S404" s="532"/>
      <c r="T404" s="532"/>
      <c r="U404" s="532"/>
      <c r="V404" s="532"/>
      <c r="W404" s="532"/>
      <c r="X404" s="532"/>
      <c r="Y404" s="532"/>
      <c r="Z404" s="532"/>
      <c r="AA404" s="639"/>
    </row>
    <row r="405" spans="1:28" ht="31.5">
      <c r="A405" s="756">
        <v>1</v>
      </c>
      <c r="B405" s="757" t="s">
        <v>739</v>
      </c>
      <c r="C405" s="758" t="s">
        <v>15</v>
      </c>
      <c r="D405" s="759" t="s">
        <v>15</v>
      </c>
      <c r="E405" s="503">
        <f t="shared" si="28"/>
        <v>160</v>
      </c>
      <c r="F405" s="760"/>
      <c r="G405" s="503">
        <f t="shared" si="27"/>
        <v>160</v>
      </c>
      <c r="H405" s="761"/>
      <c r="I405" s="761"/>
      <c r="J405" s="761">
        <v>150</v>
      </c>
      <c r="K405" s="761"/>
      <c r="L405" s="761"/>
      <c r="M405" s="761"/>
      <c r="N405" s="761"/>
      <c r="O405" s="761"/>
      <c r="P405" s="761"/>
      <c r="Q405" s="761"/>
      <c r="R405" s="761"/>
      <c r="S405" s="761"/>
      <c r="T405" s="761"/>
      <c r="U405" s="761"/>
      <c r="V405" s="761"/>
      <c r="W405" s="761"/>
      <c r="X405" s="761"/>
      <c r="Y405" s="761"/>
      <c r="Z405" s="761">
        <v>10</v>
      </c>
      <c r="AA405" s="763" t="s">
        <v>170</v>
      </c>
    </row>
    <row r="406" spans="1:28" ht="31.5">
      <c r="A406" s="756">
        <v>2</v>
      </c>
      <c r="B406" s="757" t="s">
        <v>740</v>
      </c>
      <c r="C406" s="758" t="s">
        <v>15</v>
      </c>
      <c r="D406" s="759" t="s">
        <v>15</v>
      </c>
      <c r="E406" s="503">
        <f t="shared" si="28"/>
        <v>150</v>
      </c>
      <c r="F406" s="760"/>
      <c r="G406" s="503">
        <f t="shared" si="27"/>
        <v>150</v>
      </c>
      <c r="H406" s="761"/>
      <c r="I406" s="761"/>
      <c r="J406" s="761">
        <v>150</v>
      </c>
      <c r="K406" s="761"/>
      <c r="L406" s="761"/>
      <c r="M406" s="761"/>
      <c r="N406" s="761"/>
      <c r="O406" s="761"/>
      <c r="P406" s="761"/>
      <c r="Q406" s="761"/>
      <c r="R406" s="761"/>
      <c r="S406" s="761"/>
      <c r="T406" s="761"/>
      <c r="U406" s="761"/>
      <c r="V406" s="761"/>
      <c r="W406" s="761"/>
      <c r="X406" s="761"/>
      <c r="Y406" s="761"/>
      <c r="Z406" s="761"/>
      <c r="AA406" s="763" t="s">
        <v>197</v>
      </c>
    </row>
    <row r="407" spans="1:28" ht="31.5">
      <c r="A407" s="756">
        <v>3</v>
      </c>
      <c r="B407" s="757" t="s">
        <v>741</v>
      </c>
      <c r="C407" s="758" t="s">
        <v>15</v>
      </c>
      <c r="D407" s="759" t="s">
        <v>15</v>
      </c>
      <c r="E407" s="503">
        <f t="shared" si="28"/>
        <v>300</v>
      </c>
      <c r="F407" s="760"/>
      <c r="G407" s="503">
        <f t="shared" si="27"/>
        <v>300</v>
      </c>
      <c r="H407" s="761"/>
      <c r="I407" s="761"/>
      <c r="J407" s="761">
        <v>300</v>
      </c>
      <c r="K407" s="761"/>
      <c r="L407" s="761"/>
      <c r="M407" s="761"/>
      <c r="N407" s="761"/>
      <c r="O407" s="761"/>
      <c r="P407" s="761"/>
      <c r="Q407" s="761"/>
      <c r="R407" s="761"/>
      <c r="S407" s="761"/>
      <c r="T407" s="761"/>
      <c r="U407" s="761"/>
      <c r="V407" s="761"/>
      <c r="W407" s="761"/>
      <c r="X407" s="761"/>
      <c r="Y407" s="761"/>
      <c r="Z407" s="761"/>
      <c r="AA407" s="763" t="s">
        <v>190</v>
      </c>
    </row>
    <row r="408" spans="1:28" ht="31.5">
      <c r="A408" s="756">
        <v>4</v>
      </c>
      <c r="B408" s="757" t="s">
        <v>742</v>
      </c>
      <c r="C408" s="758" t="s">
        <v>15</v>
      </c>
      <c r="D408" s="759" t="s">
        <v>15</v>
      </c>
      <c r="E408" s="503">
        <f t="shared" si="28"/>
        <v>205</v>
      </c>
      <c r="F408" s="760"/>
      <c r="G408" s="503">
        <f t="shared" si="27"/>
        <v>205</v>
      </c>
      <c r="H408" s="761"/>
      <c r="I408" s="761"/>
      <c r="J408" s="761">
        <v>200</v>
      </c>
      <c r="K408" s="761"/>
      <c r="L408" s="761"/>
      <c r="M408" s="761"/>
      <c r="N408" s="761"/>
      <c r="O408" s="761"/>
      <c r="P408" s="761"/>
      <c r="Q408" s="761"/>
      <c r="R408" s="761"/>
      <c r="S408" s="761"/>
      <c r="T408" s="761"/>
      <c r="U408" s="761"/>
      <c r="V408" s="761"/>
      <c r="W408" s="761"/>
      <c r="X408" s="761"/>
      <c r="Y408" s="761"/>
      <c r="Z408" s="761">
        <v>5</v>
      </c>
      <c r="AA408" s="763" t="s">
        <v>169</v>
      </c>
    </row>
    <row r="409" spans="1:28" ht="31.5">
      <c r="A409" s="756">
        <v>5</v>
      </c>
      <c r="B409" s="757" t="s">
        <v>743</v>
      </c>
      <c r="C409" s="758" t="s">
        <v>15</v>
      </c>
      <c r="D409" s="759" t="s">
        <v>15</v>
      </c>
      <c r="E409" s="503">
        <f t="shared" si="28"/>
        <v>160</v>
      </c>
      <c r="F409" s="760"/>
      <c r="G409" s="503">
        <f t="shared" si="27"/>
        <v>160</v>
      </c>
      <c r="H409" s="761"/>
      <c r="I409" s="761"/>
      <c r="J409" s="761">
        <v>150</v>
      </c>
      <c r="K409" s="761"/>
      <c r="L409" s="761"/>
      <c r="M409" s="761"/>
      <c r="N409" s="761"/>
      <c r="O409" s="761"/>
      <c r="P409" s="761"/>
      <c r="Q409" s="761"/>
      <c r="R409" s="761"/>
      <c r="S409" s="761"/>
      <c r="T409" s="761"/>
      <c r="U409" s="761"/>
      <c r="V409" s="761"/>
      <c r="W409" s="761"/>
      <c r="X409" s="761"/>
      <c r="Y409" s="761"/>
      <c r="Z409" s="761">
        <v>10</v>
      </c>
      <c r="AA409" s="763" t="s">
        <v>191</v>
      </c>
    </row>
    <row r="410" spans="1:28" ht="31.5">
      <c r="A410" s="756">
        <v>6</v>
      </c>
      <c r="B410" s="757" t="s">
        <v>744</v>
      </c>
      <c r="C410" s="758" t="s">
        <v>15</v>
      </c>
      <c r="D410" s="759" t="s">
        <v>15</v>
      </c>
      <c r="E410" s="503">
        <f t="shared" si="28"/>
        <v>150</v>
      </c>
      <c r="F410" s="760"/>
      <c r="G410" s="503">
        <f t="shared" si="27"/>
        <v>150</v>
      </c>
      <c r="H410" s="761"/>
      <c r="I410" s="761"/>
      <c r="J410" s="761">
        <v>150</v>
      </c>
      <c r="K410" s="761"/>
      <c r="L410" s="761"/>
      <c r="M410" s="761"/>
      <c r="N410" s="761"/>
      <c r="O410" s="761"/>
      <c r="P410" s="761"/>
      <c r="Q410" s="761"/>
      <c r="R410" s="761"/>
      <c r="S410" s="761"/>
      <c r="T410" s="761"/>
      <c r="U410" s="761"/>
      <c r="V410" s="761"/>
      <c r="W410" s="761"/>
      <c r="X410" s="761"/>
      <c r="Y410" s="761"/>
      <c r="Z410" s="761"/>
      <c r="AA410" s="763" t="s">
        <v>171</v>
      </c>
    </row>
    <row r="411" spans="1:28" ht="31.5">
      <c r="A411" s="756">
        <v>7</v>
      </c>
      <c r="B411" s="757" t="s">
        <v>745</v>
      </c>
      <c r="C411" s="758" t="s">
        <v>15</v>
      </c>
      <c r="D411" s="759" t="s">
        <v>15</v>
      </c>
      <c r="E411" s="503">
        <f t="shared" si="28"/>
        <v>150</v>
      </c>
      <c r="F411" s="760"/>
      <c r="G411" s="503">
        <f t="shared" si="27"/>
        <v>150</v>
      </c>
      <c r="H411" s="761"/>
      <c r="I411" s="761"/>
      <c r="J411" s="761">
        <v>150</v>
      </c>
      <c r="K411" s="761"/>
      <c r="L411" s="761"/>
      <c r="M411" s="761"/>
      <c r="N411" s="761"/>
      <c r="O411" s="761"/>
      <c r="P411" s="761"/>
      <c r="Q411" s="761"/>
      <c r="R411" s="761"/>
      <c r="S411" s="761"/>
      <c r="T411" s="761"/>
      <c r="U411" s="761"/>
      <c r="V411" s="761"/>
      <c r="W411" s="761"/>
      <c r="X411" s="761"/>
      <c r="Y411" s="761"/>
      <c r="Z411" s="761"/>
      <c r="AA411" s="763" t="s">
        <v>172</v>
      </c>
    </row>
    <row r="412" spans="1:28" ht="31.5">
      <c r="A412" s="756">
        <v>8</v>
      </c>
      <c r="B412" s="757" t="s">
        <v>746</v>
      </c>
      <c r="C412" s="758" t="s">
        <v>15</v>
      </c>
      <c r="D412" s="759" t="s">
        <v>15</v>
      </c>
      <c r="E412" s="503">
        <f t="shared" si="28"/>
        <v>170</v>
      </c>
      <c r="F412" s="760"/>
      <c r="G412" s="503">
        <f t="shared" si="27"/>
        <v>170</v>
      </c>
      <c r="H412" s="761"/>
      <c r="I412" s="761"/>
      <c r="J412" s="761">
        <v>150</v>
      </c>
      <c r="K412" s="761"/>
      <c r="L412" s="761"/>
      <c r="M412" s="761"/>
      <c r="N412" s="761"/>
      <c r="O412" s="761"/>
      <c r="P412" s="761"/>
      <c r="Q412" s="761"/>
      <c r="R412" s="761"/>
      <c r="S412" s="761"/>
      <c r="T412" s="761"/>
      <c r="U412" s="761"/>
      <c r="V412" s="761"/>
      <c r="W412" s="761"/>
      <c r="X412" s="761"/>
      <c r="Y412" s="761"/>
      <c r="Z412" s="761">
        <v>20</v>
      </c>
      <c r="AA412" s="763" t="s">
        <v>173</v>
      </c>
    </row>
    <row r="413" spans="1:28" ht="31.5">
      <c r="A413" s="756">
        <v>9</v>
      </c>
      <c r="B413" s="757" t="s">
        <v>747</v>
      </c>
      <c r="C413" s="758" t="s">
        <v>15</v>
      </c>
      <c r="D413" s="759" t="s">
        <v>15</v>
      </c>
      <c r="E413" s="503">
        <f t="shared" si="28"/>
        <v>140</v>
      </c>
      <c r="F413" s="760"/>
      <c r="G413" s="503">
        <f t="shared" si="27"/>
        <v>140</v>
      </c>
      <c r="H413" s="761"/>
      <c r="I413" s="761"/>
      <c r="J413" s="761">
        <v>140</v>
      </c>
      <c r="K413" s="761"/>
      <c r="L413" s="761"/>
      <c r="M413" s="761"/>
      <c r="N413" s="761"/>
      <c r="O413" s="761"/>
      <c r="P413" s="761"/>
      <c r="Q413" s="761"/>
      <c r="R413" s="761"/>
      <c r="S413" s="761"/>
      <c r="T413" s="761"/>
      <c r="U413" s="761"/>
      <c r="V413" s="761"/>
      <c r="W413" s="761"/>
      <c r="X413" s="761"/>
      <c r="Y413" s="761"/>
      <c r="Z413" s="761"/>
      <c r="AA413" s="763" t="s">
        <v>174</v>
      </c>
    </row>
    <row r="414" spans="1:28" ht="31.5">
      <c r="A414" s="756">
        <v>10</v>
      </c>
      <c r="B414" s="757" t="s">
        <v>748</v>
      </c>
      <c r="C414" s="758" t="s">
        <v>15</v>
      </c>
      <c r="D414" s="759" t="s">
        <v>15</v>
      </c>
      <c r="E414" s="503">
        <f t="shared" si="28"/>
        <v>150</v>
      </c>
      <c r="F414" s="760"/>
      <c r="G414" s="503">
        <f t="shared" si="27"/>
        <v>150</v>
      </c>
      <c r="H414" s="761"/>
      <c r="I414" s="761"/>
      <c r="J414" s="761">
        <v>150</v>
      </c>
      <c r="K414" s="761"/>
      <c r="L414" s="761"/>
      <c r="M414" s="761"/>
      <c r="N414" s="761"/>
      <c r="O414" s="761"/>
      <c r="P414" s="761"/>
      <c r="Q414" s="761"/>
      <c r="R414" s="761"/>
      <c r="S414" s="761"/>
      <c r="T414" s="761"/>
      <c r="U414" s="761"/>
      <c r="V414" s="761"/>
      <c r="W414" s="761"/>
      <c r="X414" s="761"/>
      <c r="Y414" s="761"/>
      <c r="Z414" s="761"/>
      <c r="AA414" s="763" t="s">
        <v>189</v>
      </c>
    </row>
    <row r="415" spans="1:28" ht="31.5">
      <c r="A415" s="778">
        <v>11</v>
      </c>
      <c r="B415" s="640" t="s">
        <v>749</v>
      </c>
      <c r="C415" s="513" t="s">
        <v>15</v>
      </c>
      <c r="D415" s="514" t="s">
        <v>15</v>
      </c>
      <c r="E415" s="515">
        <f t="shared" si="28"/>
        <v>3.7</v>
      </c>
      <c r="F415" s="515">
        <v>3.7</v>
      </c>
      <c r="G415" s="516">
        <f t="shared" si="27"/>
        <v>0</v>
      </c>
      <c r="H415" s="515"/>
      <c r="I415" s="515"/>
      <c r="J415" s="515"/>
      <c r="K415" s="515"/>
      <c r="L415" s="515"/>
      <c r="M415" s="515"/>
      <c r="N415" s="515"/>
      <c r="O415" s="515"/>
      <c r="P415" s="515"/>
      <c r="Q415" s="515"/>
      <c r="R415" s="515"/>
      <c r="S415" s="515"/>
      <c r="T415" s="515"/>
      <c r="U415" s="515"/>
      <c r="V415" s="515"/>
      <c r="W415" s="515"/>
      <c r="X415" s="515"/>
      <c r="Y415" s="515"/>
      <c r="Z415" s="515"/>
      <c r="AA415" s="518" t="s">
        <v>172</v>
      </c>
      <c r="AB415" s="779"/>
    </row>
    <row r="416" spans="1:28" ht="19.5" customHeight="1">
      <c r="A416" s="528" t="s">
        <v>750</v>
      </c>
      <c r="B416" s="693" t="s">
        <v>751</v>
      </c>
      <c r="C416" s="530"/>
      <c r="D416" s="531"/>
      <c r="E416" s="532"/>
      <c r="F416" s="532"/>
      <c r="G416" s="632"/>
      <c r="H416" s="532"/>
      <c r="I416" s="532"/>
      <c r="J416" s="638"/>
      <c r="K416" s="532"/>
      <c r="L416" s="532"/>
      <c r="M416" s="532"/>
      <c r="N416" s="532"/>
      <c r="O416" s="532"/>
      <c r="P416" s="532"/>
      <c r="Q416" s="532"/>
      <c r="R416" s="532"/>
      <c r="S416" s="532"/>
      <c r="T416" s="532"/>
      <c r="U416" s="532"/>
      <c r="V416" s="532"/>
      <c r="W416" s="532"/>
      <c r="X416" s="532"/>
      <c r="Y416" s="532"/>
      <c r="Z416" s="532"/>
      <c r="AA416" s="755"/>
    </row>
    <row r="417" spans="1:27" ht="31.5">
      <c r="A417" s="756">
        <v>1</v>
      </c>
      <c r="B417" s="757" t="s">
        <v>752</v>
      </c>
      <c r="C417" s="758" t="s">
        <v>13</v>
      </c>
      <c r="D417" s="759" t="s">
        <v>13</v>
      </c>
      <c r="E417" s="503">
        <f t="shared" ref="E417" si="30">F417+G417</f>
        <v>7</v>
      </c>
      <c r="F417" s="760"/>
      <c r="G417" s="503">
        <f t="shared" ref="G417" si="31">H417+SUM(J417:Z417)</f>
        <v>7</v>
      </c>
      <c r="H417" s="761">
        <v>7</v>
      </c>
      <c r="I417" s="761"/>
      <c r="J417" s="761"/>
      <c r="K417" s="761"/>
      <c r="L417" s="761"/>
      <c r="M417" s="761"/>
      <c r="N417" s="761"/>
      <c r="O417" s="761"/>
      <c r="P417" s="761"/>
      <c r="Q417" s="761"/>
      <c r="R417" s="761"/>
      <c r="S417" s="761"/>
      <c r="T417" s="761"/>
      <c r="U417" s="761"/>
      <c r="V417" s="761"/>
      <c r="W417" s="761"/>
      <c r="X417" s="761"/>
      <c r="Y417" s="761"/>
      <c r="Z417" s="761"/>
      <c r="AA417" s="763" t="s">
        <v>191</v>
      </c>
    </row>
    <row r="418" spans="1:27">
      <c r="A418" s="780">
        <v>2</v>
      </c>
      <c r="B418" s="781" t="s">
        <v>362</v>
      </c>
      <c r="C418" s="782" t="s">
        <v>13</v>
      </c>
      <c r="D418" s="783" t="s">
        <v>13</v>
      </c>
      <c r="E418" s="784">
        <f t="shared" si="28"/>
        <v>255</v>
      </c>
      <c r="F418" s="785">
        <v>255</v>
      </c>
      <c r="G418" s="784">
        <f t="shared" si="27"/>
        <v>0</v>
      </c>
      <c r="H418" s="786"/>
      <c r="I418" s="786"/>
      <c r="J418" s="786"/>
      <c r="K418" s="786"/>
      <c r="L418" s="786"/>
      <c r="M418" s="786"/>
      <c r="N418" s="786"/>
      <c r="O418" s="786"/>
      <c r="P418" s="786"/>
      <c r="Q418" s="786"/>
      <c r="R418" s="786"/>
      <c r="S418" s="786"/>
      <c r="T418" s="786"/>
      <c r="U418" s="786"/>
      <c r="V418" s="786"/>
      <c r="W418" s="786"/>
      <c r="X418" s="786"/>
      <c r="Y418" s="786"/>
      <c r="Z418" s="786"/>
      <c r="AA418" s="787" t="s">
        <v>174</v>
      </c>
    </row>
    <row r="419" spans="1:27" s="556" customFormat="1">
      <c r="A419" s="788" t="s">
        <v>149</v>
      </c>
      <c r="B419" s="789" t="s">
        <v>753</v>
      </c>
      <c r="C419" s="790"/>
      <c r="D419" s="790"/>
      <c r="E419" s="632"/>
      <c r="F419" s="791"/>
      <c r="G419" s="632"/>
      <c r="H419" s="792"/>
      <c r="I419" s="792"/>
      <c r="J419" s="793"/>
      <c r="K419" s="792"/>
      <c r="L419" s="792"/>
      <c r="M419" s="792"/>
      <c r="N419" s="792"/>
      <c r="O419" s="792"/>
      <c r="P419" s="792"/>
      <c r="Q419" s="792"/>
      <c r="R419" s="792"/>
      <c r="S419" s="792"/>
      <c r="T419" s="792"/>
      <c r="U419" s="792"/>
      <c r="V419" s="792"/>
      <c r="W419" s="792"/>
      <c r="X419" s="792"/>
      <c r="Y419" s="792"/>
      <c r="Z419" s="792"/>
      <c r="AA419" s="794"/>
    </row>
    <row r="420" spans="1:27" s="556" customFormat="1">
      <c r="A420" s="588"/>
      <c r="B420" s="795" t="s">
        <v>754</v>
      </c>
      <c r="C420" s="796"/>
      <c r="D420" s="797"/>
      <c r="E420" s="503"/>
      <c r="F420" s="717"/>
      <c r="G420" s="503"/>
      <c r="H420" s="717"/>
      <c r="I420" s="717"/>
      <c r="J420" s="798"/>
      <c r="K420" s="717"/>
      <c r="L420" s="717"/>
      <c r="M420" s="717"/>
      <c r="N420" s="717"/>
      <c r="O420" s="717"/>
      <c r="P420" s="717"/>
      <c r="Q420" s="717"/>
      <c r="R420" s="717"/>
      <c r="S420" s="717"/>
      <c r="T420" s="717"/>
      <c r="U420" s="717"/>
      <c r="V420" s="717"/>
      <c r="W420" s="717"/>
      <c r="X420" s="717"/>
      <c r="Y420" s="717"/>
      <c r="Z420" s="717"/>
      <c r="AA420" s="799"/>
    </row>
    <row r="421" spans="1:27" ht="31.5">
      <c r="A421" s="500">
        <v>1</v>
      </c>
      <c r="B421" s="560" t="s">
        <v>755</v>
      </c>
      <c r="C421" s="508" t="s">
        <v>45</v>
      </c>
      <c r="D421" s="561" t="s">
        <v>196</v>
      </c>
      <c r="E421" s="503">
        <f t="shared" si="28"/>
        <v>9</v>
      </c>
      <c r="F421" s="508">
        <v>9</v>
      </c>
      <c r="G421" s="503">
        <f t="shared" si="27"/>
        <v>0</v>
      </c>
      <c r="H421" s="503"/>
      <c r="I421" s="503"/>
      <c r="J421" s="504"/>
      <c r="K421" s="503"/>
      <c r="L421" s="503"/>
      <c r="M421" s="503"/>
      <c r="N421" s="503"/>
      <c r="O421" s="503"/>
      <c r="P421" s="503"/>
      <c r="Q421" s="503"/>
      <c r="R421" s="503"/>
      <c r="S421" s="503"/>
      <c r="T421" s="503"/>
      <c r="U421" s="503"/>
      <c r="V421" s="503"/>
      <c r="W421" s="503"/>
      <c r="X421" s="503"/>
      <c r="Y421" s="503"/>
      <c r="Z421" s="503"/>
      <c r="AA421" s="559" t="s">
        <v>168</v>
      </c>
    </row>
    <row r="422" spans="1:27" ht="31.5">
      <c r="A422" s="500">
        <v>2</v>
      </c>
      <c r="B422" s="652" t="s">
        <v>756</v>
      </c>
      <c r="C422" s="508" t="s">
        <v>45</v>
      </c>
      <c r="D422" s="561" t="s">
        <v>196</v>
      </c>
      <c r="E422" s="503">
        <f t="shared" si="28"/>
        <v>1.1000000000000001</v>
      </c>
      <c r="F422" s="593">
        <v>1.1000000000000001</v>
      </c>
      <c r="G422" s="503">
        <f t="shared" si="27"/>
        <v>0</v>
      </c>
      <c r="H422" s="503"/>
      <c r="I422" s="503"/>
      <c r="J422" s="504"/>
      <c r="K422" s="503"/>
      <c r="L422" s="503"/>
      <c r="M422" s="503"/>
      <c r="N422" s="503"/>
      <c r="O422" s="503"/>
      <c r="P422" s="503"/>
      <c r="Q422" s="503"/>
      <c r="R422" s="503"/>
      <c r="S422" s="503"/>
      <c r="T422" s="503"/>
      <c r="U422" s="503"/>
      <c r="V422" s="503"/>
      <c r="W422" s="503"/>
      <c r="X422" s="503"/>
      <c r="Y422" s="503"/>
      <c r="Z422" s="503"/>
      <c r="AA422" s="559" t="s">
        <v>168</v>
      </c>
    </row>
    <row r="423" spans="1:27" s="649" customFormat="1">
      <c r="A423" s="500">
        <v>3</v>
      </c>
      <c r="B423" s="541" t="s">
        <v>757</v>
      </c>
      <c r="C423" s="537" t="s">
        <v>45</v>
      </c>
      <c r="D423" s="538" t="s">
        <v>204</v>
      </c>
      <c r="E423" s="503">
        <f t="shared" si="28"/>
        <v>0.8</v>
      </c>
      <c r="F423" s="539">
        <v>0.8</v>
      </c>
      <c r="G423" s="503">
        <f t="shared" si="27"/>
        <v>0</v>
      </c>
      <c r="H423" s="542"/>
      <c r="I423" s="542"/>
      <c r="J423" s="543"/>
      <c r="K423" s="542"/>
      <c r="L423" s="542"/>
      <c r="M423" s="542"/>
      <c r="N423" s="542"/>
      <c r="O423" s="542"/>
      <c r="P423" s="542"/>
      <c r="Q423" s="542"/>
      <c r="R423" s="542"/>
      <c r="S423" s="542"/>
      <c r="T423" s="542"/>
      <c r="U423" s="542"/>
      <c r="V423" s="542"/>
      <c r="W423" s="542"/>
      <c r="X423" s="542"/>
      <c r="Y423" s="542"/>
      <c r="Z423" s="542"/>
      <c r="AA423" s="544" t="s">
        <v>168</v>
      </c>
    </row>
    <row r="424" spans="1:27">
      <c r="A424" s="500">
        <v>4</v>
      </c>
      <c r="B424" s="652" t="s">
        <v>758</v>
      </c>
      <c r="C424" s="508" t="s">
        <v>45</v>
      </c>
      <c r="D424" s="561" t="s">
        <v>204</v>
      </c>
      <c r="E424" s="503">
        <f t="shared" si="28"/>
        <v>0.3</v>
      </c>
      <c r="F424" s="593"/>
      <c r="G424" s="503">
        <f t="shared" si="27"/>
        <v>0.3</v>
      </c>
      <c r="H424" s="503"/>
      <c r="I424" s="503"/>
      <c r="J424" s="504">
        <v>0.3</v>
      </c>
      <c r="K424" s="503"/>
      <c r="L424" s="503"/>
      <c r="M424" s="503"/>
      <c r="N424" s="503"/>
      <c r="O424" s="503"/>
      <c r="P424" s="503"/>
      <c r="Q424" s="503"/>
      <c r="R424" s="503"/>
      <c r="S424" s="503"/>
      <c r="T424" s="503"/>
      <c r="U424" s="503"/>
      <c r="V424" s="503"/>
      <c r="W424" s="503"/>
      <c r="X424" s="503"/>
      <c r="Y424" s="503"/>
      <c r="Z424" s="503"/>
      <c r="AA424" s="559" t="s">
        <v>169</v>
      </c>
    </row>
    <row r="425" spans="1:27" s="649" customFormat="1">
      <c r="A425" s="500">
        <v>5</v>
      </c>
      <c r="B425" s="541" t="s">
        <v>228</v>
      </c>
      <c r="C425" s="537" t="s">
        <v>45</v>
      </c>
      <c r="D425" s="538" t="s">
        <v>220</v>
      </c>
      <c r="E425" s="503">
        <f t="shared" si="28"/>
        <v>2.5</v>
      </c>
      <c r="F425" s="539">
        <v>2.5</v>
      </c>
      <c r="G425" s="503">
        <f t="shared" si="27"/>
        <v>0</v>
      </c>
      <c r="H425" s="542"/>
      <c r="I425" s="542"/>
      <c r="J425" s="543"/>
      <c r="K425" s="542"/>
      <c r="L425" s="542"/>
      <c r="M425" s="542"/>
      <c r="N425" s="542"/>
      <c r="O425" s="542"/>
      <c r="P425" s="542"/>
      <c r="Q425" s="542"/>
      <c r="R425" s="542"/>
      <c r="S425" s="542"/>
      <c r="T425" s="542"/>
      <c r="U425" s="542"/>
      <c r="V425" s="542"/>
      <c r="W425" s="542"/>
      <c r="X425" s="542"/>
      <c r="Y425" s="542"/>
      <c r="Z425" s="542"/>
      <c r="AA425" s="544" t="s">
        <v>168</v>
      </c>
    </row>
    <row r="426" spans="1:27">
      <c r="A426" s="500">
        <v>6</v>
      </c>
      <c r="B426" s="652" t="s">
        <v>759</v>
      </c>
      <c r="C426" s="800" t="s">
        <v>45</v>
      </c>
      <c r="D426" s="801" t="s">
        <v>204</v>
      </c>
      <c r="E426" s="503">
        <f t="shared" si="28"/>
        <v>0.107</v>
      </c>
      <c r="F426" s="558">
        <v>0.107</v>
      </c>
      <c r="G426" s="503">
        <f t="shared" si="27"/>
        <v>0</v>
      </c>
      <c r="H426" s="503"/>
      <c r="I426" s="503"/>
      <c r="J426" s="504"/>
      <c r="K426" s="503"/>
      <c r="L426" s="503"/>
      <c r="M426" s="503"/>
      <c r="N426" s="503"/>
      <c r="O426" s="503"/>
      <c r="P426" s="503"/>
      <c r="Q426" s="503"/>
      <c r="R426" s="503"/>
      <c r="S426" s="503"/>
      <c r="T426" s="503"/>
      <c r="U426" s="503"/>
      <c r="V426" s="503"/>
      <c r="W426" s="503"/>
      <c r="X426" s="503"/>
      <c r="Y426" s="503"/>
      <c r="Z426" s="503"/>
      <c r="AA426" s="559" t="s">
        <v>168</v>
      </c>
    </row>
    <row r="427" spans="1:27" ht="72.75" customHeight="1">
      <c r="A427" s="500">
        <v>7</v>
      </c>
      <c r="B427" s="652" t="s">
        <v>206</v>
      </c>
      <c r="C427" s="508" t="s">
        <v>45</v>
      </c>
      <c r="D427" s="561" t="s">
        <v>196</v>
      </c>
      <c r="E427" s="503">
        <f t="shared" si="28"/>
        <v>2</v>
      </c>
      <c r="F427" s="593">
        <v>2</v>
      </c>
      <c r="G427" s="503">
        <f t="shared" si="27"/>
        <v>0</v>
      </c>
      <c r="H427" s="503"/>
      <c r="I427" s="503"/>
      <c r="J427" s="504"/>
      <c r="K427" s="503"/>
      <c r="L427" s="503"/>
      <c r="M427" s="503"/>
      <c r="N427" s="503"/>
      <c r="O427" s="503"/>
      <c r="P427" s="503"/>
      <c r="Q427" s="503"/>
      <c r="R427" s="503"/>
      <c r="S427" s="503"/>
      <c r="T427" s="503"/>
      <c r="U427" s="503"/>
      <c r="V427" s="503"/>
      <c r="W427" s="503"/>
      <c r="X427" s="503"/>
      <c r="Y427" s="503"/>
      <c r="Z427" s="503"/>
      <c r="AA427" s="559" t="s">
        <v>168</v>
      </c>
    </row>
    <row r="428" spans="1:27">
      <c r="A428" s="1182">
        <v>8</v>
      </c>
      <c r="B428" s="1230" t="s">
        <v>207</v>
      </c>
      <c r="C428" s="508" t="s">
        <v>45</v>
      </c>
      <c r="D428" s="561" t="s">
        <v>194</v>
      </c>
      <c r="E428" s="503">
        <f t="shared" si="28"/>
        <v>6.5</v>
      </c>
      <c r="F428" s="593">
        <v>6.5</v>
      </c>
      <c r="G428" s="503">
        <f t="shared" si="27"/>
        <v>0</v>
      </c>
      <c r="H428" s="503"/>
      <c r="I428" s="627"/>
      <c r="J428" s="504"/>
      <c r="K428" s="503"/>
      <c r="L428" s="503"/>
      <c r="M428" s="503"/>
      <c r="N428" s="503"/>
      <c r="O428" s="503"/>
      <c r="P428" s="503"/>
      <c r="Q428" s="503"/>
      <c r="R428" s="503"/>
      <c r="S428" s="503"/>
      <c r="T428" s="503"/>
      <c r="U428" s="503"/>
      <c r="V428" s="503"/>
      <c r="W428" s="503"/>
      <c r="X428" s="503"/>
      <c r="Y428" s="503"/>
      <c r="Z428" s="503"/>
      <c r="AA428" s="559" t="s">
        <v>189</v>
      </c>
    </row>
    <row r="429" spans="1:27">
      <c r="A429" s="1182"/>
      <c r="B429" s="1230"/>
      <c r="C429" s="508" t="s">
        <v>45</v>
      </c>
      <c r="D429" s="561" t="s">
        <v>194</v>
      </c>
      <c r="E429" s="503">
        <f t="shared" si="28"/>
        <v>9</v>
      </c>
      <c r="F429" s="593">
        <v>9</v>
      </c>
      <c r="G429" s="503">
        <f t="shared" si="27"/>
        <v>0</v>
      </c>
      <c r="H429" s="503"/>
      <c r="I429" s="627"/>
      <c r="J429" s="504"/>
      <c r="K429" s="503"/>
      <c r="L429" s="503"/>
      <c r="M429" s="503"/>
      <c r="N429" s="503"/>
      <c r="O429" s="503"/>
      <c r="P429" s="503"/>
      <c r="Q429" s="503"/>
      <c r="R429" s="503"/>
      <c r="S429" s="503"/>
      <c r="T429" s="503"/>
      <c r="U429" s="503"/>
      <c r="V429" s="503"/>
      <c r="W429" s="503"/>
      <c r="X429" s="503"/>
      <c r="Y429" s="503"/>
      <c r="Z429" s="503"/>
      <c r="AA429" s="559" t="s">
        <v>173</v>
      </c>
    </row>
    <row r="430" spans="1:27">
      <c r="A430" s="1182"/>
      <c r="B430" s="1230"/>
      <c r="C430" s="508" t="s">
        <v>45</v>
      </c>
      <c r="D430" s="561" t="s">
        <v>194</v>
      </c>
      <c r="E430" s="503">
        <f t="shared" si="28"/>
        <v>4.46</v>
      </c>
      <c r="F430" s="593">
        <v>4.46</v>
      </c>
      <c r="G430" s="503">
        <f t="shared" si="27"/>
        <v>0</v>
      </c>
      <c r="H430" s="503"/>
      <c r="I430" s="627"/>
      <c r="J430" s="504"/>
      <c r="K430" s="503"/>
      <c r="L430" s="503"/>
      <c r="M430" s="503"/>
      <c r="N430" s="503"/>
      <c r="O430" s="503"/>
      <c r="P430" s="503"/>
      <c r="Q430" s="503"/>
      <c r="R430" s="503"/>
      <c r="S430" s="503"/>
      <c r="T430" s="503"/>
      <c r="U430" s="503"/>
      <c r="V430" s="503"/>
      <c r="W430" s="503"/>
      <c r="X430" s="503"/>
      <c r="Y430" s="503"/>
      <c r="Z430" s="503"/>
      <c r="AA430" s="559" t="s">
        <v>168</v>
      </c>
    </row>
    <row r="431" spans="1:27" ht="47.25">
      <c r="A431" s="500">
        <v>9</v>
      </c>
      <c r="B431" s="560" t="s">
        <v>205</v>
      </c>
      <c r="C431" s="508" t="s">
        <v>45</v>
      </c>
      <c r="D431" s="561" t="s">
        <v>196</v>
      </c>
      <c r="E431" s="503">
        <f t="shared" si="28"/>
        <v>2</v>
      </c>
      <c r="F431" s="503">
        <v>2</v>
      </c>
      <c r="G431" s="503">
        <f t="shared" si="27"/>
        <v>0</v>
      </c>
      <c r="H431" s="503"/>
      <c r="I431" s="503"/>
      <c r="J431" s="504"/>
      <c r="K431" s="503"/>
      <c r="L431" s="503"/>
      <c r="M431" s="503"/>
      <c r="N431" s="503"/>
      <c r="O431" s="503"/>
      <c r="P431" s="503"/>
      <c r="Q431" s="503"/>
      <c r="R431" s="503"/>
      <c r="S431" s="503"/>
      <c r="T431" s="503"/>
      <c r="U431" s="503"/>
      <c r="V431" s="503"/>
      <c r="W431" s="503"/>
      <c r="X431" s="503"/>
      <c r="Y431" s="503"/>
      <c r="Z431" s="503"/>
      <c r="AA431" s="510" t="s">
        <v>168</v>
      </c>
    </row>
    <row r="432" spans="1:27" ht="47.25">
      <c r="A432" s="500">
        <v>10</v>
      </c>
      <c r="B432" s="560" t="s">
        <v>760</v>
      </c>
      <c r="C432" s="508" t="s">
        <v>45</v>
      </c>
      <c r="D432" s="561" t="s">
        <v>196</v>
      </c>
      <c r="E432" s="503">
        <f t="shared" si="28"/>
        <v>0.6</v>
      </c>
      <c r="F432" s="503">
        <v>0.6</v>
      </c>
      <c r="G432" s="503">
        <f t="shared" si="27"/>
        <v>0</v>
      </c>
      <c r="H432" s="503"/>
      <c r="I432" s="503"/>
      <c r="J432" s="504"/>
      <c r="K432" s="503"/>
      <c r="L432" s="503"/>
      <c r="M432" s="503"/>
      <c r="N432" s="503"/>
      <c r="O432" s="503"/>
      <c r="P432" s="503"/>
      <c r="Q432" s="503"/>
      <c r="R432" s="503"/>
      <c r="S432" s="503"/>
      <c r="T432" s="503"/>
      <c r="U432" s="503"/>
      <c r="V432" s="503"/>
      <c r="W432" s="503"/>
      <c r="X432" s="503"/>
      <c r="Y432" s="503"/>
      <c r="Z432" s="503"/>
      <c r="AA432" s="510" t="s">
        <v>168</v>
      </c>
    </row>
    <row r="433" spans="1:27" ht="31.5">
      <c r="A433" s="500">
        <v>11</v>
      </c>
      <c r="B433" s="560" t="s">
        <v>225</v>
      </c>
      <c r="C433" s="508" t="s">
        <v>45</v>
      </c>
      <c r="D433" s="561" t="s">
        <v>196</v>
      </c>
      <c r="E433" s="503">
        <f t="shared" si="28"/>
        <v>0.5</v>
      </c>
      <c r="F433" s="503">
        <v>0.5</v>
      </c>
      <c r="G433" s="503">
        <f t="shared" si="27"/>
        <v>0</v>
      </c>
      <c r="H433" s="503"/>
      <c r="I433" s="503"/>
      <c r="J433" s="504"/>
      <c r="K433" s="503"/>
      <c r="L433" s="503"/>
      <c r="M433" s="503"/>
      <c r="N433" s="503"/>
      <c r="O433" s="503"/>
      <c r="P433" s="503"/>
      <c r="Q433" s="503"/>
      <c r="R433" s="503"/>
      <c r="S433" s="503"/>
      <c r="T433" s="503"/>
      <c r="U433" s="503"/>
      <c r="V433" s="503"/>
      <c r="W433" s="503"/>
      <c r="X433" s="503"/>
      <c r="Y433" s="503"/>
      <c r="Z433" s="503"/>
      <c r="AA433" s="510" t="s">
        <v>168</v>
      </c>
    </row>
    <row r="434" spans="1:27" ht="31.5">
      <c r="A434" s="500">
        <v>12</v>
      </c>
      <c r="B434" s="560" t="s">
        <v>227</v>
      </c>
      <c r="C434" s="508" t="s">
        <v>45</v>
      </c>
      <c r="D434" s="561" t="s">
        <v>196</v>
      </c>
      <c r="E434" s="503">
        <f t="shared" si="28"/>
        <v>0.5</v>
      </c>
      <c r="F434" s="503">
        <v>0.5</v>
      </c>
      <c r="G434" s="503">
        <f t="shared" si="27"/>
        <v>0</v>
      </c>
      <c r="H434" s="503"/>
      <c r="I434" s="503"/>
      <c r="J434" s="504"/>
      <c r="K434" s="503"/>
      <c r="L434" s="503"/>
      <c r="M434" s="503"/>
      <c r="N434" s="503"/>
      <c r="O434" s="503"/>
      <c r="P434" s="503"/>
      <c r="Q434" s="503"/>
      <c r="R434" s="503"/>
      <c r="S434" s="503"/>
      <c r="T434" s="503"/>
      <c r="U434" s="503"/>
      <c r="V434" s="503"/>
      <c r="W434" s="503"/>
      <c r="X434" s="503"/>
      <c r="Y434" s="503"/>
      <c r="Z434" s="503"/>
      <c r="AA434" s="510" t="s">
        <v>168</v>
      </c>
    </row>
    <row r="435" spans="1:27" ht="31.5">
      <c r="A435" s="500">
        <v>13</v>
      </c>
      <c r="B435" s="652" t="s">
        <v>761</v>
      </c>
      <c r="C435" s="508" t="s">
        <v>45</v>
      </c>
      <c r="D435" s="561" t="s">
        <v>196</v>
      </c>
      <c r="E435" s="503">
        <f t="shared" si="28"/>
        <v>0.6</v>
      </c>
      <c r="F435" s="593">
        <v>0.6</v>
      </c>
      <c r="G435" s="503">
        <f t="shared" si="27"/>
        <v>0</v>
      </c>
      <c r="H435" s="503"/>
      <c r="I435" s="503"/>
      <c r="J435" s="504"/>
      <c r="K435" s="503"/>
      <c r="L435" s="503"/>
      <c r="M435" s="503"/>
      <c r="N435" s="503"/>
      <c r="O435" s="503"/>
      <c r="P435" s="503"/>
      <c r="Q435" s="503"/>
      <c r="R435" s="503"/>
      <c r="S435" s="503"/>
      <c r="T435" s="503"/>
      <c r="U435" s="503"/>
      <c r="V435" s="503"/>
      <c r="W435" s="503"/>
      <c r="X435" s="503"/>
      <c r="Y435" s="503"/>
      <c r="Z435" s="503"/>
      <c r="AA435" s="559" t="s">
        <v>168</v>
      </c>
    </row>
    <row r="436" spans="1:27" ht="47.25">
      <c r="A436" s="500">
        <v>14</v>
      </c>
      <c r="B436" s="652" t="s">
        <v>762</v>
      </c>
      <c r="C436" s="508" t="s">
        <v>45</v>
      </c>
      <c r="D436" s="561" t="s">
        <v>196</v>
      </c>
      <c r="E436" s="503">
        <f t="shared" si="28"/>
        <v>5.43</v>
      </c>
      <c r="F436" s="593">
        <v>5.43</v>
      </c>
      <c r="G436" s="503">
        <f t="shared" si="27"/>
        <v>0</v>
      </c>
      <c r="H436" s="503"/>
      <c r="I436" s="503"/>
      <c r="J436" s="504"/>
      <c r="K436" s="503"/>
      <c r="L436" s="503"/>
      <c r="M436" s="503"/>
      <c r="N436" s="503"/>
      <c r="O436" s="503"/>
      <c r="P436" s="503"/>
      <c r="Q436" s="503"/>
      <c r="R436" s="503"/>
      <c r="S436" s="503"/>
      <c r="T436" s="503"/>
      <c r="U436" s="503"/>
      <c r="V436" s="503"/>
      <c r="W436" s="503"/>
      <c r="X436" s="503"/>
      <c r="Y436" s="503"/>
      <c r="Z436" s="503"/>
      <c r="AA436" s="559" t="s">
        <v>168</v>
      </c>
    </row>
    <row r="437" spans="1:27">
      <c r="A437" s="500">
        <v>15</v>
      </c>
      <c r="B437" s="652" t="s">
        <v>763</v>
      </c>
      <c r="C437" s="508" t="s">
        <v>45</v>
      </c>
      <c r="D437" s="561" t="s">
        <v>196</v>
      </c>
      <c r="E437" s="503">
        <f t="shared" si="28"/>
        <v>2.5</v>
      </c>
      <c r="F437" s="593">
        <v>2.5</v>
      </c>
      <c r="G437" s="503">
        <f t="shared" si="27"/>
        <v>0</v>
      </c>
      <c r="H437" s="503"/>
      <c r="I437" s="503"/>
      <c r="J437" s="504"/>
      <c r="K437" s="503"/>
      <c r="L437" s="503"/>
      <c r="M437" s="503"/>
      <c r="N437" s="503"/>
      <c r="O437" s="503"/>
      <c r="P437" s="503"/>
      <c r="Q437" s="503"/>
      <c r="R437" s="503"/>
      <c r="S437" s="503"/>
      <c r="T437" s="503"/>
      <c r="U437" s="503"/>
      <c r="V437" s="503"/>
      <c r="W437" s="503"/>
      <c r="X437" s="503"/>
      <c r="Y437" s="503"/>
      <c r="Z437" s="503"/>
      <c r="AA437" s="559" t="s">
        <v>171</v>
      </c>
    </row>
    <row r="438" spans="1:27">
      <c r="A438" s="500">
        <v>16</v>
      </c>
      <c r="B438" s="652" t="s">
        <v>764</v>
      </c>
      <c r="C438" s="508" t="s">
        <v>45</v>
      </c>
      <c r="D438" s="561" t="s">
        <v>192</v>
      </c>
      <c r="E438" s="503">
        <f t="shared" si="28"/>
        <v>0.4</v>
      </c>
      <c r="F438" s="503">
        <v>0.4</v>
      </c>
      <c r="G438" s="503">
        <f t="shared" si="27"/>
        <v>0</v>
      </c>
      <c r="H438" s="503"/>
      <c r="I438" s="503"/>
      <c r="J438" s="504"/>
      <c r="K438" s="503"/>
      <c r="L438" s="503"/>
      <c r="M438" s="503"/>
      <c r="N438" s="503"/>
      <c r="O438" s="503"/>
      <c r="P438" s="503"/>
      <c r="Q438" s="503"/>
      <c r="R438" s="503"/>
      <c r="S438" s="503"/>
      <c r="T438" s="503"/>
      <c r="U438" s="503"/>
      <c r="V438" s="503"/>
      <c r="W438" s="503"/>
      <c r="X438" s="503"/>
      <c r="Y438" s="503"/>
      <c r="Z438" s="503"/>
      <c r="AA438" s="559" t="s">
        <v>171</v>
      </c>
    </row>
    <row r="439" spans="1:27" s="649" customFormat="1" ht="31.5">
      <c r="A439" s="500">
        <v>17</v>
      </c>
      <c r="B439" s="802" t="s">
        <v>765</v>
      </c>
      <c r="C439" s="803" t="s">
        <v>45</v>
      </c>
      <c r="D439" s="804" t="s">
        <v>192</v>
      </c>
      <c r="E439" s="503">
        <f t="shared" si="28"/>
        <v>0.8</v>
      </c>
      <c r="F439" s="805">
        <v>0.8</v>
      </c>
      <c r="G439" s="503">
        <f t="shared" si="27"/>
        <v>0</v>
      </c>
      <c r="H439" s="806"/>
      <c r="I439" s="806"/>
      <c r="J439" s="807"/>
      <c r="K439" s="806"/>
      <c r="L439" s="806"/>
      <c r="M439" s="806"/>
      <c r="N439" s="806"/>
      <c r="O439" s="806"/>
      <c r="P439" s="806"/>
      <c r="Q439" s="806"/>
      <c r="R439" s="806"/>
      <c r="S439" s="806"/>
      <c r="T439" s="806"/>
      <c r="U439" s="806"/>
      <c r="V439" s="806"/>
      <c r="W439" s="806"/>
      <c r="X439" s="806"/>
      <c r="Y439" s="806"/>
      <c r="Z439" s="806"/>
      <c r="AA439" s="808" t="s">
        <v>597</v>
      </c>
    </row>
    <row r="440" spans="1:27">
      <c r="A440" s="772">
        <v>18</v>
      </c>
      <c r="B440" s="657" t="s">
        <v>766</v>
      </c>
      <c r="C440" s="563" t="s">
        <v>45</v>
      </c>
      <c r="D440" s="564" t="s">
        <v>192</v>
      </c>
      <c r="E440" s="516">
        <f t="shared" si="28"/>
        <v>0.1</v>
      </c>
      <c r="F440" s="516">
        <v>0.1</v>
      </c>
      <c r="G440" s="516">
        <f t="shared" si="27"/>
        <v>0</v>
      </c>
      <c r="H440" s="516"/>
      <c r="I440" s="516"/>
      <c r="J440" s="563"/>
      <c r="K440" s="516"/>
      <c r="L440" s="516"/>
      <c r="M440" s="516"/>
      <c r="N440" s="516"/>
      <c r="O440" s="516"/>
      <c r="P440" s="516"/>
      <c r="Q440" s="516"/>
      <c r="R440" s="565"/>
      <c r="S440" s="565"/>
      <c r="T440" s="516"/>
      <c r="U440" s="516"/>
      <c r="V440" s="516"/>
      <c r="W440" s="516"/>
      <c r="X440" s="516"/>
      <c r="Y440" s="516"/>
      <c r="Z440" s="516"/>
      <c r="AA440" s="574" t="s">
        <v>169</v>
      </c>
    </row>
    <row r="441" spans="1:27" s="556" customFormat="1">
      <c r="A441" s="735"/>
      <c r="B441" s="809" t="s">
        <v>767</v>
      </c>
      <c r="C441" s="810"/>
      <c r="D441" s="811"/>
      <c r="E441" s="632"/>
      <c r="F441" s="697"/>
      <c r="G441" s="632"/>
      <c r="H441" s="697"/>
      <c r="I441" s="697"/>
      <c r="J441" s="812"/>
      <c r="K441" s="697"/>
      <c r="L441" s="697"/>
      <c r="M441" s="697"/>
      <c r="N441" s="697"/>
      <c r="O441" s="697"/>
      <c r="P441" s="697"/>
      <c r="Q441" s="697"/>
      <c r="R441" s="697"/>
      <c r="S441" s="697"/>
      <c r="T441" s="697"/>
      <c r="U441" s="697"/>
      <c r="V441" s="697"/>
      <c r="W441" s="697"/>
      <c r="X441" s="697"/>
      <c r="Y441" s="697"/>
      <c r="Z441" s="697"/>
      <c r="AA441" s="813"/>
    </row>
    <row r="442" spans="1:27">
      <c r="A442" s="1182">
        <v>1</v>
      </c>
      <c r="B442" s="1230" t="s">
        <v>208</v>
      </c>
      <c r="C442" s="508" t="s">
        <v>45</v>
      </c>
      <c r="D442" s="561" t="s">
        <v>196</v>
      </c>
      <c r="E442" s="503">
        <f>F442+G442</f>
        <v>2.5</v>
      </c>
      <c r="F442" s="503">
        <v>2.5</v>
      </c>
      <c r="G442" s="503">
        <f>H442+SUM(J442:Z442)</f>
        <v>0</v>
      </c>
      <c r="H442" s="503"/>
      <c r="I442" s="503"/>
      <c r="J442" s="504"/>
      <c r="K442" s="503"/>
      <c r="L442" s="503"/>
      <c r="M442" s="503"/>
      <c r="N442" s="503"/>
      <c r="O442" s="503"/>
      <c r="P442" s="503"/>
      <c r="Q442" s="503"/>
      <c r="R442" s="503"/>
      <c r="S442" s="503"/>
      <c r="T442" s="503"/>
      <c r="U442" s="503"/>
      <c r="V442" s="503"/>
      <c r="W442" s="503"/>
      <c r="X442" s="503"/>
      <c r="Y442" s="503"/>
      <c r="Z442" s="503"/>
      <c r="AA442" s="710" t="s">
        <v>168</v>
      </c>
    </row>
    <row r="443" spans="1:27">
      <c r="A443" s="1182"/>
      <c r="B443" s="1230"/>
      <c r="C443" s="508" t="s">
        <v>55</v>
      </c>
      <c r="D443" s="561" t="s">
        <v>55</v>
      </c>
      <c r="E443" s="503">
        <f t="shared" ref="E443" si="32">F443+G443</f>
        <v>15.4</v>
      </c>
      <c r="F443" s="503">
        <v>15.4</v>
      </c>
      <c r="G443" s="503">
        <f>H443+SUM(J443:Z443)</f>
        <v>0</v>
      </c>
      <c r="H443" s="503"/>
      <c r="I443" s="503"/>
      <c r="J443" s="504"/>
      <c r="K443" s="503"/>
      <c r="L443" s="503"/>
      <c r="M443" s="503"/>
      <c r="N443" s="503"/>
      <c r="O443" s="503"/>
      <c r="P443" s="503"/>
      <c r="Q443" s="503"/>
      <c r="R443" s="503"/>
      <c r="S443" s="503"/>
      <c r="T443" s="503"/>
      <c r="U443" s="503"/>
      <c r="V443" s="503"/>
      <c r="W443" s="503"/>
      <c r="X443" s="503"/>
      <c r="Y443" s="503"/>
      <c r="Z443" s="503"/>
      <c r="AA443" s="710" t="s">
        <v>168</v>
      </c>
    </row>
    <row r="444" spans="1:27" ht="47.25">
      <c r="A444" s="772">
        <v>2</v>
      </c>
      <c r="B444" s="657" t="s">
        <v>768</v>
      </c>
      <c r="C444" s="814" t="s">
        <v>55</v>
      </c>
      <c r="D444" s="815" t="s">
        <v>55</v>
      </c>
      <c r="E444" s="516">
        <f t="shared" si="28"/>
        <v>1.5</v>
      </c>
      <c r="F444" s="516">
        <v>1.5</v>
      </c>
      <c r="G444" s="516">
        <f t="shared" ref="G444:G463" si="33">H444+SUM(J444:Z444)</f>
        <v>0</v>
      </c>
      <c r="H444" s="516"/>
      <c r="I444" s="516"/>
      <c r="J444" s="774"/>
      <c r="K444" s="516"/>
      <c r="L444" s="516"/>
      <c r="M444" s="516"/>
      <c r="N444" s="516"/>
      <c r="O444" s="516"/>
      <c r="P444" s="516"/>
      <c r="Q444" s="516"/>
      <c r="R444" s="516"/>
      <c r="S444" s="516"/>
      <c r="T444" s="516"/>
      <c r="U444" s="516"/>
      <c r="V444" s="516"/>
      <c r="W444" s="516"/>
      <c r="X444" s="516"/>
      <c r="Y444" s="516"/>
      <c r="Z444" s="516"/>
      <c r="AA444" s="710" t="s">
        <v>168</v>
      </c>
    </row>
    <row r="445" spans="1:27" s="824" customFormat="1">
      <c r="A445" s="816"/>
      <c r="B445" s="817" t="s">
        <v>656</v>
      </c>
      <c r="C445" s="818"/>
      <c r="D445" s="819"/>
      <c r="E445" s="632"/>
      <c r="F445" s="820"/>
      <c r="G445" s="632"/>
      <c r="H445" s="821"/>
      <c r="I445" s="821"/>
      <c r="J445" s="822"/>
      <c r="K445" s="821"/>
      <c r="L445" s="821"/>
      <c r="M445" s="821"/>
      <c r="N445" s="821"/>
      <c r="O445" s="821"/>
      <c r="P445" s="821"/>
      <c r="Q445" s="821"/>
      <c r="R445" s="821"/>
      <c r="S445" s="821"/>
      <c r="T445" s="821"/>
      <c r="U445" s="821"/>
      <c r="V445" s="821"/>
      <c r="W445" s="821"/>
      <c r="X445" s="821"/>
      <c r="Y445" s="821"/>
      <c r="Z445" s="821"/>
      <c r="AA445" s="823"/>
    </row>
    <row r="446" spans="1:27" ht="31.5">
      <c r="A446" s="500">
        <v>1</v>
      </c>
      <c r="B446" s="560" t="s">
        <v>769</v>
      </c>
      <c r="C446" s="508" t="s">
        <v>68</v>
      </c>
      <c r="D446" s="561" t="s">
        <v>68</v>
      </c>
      <c r="E446" s="503">
        <f t="shared" si="28"/>
        <v>0.22</v>
      </c>
      <c r="F446" s="503"/>
      <c r="G446" s="503">
        <f t="shared" si="33"/>
        <v>0.22</v>
      </c>
      <c r="H446" s="503"/>
      <c r="I446" s="503"/>
      <c r="J446" s="508"/>
      <c r="K446" s="503"/>
      <c r="L446" s="503"/>
      <c r="M446" s="503"/>
      <c r="N446" s="503"/>
      <c r="O446" s="503"/>
      <c r="P446" s="503"/>
      <c r="Q446" s="503">
        <v>0.22</v>
      </c>
      <c r="R446" s="509"/>
      <c r="S446" s="509"/>
      <c r="T446" s="503"/>
      <c r="U446" s="503"/>
      <c r="V446" s="503"/>
      <c r="W446" s="503"/>
      <c r="X446" s="503"/>
      <c r="Y446" s="503"/>
      <c r="Z446" s="503"/>
      <c r="AA446" s="510" t="s">
        <v>171</v>
      </c>
    </row>
    <row r="447" spans="1:27">
      <c r="A447" s="500">
        <v>2</v>
      </c>
      <c r="B447" s="560" t="s">
        <v>770</v>
      </c>
      <c r="C447" s="508" t="s">
        <v>68</v>
      </c>
      <c r="D447" s="561" t="s">
        <v>68</v>
      </c>
      <c r="E447" s="503">
        <f t="shared" si="28"/>
        <v>0.15</v>
      </c>
      <c r="F447" s="503"/>
      <c r="G447" s="503">
        <f t="shared" si="33"/>
        <v>0.15</v>
      </c>
      <c r="H447" s="503"/>
      <c r="I447" s="503"/>
      <c r="J447" s="508"/>
      <c r="K447" s="503"/>
      <c r="L447" s="503"/>
      <c r="M447" s="503"/>
      <c r="N447" s="503"/>
      <c r="O447" s="503"/>
      <c r="P447" s="503"/>
      <c r="Q447" s="503">
        <v>0.15</v>
      </c>
      <c r="R447" s="509"/>
      <c r="S447" s="509"/>
      <c r="T447" s="503"/>
      <c r="U447" s="503"/>
      <c r="V447" s="503"/>
      <c r="W447" s="503"/>
      <c r="X447" s="503"/>
      <c r="Y447" s="503"/>
      <c r="Z447" s="503"/>
      <c r="AA447" s="510" t="s">
        <v>169</v>
      </c>
    </row>
    <row r="448" spans="1:27">
      <c r="A448" s="772"/>
      <c r="B448" s="825" t="s">
        <v>569</v>
      </c>
      <c r="C448" s="563"/>
      <c r="D448" s="564"/>
      <c r="E448" s="516"/>
      <c r="F448" s="516"/>
      <c r="G448" s="516"/>
      <c r="H448" s="516"/>
      <c r="I448" s="516"/>
      <c r="J448" s="563"/>
      <c r="K448" s="516"/>
      <c r="L448" s="516"/>
      <c r="M448" s="516"/>
      <c r="N448" s="516"/>
      <c r="O448" s="516"/>
      <c r="P448" s="516"/>
      <c r="Q448" s="516"/>
      <c r="R448" s="565"/>
      <c r="S448" s="565"/>
      <c r="T448" s="516"/>
      <c r="U448" s="516"/>
      <c r="V448" s="516"/>
      <c r="W448" s="516"/>
      <c r="X448" s="516"/>
      <c r="Y448" s="516"/>
      <c r="Z448" s="516"/>
      <c r="AA448" s="574"/>
    </row>
    <row r="449" spans="1:27">
      <c r="A449" s="772">
        <v>1</v>
      </c>
      <c r="B449" s="657" t="s">
        <v>771</v>
      </c>
      <c r="C449" s="563" t="s">
        <v>45</v>
      </c>
      <c r="D449" s="564" t="s">
        <v>220</v>
      </c>
      <c r="E449" s="516">
        <f t="shared" si="28"/>
        <v>0.6</v>
      </c>
      <c r="F449" s="516"/>
      <c r="G449" s="516">
        <f t="shared" si="33"/>
        <v>0.6</v>
      </c>
      <c r="H449" s="516"/>
      <c r="I449" s="516"/>
      <c r="J449" s="563"/>
      <c r="K449" s="516"/>
      <c r="L449" s="516"/>
      <c r="M449" s="516"/>
      <c r="N449" s="516"/>
      <c r="O449" s="516"/>
      <c r="P449" s="516"/>
      <c r="Q449" s="516"/>
      <c r="R449" s="565"/>
      <c r="S449" s="565"/>
      <c r="T449" s="516"/>
      <c r="U449" s="516"/>
      <c r="V449" s="516"/>
      <c r="W449" s="516"/>
      <c r="X449" s="516">
        <v>0.6</v>
      </c>
      <c r="Y449" s="516"/>
      <c r="Z449" s="516"/>
      <c r="AA449" s="574" t="s">
        <v>190</v>
      </c>
    </row>
    <row r="450" spans="1:27" s="556" customFormat="1" ht="31.5">
      <c r="A450" s="826"/>
      <c r="B450" s="825" t="s">
        <v>772</v>
      </c>
      <c r="C450" s="827"/>
      <c r="D450" s="828"/>
      <c r="E450" s="632"/>
      <c r="F450" s="791"/>
      <c r="G450" s="632"/>
      <c r="H450" s="829"/>
      <c r="I450" s="829"/>
      <c r="J450" s="830"/>
      <c r="K450" s="829"/>
      <c r="L450" s="829"/>
      <c r="M450" s="829"/>
      <c r="N450" s="829"/>
      <c r="O450" s="829"/>
      <c r="P450" s="829"/>
      <c r="Q450" s="829"/>
      <c r="R450" s="829"/>
      <c r="S450" s="829"/>
      <c r="T450" s="829"/>
      <c r="U450" s="829"/>
      <c r="V450" s="829"/>
      <c r="W450" s="829"/>
      <c r="X450" s="829"/>
      <c r="Y450" s="829"/>
      <c r="Z450" s="829"/>
      <c r="AA450" s="831"/>
    </row>
    <row r="451" spans="1:27" s="649" customFormat="1" ht="31.5">
      <c r="A451" s="540">
        <v>1</v>
      </c>
      <c r="B451" s="541" t="s">
        <v>226</v>
      </c>
      <c r="C451" s="537" t="s">
        <v>70</v>
      </c>
      <c r="D451" s="538" t="s">
        <v>70</v>
      </c>
      <c r="E451" s="503">
        <f t="shared" si="28"/>
        <v>2.5</v>
      </c>
      <c r="F451" s="539">
        <v>2.5</v>
      </c>
      <c r="G451" s="503">
        <f t="shared" si="33"/>
        <v>0</v>
      </c>
      <c r="H451" s="542"/>
      <c r="I451" s="542"/>
      <c r="J451" s="543"/>
      <c r="K451" s="542"/>
      <c r="L451" s="542"/>
      <c r="M451" s="542"/>
      <c r="N451" s="542"/>
      <c r="O451" s="542"/>
      <c r="P451" s="542"/>
      <c r="Q451" s="542"/>
      <c r="R451" s="542"/>
      <c r="S451" s="542"/>
      <c r="T451" s="542"/>
      <c r="U451" s="542"/>
      <c r="V451" s="542"/>
      <c r="W451" s="542"/>
      <c r="X451" s="542"/>
      <c r="Y451" s="542"/>
      <c r="Z451" s="542"/>
      <c r="AA451" s="544" t="s">
        <v>168</v>
      </c>
    </row>
    <row r="452" spans="1:27" ht="31.5">
      <c r="A452" s="601">
        <v>2</v>
      </c>
      <c r="B452" s="832" t="s">
        <v>773</v>
      </c>
      <c r="C452" s="833" t="s">
        <v>70</v>
      </c>
      <c r="D452" s="834" t="s">
        <v>70</v>
      </c>
      <c r="E452" s="516">
        <f t="shared" si="28"/>
        <v>1.1000000000000001</v>
      </c>
      <c r="F452" s="835">
        <v>1.1000000000000001</v>
      </c>
      <c r="G452" s="516">
        <f t="shared" si="33"/>
        <v>0</v>
      </c>
      <c r="H452" s="516"/>
      <c r="I452" s="516"/>
      <c r="J452" s="774"/>
      <c r="K452" s="516"/>
      <c r="L452" s="516"/>
      <c r="M452" s="516"/>
      <c r="N452" s="516"/>
      <c r="O452" s="516"/>
      <c r="P452" s="516"/>
      <c r="Q452" s="516"/>
      <c r="R452" s="516"/>
      <c r="S452" s="516"/>
      <c r="T452" s="516"/>
      <c r="U452" s="516"/>
      <c r="V452" s="516"/>
      <c r="W452" s="516"/>
      <c r="X452" s="516"/>
      <c r="Y452" s="516"/>
      <c r="Z452" s="516"/>
      <c r="AA452" s="836" t="s">
        <v>168</v>
      </c>
    </row>
    <row r="453" spans="1:27" s="556" customFormat="1">
      <c r="A453" s="735"/>
      <c r="B453" s="837" t="s">
        <v>606</v>
      </c>
      <c r="C453" s="838"/>
      <c r="D453" s="839"/>
      <c r="E453" s="632"/>
      <c r="F453" s="840"/>
      <c r="G453" s="632"/>
      <c r="H453" s="697"/>
      <c r="I453" s="697"/>
      <c r="J453" s="812"/>
      <c r="K453" s="697"/>
      <c r="L453" s="697"/>
      <c r="M453" s="697"/>
      <c r="N453" s="697"/>
      <c r="O453" s="697"/>
      <c r="P453" s="697"/>
      <c r="Q453" s="697"/>
      <c r="R453" s="697"/>
      <c r="S453" s="697"/>
      <c r="T453" s="697"/>
      <c r="U453" s="697"/>
      <c r="V453" s="697"/>
      <c r="W453" s="697"/>
      <c r="X453" s="697"/>
      <c r="Y453" s="697"/>
      <c r="Z453" s="697"/>
      <c r="AA453" s="841"/>
    </row>
    <row r="454" spans="1:27">
      <c r="A454" s="500">
        <v>1</v>
      </c>
      <c r="B454" s="560" t="s">
        <v>774</v>
      </c>
      <c r="C454" s="508" t="s">
        <v>45</v>
      </c>
      <c r="D454" s="561" t="s">
        <v>63</v>
      </c>
      <c r="E454" s="503">
        <f t="shared" si="28"/>
        <v>0.5</v>
      </c>
      <c r="F454" s="503">
        <v>0.5</v>
      </c>
      <c r="G454" s="503">
        <f t="shared" si="33"/>
        <v>0</v>
      </c>
      <c r="H454" s="503"/>
      <c r="I454" s="503"/>
      <c r="J454" s="508"/>
      <c r="K454" s="503"/>
      <c r="L454" s="503"/>
      <c r="M454" s="503"/>
      <c r="N454" s="503"/>
      <c r="O454" s="503"/>
      <c r="P454" s="503"/>
      <c r="Q454" s="503"/>
      <c r="R454" s="509"/>
      <c r="S454" s="509"/>
      <c r="T454" s="503"/>
      <c r="U454" s="503"/>
      <c r="V454" s="503"/>
      <c r="W454" s="503"/>
      <c r="X454" s="503"/>
      <c r="Y454" s="503"/>
      <c r="Z454" s="503"/>
      <c r="AA454" s="510" t="s">
        <v>190</v>
      </c>
    </row>
    <row r="455" spans="1:27" s="649" customFormat="1">
      <c r="A455" s="772">
        <v>2</v>
      </c>
      <c r="B455" s="842" t="s">
        <v>775</v>
      </c>
      <c r="C455" s="843" t="s">
        <v>45</v>
      </c>
      <c r="D455" s="844" t="s">
        <v>63</v>
      </c>
      <c r="E455" s="516">
        <f t="shared" si="28"/>
        <v>0.25</v>
      </c>
      <c r="F455" s="845">
        <v>0.25</v>
      </c>
      <c r="G455" s="516">
        <f t="shared" si="33"/>
        <v>0</v>
      </c>
      <c r="H455" s="846"/>
      <c r="I455" s="846"/>
      <c r="J455" s="847"/>
      <c r="K455" s="846"/>
      <c r="L455" s="846"/>
      <c r="M455" s="848"/>
      <c r="N455" s="848"/>
      <c r="O455" s="848"/>
      <c r="P455" s="848"/>
      <c r="Q455" s="848"/>
      <c r="R455" s="846"/>
      <c r="S455" s="846"/>
      <c r="T455" s="848"/>
      <c r="U455" s="848"/>
      <c r="V455" s="848"/>
      <c r="W455" s="848"/>
      <c r="X455" s="846"/>
      <c r="Y455" s="848"/>
      <c r="Z455" s="848"/>
      <c r="AA455" s="849" t="s">
        <v>171</v>
      </c>
    </row>
    <row r="456" spans="1:27">
      <c r="A456" s="735"/>
      <c r="B456" s="809" t="s">
        <v>504</v>
      </c>
      <c r="C456" s="739"/>
      <c r="D456" s="776"/>
      <c r="E456" s="632"/>
      <c r="F456" s="739"/>
      <c r="G456" s="632"/>
      <c r="H456" s="632"/>
      <c r="I456" s="632"/>
      <c r="J456" s="634"/>
      <c r="K456" s="632"/>
      <c r="L456" s="632"/>
      <c r="M456" s="632"/>
      <c r="N456" s="632"/>
      <c r="O456" s="632"/>
      <c r="P456" s="632"/>
      <c r="Q456" s="632"/>
      <c r="R456" s="632"/>
      <c r="S456" s="632"/>
      <c r="T456" s="632"/>
      <c r="U456" s="632"/>
      <c r="V456" s="632"/>
      <c r="W456" s="632"/>
      <c r="X456" s="632"/>
      <c r="Y456" s="632"/>
      <c r="Z456" s="632"/>
      <c r="AA456" s="850"/>
    </row>
    <row r="457" spans="1:27" ht="31.5">
      <c r="A457" s="500">
        <v>1</v>
      </c>
      <c r="B457" s="560" t="s">
        <v>776</v>
      </c>
      <c r="C457" s="508" t="s">
        <v>39</v>
      </c>
      <c r="D457" s="561" t="s">
        <v>39</v>
      </c>
      <c r="E457" s="503">
        <f t="shared" si="28"/>
        <v>0.2</v>
      </c>
      <c r="F457" s="503">
        <v>0.2</v>
      </c>
      <c r="G457" s="503">
        <f t="shared" si="33"/>
        <v>0</v>
      </c>
      <c r="H457" s="503"/>
      <c r="I457" s="503"/>
      <c r="J457" s="504"/>
      <c r="K457" s="503"/>
      <c r="L457" s="503"/>
      <c r="M457" s="503"/>
      <c r="N457" s="503"/>
      <c r="O457" s="503"/>
      <c r="P457" s="503"/>
      <c r="Q457" s="503"/>
      <c r="R457" s="503"/>
      <c r="S457" s="503"/>
      <c r="T457" s="503"/>
      <c r="U457" s="503"/>
      <c r="V457" s="503"/>
      <c r="W457" s="503"/>
      <c r="X457" s="503"/>
      <c r="Y457" s="503"/>
      <c r="Z457" s="503"/>
      <c r="AA457" s="559" t="s">
        <v>168</v>
      </c>
    </row>
    <row r="458" spans="1:27" ht="31.5">
      <c r="A458" s="772">
        <v>2</v>
      </c>
      <c r="B458" s="832" t="s">
        <v>777</v>
      </c>
      <c r="C458" s="563" t="s">
        <v>39</v>
      </c>
      <c r="D458" s="564" t="s">
        <v>39</v>
      </c>
      <c r="E458" s="516">
        <f t="shared" si="28"/>
        <v>1</v>
      </c>
      <c r="F458" s="516">
        <v>1</v>
      </c>
      <c r="G458" s="516">
        <f t="shared" si="33"/>
        <v>0</v>
      </c>
      <c r="H458" s="516"/>
      <c r="I458" s="516"/>
      <c r="J458" s="774"/>
      <c r="K458" s="516"/>
      <c r="L458" s="516"/>
      <c r="M458" s="516"/>
      <c r="N458" s="516"/>
      <c r="O458" s="516"/>
      <c r="P458" s="516"/>
      <c r="Q458" s="516"/>
      <c r="R458" s="516"/>
      <c r="S458" s="516"/>
      <c r="T458" s="516"/>
      <c r="U458" s="516"/>
      <c r="V458" s="516"/>
      <c r="W458" s="516"/>
      <c r="X458" s="516"/>
      <c r="Y458" s="516"/>
      <c r="Z458" s="516"/>
      <c r="AA458" s="836" t="s">
        <v>168</v>
      </c>
    </row>
    <row r="459" spans="1:27" s="556" customFormat="1">
      <c r="A459" s="826"/>
      <c r="B459" s="825" t="s">
        <v>778</v>
      </c>
      <c r="C459" s="827"/>
      <c r="D459" s="828"/>
      <c r="E459" s="632"/>
      <c r="F459" s="791"/>
      <c r="G459" s="632"/>
      <c r="H459" s="829"/>
      <c r="I459" s="829"/>
      <c r="J459" s="830"/>
      <c r="K459" s="829"/>
      <c r="L459" s="829"/>
      <c r="M459" s="829"/>
      <c r="N459" s="829"/>
      <c r="O459" s="829"/>
      <c r="P459" s="829"/>
      <c r="Q459" s="829"/>
      <c r="R459" s="829"/>
      <c r="S459" s="829"/>
      <c r="T459" s="829"/>
      <c r="U459" s="829"/>
      <c r="V459" s="829"/>
      <c r="W459" s="829"/>
      <c r="X459" s="829"/>
      <c r="Y459" s="829"/>
      <c r="Z459" s="829"/>
      <c r="AA459" s="831"/>
    </row>
    <row r="460" spans="1:27" ht="47.25">
      <c r="A460" s="772">
        <v>1</v>
      </c>
      <c r="B460" s="832" t="s">
        <v>779</v>
      </c>
      <c r="C460" s="563" t="s">
        <v>41</v>
      </c>
      <c r="D460" s="564" t="s">
        <v>41</v>
      </c>
      <c r="E460" s="516">
        <f t="shared" si="28"/>
        <v>0.5</v>
      </c>
      <c r="F460" s="516"/>
      <c r="G460" s="516">
        <f t="shared" si="33"/>
        <v>0.5</v>
      </c>
      <c r="H460" s="516"/>
      <c r="I460" s="516"/>
      <c r="J460" s="774"/>
      <c r="K460" s="516">
        <v>0.5</v>
      </c>
      <c r="L460" s="516"/>
      <c r="M460" s="516"/>
      <c r="N460" s="516"/>
      <c r="O460" s="516"/>
      <c r="P460" s="516"/>
      <c r="Q460" s="516"/>
      <c r="R460" s="516"/>
      <c r="S460" s="516"/>
      <c r="T460" s="516"/>
      <c r="U460" s="516"/>
      <c r="V460" s="516"/>
      <c r="W460" s="516"/>
      <c r="X460" s="516"/>
      <c r="Y460" s="516"/>
      <c r="Z460" s="516"/>
      <c r="AA460" s="836" t="s">
        <v>189</v>
      </c>
    </row>
    <row r="461" spans="1:27" s="556" customFormat="1" ht="31.5">
      <c r="A461" s="826"/>
      <c r="B461" s="825" t="s">
        <v>780</v>
      </c>
      <c r="C461" s="827"/>
      <c r="D461" s="828"/>
      <c r="E461" s="632"/>
      <c r="F461" s="791"/>
      <c r="G461" s="632"/>
      <c r="H461" s="829"/>
      <c r="I461" s="829"/>
      <c r="J461" s="830"/>
      <c r="K461" s="829"/>
      <c r="L461" s="829"/>
      <c r="M461" s="829"/>
      <c r="N461" s="829"/>
      <c r="O461" s="829"/>
      <c r="P461" s="829"/>
      <c r="Q461" s="829"/>
      <c r="R461" s="829"/>
      <c r="S461" s="829"/>
      <c r="T461" s="829"/>
      <c r="U461" s="829"/>
      <c r="V461" s="829"/>
      <c r="W461" s="829"/>
      <c r="X461" s="829"/>
      <c r="Y461" s="829"/>
      <c r="Z461" s="829"/>
      <c r="AA461" s="831"/>
    </row>
    <row r="462" spans="1:27" ht="47.25">
      <c r="A462" s="772">
        <v>1</v>
      </c>
      <c r="B462" s="832" t="s">
        <v>781</v>
      </c>
      <c r="C462" s="563" t="s">
        <v>59</v>
      </c>
      <c r="D462" s="564" t="s">
        <v>59</v>
      </c>
      <c r="E462" s="516">
        <f t="shared" si="28"/>
        <v>0.6</v>
      </c>
      <c r="F462" s="516">
        <v>0.6</v>
      </c>
      <c r="G462" s="516">
        <f t="shared" si="33"/>
        <v>0</v>
      </c>
      <c r="H462" s="516"/>
      <c r="I462" s="516"/>
      <c r="J462" s="774"/>
      <c r="K462" s="516"/>
      <c r="L462" s="516"/>
      <c r="M462" s="516"/>
      <c r="N462" s="516"/>
      <c r="O462" s="516"/>
      <c r="P462" s="516"/>
      <c r="Q462" s="516"/>
      <c r="R462" s="516"/>
      <c r="S462" s="516"/>
      <c r="T462" s="516"/>
      <c r="U462" s="516"/>
      <c r="V462" s="516"/>
      <c r="W462" s="516"/>
      <c r="X462" s="516"/>
      <c r="Y462" s="516"/>
      <c r="Z462" s="516"/>
      <c r="AA462" s="602" t="s">
        <v>168</v>
      </c>
    </row>
    <row r="463" spans="1:27">
      <c r="A463" s="851"/>
      <c r="B463" s="852" t="s">
        <v>230</v>
      </c>
      <c r="C463" s="853"/>
      <c r="D463" s="854"/>
      <c r="E463" s="855">
        <f>SUM(E10:E462)</f>
        <v>12454.9647</v>
      </c>
      <c r="F463" s="855">
        <f>SUM(F11:F462)</f>
        <v>7188.2770000000019</v>
      </c>
      <c r="G463" s="856">
        <f t="shared" si="33"/>
        <v>5266.6877000000013</v>
      </c>
      <c r="H463" s="855">
        <f t="shared" ref="H463:Z463" si="34">SUM(H10:H462)</f>
        <v>16.5</v>
      </c>
      <c r="I463" s="855">
        <f t="shared" si="34"/>
        <v>5.5</v>
      </c>
      <c r="J463" s="855">
        <f t="shared" si="34"/>
        <v>3036.0600000000004</v>
      </c>
      <c r="K463" s="855">
        <f t="shared" si="34"/>
        <v>1924.9976999999997</v>
      </c>
      <c r="L463" s="855">
        <f t="shared" si="34"/>
        <v>22</v>
      </c>
      <c r="M463" s="855">
        <f t="shared" si="34"/>
        <v>37.36</v>
      </c>
      <c r="N463" s="855">
        <f t="shared" si="34"/>
        <v>98.77000000000001</v>
      </c>
      <c r="O463" s="855">
        <f t="shared" si="34"/>
        <v>0.2</v>
      </c>
      <c r="P463" s="855">
        <f t="shared" si="34"/>
        <v>1.6</v>
      </c>
      <c r="Q463" s="855">
        <f t="shared" si="34"/>
        <v>1.42</v>
      </c>
      <c r="R463" s="855">
        <f t="shared" si="34"/>
        <v>9.1</v>
      </c>
      <c r="S463" s="855">
        <f t="shared" si="34"/>
        <v>0.14000000000000001</v>
      </c>
      <c r="T463" s="855">
        <f t="shared" si="34"/>
        <v>3.2</v>
      </c>
      <c r="U463" s="855">
        <f t="shared" si="34"/>
        <v>1.55</v>
      </c>
      <c r="V463" s="855">
        <f t="shared" si="34"/>
        <v>2.46</v>
      </c>
      <c r="W463" s="855">
        <f t="shared" si="34"/>
        <v>2.4</v>
      </c>
      <c r="X463" s="855">
        <f t="shared" si="34"/>
        <v>1.7999999999999998</v>
      </c>
      <c r="Y463" s="855">
        <f t="shared" si="34"/>
        <v>16.86</v>
      </c>
      <c r="Z463" s="855">
        <f t="shared" si="34"/>
        <v>90.27000000000001</v>
      </c>
      <c r="AA463" s="857"/>
    </row>
    <row r="465" spans="2:29">
      <c r="E465" s="858"/>
      <c r="G465" s="858"/>
    </row>
    <row r="466" spans="2:29">
      <c r="B466" s="859"/>
    </row>
    <row r="467" spans="2:29">
      <c r="F467" s="858"/>
    </row>
    <row r="468" spans="2:29">
      <c r="F468" s="858"/>
    </row>
    <row r="469" spans="2:29">
      <c r="AC469" s="948"/>
    </row>
    <row r="472" spans="2:29">
      <c r="G472" s="860"/>
    </row>
  </sheetData>
  <autoFilter ref="A7:AA463"/>
  <mergeCells count="99">
    <mergeCell ref="A361:A362"/>
    <mergeCell ref="B361:B362"/>
    <mergeCell ref="A428:A430"/>
    <mergeCell ref="B428:B430"/>
    <mergeCell ref="A442:A443"/>
    <mergeCell ref="B442:B443"/>
    <mergeCell ref="A363:A364"/>
    <mergeCell ref="B363:B364"/>
    <mergeCell ref="A372:A373"/>
    <mergeCell ref="B372:B373"/>
    <mergeCell ref="A377:A378"/>
    <mergeCell ref="B377:B378"/>
    <mergeCell ref="A348:A350"/>
    <mergeCell ref="B348:B350"/>
    <mergeCell ref="A351:A353"/>
    <mergeCell ref="B351:B353"/>
    <mergeCell ref="A354:A357"/>
    <mergeCell ref="B354:B357"/>
    <mergeCell ref="A337:A340"/>
    <mergeCell ref="B337:B340"/>
    <mergeCell ref="A341:A344"/>
    <mergeCell ref="B341:B344"/>
    <mergeCell ref="A345:A347"/>
    <mergeCell ref="B345:B347"/>
    <mergeCell ref="A326:A329"/>
    <mergeCell ref="B326:B329"/>
    <mergeCell ref="A330:A332"/>
    <mergeCell ref="B330:B332"/>
    <mergeCell ref="A333:A336"/>
    <mergeCell ref="B333:B336"/>
    <mergeCell ref="A313:A315"/>
    <mergeCell ref="B313:B315"/>
    <mergeCell ref="A318:A321"/>
    <mergeCell ref="B318:B321"/>
    <mergeCell ref="A322:A325"/>
    <mergeCell ref="B322:B325"/>
    <mergeCell ref="A303:A304"/>
    <mergeCell ref="B303:B304"/>
    <mergeCell ref="A305:A308"/>
    <mergeCell ref="B305:B308"/>
    <mergeCell ref="A309:A312"/>
    <mergeCell ref="B309:B312"/>
    <mergeCell ref="A292:A295"/>
    <mergeCell ref="B292:B295"/>
    <mergeCell ref="A296:A298"/>
    <mergeCell ref="B296:B298"/>
    <mergeCell ref="A299:A302"/>
    <mergeCell ref="B299:B302"/>
    <mergeCell ref="A280:A283"/>
    <mergeCell ref="B280:B283"/>
    <mergeCell ref="A284:A287"/>
    <mergeCell ref="B284:B287"/>
    <mergeCell ref="A288:A291"/>
    <mergeCell ref="B288:B291"/>
    <mergeCell ref="A273:A274"/>
    <mergeCell ref="B273:B274"/>
    <mergeCell ref="A275:A277"/>
    <mergeCell ref="B275:B277"/>
    <mergeCell ref="A278:A279"/>
    <mergeCell ref="B278:B279"/>
    <mergeCell ref="A229:A235"/>
    <mergeCell ref="B229:B235"/>
    <mergeCell ref="A254:A266"/>
    <mergeCell ref="B254:B266"/>
    <mergeCell ref="A269:A272"/>
    <mergeCell ref="B269:B272"/>
    <mergeCell ref="A157:A158"/>
    <mergeCell ref="B157:B158"/>
    <mergeCell ref="A165:A167"/>
    <mergeCell ref="B165:B167"/>
    <mergeCell ref="A171:A172"/>
    <mergeCell ref="B171:B172"/>
    <mergeCell ref="A126:A127"/>
    <mergeCell ref="B126:B127"/>
    <mergeCell ref="A152:A154"/>
    <mergeCell ref="B152:B154"/>
    <mergeCell ref="A155:A156"/>
    <mergeCell ref="B155:B156"/>
    <mergeCell ref="A107:A108"/>
    <mergeCell ref="B107:B108"/>
    <mergeCell ref="A111:A114"/>
    <mergeCell ref="B111:B114"/>
    <mergeCell ref="A105:A106"/>
    <mergeCell ref="B105:B106"/>
    <mergeCell ref="C6:D6"/>
    <mergeCell ref="A80:A81"/>
    <mergeCell ref="B80:B81"/>
    <mergeCell ref="A90:A92"/>
    <mergeCell ref="A1:B1"/>
    <mergeCell ref="A2:AA2"/>
    <mergeCell ref="A4:A5"/>
    <mergeCell ref="B4:B5"/>
    <mergeCell ref="C4:D5"/>
    <mergeCell ref="E4:E5"/>
    <mergeCell ref="F4:F5"/>
    <mergeCell ref="G4:Z4"/>
    <mergeCell ref="AA4:AA5"/>
    <mergeCell ref="H5:Z5"/>
    <mergeCell ref="B90:B92"/>
  </mergeCells>
  <pageMargins left="0.31" right="0.1" top="0.66" bottom="0.16" header="0.43" footer="0.45"/>
  <pageSetup paperSize="8"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4"/>
  <sheetViews>
    <sheetView topLeftCell="C6" zoomScale="90" zoomScaleNormal="90" workbookViewId="0">
      <pane ySplit="1" topLeftCell="A22" activePane="bottomLeft" state="frozen"/>
      <selection activeCell="C6" sqref="C6"/>
      <selection pane="bottomLeft" activeCell="E57" sqref="E57:O57"/>
    </sheetView>
  </sheetViews>
  <sheetFormatPr defaultColWidth="9.140625" defaultRowHeight="15"/>
  <cols>
    <col min="1" max="1" width="7.42578125" style="384" customWidth="1"/>
    <col min="2" max="2" width="51.140625" style="349" customWidth="1"/>
    <col min="3" max="3" width="9.42578125" style="349" customWidth="1"/>
    <col min="4" max="4" width="14.42578125" style="349" customWidth="1"/>
    <col min="5" max="5" width="12.42578125" style="349" customWidth="1"/>
    <col min="6" max="6" width="11.42578125" style="349" customWidth="1"/>
    <col min="7" max="7" width="12.5703125" style="349" customWidth="1"/>
    <col min="8" max="8" width="13.85546875" style="349" customWidth="1"/>
    <col min="9" max="9" width="11.7109375" style="349" customWidth="1"/>
    <col min="10" max="10" width="11.42578125" style="349" customWidth="1"/>
    <col min="11" max="11" width="12.28515625" style="349" customWidth="1"/>
    <col min="12" max="13" width="12" style="349" customWidth="1"/>
    <col min="14" max="14" width="12.5703125" style="349" customWidth="1"/>
    <col min="15" max="15" width="15.140625" style="349" customWidth="1"/>
    <col min="16" max="16" width="12.42578125" style="349" bestFit="1" customWidth="1"/>
    <col min="17" max="16384" width="9.140625" style="349"/>
  </cols>
  <sheetData>
    <row r="1" spans="1:18" ht="15.75">
      <c r="A1" s="1245" t="s">
        <v>200</v>
      </c>
      <c r="B1" s="1245"/>
      <c r="E1" s="376"/>
    </row>
    <row r="2" spans="1:18" ht="24" customHeight="1">
      <c r="A2" s="1246" t="s">
        <v>977</v>
      </c>
      <c r="B2" s="1246"/>
      <c r="C2" s="1246"/>
      <c r="D2" s="1246"/>
      <c r="E2" s="1246"/>
      <c r="F2" s="1246"/>
      <c r="G2" s="1246"/>
      <c r="H2" s="1246"/>
      <c r="I2" s="1246"/>
      <c r="J2" s="1246"/>
      <c r="K2" s="1246"/>
      <c r="L2" s="1246"/>
      <c r="M2" s="1246"/>
      <c r="N2" s="1246"/>
      <c r="O2" s="1246"/>
      <c r="P2" s="377"/>
    </row>
    <row r="3" spans="1:18" ht="15.75">
      <c r="A3" s="1247" t="s">
        <v>0</v>
      </c>
      <c r="B3" s="1247"/>
      <c r="C3" s="1247"/>
      <c r="D3" s="1247"/>
      <c r="E3" s="1247"/>
      <c r="F3" s="1247"/>
      <c r="G3" s="1247"/>
      <c r="H3" s="1247"/>
      <c r="I3" s="1247"/>
      <c r="J3" s="1247"/>
      <c r="K3" s="1247"/>
      <c r="L3" s="1247"/>
      <c r="M3" s="1247"/>
      <c r="N3" s="1247"/>
      <c r="O3" s="1247"/>
      <c r="P3" s="377"/>
    </row>
    <row r="4" spans="1:18" ht="15.75">
      <c r="A4" s="1248" t="s">
        <v>1</v>
      </c>
      <c r="B4" s="1248" t="s">
        <v>2</v>
      </c>
      <c r="C4" s="1248" t="s">
        <v>3</v>
      </c>
      <c r="D4" s="1248" t="s">
        <v>4</v>
      </c>
      <c r="E4" s="1248" t="s">
        <v>5</v>
      </c>
      <c r="F4" s="1248"/>
      <c r="G4" s="1248"/>
      <c r="H4" s="1248"/>
      <c r="I4" s="1248"/>
      <c r="J4" s="1248"/>
      <c r="K4" s="1248"/>
      <c r="L4" s="1248"/>
      <c r="M4" s="1248"/>
      <c r="N4" s="1248"/>
      <c r="O4" s="1248"/>
      <c r="P4" s="377"/>
    </row>
    <row r="5" spans="1:18" ht="15.75">
      <c r="A5" s="1249"/>
      <c r="B5" s="1249"/>
      <c r="C5" s="1249"/>
      <c r="D5" s="1249"/>
      <c r="E5" s="1250"/>
      <c r="F5" s="1250"/>
      <c r="G5" s="1250"/>
      <c r="H5" s="1250"/>
      <c r="I5" s="1250"/>
      <c r="J5" s="1250"/>
      <c r="K5" s="1250"/>
      <c r="L5" s="1250"/>
      <c r="M5" s="1250"/>
      <c r="N5" s="1250"/>
      <c r="O5" s="1250"/>
      <c r="P5" s="377"/>
    </row>
    <row r="6" spans="1:18" ht="31.5">
      <c r="A6" s="1249"/>
      <c r="B6" s="1249"/>
      <c r="C6" s="1249"/>
      <c r="D6" s="1249"/>
      <c r="E6" s="378" t="s">
        <v>111</v>
      </c>
      <c r="F6" s="379" t="s">
        <v>121</v>
      </c>
      <c r="G6" s="379" t="s">
        <v>120</v>
      </c>
      <c r="H6" s="379" t="s">
        <v>119</v>
      </c>
      <c r="I6" s="379" t="s">
        <v>114</v>
      </c>
      <c r="J6" s="379" t="s">
        <v>113</v>
      </c>
      <c r="K6" s="379" t="s">
        <v>117</v>
      </c>
      <c r="L6" s="379" t="s">
        <v>112</v>
      </c>
      <c r="M6" s="379" t="s">
        <v>115</v>
      </c>
      <c r="N6" s="379" t="s">
        <v>116</v>
      </c>
      <c r="O6" s="379" t="s">
        <v>118</v>
      </c>
      <c r="P6" s="380"/>
      <c r="Q6" s="348"/>
    </row>
    <row r="7" spans="1:18" s="384" customFormat="1" ht="15.75">
      <c r="A7" s="381">
        <v>-1</v>
      </c>
      <c r="B7" s="381">
        <v>-2</v>
      </c>
      <c r="C7" s="381">
        <v>-3</v>
      </c>
      <c r="D7" s="381" t="s">
        <v>199</v>
      </c>
      <c r="E7" s="381">
        <v>-5</v>
      </c>
      <c r="F7" s="381">
        <v>-8</v>
      </c>
      <c r="G7" s="381">
        <v>-9</v>
      </c>
      <c r="H7" s="381">
        <v>-6</v>
      </c>
      <c r="I7" s="381">
        <v>-12</v>
      </c>
      <c r="J7" s="381">
        <v>-11</v>
      </c>
      <c r="K7" s="381">
        <v>-7</v>
      </c>
      <c r="L7" s="381">
        <v>-10</v>
      </c>
      <c r="M7" s="381">
        <v>-15</v>
      </c>
      <c r="N7" s="381">
        <v>-14</v>
      </c>
      <c r="O7" s="381">
        <v>-13</v>
      </c>
      <c r="P7" s="382"/>
      <c r="Q7" s="383"/>
    </row>
    <row r="8" spans="1:18" s="390" customFormat="1" ht="15.75">
      <c r="A8" s="385"/>
      <c r="B8" s="386"/>
      <c r="C8" s="387"/>
      <c r="D8" s="346">
        <f>SUM(E8:O8)</f>
        <v>143172.85999999999</v>
      </c>
      <c r="E8" s="346">
        <v>1393.1299999999997</v>
      </c>
      <c r="F8" s="346">
        <v>6258.6</v>
      </c>
      <c r="G8" s="346">
        <v>58391.789999999994</v>
      </c>
      <c r="H8" s="346">
        <v>29828.789999999997</v>
      </c>
      <c r="I8" s="346">
        <v>4035.36</v>
      </c>
      <c r="J8" s="346">
        <v>3737.9900000000002</v>
      </c>
      <c r="K8" s="346">
        <v>5846.21</v>
      </c>
      <c r="L8" s="346">
        <v>6549.5700000000006</v>
      </c>
      <c r="M8" s="346">
        <v>3842.34</v>
      </c>
      <c r="N8" s="346">
        <v>18520.400000000001</v>
      </c>
      <c r="O8" s="346">
        <v>4768.6799999999985</v>
      </c>
      <c r="P8" s="388"/>
      <c r="Q8" s="389"/>
    </row>
    <row r="9" spans="1:18" s="390" customFormat="1" ht="15.75">
      <c r="A9" s="385"/>
      <c r="B9" s="386"/>
      <c r="C9" s="386"/>
      <c r="D9" s="346">
        <f>SUM(E9:O9)</f>
        <v>143172.85999999999</v>
      </c>
      <c r="E9" s="346">
        <f t="shared" ref="E9:O9" si="0">E10+E22+E60</f>
        <v>1393.13</v>
      </c>
      <c r="F9" s="346">
        <f t="shared" si="0"/>
        <v>6258.6</v>
      </c>
      <c r="G9" s="346">
        <f t="shared" si="0"/>
        <v>58391.789999999986</v>
      </c>
      <c r="H9" s="346">
        <f t="shared" si="0"/>
        <v>29828.789999999997</v>
      </c>
      <c r="I9" s="346">
        <f t="shared" si="0"/>
        <v>4035.36</v>
      </c>
      <c r="J9" s="346">
        <f t="shared" si="0"/>
        <v>3737.9900000000002</v>
      </c>
      <c r="K9" s="346">
        <f t="shared" si="0"/>
        <v>5846.2100000000009</v>
      </c>
      <c r="L9" s="346">
        <f t="shared" si="0"/>
        <v>6549.5700000000006</v>
      </c>
      <c r="M9" s="346">
        <f t="shared" si="0"/>
        <v>3842.34</v>
      </c>
      <c r="N9" s="346">
        <f t="shared" si="0"/>
        <v>18520.400000000001</v>
      </c>
      <c r="O9" s="346">
        <f t="shared" si="0"/>
        <v>4768.6799999999985</v>
      </c>
      <c r="P9" s="388"/>
      <c r="Q9" s="389"/>
    </row>
    <row r="10" spans="1:18" ht="15.75">
      <c r="A10" s="391">
        <v>1</v>
      </c>
      <c r="B10" s="392" t="s">
        <v>6</v>
      </c>
      <c r="C10" s="393" t="s">
        <v>7</v>
      </c>
      <c r="D10" s="346">
        <f>SUM(E10:O10)</f>
        <v>134734.37</v>
      </c>
      <c r="E10" s="346">
        <f>E11+SUM(E13:E17)+SUM(E19:E21)</f>
        <v>1072.22</v>
      </c>
      <c r="F10" s="346">
        <f t="shared" ref="F10:O10" si="1">F11+SUM(F13:F17)+SUM(F19:F21)</f>
        <v>4804.51</v>
      </c>
      <c r="G10" s="346">
        <f t="shared" si="1"/>
        <v>57583.179999999993</v>
      </c>
      <c r="H10" s="346">
        <f t="shared" si="1"/>
        <v>29330.899999999998</v>
      </c>
      <c r="I10" s="346">
        <f t="shared" si="1"/>
        <v>3255.9300000000003</v>
      </c>
      <c r="J10" s="346">
        <f t="shared" si="1"/>
        <v>2989.9900000000002</v>
      </c>
      <c r="K10" s="346">
        <f t="shared" si="1"/>
        <v>5574.3300000000008</v>
      </c>
      <c r="L10" s="346">
        <f t="shared" si="1"/>
        <v>6238.4900000000007</v>
      </c>
      <c r="M10" s="346">
        <f t="shared" si="1"/>
        <v>2521.81</v>
      </c>
      <c r="N10" s="346">
        <f t="shared" si="1"/>
        <v>17133.150000000001</v>
      </c>
      <c r="O10" s="346">
        <f t="shared" si="1"/>
        <v>4229.8599999999988</v>
      </c>
      <c r="P10" s="71"/>
      <c r="Q10" s="348"/>
    </row>
    <row r="11" spans="1:18" ht="15.75">
      <c r="A11" s="394" t="s">
        <v>139</v>
      </c>
      <c r="B11" s="347" t="s">
        <v>8</v>
      </c>
      <c r="C11" s="70" t="s">
        <v>9</v>
      </c>
      <c r="D11" s="395">
        <f t="shared" ref="D11:D60" si="2">SUM(E11:O11)</f>
        <v>1206.1199999999999</v>
      </c>
      <c r="E11" s="395">
        <f>'B1 (2)'!E11+'CÔng TăngHT'!E9-'Cộng giảm HT'!E9</f>
        <v>96.75</v>
      </c>
      <c r="F11" s="395">
        <f>'B1 (2)'!F11+'CÔng TăngHT'!F9-'Cộng giảm HT'!F9</f>
        <v>89.95</v>
      </c>
      <c r="G11" s="395">
        <f>'B1 (2)'!G11+'CÔng TăngHT'!G9-'Cộng giảm HT'!G9</f>
        <v>87.13</v>
      </c>
      <c r="H11" s="395">
        <f>'B1 (2)'!H11+'CÔng TăngHT'!H9-'Cộng giảm HT'!H9</f>
        <v>209.85</v>
      </c>
      <c r="I11" s="395">
        <f>'B1 (2)'!I11+'CÔng TăngHT'!I9-'Cộng giảm HT'!I9</f>
        <v>59.34</v>
      </c>
      <c r="J11" s="395">
        <f>'B1 (2)'!J11+'CÔng TăngHT'!J9-'Cộng giảm HT'!J9</f>
        <v>82.13</v>
      </c>
      <c r="K11" s="395">
        <f>'B1 (2)'!K11+'CÔng TăngHT'!K9-'Cộng giảm HT'!K9</f>
        <v>139.66999999999999</v>
      </c>
      <c r="L11" s="395">
        <f>'B1 (2)'!L11+'CÔng TăngHT'!L9-'Cộng giảm HT'!L9</f>
        <v>149.88999999999999</v>
      </c>
      <c r="M11" s="395">
        <f>'B1 (2)'!M11+'CÔng TăngHT'!M9-'Cộng giảm HT'!M9</f>
        <v>94.44</v>
      </c>
      <c r="N11" s="395">
        <f>'B1 (2)'!N11+'CÔng TăngHT'!N9-'Cộng giảm HT'!N9</f>
        <v>47.8</v>
      </c>
      <c r="O11" s="395">
        <f>'B1 (2)'!O11+'CÔng TăngHT'!O9-'Cộng giảm HT'!O9</f>
        <v>149.16999999999999</v>
      </c>
      <c r="P11" s="71"/>
      <c r="Q11" s="396"/>
      <c r="R11" s="376"/>
    </row>
    <row r="12" spans="1:18" ht="15.75">
      <c r="A12" s="394"/>
      <c r="B12" s="397" t="s">
        <v>10</v>
      </c>
      <c r="C12" s="398" t="s">
        <v>11</v>
      </c>
      <c r="D12" s="395">
        <f t="shared" si="2"/>
        <v>737.82999999999993</v>
      </c>
      <c r="E12" s="395">
        <f>'B1 (2)'!E12+'CÔng TăngHT'!E10-'Cộng giảm HT'!E10</f>
        <v>88.31</v>
      </c>
      <c r="F12" s="395">
        <f>'B1 (2)'!F12+'CÔng TăngHT'!F10-'Cộng giảm HT'!F10</f>
        <v>39.06</v>
      </c>
      <c r="G12" s="395">
        <f>'B1 (2)'!G12+'CÔng TăngHT'!G10-'Cộng giảm HT'!G10</f>
        <v>37.83</v>
      </c>
      <c r="H12" s="395">
        <f>'B1 (2)'!H12+'CÔng TăngHT'!H10-'Cộng giảm HT'!H10</f>
        <v>69.62</v>
      </c>
      <c r="I12" s="395">
        <f>'B1 (2)'!I12+'CÔng TăngHT'!I10-'Cộng giảm HT'!I10</f>
        <v>34.01</v>
      </c>
      <c r="J12" s="395">
        <f>'B1 (2)'!J12+'CÔng TăngHT'!J10-'Cộng giảm HT'!J10</f>
        <v>45.38</v>
      </c>
      <c r="K12" s="395">
        <f>'B1 (2)'!K12+'CÔng TăngHT'!K10-'Cộng giảm HT'!K10</f>
        <v>139.36000000000001</v>
      </c>
      <c r="L12" s="395">
        <f>'B1 (2)'!L12+'CÔng TăngHT'!L10-'Cộng giảm HT'!L10</f>
        <v>82.81</v>
      </c>
      <c r="M12" s="395">
        <f>'B1 (2)'!M12+'CÔng TăngHT'!M10-'Cộng giảm HT'!M10</f>
        <v>19.97</v>
      </c>
      <c r="N12" s="395">
        <f>'B1 (2)'!N12+'CÔng TăngHT'!N10-'Cộng giảm HT'!N10</f>
        <v>37.67</v>
      </c>
      <c r="O12" s="395">
        <f>'B1 (2)'!O12+'CÔng TăngHT'!O10-'Cộng giảm HT'!O10</f>
        <v>143.81</v>
      </c>
      <c r="P12" s="71"/>
      <c r="Q12" s="348"/>
    </row>
    <row r="13" spans="1:18" ht="15.75">
      <c r="A13" s="394" t="s">
        <v>140</v>
      </c>
      <c r="B13" s="347" t="s">
        <v>12</v>
      </c>
      <c r="C13" s="70" t="s">
        <v>13</v>
      </c>
      <c r="D13" s="395">
        <f t="shared" si="2"/>
        <v>15432.95</v>
      </c>
      <c r="E13" s="395">
        <f>'B1 (2)'!E13+'CÔng TăngHT'!E11-'Cộng giảm HT'!E11</f>
        <v>74.140000000000015</v>
      </c>
      <c r="F13" s="395">
        <f>'B1 (2)'!F13+'CÔng TăngHT'!F11-'Cộng giảm HT'!F11</f>
        <v>674.42</v>
      </c>
      <c r="G13" s="395">
        <f>'B1 (2)'!G13+'CÔng TăngHT'!G11-'Cộng giảm HT'!G11</f>
        <v>1539.67</v>
      </c>
      <c r="H13" s="395">
        <f>'B1 (2)'!H13+'CÔng TăngHT'!H11-'Cộng giảm HT'!H11</f>
        <v>1487.3000000000002</v>
      </c>
      <c r="I13" s="395">
        <f>'B1 (2)'!I13+'CÔng TăngHT'!I11-'Cộng giảm HT'!I11</f>
        <v>1780.71</v>
      </c>
      <c r="J13" s="395">
        <f>'B1 (2)'!J13+'CÔng TăngHT'!J11-'Cộng giảm HT'!J11</f>
        <v>751.71</v>
      </c>
      <c r="K13" s="395">
        <f>'B1 (2)'!K13+'CÔng TăngHT'!K11-'Cộng giảm HT'!K11</f>
        <v>596.51</v>
      </c>
      <c r="L13" s="395">
        <f>'B1 (2)'!L13+'CÔng TăngHT'!L11-'Cộng giảm HT'!L11</f>
        <v>918.3</v>
      </c>
      <c r="M13" s="395">
        <f>'B1 (2)'!M13+'CÔng TăngHT'!M11-'Cộng giảm HT'!M11</f>
        <v>1210.8700000000001</v>
      </c>
      <c r="N13" s="395">
        <f>'B1 (2)'!N13+'CÔng TăngHT'!N11-'Cộng giảm HT'!N11</f>
        <v>4218.5</v>
      </c>
      <c r="O13" s="395">
        <f>'B1 (2)'!O13+'CÔng TăngHT'!O11-'Cộng giảm HT'!O11</f>
        <v>2180.8199999999997</v>
      </c>
      <c r="P13" s="71"/>
      <c r="Q13" s="348"/>
    </row>
    <row r="14" spans="1:18" ht="15.75">
      <c r="A14" s="394" t="s">
        <v>141</v>
      </c>
      <c r="B14" s="347" t="s">
        <v>14</v>
      </c>
      <c r="C14" s="70" t="s">
        <v>15</v>
      </c>
      <c r="D14" s="395">
        <f t="shared" si="2"/>
        <v>27265.360000000001</v>
      </c>
      <c r="E14" s="395">
        <f>'B1 (2)'!E14+'CÔng TăngHT'!E12-'Cộng giảm HT'!E12</f>
        <v>799.11</v>
      </c>
      <c r="F14" s="395">
        <f>'B1 (2)'!F14+'CÔng TăngHT'!F12-'Cộng giảm HT'!F12</f>
        <v>3192.55</v>
      </c>
      <c r="G14" s="395">
        <f>'B1 (2)'!G14+'CÔng TăngHT'!G12-'Cộng giảm HT'!G12</f>
        <v>8072.24</v>
      </c>
      <c r="H14" s="395">
        <f>'B1 (2)'!H14+'CÔng TăngHT'!H12-'Cộng giảm HT'!H12</f>
        <v>3374.57</v>
      </c>
      <c r="I14" s="395">
        <f>'B1 (2)'!I14+'CÔng TăngHT'!I12-'Cộng giảm HT'!I12</f>
        <v>1341.91</v>
      </c>
      <c r="J14" s="395">
        <f>'B1 (2)'!J14+'CÔng TăngHT'!J12-'Cộng giảm HT'!J12</f>
        <v>1819.3600000000001</v>
      </c>
      <c r="K14" s="395">
        <f>'B1 (2)'!K14+'CÔng TăngHT'!K12-'Cộng giảm HT'!K12</f>
        <v>2267.37</v>
      </c>
      <c r="L14" s="395">
        <f>'B1 (2)'!L14+'CÔng TăngHT'!L12-'Cộng giảm HT'!L12</f>
        <v>2389.39</v>
      </c>
      <c r="M14" s="395">
        <f>'B1 (2)'!M14+'CÔng TăngHT'!M12-'Cộng giảm HT'!M12</f>
        <v>1168.75</v>
      </c>
      <c r="N14" s="395">
        <f>'B1 (2)'!N14+'CÔng TăngHT'!N12-'Cộng giảm HT'!N12</f>
        <v>1047.99</v>
      </c>
      <c r="O14" s="395">
        <f>'B1 (2)'!O14+'CÔng TăngHT'!O12-'Cộng giảm HT'!O12</f>
        <v>1792.1200000000001</v>
      </c>
      <c r="P14" s="71"/>
      <c r="Q14" s="348"/>
    </row>
    <row r="15" spans="1:18" ht="15.75">
      <c r="A15" s="394" t="s">
        <v>142</v>
      </c>
      <c r="B15" s="347" t="s">
        <v>16</v>
      </c>
      <c r="C15" s="70" t="s">
        <v>17</v>
      </c>
      <c r="D15" s="395">
        <f t="shared" si="2"/>
        <v>13311.81</v>
      </c>
      <c r="E15" s="395">
        <f>'B1 (2)'!E15+'CÔng TăngHT'!E13-'Cộng giảm HT'!E13</f>
        <v>0</v>
      </c>
      <c r="F15" s="395">
        <f>'B1 (2)'!F15+'CÔng TăngHT'!F13-'Cộng giảm HT'!F13</f>
        <v>0</v>
      </c>
      <c r="G15" s="395">
        <f>'B1 (2)'!G15+'CÔng TăngHT'!G13-'Cộng giảm HT'!G13</f>
        <v>3830.66</v>
      </c>
      <c r="H15" s="395">
        <f>'B1 (2)'!H15+'CÔng TăngHT'!H13-'Cộng giảm HT'!H13</f>
        <v>0</v>
      </c>
      <c r="I15" s="395">
        <f>'B1 (2)'!I15+'CÔng TăngHT'!I13-'Cộng giảm HT'!I13</f>
        <v>0</v>
      </c>
      <c r="J15" s="395">
        <f>'B1 (2)'!J15+'CÔng TăngHT'!J13-'Cộng giảm HT'!J13</f>
        <v>0</v>
      </c>
      <c r="K15" s="395">
        <f>'B1 (2)'!K15+'CÔng TăngHT'!K13-'Cộng giảm HT'!K13</f>
        <v>0</v>
      </c>
      <c r="L15" s="395">
        <f>'B1 (2)'!L15+'CÔng TăngHT'!L13-'Cộng giảm HT'!L13</f>
        <v>0</v>
      </c>
      <c r="M15" s="395">
        <f>'B1 (2)'!M15+'CÔng TăngHT'!M13-'Cộng giảm HT'!M13</f>
        <v>0</v>
      </c>
      <c r="N15" s="395">
        <f>'B1 (2)'!N15+'CÔng TăngHT'!N13-'Cộng giảm HT'!N13</f>
        <v>9407.25</v>
      </c>
      <c r="O15" s="395">
        <f>'B1 (2)'!O15+'CÔng TăngHT'!O13-'Cộng giảm HT'!O13</f>
        <v>73.900000000000006</v>
      </c>
      <c r="P15" s="71"/>
      <c r="Q15" s="348"/>
    </row>
    <row r="16" spans="1:18" ht="15.75">
      <c r="A16" s="394" t="s">
        <v>143</v>
      </c>
      <c r="B16" s="347" t="s">
        <v>18</v>
      </c>
      <c r="C16" s="70" t="s">
        <v>19</v>
      </c>
      <c r="D16" s="395">
        <f t="shared" si="2"/>
        <v>43026.239999999998</v>
      </c>
      <c r="E16" s="395">
        <f>'B1 (2)'!E16+'CÔng TăngHT'!E14-'Cộng giảm HT'!E14</f>
        <v>73.260000000000005</v>
      </c>
      <c r="F16" s="395">
        <f>'B1 (2)'!F16+'CÔng TăngHT'!F14-'Cộng giảm HT'!F14</f>
        <v>0</v>
      </c>
      <c r="G16" s="395">
        <f>'B1 (2)'!G16+'CÔng TăngHT'!G14-'Cộng giảm HT'!G14</f>
        <v>17584</v>
      </c>
      <c r="H16" s="395">
        <f>'B1 (2)'!H16+'CÔng TăngHT'!H14-'Cộng giảm HT'!H14</f>
        <v>21352.13</v>
      </c>
      <c r="I16" s="395">
        <f>'B1 (2)'!I16+'CÔng TăngHT'!I14-'Cộng giảm HT'!I14</f>
        <v>0</v>
      </c>
      <c r="J16" s="395">
        <f>'B1 (2)'!J16+'CÔng TăngHT'!J14-'Cộng giảm HT'!J14</f>
        <v>0</v>
      </c>
      <c r="K16" s="395">
        <f>'B1 (2)'!K16+'CÔng TăngHT'!K14-'Cộng giảm HT'!K14</f>
        <v>1538.22</v>
      </c>
      <c r="L16" s="395">
        <f>'B1 (2)'!L16+'CÔng TăngHT'!L14-'Cộng giảm HT'!L14</f>
        <v>2478.63</v>
      </c>
      <c r="M16" s="395">
        <f>'B1 (2)'!M16+'CÔng TăngHT'!M14-'Cộng giảm HT'!M14</f>
        <v>0</v>
      </c>
      <c r="N16" s="395">
        <f>'B1 (2)'!N16+'CÔng TăngHT'!N14-'Cộng giảm HT'!N14</f>
        <v>0</v>
      </c>
      <c r="O16" s="395">
        <f>'B1 (2)'!O16+'CÔng TăngHT'!O14-'Cộng giảm HT'!O14</f>
        <v>0</v>
      </c>
      <c r="P16" s="71"/>
      <c r="Q16" s="348"/>
    </row>
    <row r="17" spans="1:17" ht="15.75">
      <c r="A17" s="394" t="s">
        <v>144</v>
      </c>
      <c r="B17" s="347" t="s">
        <v>20</v>
      </c>
      <c r="C17" s="70" t="s">
        <v>21</v>
      </c>
      <c r="D17" s="395">
        <f t="shared" si="2"/>
        <v>34255.949999999997</v>
      </c>
      <c r="E17" s="395">
        <f>'B1 (2)'!E17+'CÔng TăngHT'!E15-'Cộng giảm HT'!E15</f>
        <v>16.52</v>
      </c>
      <c r="F17" s="395">
        <f>'B1 (2)'!F17+'CÔng TăngHT'!F15-'Cộng giảm HT'!F15</f>
        <v>842.72</v>
      </c>
      <c r="G17" s="395">
        <f>'B1 (2)'!G17+'CÔng TăngHT'!G15-'Cộng giảm HT'!G15</f>
        <v>26369.21</v>
      </c>
      <c r="H17" s="395">
        <f>'B1 (2)'!H17+'CÔng TăngHT'!H15-'Cộng giảm HT'!H15</f>
        <v>2863.6</v>
      </c>
      <c r="I17" s="395">
        <f>'B1 (2)'!I17+'CÔng TăngHT'!I15-'Cộng giảm HT'!I15</f>
        <v>69.67</v>
      </c>
      <c r="J17" s="395">
        <f>'B1 (2)'!J17+'CÔng TăngHT'!J15-'Cộng giảm HT'!J15</f>
        <v>316.3</v>
      </c>
      <c r="K17" s="395">
        <f>'B1 (2)'!K17+'CÔng TăngHT'!K15-'Cộng giảm HT'!K15</f>
        <v>1015.59</v>
      </c>
      <c r="L17" s="395">
        <f>'B1 (2)'!L17+'CÔng TăngHT'!L15-'Cộng giảm HT'!L15</f>
        <v>279.31</v>
      </c>
      <c r="M17" s="395">
        <f>'B1 (2)'!M17+'CÔng TăngHT'!M15-'Cộng giảm HT'!M15</f>
        <v>41.21</v>
      </c>
      <c r="N17" s="395">
        <f>'B1 (2)'!N17+'CÔng TăngHT'!N15-'Cộng giảm HT'!N15</f>
        <v>2410.87</v>
      </c>
      <c r="O17" s="395">
        <f>'B1 (2)'!O17+'CÔng TăngHT'!O15-'Cộng giảm HT'!O15</f>
        <v>30.95</v>
      </c>
      <c r="P17" s="71"/>
      <c r="Q17" s="399"/>
    </row>
    <row r="18" spans="1:17" s="403" customFormat="1" ht="15.75">
      <c r="A18" s="350"/>
      <c r="B18" s="397" t="s">
        <v>243</v>
      </c>
      <c r="C18" s="350" t="s">
        <v>247</v>
      </c>
      <c r="D18" s="395">
        <f t="shared" si="2"/>
        <v>29661.960000000003</v>
      </c>
      <c r="E18" s="395">
        <f>'B1 (2)'!E18+'CÔng TăngHT'!E16-'Cộng giảm HT'!E16</f>
        <v>9.58</v>
      </c>
      <c r="F18" s="395">
        <f>'B1 (2)'!F18+'CÔng TăngHT'!F16-'Cộng giảm HT'!F16</f>
        <v>622.98</v>
      </c>
      <c r="G18" s="395">
        <f>'B1 (2)'!G18+'CÔng TăngHT'!G16-'Cộng giảm HT'!G16</f>
        <v>24452.27</v>
      </c>
      <c r="H18" s="395">
        <f>'B1 (2)'!H18+'CÔng TăngHT'!H16-'Cộng giảm HT'!H16</f>
        <v>1344.23</v>
      </c>
      <c r="I18" s="395">
        <f>'B1 (2)'!I18+'CÔng TăngHT'!I16-'Cộng giảm HT'!I16</f>
        <v>58.8</v>
      </c>
      <c r="J18" s="395">
        <f>'B1 (2)'!J18+'CÔng TăngHT'!J16-'Cộng giảm HT'!J16</f>
        <v>314.8</v>
      </c>
      <c r="K18" s="395">
        <f>'B1 (2)'!K18+'CÔng TăngHT'!K16-'Cộng giảm HT'!K16</f>
        <v>740.52</v>
      </c>
      <c r="L18" s="395">
        <f>'B1 (2)'!L18+'CÔng TăngHT'!L16-'Cộng giảm HT'!L16</f>
        <v>279.31</v>
      </c>
      <c r="M18" s="395">
        <f>'B1 (2)'!M18+'CÔng TăngHT'!M16-'Cộng giảm HT'!M16</f>
        <v>41.21</v>
      </c>
      <c r="N18" s="395">
        <f>'B1 (2)'!N18+'CÔng TăngHT'!N16-'Cộng giảm HT'!N16</f>
        <v>1790.9</v>
      </c>
      <c r="O18" s="395">
        <f>'B1 (2)'!O18+'CÔng TăngHT'!O16-'Cộng giảm HT'!O16</f>
        <v>7.36</v>
      </c>
      <c r="P18" s="401"/>
      <c r="Q18" s="402"/>
    </row>
    <row r="19" spans="1:17" ht="15.75">
      <c r="A19" s="394" t="s">
        <v>145</v>
      </c>
      <c r="B19" s="347" t="s">
        <v>22</v>
      </c>
      <c r="C19" s="70" t="s">
        <v>23</v>
      </c>
      <c r="D19" s="395">
        <f t="shared" si="2"/>
        <v>122.69</v>
      </c>
      <c r="E19" s="395">
        <f>'B1 (2)'!E19+'CÔng TăngHT'!E17-'Cộng giảm HT'!E17</f>
        <v>8.7100000000000009</v>
      </c>
      <c r="F19" s="395">
        <f>'B1 (2)'!F19+'CÔng TăngHT'!F17-'Cộng giảm HT'!F17</f>
        <v>3.67</v>
      </c>
      <c r="G19" s="395">
        <f>'B1 (2)'!G19+'CÔng TăngHT'!G17-'Cộng giảm HT'!G17</f>
        <v>13.47</v>
      </c>
      <c r="H19" s="395">
        <f>'B1 (2)'!H19+'CÔng TăngHT'!H17-'Cộng giảm HT'!H17</f>
        <v>25.23</v>
      </c>
      <c r="I19" s="395">
        <f>'B1 (2)'!I19+'CÔng TăngHT'!I17-'Cộng giảm HT'!I17</f>
        <v>4.3</v>
      </c>
      <c r="J19" s="395">
        <f>'B1 (2)'!J19+'CÔng TăngHT'!J17-'Cộng giảm HT'!J17</f>
        <v>17.190000000000001</v>
      </c>
      <c r="K19" s="395">
        <f>'B1 (2)'!K19+'CÔng TăngHT'!K17-'Cộng giảm HT'!K17</f>
        <v>16.97</v>
      </c>
      <c r="L19" s="395">
        <f>'B1 (2)'!L19+'CÔng TăngHT'!L17-'Cộng giảm HT'!L17</f>
        <v>22.97</v>
      </c>
      <c r="M19" s="395">
        <f>'B1 (2)'!M19+'CÔng TăngHT'!M17-'Cộng giảm HT'!M17</f>
        <v>6.54</v>
      </c>
      <c r="N19" s="395">
        <f>'B1 (2)'!N19+'CÔng TăngHT'!N17-'Cộng giảm HT'!N17</f>
        <v>0.74</v>
      </c>
      <c r="O19" s="395">
        <f>'B1 (2)'!O19+'CÔng TăngHT'!O17-'Cộng giảm HT'!O17</f>
        <v>2.9</v>
      </c>
      <c r="P19" s="71"/>
      <c r="Q19" s="348"/>
    </row>
    <row r="20" spans="1:17" ht="15.75">
      <c r="A20" s="394" t="s">
        <v>146</v>
      </c>
      <c r="B20" s="347" t="s">
        <v>24</v>
      </c>
      <c r="C20" s="70" t="s">
        <v>25</v>
      </c>
      <c r="D20" s="395">
        <f t="shared" si="2"/>
        <v>0</v>
      </c>
      <c r="E20" s="395">
        <f>'B1 (2)'!E20+'CÔng TăngHT'!E18-'Cộng giảm HT'!E18</f>
        <v>0</v>
      </c>
      <c r="F20" s="395">
        <f>'B1 (2)'!F20+'CÔng TăngHT'!F18-'Cộng giảm HT'!F18</f>
        <v>0</v>
      </c>
      <c r="G20" s="395">
        <f>'B1 (2)'!G20+'CÔng TăngHT'!G18-'Cộng giảm HT'!G18</f>
        <v>0</v>
      </c>
      <c r="H20" s="395">
        <f>'B1 (2)'!H20+'CÔng TăngHT'!H18-'Cộng giảm HT'!H18</f>
        <v>0</v>
      </c>
      <c r="I20" s="395">
        <f>'B1 (2)'!I20+'CÔng TăngHT'!I18-'Cộng giảm HT'!I18</f>
        <v>0</v>
      </c>
      <c r="J20" s="395">
        <f>'B1 (2)'!J20+'CÔng TăngHT'!J18-'Cộng giảm HT'!J18</f>
        <v>0</v>
      </c>
      <c r="K20" s="395">
        <f>'B1 (2)'!K20+'CÔng TăngHT'!K18-'Cộng giảm HT'!K18</f>
        <v>0</v>
      </c>
      <c r="L20" s="395">
        <f>'B1 (2)'!L20+'CÔng TăngHT'!L18-'Cộng giảm HT'!L18</f>
        <v>0</v>
      </c>
      <c r="M20" s="395">
        <f>'B1 (2)'!M20+'CÔng TăngHT'!M18-'Cộng giảm HT'!M18</f>
        <v>0</v>
      </c>
      <c r="N20" s="395">
        <f>'B1 (2)'!N20+'CÔng TăngHT'!N18-'Cộng giảm HT'!N18</f>
        <v>0</v>
      </c>
      <c r="O20" s="395">
        <f>'B1 (2)'!O20+'CÔng TăngHT'!O18-'Cộng giảm HT'!O18</f>
        <v>0</v>
      </c>
      <c r="P20" s="71"/>
      <c r="Q20" s="348"/>
    </row>
    <row r="21" spans="1:17" ht="15.75">
      <c r="A21" s="394" t="s">
        <v>147</v>
      </c>
      <c r="B21" s="347" t="s">
        <v>26</v>
      </c>
      <c r="C21" s="70" t="s">
        <v>27</v>
      </c>
      <c r="D21" s="395">
        <f t="shared" si="2"/>
        <v>113.24999999999999</v>
      </c>
      <c r="E21" s="395">
        <f>'B1 (2)'!E21+'CÔng TăngHT'!E19-'Cộng giảm HT'!E19</f>
        <v>3.73</v>
      </c>
      <c r="F21" s="395">
        <f>'B1 (2)'!F21+'CÔng TăngHT'!F19-'Cộng giảm HT'!F19</f>
        <v>1.2</v>
      </c>
      <c r="G21" s="395">
        <f>'B1 (2)'!G21+'CÔng TăngHT'!G19-'Cộng giảm HT'!G19</f>
        <v>86.8</v>
      </c>
      <c r="H21" s="395">
        <f>'B1 (2)'!H21+'CÔng TăngHT'!H19-'Cộng giảm HT'!H19</f>
        <v>18.22</v>
      </c>
      <c r="I21" s="395">
        <f>'B1 (2)'!I21+'CÔng TăngHT'!I19-'Cộng giảm HT'!I19</f>
        <v>0</v>
      </c>
      <c r="J21" s="395">
        <f>'B1 (2)'!J21+'CÔng TăngHT'!J19-'Cộng giảm HT'!J19</f>
        <v>3.3</v>
      </c>
      <c r="K21" s="395">
        <f>'B1 (2)'!K21+'CÔng TăngHT'!K19-'Cộng giảm HT'!K19</f>
        <v>0</v>
      </c>
      <c r="L21" s="395">
        <f>'B1 (2)'!L21+'CÔng TăngHT'!L19-'Cộng giảm HT'!L19</f>
        <v>0</v>
      </c>
      <c r="M21" s="395">
        <f>'B1 (2)'!M21+'CÔng TăngHT'!M19-'Cộng giảm HT'!M19</f>
        <v>0</v>
      </c>
      <c r="N21" s="395">
        <f>'B1 (2)'!N21+'CÔng TăngHT'!N19-'Cộng giảm HT'!N19</f>
        <v>0</v>
      </c>
      <c r="O21" s="395">
        <f>'B1 (2)'!O21+'CÔng TăngHT'!O19-'Cộng giảm HT'!O19</f>
        <v>0</v>
      </c>
      <c r="P21" s="71"/>
      <c r="Q21" s="348"/>
    </row>
    <row r="22" spans="1:17" ht="15.75">
      <c r="A22" s="391">
        <v>2</v>
      </c>
      <c r="B22" s="392" t="s">
        <v>28</v>
      </c>
      <c r="C22" s="393" t="s">
        <v>29</v>
      </c>
      <c r="D22" s="346">
        <f t="shared" si="2"/>
        <v>8267.58</v>
      </c>
      <c r="E22" s="346">
        <f>SUM(E23:E31)+SUM(E48:E59)</f>
        <v>320.91000000000003</v>
      </c>
      <c r="F22" s="346">
        <f t="shared" ref="F22:O22" si="3">SUM(F23:F31)+SUM(F48:F59)</f>
        <v>1454.0900000000001</v>
      </c>
      <c r="G22" s="346">
        <f t="shared" si="3"/>
        <v>797.27</v>
      </c>
      <c r="H22" s="346">
        <f t="shared" si="3"/>
        <v>460.41999999999996</v>
      </c>
      <c r="I22" s="346">
        <f t="shared" si="3"/>
        <v>771.29</v>
      </c>
      <c r="J22" s="346">
        <f t="shared" si="3"/>
        <v>738.35000000000014</v>
      </c>
      <c r="K22" s="346">
        <f t="shared" si="3"/>
        <v>260.08</v>
      </c>
      <c r="L22" s="346">
        <f t="shared" si="3"/>
        <v>288.8</v>
      </c>
      <c r="M22" s="346">
        <f t="shared" si="3"/>
        <v>1320.53</v>
      </c>
      <c r="N22" s="346">
        <f t="shared" si="3"/>
        <v>1387.25</v>
      </c>
      <c r="O22" s="346">
        <f t="shared" si="3"/>
        <v>468.59000000000003</v>
      </c>
      <c r="P22" s="71"/>
      <c r="Q22" s="348"/>
    </row>
    <row r="23" spans="1:17" ht="15.75">
      <c r="A23" s="394" t="s">
        <v>148</v>
      </c>
      <c r="B23" s="347" t="s">
        <v>30</v>
      </c>
      <c r="C23" s="70" t="s">
        <v>31</v>
      </c>
      <c r="D23" s="395">
        <f t="shared" si="2"/>
        <v>117.88</v>
      </c>
      <c r="E23" s="395">
        <f>'B1 (2)'!E23+'CÔng TăngHT'!E21-'Cộng giảm HT'!E21</f>
        <v>24.39</v>
      </c>
      <c r="F23" s="395">
        <f>'B1 (2)'!F23+'CÔng TăngHT'!F21-'Cộng giảm HT'!F21</f>
        <v>51.11</v>
      </c>
      <c r="G23" s="395">
        <f>'B1 (2)'!G23+'CÔng TăngHT'!G21-'Cộng giảm HT'!G21</f>
        <v>24.44</v>
      </c>
      <c r="H23" s="395">
        <f>'B1 (2)'!H23+'CÔng TăngHT'!H21-'Cộng giảm HT'!H21</f>
        <v>17.7</v>
      </c>
      <c r="I23" s="395">
        <f>'B1 (2)'!I23+'CÔng TăngHT'!I21-'Cộng giảm HT'!I21</f>
        <v>0.08</v>
      </c>
      <c r="J23" s="395">
        <f>'B1 (2)'!J23+'CÔng TăngHT'!J21-'Cộng giảm HT'!J21</f>
        <v>0</v>
      </c>
      <c r="K23" s="395">
        <f>'B1 (2)'!K23+'CÔng TăngHT'!K21-'Cộng giảm HT'!K21</f>
        <v>0</v>
      </c>
      <c r="L23" s="395">
        <f>'B1 (2)'!L23+'CÔng TăngHT'!L21-'Cộng giảm HT'!L21</f>
        <v>0</v>
      </c>
      <c r="M23" s="395">
        <f>'B1 (2)'!M23+'CÔng TăngHT'!M21-'Cộng giảm HT'!M21</f>
        <v>0</v>
      </c>
      <c r="N23" s="395">
        <f>'B1 (2)'!N23+'CÔng TăngHT'!N21-'Cộng giảm HT'!N21</f>
        <v>0.16</v>
      </c>
      <c r="O23" s="395">
        <f>'B1 (2)'!O23+'CÔng TăngHT'!O21-'Cộng giảm HT'!O21</f>
        <v>0</v>
      </c>
      <c r="P23" s="71"/>
      <c r="Q23" s="348"/>
    </row>
    <row r="24" spans="1:17" ht="15.75">
      <c r="A24" s="394" t="s">
        <v>138</v>
      </c>
      <c r="B24" s="347" t="s">
        <v>32</v>
      </c>
      <c r="C24" s="70" t="s">
        <v>33</v>
      </c>
      <c r="D24" s="395">
        <f t="shared" si="2"/>
        <v>0.97</v>
      </c>
      <c r="E24" s="395">
        <f>'B1 (2)'!E24+'CÔng TăngHT'!E22-'Cộng giảm HT'!E22</f>
        <v>0.97</v>
      </c>
      <c r="F24" s="395">
        <f>'B1 (2)'!F24+'CÔng TăngHT'!F22-'Cộng giảm HT'!F22</f>
        <v>0</v>
      </c>
      <c r="G24" s="395">
        <f>'B1 (2)'!G24+'CÔng TăngHT'!G22-'Cộng giảm HT'!G22</f>
        <v>0</v>
      </c>
      <c r="H24" s="395">
        <f>'B1 (2)'!H24+'CÔng TăngHT'!H22-'Cộng giảm HT'!H22</f>
        <v>0</v>
      </c>
      <c r="I24" s="395">
        <f>'B1 (2)'!I24+'CÔng TăngHT'!I22-'Cộng giảm HT'!I22</f>
        <v>0</v>
      </c>
      <c r="J24" s="395">
        <f>'B1 (2)'!J24+'CÔng TăngHT'!J22-'Cộng giảm HT'!J22</f>
        <v>0</v>
      </c>
      <c r="K24" s="395">
        <f>'B1 (2)'!K24+'CÔng TăngHT'!K22-'Cộng giảm HT'!K22</f>
        <v>0</v>
      </c>
      <c r="L24" s="395">
        <f>'B1 (2)'!L24+'CÔng TăngHT'!L22-'Cộng giảm HT'!L22</f>
        <v>0</v>
      </c>
      <c r="M24" s="395">
        <f>'B1 (2)'!M24+'CÔng TăngHT'!M22-'Cộng giảm HT'!M22</f>
        <v>0</v>
      </c>
      <c r="N24" s="395">
        <f>'B1 (2)'!N24+'CÔng TăngHT'!N22-'Cộng giảm HT'!N22</f>
        <v>0</v>
      </c>
      <c r="O24" s="395">
        <f>'B1 (2)'!O24+'CÔng TăngHT'!O22-'Cộng giảm HT'!O22</f>
        <v>0</v>
      </c>
      <c r="P24" s="71"/>
      <c r="Q24" s="348"/>
    </row>
    <row r="25" spans="1:17" ht="15.75">
      <c r="A25" s="394" t="s">
        <v>149</v>
      </c>
      <c r="B25" s="347" t="s">
        <v>34</v>
      </c>
      <c r="C25" s="70" t="s">
        <v>35</v>
      </c>
      <c r="D25" s="395">
        <f t="shared" si="2"/>
        <v>0</v>
      </c>
      <c r="E25" s="395">
        <f>'B1 (2)'!E25+'CÔng TăngHT'!E23-'Cộng giảm HT'!E23</f>
        <v>0</v>
      </c>
      <c r="F25" s="395">
        <f>'B1 (2)'!F25+'CÔng TăngHT'!F23-'Cộng giảm HT'!F23</f>
        <v>0</v>
      </c>
      <c r="G25" s="395">
        <f>'B1 (2)'!G25+'CÔng TăngHT'!G23-'Cộng giảm HT'!G23</f>
        <v>0</v>
      </c>
      <c r="H25" s="395">
        <f>'B1 (2)'!H25+'CÔng TăngHT'!H23-'Cộng giảm HT'!H23</f>
        <v>0</v>
      </c>
      <c r="I25" s="395">
        <f>'B1 (2)'!I25+'CÔng TăngHT'!I23-'Cộng giảm HT'!I23</f>
        <v>0</v>
      </c>
      <c r="J25" s="395">
        <f>'B1 (2)'!J25+'CÔng TăngHT'!J23-'Cộng giảm HT'!J23</f>
        <v>0</v>
      </c>
      <c r="K25" s="395">
        <f>'B1 (2)'!K25+'CÔng TăngHT'!K23-'Cộng giảm HT'!K23</f>
        <v>0</v>
      </c>
      <c r="L25" s="395">
        <f>'B1 (2)'!L25+'CÔng TăngHT'!L23-'Cộng giảm HT'!L23</f>
        <v>0</v>
      </c>
      <c r="M25" s="395">
        <f>'B1 (2)'!M25+'CÔng TăngHT'!M23-'Cộng giảm HT'!M23</f>
        <v>0</v>
      </c>
      <c r="N25" s="395">
        <f>'B1 (2)'!N25+'CÔng TăngHT'!N23-'Cộng giảm HT'!N23</f>
        <v>0</v>
      </c>
      <c r="O25" s="395">
        <f>'B1 (2)'!O25+'CÔng TăngHT'!O23-'Cộng giảm HT'!O23</f>
        <v>0</v>
      </c>
      <c r="P25" s="71"/>
      <c r="Q25" s="348"/>
    </row>
    <row r="26" spans="1:17" ht="15.75">
      <c r="A26" s="394" t="s">
        <v>150</v>
      </c>
      <c r="B26" s="347" t="s">
        <v>36</v>
      </c>
      <c r="C26" s="70" t="s">
        <v>37</v>
      </c>
      <c r="D26" s="395">
        <f t="shared" si="2"/>
        <v>0</v>
      </c>
      <c r="E26" s="395">
        <f>'B1 (2)'!E26+'CÔng TăngHT'!E24-'Cộng giảm HT'!E24</f>
        <v>0</v>
      </c>
      <c r="F26" s="395">
        <f>'B1 (2)'!F26+'CÔng TăngHT'!F24-'Cộng giảm HT'!F24</f>
        <v>0</v>
      </c>
      <c r="G26" s="395">
        <f>'B1 (2)'!G26+'CÔng TăngHT'!G24-'Cộng giảm HT'!G24</f>
        <v>0</v>
      </c>
      <c r="H26" s="395">
        <f>'B1 (2)'!H26+'CÔng TăngHT'!H24-'Cộng giảm HT'!H24</f>
        <v>0</v>
      </c>
      <c r="I26" s="395">
        <f>'B1 (2)'!I26+'CÔng TăngHT'!I24-'Cộng giảm HT'!I24</f>
        <v>0</v>
      </c>
      <c r="J26" s="395">
        <f>'B1 (2)'!J26+'CÔng TăngHT'!J24-'Cộng giảm HT'!J24</f>
        <v>0</v>
      </c>
      <c r="K26" s="395">
        <f>'B1 (2)'!K26+'CÔng TăngHT'!K24-'Cộng giảm HT'!K24</f>
        <v>0</v>
      </c>
      <c r="L26" s="395">
        <f>'B1 (2)'!L26+'CÔng TăngHT'!L24-'Cộng giảm HT'!L24</f>
        <v>0</v>
      </c>
      <c r="M26" s="395">
        <f>'B1 (2)'!M26+'CÔng TăngHT'!M24-'Cộng giảm HT'!M24</f>
        <v>0</v>
      </c>
      <c r="N26" s="395">
        <f>'B1 (2)'!N26+'CÔng TăngHT'!N24-'Cộng giảm HT'!N24</f>
        <v>0</v>
      </c>
      <c r="O26" s="395">
        <f>'B1 (2)'!O26+'CÔng TăngHT'!O24-'Cộng giảm HT'!O24</f>
        <v>0</v>
      </c>
      <c r="P26" s="71"/>
      <c r="Q26" s="348"/>
    </row>
    <row r="27" spans="1:17" ht="15.75">
      <c r="A27" s="394" t="s">
        <v>151</v>
      </c>
      <c r="B27" s="347" t="s">
        <v>38</v>
      </c>
      <c r="C27" s="70" t="s">
        <v>39</v>
      </c>
      <c r="D27" s="395">
        <f t="shared" si="2"/>
        <v>5.26</v>
      </c>
      <c r="E27" s="395">
        <f>'B1 (2)'!E27+'CÔng TăngHT'!E25-'Cộng giảm HT'!E25</f>
        <v>2.04</v>
      </c>
      <c r="F27" s="395">
        <f>'B1 (2)'!F27+'CÔng TăngHT'!F25-'Cộng giảm HT'!F25</f>
        <v>0</v>
      </c>
      <c r="G27" s="395">
        <f>'B1 (2)'!G27+'CÔng TăngHT'!G25-'Cộng giảm HT'!G25</f>
        <v>0.41000000000000003</v>
      </c>
      <c r="H27" s="395">
        <f>'B1 (2)'!H27+'CÔng TăngHT'!H25-'Cộng giảm HT'!H25</f>
        <v>0.32</v>
      </c>
      <c r="I27" s="395">
        <f>'B1 (2)'!I27+'CÔng TăngHT'!I25-'Cộng giảm HT'!I25</f>
        <v>0.31</v>
      </c>
      <c r="J27" s="395">
        <f>'B1 (2)'!J27+'CÔng TăngHT'!J25-'Cộng giảm HT'!J25</f>
        <v>0</v>
      </c>
      <c r="K27" s="395">
        <f>'B1 (2)'!K27+'CÔng TăngHT'!K25-'Cộng giảm HT'!K25</f>
        <v>0.65999999999999992</v>
      </c>
      <c r="L27" s="395">
        <f>'B1 (2)'!L27+'CÔng TăngHT'!L25-'Cộng giảm HT'!L25</f>
        <v>1.34</v>
      </c>
      <c r="M27" s="395">
        <f>'B1 (2)'!M27+'CÔng TăngHT'!M25-'Cộng giảm HT'!M25</f>
        <v>0</v>
      </c>
      <c r="N27" s="395">
        <f>'B1 (2)'!N27+'CÔng TăngHT'!N25-'Cộng giảm HT'!N25</f>
        <v>0</v>
      </c>
      <c r="O27" s="395">
        <f>'B1 (2)'!O27+'CÔng TăngHT'!O25-'Cộng giảm HT'!O25</f>
        <v>0.18</v>
      </c>
      <c r="P27" s="71"/>
      <c r="Q27" s="348"/>
    </row>
    <row r="28" spans="1:17" ht="15.75">
      <c r="A28" s="394" t="s">
        <v>152</v>
      </c>
      <c r="B28" s="347" t="s">
        <v>40</v>
      </c>
      <c r="C28" s="70" t="s">
        <v>41</v>
      </c>
      <c r="D28" s="395">
        <f t="shared" si="2"/>
        <v>56.789999999999992</v>
      </c>
      <c r="E28" s="395">
        <f>'B1 (2)'!E28+'CÔng TăngHT'!E26-'Cộng giảm HT'!E26</f>
        <v>0</v>
      </c>
      <c r="F28" s="395">
        <f>'B1 (2)'!F28+'CÔng TăngHT'!F26-'Cộng giảm HT'!F26</f>
        <v>2.99</v>
      </c>
      <c r="G28" s="395">
        <f>'B1 (2)'!G28+'CÔng TăngHT'!G26-'Cộng giảm HT'!G26</f>
        <v>4.7699999999999996</v>
      </c>
      <c r="H28" s="395">
        <f>'B1 (2)'!H28+'CÔng TăngHT'!H26-'Cộng giảm HT'!H26</f>
        <v>1.31</v>
      </c>
      <c r="I28" s="395">
        <f>'B1 (2)'!I28+'CÔng TăngHT'!I26-'Cộng giảm HT'!I26</f>
        <v>27.2</v>
      </c>
      <c r="J28" s="395">
        <f>'B1 (2)'!J28+'CÔng TăngHT'!J26-'Cộng giảm HT'!J26</f>
        <v>0.41</v>
      </c>
      <c r="K28" s="395">
        <f>'B1 (2)'!K28+'CÔng TăngHT'!K26-'Cộng giảm HT'!K26</f>
        <v>18.79</v>
      </c>
      <c r="L28" s="395">
        <f>'B1 (2)'!L28+'CÔng TăngHT'!L26-'Cộng giảm HT'!L26</f>
        <v>0.32</v>
      </c>
      <c r="M28" s="395">
        <f>'B1 (2)'!M28+'CÔng TăngHT'!M26-'Cộng giảm HT'!M26</f>
        <v>1</v>
      </c>
      <c r="N28" s="395">
        <f>'B1 (2)'!N28+'CÔng TăngHT'!N26-'Cộng giảm HT'!N26</f>
        <v>0</v>
      </c>
      <c r="O28" s="395">
        <f>'B1 (2)'!O28+'CÔng TăngHT'!O26-'Cộng giảm HT'!O26</f>
        <v>0</v>
      </c>
      <c r="P28" s="71"/>
      <c r="Q28" s="348"/>
    </row>
    <row r="29" spans="1:17" ht="15.75">
      <c r="A29" s="394" t="s">
        <v>153</v>
      </c>
      <c r="B29" s="347" t="s">
        <v>42</v>
      </c>
      <c r="C29" s="70" t="s">
        <v>43</v>
      </c>
      <c r="D29" s="395">
        <f t="shared" si="2"/>
        <v>4.66</v>
      </c>
      <c r="E29" s="395">
        <f>'B1 (2)'!E29+'CÔng TăngHT'!E27-'Cộng giảm HT'!E27</f>
        <v>0</v>
      </c>
      <c r="F29" s="395">
        <f>'B1 (2)'!F29+'CÔng TăngHT'!F27-'Cộng giảm HT'!F27</f>
        <v>0</v>
      </c>
      <c r="G29" s="395">
        <f>'B1 (2)'!G29+'CÔng TăngHT'!G27-'Cộng giảm HT'!G27</f>
        <v>0</v>
      </c>
      <c r="H29" s="395">
        <f>'B1 (2)'!H29+'CÔng TăngHT'!H27-'Cộng giảm HT'!H27</f>
        <v>0</v>
      </c>
      <c r="I29" s="395">
        <f>'B1 (2)'!I29+'CÔng TăngHT'!I27-'Cộng giảm HT'!I27</f>
        <v>0</v>
      </c>
      <c r="J29" s="395">
        <f>'B1 (2)'!J29+'CÔng TăngHT'!J27-'Cộng giảm HT'!J27</f>
        <v>0</v>
      </c>
      <c r="K29" s="395">
        <f>'B1 (2)'!K29+'CÔng TăngHT'!K27-'Cộng giảm HT'!K27</f>
        <v>4.66</v>
      </c>
      <c r="L29" s="395">
        <f>'B1 (2)'!L29+'CÔng TăngHT'!L27-'Cộng giảm HT'!L27</f>
        <v>0</v>
      </c>
      <c r="M29" s="395">
        <f>'B1 (2)'!M29+'CÔng TăngHT'!M27-'Cộng giảm HT'!M27</f>
        <v>0</v>
      </c>
      <c r="N29" s="395">
        <f>'B1 (2)'!N29+'CÔng TăngHT'!N27-'Cộng giảm HT'!N27</f>
        <v>0</v>
      </c>
      <c r="O29" s="395">
        <f>'B1 (2)'!O29+'CÔng TăngHT'!O27-'Cộng giảm HT'!O27</f>
        <v>0</v>
      </c>
      <c r="P29" s="71"/>
      <c r="Q29" s="348"/>
    </row>
    <row r="30" spans="1:17" ht="15.75">
      <c r="A30" s="394" t="s">
        <v>154</v>
      </c>
      <c r="B30" s="347" t="s">
        <v>179</v>
      </c>
      <c r="C30" s="70" t="s">
        <v>66</v>
      </c>
      <c r="D30" s="395">
        <f>SUM(E30:O30)</f>
        <v>22.73</v>
      </c>
      <c r="E30" s="395">
        <f>'B1 (2)'!E30+'CÔng TăngHT'!E28-'Cộng giảm HT'!E28</f>
        <v>0</v>
      </c>
      <c r="F30" s="395">
        <f>'B1 (2)'!F30+'CÔng TăngHT'!F28-'Cộng giảm HT'!F28</f>
        <v>0</v>
      </c>
      <c r="G30" s="395">
        <f>'B1 (2)'!G30+'CÔng TăngHT'!G28-'Cộng giảm HT'!G28</f>
        <v>5.07</v>
      </c>
      <c r="H30" s="395">
        <f>'B1 (2)'!H30+'CÔng TăngHT'!H28-'Cộng giảm HT'!H28</f>
        <v>0</v>
      </c>
      <c r="I30" s="395">
        <f>'B1 (2)'!I30+'CÔng TăngHT'!I28-'Cộng giảm HT'!I28</f>
        <v>11.09</v>
      </c>
      <c r="J30" s="395">
        <f>'B1 (2)'!J30+'CÔng TăngHT'!J28-'Cộng giảm HT'!J28</f>
        <v>5.04</v>
      </c>
      <c r="K30" s="395">
        <f>'B1 (2)'!K30+'CÔng TăngHT'!K28-'Cộng giảm HT'!K28</f>
        <v>0</v>
      </c>
      <c r="L30" s="395">
        <f>'B1 (2)'!L30+'CÔng TăngHT'!L28-'Cộng giảm HT'!L28</f>
        <v>0</v>
      </c>
      <c r="M30" s="395">
        <f>'B1 (2)'!M30+'CÔng TăngHT'!M28-'Cộng giảm HT'!M28</f>
        <v>0.1</v>
      </c>
      <c r="N30" s="395">
        <f>'B1 (2)'!N30+'CÔng TăngHT'!N28-'Cộng giảm HT'!N28</f>
        <v>0</v>
      </c>
      <c r="O30" s="395">
        <f>'B1 (2)'!O30+'CÔng TăngHT'!O28-'Cộng giảm HT'!O28</f>
        <v>1.43</v>
      </c>
      <c r="P30" s="71"/>
      <c r="Q30" s="348"/>
    </row>
    <row r="31" spans="1:17" ht="15.75">
      <c r="A31" s="394" t="s">
        <v>155</v>
      </c>
      <c r="B31" s="347" t="s">
        <v>180</v>
      </c>
      <c r="C31" s="70" t="s">
        <v>45</v>
      </c>
      <c r="D31" s="395">
        <f t="shared" si="2"/>
        <v>6099.9</v>
      </c>
      <c r="E31" s="395">
        <f>SUM(E32:E47)</f>
        <v>118.91000000000001</v>
      </c>
      <c r="F31" s="395">
        <f t="shared" ref="F31:O31" si="4">SUM(F32:F47)</f>
        <v>1197.4900000000002</v>
      </c>
      <c r="G31" s="395">
        <f t="shared" si="4"/>
        <v>397.5</v>
      </c>
      <c r="H31" s="395">
        <f t="shared" si="4"/>
        <v>234.88</v>
      </c>
      <c r="I31" s="395">
        <f t="shared" si="4"/>
        <v>634.94000000000005</v>
      </c>
      <c r="J31" s="395">
        <f t="shared" si="4"/>
        <v>622.84</v>
      </c>
      <c r="K31" s="395">
        <f t="shared" si="4"/>
        <v>98.4</v>
      </c>
      <c r="L31" s="395">
        <f t="shared" si="4"/>
        <v>110.52000000000001</v>
      </c>
      <c r="M31" s="395">
        <f t="shared" si="4"/>
        <v>1219.99</v>
      </c>
      <c r="N31" s="395">
        <f t="shared" si="4"/>
        <v>1258.8599999999999</v>
      </c>
      <c r="O31" s="395">
        <f t="shared" si="4"/>
        <v>205.57000000000002</v>
      </c>
      <c r="P31" s="71"/>
      <c r="Q31" s="348"/>
    </row>
    <row r="32" spans="1:17" s="403" customFormat="1" ht="16.5" customHeight="1">
      <c r="A32" s="350"/>
      <c r="B32" s="397" t="s">
        <v>216</v>
      </c>
      <c r="C32" s="398" t="s">
        <v>196</v>
      </c>
      <c r="D32" s="400">
        <f>SUM(E32:O32)</f>
        <v>1158.3399999999999</v>
      </c>
      <c r="E32" s="400">
        <f>'B1 (2)'!E32+'CÔng TăngHT'!E30-'Cộng giảm HT'!E30</f>
        <v>72.47</v>
      </c>
      <c r="F32" s="400">
        <f>'B1 (2)'!F32+'CÔng TăngHT'!F30-'Cộng giảm HT'!F30</f>
        <v>112.54</v>
      </c>
      <c r="G32" s="400">
        <f>'B1 (2)'!G32+'CÔng TăngHT'!G30-'Cộng giảm HT'!G30</f>
        <v>374.69</v>
      </c>
      <c r="H32" s="400">
        <f>'B1 (2)'!H32+'CÔng TăngHT'!H30-'Cộng giảm HT'!H30</f>
        <v>164.38</v>
      </c>
      <c r="I32" s="400">
        <f>'B1 (2)'!I32+'CÔng TăngHT'!I30-'Cộng giảm HT'!I30</f>
        <v>62.36</v>
      </c>
      <c r="J32" s="400">
        <f>'B1 (2)'!J32+'CÔng TăngHT'!J30-'Cộng giảm HT'!J30</f>
        <v>53.3</v>
      </c>
      <c r="K32" s="400">
        <f>'B1 (2)'!K32+'CÔng TăngHT'!K30-'Cộng giảm HT'!K30</f>
        <v>41.83</v>
      </c>
      <c r="L32" s="400">
        <f>'B1 (2)'!L32+'CÔng TăngHT'!L30-'Cộng giảm HT'!L30</f>
        <v>75.069999999999993</v>
      </c>
      <c r="M32" s="400">
        <f>'B1 (2)'!M32+'CÔng TăngHT'!M30-'Cộng giảm HT'!M30</f>
        <v>37.880000000000003</v>
      </c>
      <c r="N32" s="400">
        <f>'B1 (2)'!N32+'CÔng TăngHT'!N30-'Cộng giảm HT'!N30</f>
        <v>93.46</v>
      </c>
      <c r="O32" s="400">
        <f>'B1 (2)'!O32+'CÔng TăngHT'!O30-'Cộng giảm HT'!O30</f>
        <v>70.36</v>
      </c>
      <c r="P32" s="401"/>
      <c r="Q32" s="404"/>
    </row>
    <row r="33" spans="1:17" s="403" customFormat="1" ht="15.75">
      <c r="A33" s="350"/>
      <c r="B33" s="397" t="s">
        <v>217</v>
      </c>
      <c r="C33" s="398" t="s">
        <v>194</v>
      </c>
      <c r="D33" s="400">
        <f>SUM(E33:O33)</f>
        <v>90.080000000000013</v>
      </c>
      <c r="E33" s="400">
        <f>'B1 (2)'!E33+'CÔng TăngHT'!E31-'Cộng giảm HT'!E31</f>
        <v>3.57</v>
      </c>
      <c r="F33" s="400">
        <f>'B1 (2)'!F33+'CÔng TăngHT'!F31-'Cộng giảm HT'!F31</f>
        <v>1.68</v>
      </c>
      <c r="G33" s="400">
        <f>'B1 (2)'!G33+'CÔng TăngHT'!G31-'Cộng giảm HT'!G31</f>
        <v>0.06</v>
      </c>
      <c r="H33" s="400">
        <f>'B1 (2)'!H33+'CÔng TăngHT'!H31-'Cộng giảm HT'!H31</f>
        <v>3.41</v>
      </c>
      <c r="I33" s="400">
        <f>'B1 (2)'!I33+'CÔng TăngHT'!I31-'Cộng giảm HT'!I31</f>
        <v>36.11</v>
      </c>
      <c r="J33" s="400">
        <f>'B1 (2)'!J33+'CÔng TăngHT'!J31-'Cộng giảm HT'!J31</f>
        <v>14.1</v>
      </c>
      <c r="K33" s="400">
        <f>'B1 (2)'!K33+'CÔng TăngHT'!K31-'Cộng giảm HT'!K31</f>
        <v>2.54</v>
      </c>
      <c r="L33" s="400">
        <f>'B1 (2)'!L33+'CÔng TăngHT'!L31-'Cộng giảm HT'!L31</f>
        <v>3.51</v>
      </c>
      <c r="M33" s="400">
        <f>'B1 (2)'!M33+'CÔng TăngHT'!M31-'Cộng giảm HT'!M31</f>
        <v>14.7</v>
      </c>
      <c r="N33" s="400">
        <f>'B1 (2)'!N33+'CÔng TăngHT'!N31-'Cộng giảm HT'!N31</f>
        <v>2.4</v>
      </c>
      <c r="O33" s="400">
        <f>'B1 (2)'!O33+'CÔng TăngHT'!O31-'Cộng giảm HT'!O31</f>
        <v>8</v>
      </c>
      <c r="P33" s="401"/>
      <c r="Q33" s="404"/>
    </row>
    <row r="34" spans="1:17" s="403" customFormat="1" ht="15.75">
      <c r="A34" s="350"/>
      <c r="B34" s="397" t="s">
        <v>210</v>
      </c>
      <c r="C34" s="398" t="s">
        <v>220</v>
      </c>
      <c r="D34" s="400">
        <f t="shared" si="2"/>
        <v>6.19</v>
      </c>
      <c r="E34" s="400">
        <f>'B1 (2)'!E34+'CÔng TăngHT'!E32-'Cộng giảm HT'!E32</f>
        <v>5.86</v>
      </c>
      <c r="F34" s="400">
        <f>'B1 (2)'!F34+'CÔng TăngHT'!F32-'Cộng giảm HT'!F32</f>
        <v>0</v>
      </c>
      <c r="G34" s="400">
        <f>'B1 (2)'!G34+'CÔng TăngHT'!G32-'Cộng giảm HT'!G32</f>
        <v>0</v>
      </c>
      <c r="H34" s="400">
        <f>'B1 (2)'!H34+'CÔng TăngHT'!H32-'Cộng giảm HT'!H32</f>
        <v>0</v>
      </c>
      <c r="I34" s="400">
        <f>'B1 (2)'!I34+'CÔng TăngHT'!I32-'Cộng giảm HT'!I32</f>
        <v>0</v>
      </c>
      <c r="J34" s="400">
        <f>'B1 (2)'!J34+'CÔng TăngHT'!J32-'Cộng giảm HT'!J32</f>
        <v>0</v>
      </c>
      <c r="K34" s="400">
        <f>'B1 (2)'!K34+'CÔng TăngHT'!K32-'Cộng giảm HT'!K32</f>
        <v>0.12</v>
      </c>
      <c r="L34" s="400">
        <f>'B1 (2)'!L34+'CÔng TăngHT'!L32-'Cộng giảm HT'!L32</f>
        <v>0</v>
      </c>
      <c r="M34" s="400">
        <f>'B1 (2)'!M34+'CÔng TăngHT'!M32-'Cộng giảm HT'!M32</f>
        <v>0</v>
      </c>
      <c r="N34" s="400">
        <f>'B1 (2)'!N34+'CÔng TăngHT'!N32-'Cộng giảm HT'!N32</f>
        <v>0</v>
      </c>
      <c r="O34" s="400">
        <f>'B1 (2)'!O34+'CÔng TăngHT'!O32-'Cộng giảm HT'!O32</f>
        <v>0.21</v>
      </c>
      <c r="P34" s="401"/>
      <c r="Q34" s="404"/>
    </row>
    <row r="35" spans="1:17" s="403" customFormat="1" ht="15.75">
      <c r="A35" s="350"/>
      <c r="B35" s="397" t="s">
        <v>211</v>
      </c>
      <c r="C35" s="398" t="s">
        <v>221</v>
      </c>
      <c r="D35" s="400">
        <f t="shared" si="2"/>
        <v>4.96</v>
      </c>
      <c r="E35" s="400">
        <f>'B1 (2)'!E35+'CÔng TăngHT'!E33-'Cộng giảm HT'!E33</f>
        <v>1.93</v>
      </c>
      <c r="F35" s="400">
        <f>'B1 (2)'!F35+'CÔng TăngHT'!F33-'Cộng giảm HT'!F33</f>
        <v>0.21</v>
      </c>
      <c r="G35" s="400">
        <f>'B1 (2)'!G35+'CÔng TăngHT'!G33-'Cộng giảm HT'!G33</f>
        <v>1</v>
      </c>
      <c r="H35" s="400">
        <f>'B1 (2)'!H35+'CÔng TăngHT'!H33-'Cộng giảm HT'!H33</f>
        <v>0.22</v>
      </c>
      <c r="I35" s="400">
        <f>'B1 (2)'!I35+'CÔng TăngHT'!I33-'Cộng giảm HT'!I33</f>
        <v>0.17</v>
      </c>
      <c r="J35" s="400">
        <f>'B1 (2)'!J35+'CÔng TăngHT'!J33-'Cộng giảm HT'!J33</f>
        <v>0.15</v>
      </c>
      <c r="K35" s="400">
        <f>'B1 (2)'!K35+'CÔng TăngHT'!K33-'Cộng giảm HT'!K33</f>
        <v>0.16</v>
      </c>
      <c r="L35" s="400">
        <f>'B1 (2)'!L35+'CÔng TăngHT'!L33-'Cộng giảm HT'!L33</f>
        <v>0.15</v>
      </c>
      <c r="M35" s="400">
        <f>'B1 (2)'!M35+'CÔng TăngHT'!M33-'Cộng giảm HT'!M33</f>
        <v>0.18</v>
      </c>
      <c r="N35" s="400">
        <f>'B1 (2)'!N35+'CÔng TăngHT'!N33-'Cộng giảm HT'!N33</f>
        <v>0.45</v>
      </c>
      <c r="O35" s="400">
        <f>'B1 (2)'!O35+'CÔng TăngHT'!O33-'Cộng giảm HT'!O33</f>
        <v>0.34</v>
      </c>
      <c r="P35" s="401"/>
      <c r="Q35" s="404"/>
    </row>
    <row r="36" spans="1:17" s="403" customFormat="1" ht="15.75">
      <c r="A36" s="350"/>
      <c r="B36" s="397" t="s">
        <v>212</v>
      </c>
      <c r="C36" s="398" t="s">
        <v>192</v>
      </c>
      <c r="D36" s="400">
        <f t="shared" si="2"/>
        <v>63.25</v>
      </c>
      <c r="E36" s="400">
        <f>'B1 (2)'!E36+'CÔng TăngHT'!E34-'Cộng giảm HT'!E34</f>
        <v>18.170000000000002</v>
      </c>
      <c r="F36" s="400">
        <f>'B1 (2)'!F36+'CÔng TăngHT'!F34-'Cộng giảm HT'!F34</f>
        <v>6.35</v>
      </c>
      <c r="G36" s="400">
        <f>'B1 (2)'!G36+'CÔng TăngHT'!G34-'Cộng giảm HT'!G34</f>
        <v>6.46</v>
      </c>
      <c r="H36" s="400">
        <f>'B1 (2)'!H36+'CÔng TăngHT'!H34-'Cộng giảm HT'!H34</f>
        <v>3.23</v>
      </c>
      <c r="I36" s="400">
        <f>'B1 (2)'!I36+'CÔng TăngHT'!I34-'Cộng giảm HT'!I34</f>
        <v>5.6</v>
      </c>
      <c r="J36" s="400">
        <f>'B1 (2)'!J36+'CÔng TăngHT'!J34-'Cộng giảm HT'!J34</f>
        <v>2.46</v>
      </c>
      <c r="K36" s="400">
        <f>'B1 (2)'!K36+'CÔng TăngHT'!K34-'Cộng giảm HT'!K34</f>
        <v>4.8499999999999996</v>
      </c>
      <c r="L36" s="400">
        <f>'B1 (2)'!L36+'CÔng TăngHT'!L34-'Cộng giảm HT'!L34</f>
        <v>4.26</v>
      </c>
      <c r="M36" s="400">
        <f>'B1 (2)'!M36+'CÔng TăngHT'!M34-'Cộng giảm HT'!M34</f>
        <v>2.89</v>
      </c>
      <c r="N36" s="400">
        <f>'B1 (2)'!N36+'CÔng TăngHT'!N34-'Cộng giảm HT'!N34</f>
        <v>4.05</v>
      </c>
      <c r="O36" s="400">
        <f>'B1 (2)'!O36+'CÔng TăngHT'!O34-'Cộng giảm HT'!O34</f>
        <v>4.93</v>
      </c>
      <c r="P36" s="401"/>
      <c r="Q36" s="404"/>
    </row>
    <row r="37" spans="1:17" s="403" customFormat="1" ht="15.75">
      <c r="A37" s="350"/>
      <c r="B37" s="397" t="s">
        <v>213</v>
      </c>
      <c r="C37" s="398" t="s">
        <v>195</v>
      </c>
      <c r="D37" s="400">
        <f t="shared" si="2"/>
        <v>16.670000000000002</v>
      </c>
      <c r="E37" s="400">
        <f>'B1 (2)'!E37+'CÔng TăngHT'!E35-'Cộng giảm HT'!E35</f>
        <v>4.08</v>
      </c>
      <c r="F37" s="400">
        <f>'B1 (2)'!F37+'CÔng TăngHT'!F35-'Cộng giảm HT'!F35</f>
        <v>2.41</v>
      </c>
      <c r="G37" s="400">
        <f>'B1 (2)'!G37+'CÔng TăngHT'!G35-'Cộng giảm HT'!G35</f>
        <v>1.63</v>
      </c>
      <c r="H37" s="400">
        <f>'B1 (2)'!H37+'CÔng TăngHT'!H35-'Cộng giảm HT'!H35</f>
        <v>0.28000000000000003</v>
      </c>
      <c r="I37" s="400">
        <f>'B1 (2)'!I37+'CÔng TăngHT'!I35-'Cộng giảm HT'!I35</f>
        <v>1.23</v>
      </c>
      <c r="J37" s="400">
        <f>'B1 (2)'!J37+'CÔng TăngHT'!J35-'Cộng giảm HT'!J35</f>
        <v>2.91</v>
      </c>
      <c r="K37" s="400">
        <f>'B1 (2)'!K37+'CÔng TăngHT'!K35-'Cộng giảm HT'!K35</f>
        <v>1.32</v>
      </c>
      <c r="L37" s="400">
        <f>'B1 (2)'!L37+'CÔng TăngHT'!L35-'Cộng giảm HT'!L35</f>
        <v>0.68</v>
      </c>
      <c r="M37" s="400">
        <f>'B1 (2)'!M37+'CÔng TăngHT'!M35-'Cộng giảm HT'!M35</f>
        <v>0</v>
      </c>
      <c r="N37" s="400">
        <f>'B1 (2)'!N37+'CÔng TăngHT'!N35-'Cộng giảm HT'!N35</f>
        <v>0</v>
      </c>
      <c r="O37" s="400">
        <f>'B1 (2)'!O37+'CÔng TăngHT'!O35-'Cộng giảm HT'!O35</f>
        <v>2.13</v>
      </c>
      <c r="P37" s="401"/>
      <c r="Q37" s="404"/>
    </row>
    <row r="38" spans="1:17" s="403" customFormat="1" ht="15.75">
      <c r="A38" s="350"/>
      <c r="B38" s="397" t="s">
        <v>248</v>
      </c>
      <c r="C38" s="398" t="s">
        <v>193</v>
      </c>
      <c r="D38" s="400">
        <f>SUM(E38:O38)</f>
        <v>4625.3500000000004</v>
      </c>
      <c r="E38" s="400">
        <f>'B1 (2)'!E38+'CÔng TăngHT'!E36-'Cộng giảm HT'!E36</f>
        <v>0.28999999999999998</v>
      </c>
      <c r="F38" s="400">
        <f>'B1 (2)'!F38+'CÔng TăngHT'!F36-'Cộng giảm HT'!F36</f>
        <v>1064.98</v>
      </c>
      <c r="G38" s="400">
        <f>'B1 (2)'!G38+'CÔng TăngHT'!G36-'Cộng giảm HT'!G36</f>
        <v>1.31</v>
      </c>
      <c r="H38" s="400">
        <f>'B1 (2)'!H38+'CÔng TăngHT'!H36-'Cộng giảm HT'!H36</f>
        <v>51.5</v>
      </c>
      <c r="I38" s="400">
        <f>'B1 (2)'!I38+'CÔng TăngHT'!I36-'Cộng giảm HT'!I36</f>
        <v>501.75</v>
      </c>
      <c r="J38" s="400">
        <f>'B1 (2)'!J38+'CÔng TăngHT'!J36-'Cộng giảm HT'!J36</f>
        <v>544.51</v>
      </c>
      <c r="K38" s="400">
        <f>'B1 (2)'!K38+'CÔng TăngHT'!K36-'Cộng giảm HT'!K36</f>
        <v>35.36</v>
      </c>
      <c r="L38" s="400">
        <f>'B1 (2)'!L38+'CÔng TăngHT'!L36-'Cộng giảm HT'!L36</f>
        <v>0</v>
      </c>
      <c r="M38" s="400">
        <f>'B1 (2)'!M38+'CÔng TăngHT'!M36-'Cộng giảm HT'!M36</f>
        <v>1161.31</v>
      </c>
      <c r="N38" s="400">
        <f>'B1 (2)'!N38+'CÔng TăngHT'!N36-'Cộng giảm HT'!N36</f>
        <v>1155.25</v>
      </c>
      <c r="O38" s="400">
        <f>'B1 (2)'!O38+'CÔng TăngHT'!O36-'Cộng giảm HT'!O36</f>
        <v>109.09</v>
      </c>
      <c r="P38" s="401"/>
      <c r="Q38" s="404"/>
    </row>
    <row r="39" spans="1:17" s="403" customFormat="1" ht="15.75">
      <c r="A39" s="350"/>
      <c r="B39" s="397" t="s">
        <v>218</v>
      </c>
      <c r="C39" s="398" t="s">
        <v>224</v>
      </c>
      <c r="D39" s="400">
        <f>SUM(E39:O39)</f>
        <v>1.02</v>
      </c>
      <c r="E39" s="400">
        <f>'B1 (2)'!E39+'CÔng TăngHT'!E37-'Cộng giảm HT'!E37</f>
        <v>0.3</v>
      </c>
      <c r="F39" s="400">
        <f>'B1 (2)'!F39+'CÔng TăngHT'!F37-'Cộng giảm HT'!F37</f>
        <v>0.3</v>
      </c>
      <c r="G39" s="400">
        <f>'B1 (2)'!G39+'CÔng TăngHT'!G37-'Cộng giảm HT'!G37</f>
        <v>0.04</v>
      </c>
      <c r="H39" s="400">
        <f>'B1 (2)'!H39+'CÔng TăngHT'!H37-'Cộng giảm HT'!H37</f>
        <v>0</v>
      </c>
      <c r="I39" s="400">
        <f>'B1 (2)'!I39+'CÔng TăngHT'!I37-'Cộng giảm HT'!I37</f>
        <v>0.02</v>
      </c>
      <c r="J39" s="400">
        <f>'B1 (2)'!J39+'CÔng TăngHT'!J37-'Cộng giảm HT'!J37</f>
        <v>0.22</v>
      </c>
      <c r="K39" s="400">
        <f>'B1 (2)'!K39+'CÔng TăngHT'!K37-'Cộng giảm HT'!K37</f>
        <v>0.04</v>
      </c>
      <c r="L39" s="400">
        <f>'B1 (2)'!L39+'CÔng TăngHT'!L37-'Cộng giảm HT'!L37</f>
        <v>0.05</v>
      </c>
      <c r="M39" s="400">
        <f>'B1 (2)'!M39+'CÔng TăngHT'!M37-'Cộng giảm HT'!M37</f>
        <v>0</v>
      </c>
      <c r="N39" s="400">
        <f>'B1 (2)'!N39+'CÔng TăngHT'!N37-'Cộng giảm HT'!N37</f>
        <v>0.03</v>
      </c>
      <c r="O39" s="400">
        <f>'B1 (2)'!O39+'CÔng TăngHT'!O37-'Cộng giảm HT'!O37</f>
        <v>0.02</v>
      </c>
      <c r="P39" s="401"/>
      <c r="Q39" s="404"/>
    </row>
    <row r="40" spans="1:17" s="403" customFormat="1" ht="15.75">
      <c r="A40" s="350"/>
      <c r="B40" s="397" t="s">
        <v>244</v>
      </c>
      <c r="C40" s="398" t="s">
        <v>245</v>
      </c>
      <c r="D40" s="400"/>
      <c r="E40" s="400">
        <f>'B1 (2)'!E40+'CÔng TăngHT'!E38-'Cộng giảm HT'!E38</f>
        <v>0</v>
      </c>
      <c r="F40" s="400">
        <f>'B1 (2)'!F40+'CÔng TăngHT'!F38-'Cộng giảm HT'!F38</f>
        <v>0</v>
      </c>
      <c r="G40" s="400">
        <f>'B1 (2)'!G40+'CÔng TăngHT'!G38-'Cộng giảm HT'!G38</f>
        <v>0</v>
      </c>
      <c r="H40" s="400">
        <f>'B1 (2)'!H40+'CÔng TăngHT'!H38-'Cộng giảm HT'!H38</f>
        <v>0</v>
      </c>
      <c r="I40" s="400">
        <f>'B1 (2)'!I40+'CÔng TăngHT'!I38-'Cộng giảm HT'!I38</f>
        <v>0</v>
      </c>
      <c r="J40" s="400">
        <f>'B1 (2)'!J40+'CÔng TăngHT'!J38-'Cộng giảm HT'!J38</f>
        <v>0</v>
      </c>
      <c r="K40" s="400">
        <f>'B1 (2)'!K40+'CÔng TăngHT'!K38-'Cộng giảm HT'!K38</f>
        <v>0</v>
      </c>
      <c r="L40" s="400">
        <f>'B1 (2)'!L40+'CÔng TăngHT'!L38-'Cộng giảm HT'!L38</f>
        <v>0</v>
      </c>
      <c r="M40" s="400">
        <f>'B1 (2)'!M40+'CÔng TăngHT'!M38-'Cộng giảm HT'!M38</f>
        <v>0</v>
      </c>
      <c r="N40" s="400">
        <f>'B1 (2)'!N40+'CÔng TăngHT'!N38-'Cộng giảm HT'!N38</f>
        <v>0</v>
      </c>
      <c r="O40" s="400">
        <f>'B1 (2)'!O40+'CÔng TăngHT'!O38-'Cộng giảm HT'!O38</f>
        <v>0</v>
      </c>
      <c r="P40" s="401"/>
      <c r="Q40" s="404"/>
    </row>
    <row r="41" spans="1:17" s="403" customFormat="1" ht="15.75">
      <c r="A41" s="350"/>
      <c r="B41" s="397" t="s">
        <v>46</v>
      </c>
      <c r="C41" s="398" t="s">
        <v>47</v>
      </c>
      <c r="D41" s="400">
        <f>SUM(E41:O41)</f>
        <v>3.86</v>
      </c>
      <c r="E41" s="400">
        <f>'B1 (2)'!E41+'CÔng TăngHT'!E39-'Cộng giảm HT'!E39</f>
        <v>0</v>
      </c>
      <c r="F41" s="400">
        <f>'B1 (2)'!F41+'CÔng TăngHT'!F39-'Cộng giảm HT'!F39</f>
        <v>0.01</v>
      </c>
      <c r="G41" s="400">
        <f>'B1 (2)'!G41+'CÔng TăngHT'!G39-'Cộng giảm HT'!G39</f>
        <v>0.22</v>
      </c>
      <c r="H41" s="400">
        <f>'B1 (2)'!H41+'CÔng TăngHT'!H39-'Cộng giảm HT'!H39</f>
        <v>0.28999999999999998</v>
      </c>
      <c r="I41" s="400">
        <f>'B1 (2)'!I41+'CÔng TăngHT'!I39-'Cộng giảm HT'!I39</f>
        <v>0</v>
      </c>
      <c r="J41" s="400">
        <f>'B1 (2)'!J41+'CÔng TăngHT'!J39-'Cộng giảm HT'!J39</f>
        <v>0</v>
      </c>
      <c r="K41" s="400">
        <f>'B1 (2)'!K41+'CÔng TăngHT'!K39-'Cộng giảm HT'!K39</f>
        <v>0</v>
      </c>
      <c r="L41" s="400">
        <f>'B1 (2)'!L41+'CÔng TăngHT'!L39-'Cộng giảm HT'!L39</f>
        <v>0</v>
      </c>
      <c r="M41" s="400">
        <f>'B1 (2)'!M41+'CÔng TăngHT'!M39-'Cộng giảm HT'!M39</f>
        <v>0</v>
      </c>
      <c r="N41" s="400">
        <f>'B1 (2)'!N41+'CÔng TăngHT'!N39-'Cộng giảm HT'!N39</f>
        <v>0</v>
      </c>
      <c r="O41" s="400">
        <f>'B1 (2)'!O41+'CÔng TăngHT'!O39-'Cộng giảm HT'!O39</f>
        <v>3.34</v>
      </c>
      <c r="P41" s="401"/>
      <c r="Q41" s="404"/>
    </row>
    <row r="42" spans="1:17" s="403" customFormat="1" ht="15.75">
      <c r="A42" s="350"/>
      <c r="B42" s="397" t="s">
        <v>50</v>
      </c>
      <c r="C42" s="398" t="s">
        <v>51</v>
      </c>
      <c r="D42" s="400">
        <f>SUM(E42:O42)</f>
        <v>2.66</v>
      </c>
      <c r="E42" s="400">
        <f>'B1 (2)'!E42+'CÔng TăngHT'!E40-'Cộng giảm HT'!E40</f>
        <v>0.93</v>
      </c>
      <c r="F42" s="400">
        <f>'B1 (2)'!F42+'CÔng TăngHT'!F40-'Cộng giảm HT'!F40</f>
        <v>0</v>
      </c>
      <c r="G42" s="400">
        <f>'B1 (2)'!G42+'CÔng TăngHT'!G40-'Cộng giảm HT'!G40</f>
        <v>0</v>
      </c>
      <c r="H42" s="400">
        <f>'B1 (2)'!H42+'CÔng TăngHT'!H40-'Cộng giảm HT'!H40</f>
        <v>0</v>
      </c>
      <c r="I42" s="400">
        <f>'B1 (2)'!I42+'CÔng TăngHT'!I40-'Cộng giảm HT'!I40</f>
        <v>1.73</v>
      </c>
      <c r="J42" s="400">
        <f>'B1 (2)'!J42+'CÔng TăngHT'!J40-'Cộng giảm HT'!J40</f>
        <v>0</v>
      </c>
      <c r="K42" s="400">
        <f>'B1 (2)'!K42+'CÔng TăngHT'!K40-'Cộng giảm HT'!K40</f>
        <v>0</v>
      </c>
      <c r="L42" s="400">
        <f>'B1 (2)'!L42+'CÔng TăngHT'!L40-'Cộng giảm HT'!L40</f>
        <v>0</v>
      </c>
      <c r="M42" s="400">
        <f>'B1 (2)'!M42+'CÔng TăngHT'!M40-'Cộng giảm HT'!M40</f>
        <v>0</v>
      </c>
      <c r="N42" s="400">
        <f>'B1 (2)'!N42+'CÔng TăngHT'!N40-'Cộng giảm HT'!N40</f>
        <v>0</v>
      </c>
      <c r="O42" s="400">
        <f>'B1 (2)'!O42+'CÔng TăngHT'!O40-'Cộng giảm HT'!O40</f>
        <v>0</v>
      </c>
      <c r="P42" s="401"/>
      <c r="Q42" s="404"/>
    </row>
    <row r="43" spans="1:17" s="403" customFormat="1" ht="15.75">
      <c r="A43" s="350"/>
      <c r="B43" s="397" t="s">
        <v>62</v>
      </c>
      <c r="C43" s="398" t="s">
        <v>63</v>
      </c>
      <c r="D43" s="400">
        <f>SUM(E43:O43)</f>
        <v>6.8500000000000005</v>
      </c>
      <c r="E43" s="400">
        <f>'B1 (2)'!E43+'CÔng TăngHT'!E41-'Cộng giảm HT'!E41</f>
        <v>1.99</v>
      </c>
      <c r="F43" s="400">
        <f>'B1 (2)'!F43+'CÔng TăngHT'!F41-'Cộng giảm HT'!F41</f>
        <v>2.42</v>
      </c>
      <c r="G43" s="400">
        <f>'B1 (2)'!G43+'CÔng TăngHT'!G41-'Cộng giảm HT'!G41</f>
        <v>0</v>
      </c>
      <c r="H43" s="400">
        <f>'B1 (2)'!H43+'CÔng TăngHT'!H41-'Cộng giảm HT'!H41</f>
        <v>1.96</v>
      </c>
      <c r="I43" s="400">
        <f>'B1 (2)'!I43+'CÔng TăngHT'!I41-'Cộng giảm HT'!I41</f>
        <v>0.23</v>
      </c>
      <c r="J43" s="400">
        <f>'B1 (2)'!J43+'CÔng TăngHT'!J41-'Cộng giảm HT'!J41</f>
        <v>0.25</v>
      </c>
      <c r="K43" s="400">
        <f>'B1 (2)'!K43+'CÔng TăngHT'!K41-'Cộng giảm HT'!K41</f>
        <v>0</v>
      </c>
      <c r="L43" s="400">
        <f>'B1 (2)'!L43+'CÔng TăngHT'!L41-'Cộng giảm HT'!L41</f>
        <v>0</v>
      </c>
      <c r="M43" s="400">
        <f>'B1 (2)'!M43+'CÔng TăngHT'!M41-'Cộng giảm HT'!M41</f>
        <v>0</v>
      </c>
      <c r="N43" s="400">
        <f>'B1 (2)'!N43+'CÔng TăngHT'!N41-'Cộng giảm HT'!N41</f>
        <v>0</v>
      </c>
      <c r="O43" s="400">
        <f>'B1 (2)'!O43+'CÔng TăngHT'!O41-'Cộng giảm HT'!O41</f>
        <v>0</v>
      </c>
      <c r="P43" s="401"/>
      <c r="Q43" s="404"/>
    </row>
    <row r="44" spans="1:17" s="403" customFormat="1" ht="15.75">
      <c r="A44" s="350"/>
      <c r="B44" s="397" t="s">
        <v>246</v>
      </c>
      <c r="C44" s="398" t="s">
        <v>64</v>
      </c>
      <c r="D44" s="400">
        <f>SUM(E44:O44)</f>
        <v>116.26</v>
      </c>
      <c r="E44" s="400">
        <f>'B1 (2)'!E44+'CÔng TăngHT'!E42-'Cộng giảm HT'!E42</f>
        <v>7.18</v>
      </c>
      <c r="F44" s="400">
        <f>'B1 (2)'!F44+'CÔng TăngHT'!F42-'Cộng giảm HT'!F42</f>
        <v>6.41</v>
      </c>
      <c r="G44" s="400">
        <f>'B1 (2)'!G44+'CÔng TăngHT'!G42-'Cộng giảm HT'!G42</f>
        <v>10.57</v>
      </c>
      <c r="H44" s="400">
        <f>'B1 (2)'!H44+'CÔng TăngHT'!H42-'Cộng giảm HT'!H42</f>
        <v>9.31</v>
      </c>
      <c r="I44" s="400">
        <f>'B1 (2)'!I44+'CÔng TăngHT'!I42-'Cộng giảm HT'!I42</f>
        <v>25.65</v>
      </c>
      <c r="J44" s="400">
        <f>'B1 (2)'!J44+'CÔng TăngHT'!J42-'Cộng giảm HT'!J42</f>
        <v>4.9400000000000004</v>
      </c>
      <c r="K44" s="400">
        <f>'B1 (2)'!K44+'CÔng TăngHT'!K42-'Cộng giảm HT'!K42</f>
        <v>12.18</v>
      </c>
      <c r="L44" s="400">
        <f>'B1 (2)'!L44+'CÔng TăngHT'!L42-'Cộng giảm HT'!L42</f>
        <v>26.8</v>
      </c>
      <c r="M44" s="400">
        <f>'B1 (2)'!M44+'CÔng TăngHT'!M42-'Cộng giảm HT'!M42</f>
        <v>3.03</v>
      </c>
      <c r="N44" s="400">
        <f>'B1 (2)'!N44+'CÔng TăngHT'!N42-'Cộng giảm HT'!N42</f>
        <v>3.22</v>
      </c>
      <c r="O44" s="400">
        <f>'B1 (2)'!O44+'CÔng TăngHT'!O42-'Cộng giảm HT'!O42</f>
        <v>6.97</v>
      </c>
      <c r="P44" s="401"/>
      <c r="Q44" s="404"/>
    </row>
    <row r="45" spans="1:17" s="403" customFormat="1" ht="15.75">
      <c r="A45" s="350"/>
      <c r="B45" s="397" t="s">
        <v>214</v>
      </c>
      <c r="C45" s="398" t="s">
        <v>222</v>
      </c>
      <c r="D45" s="400">
        <f t="shared" si="2"/>
        <v>0</v>
      </c>
      <c r="E45" s="400">
        <f>'B1 (2)'!E45+'CÔng TăngHT'!E43-'Cộng giảm HT'!E43</f>
        <v>0</v>
      </c>
      <c r="F45" s="400">
        <f>'B1 (2)'!F45+'CÔng TăngHT'!F43-'Cộng giảm HT'!F43</f>
        <v>0</v>
      </c>
      <c r="G45" s="400">
        <f>'B1 (2)'!G45+'CÔng TăngHT'!G43-'Cộng giảm HT'!G43</f>
        <v>0</v>
      </c>
      <c r="H45" s="400">
        <f>'B1 (2)'!H45+'CÔng TăngHT'!H43-'Cộng giảm HT'!H43</f>
        <v>0</v>
      </c>
      <c r="I45" s="400">
        <f>'B1 (2)'!I45+'CÔng TăngHT'!I43-'Cộng giảm HT'!I43</f>
        <v>0</v>
      </c>
      <c r="J45" s="400">
        <f>'B1 (2)'!J45+'CÔng TăngHT'!J43-'Cộng giảm HT'!J43</f>
        <v>0</v>
      </c>
      <c r="K45" s="400">
        <f>'B1 (2)'!K45+'CÔng TăngHT'!K43-'Cộng giảm HT'!K43</f>
        <v>0</v>
      </c>
      <c r="L45" s="400">
        <f>'B1 (2)'!L45+'CÔng TăngHT'!L43-'Cộng giảm HT'!L43</f>
        <v>0</v>
      </c>
      <c r="M45" s="400">
        <f>'B1 (2)'!M45+'CÔng TăngHT'!M43-'Cộng giảm HT'!M43</f>
        <v>0</v>
      </c>
      <c r="N45" s="400">
        <f>'B1 (2)'!N45+'CÔng TăngHT'!N43-'Cộng giảm HT'!N43</f>
        <v>0</v>
      </c>
      <c r="O45" s="400">
        <f>'B1 (2)'!O45+'CÔng TăngHT'!O43-'Cộng giảm HT'!O43</f>
        <v>0</v>
      </c>
      <c r="P45" s="401"/>
      <c r="Q45" s="404"/>
    </row>
    <row r="46" spans="1:17" s="403" customFormat="1" ht="15.75">
      <c r="A46" s="350"/>
      <c r="B46" s="397" t="s">
        <v>215</v>
      </c>
      <c r="C46" s="398" t="s">
        <v>223</v>
      </c>
      <c r="D46" s="400">
        <f t="shared" si="2"/>
        <v>0.66</v>
      </c>
      <c r="E46" s="400">
        <f>'B1 (2)'!E46+'CÔng TăngHT'!E44-'Cộng giảm HT'!E44</f>
        <v>0.66</v>
      </c>
      <c r="F46" s="400">
        <f>'B1 (2)'!F46+'CÔng TăngHT'!F44-'Cộng giảm HT'!F44</f>
        <v>0</v>
      </c>
      <c r="G46" s="400">
        <f>'B1 (2)'!G46+'CÔng TăngHT'!G44-'Cộng giảm HT'!G44</f>
        <v>0</v>
      </c>
      <c r="H46" s="400">
        <f>'B1 (2)'!H46+'CÔng TăngHT'!H44-'Cộng giảm HT'!H44</f>
        <v>0</v>
      </c>
      <c r="I46" s="400">
        <f>'B1 (2)'!I46+'CÔng TăngHT'!I44-'Cộng giảm HT'!I44</f>
        <v>0</v>
      </c>
      <c r="J46" s="400">
        <f>'B1 (2)'!J46+'CÔng TăngHT'!J44-'Cộng giảm HT'!J44</f>
        <v>0</v>
      </c>
      <c r="K46" s="400">
        <f>'B1 (2)'!K46+'CÔng TăngHT'!K44-'Cộng giảm HT'!K44</f>
        <v>0</v>
      </c>
      <c r="L46" s="400">
        <f>'B1 (2)'!L46+'CÔng TăngHT'!L44-'Cộng giảm HT'!L44</f>
        <v>0</v>
      </c>
      <c r="M46" s="400">
        <f>'B1 (2)'!M46+'CÔng TăngHT'!M44-'Cộng giảm HT'!M44</f>
        <v>0</v>
      </c>
      <c r="N46" s="400">
        <f>'B1 (2)'!N46+'CÔng TăngHT'!N44-'Cộng giảm HT'!N44</f>
        <v>0</v>
      </c>
      <c r="O46" s="400">
        <f>'B1 (2)'!O46+'CÔng TăngHT'!O44-'Cộng giảm HT'!O44</f>
        <v>0</v>
      </c>
      <c r="P46" s="401"/>
      <c r="Q46" s="404"/>
    </row>
    <row r="47" spans="1:17" s="403" customFormat="1" ht="15.75">
      <c r="A47" s="350"/>
      <c r="B47" s="397" t="s">
        <v>219</v>
      </c>
      <c r="C47" s="398" t="s">
        <v>204</v>
      </c>
      <c r="D47" s="400">
        <f t="shared" si="2"/>
        <v>3.7499999999999996</v>
      </c>
      <c r="E47" s="400">
        <f>'B1 (2)'!E47+'CÔng TăngHT'!E45-'Cộng giảm HT'!E45</f>
        <v>1.48</v>
      </c>
      <c r="F47" s="400">
        <f>'B1 (2)'!F47+'CÔng TăngHT'!F45-'Cộng giảm HT'!F45</f>
        <v>0.18</v>
      </c>
      <c r="G47" s="400">
        <f>'B1 (2)'!G47+'CÔng TăngHT'!G45-'Cộng giảm HT'!G45</f>
        <v>1.52</v>
      </c>
      <c r="H47" s="400">
        <f>'B1 (2)'!H47+'CÔng TăngHT'!H45-'Cộng giảm HT'!H45</f>
        <v>0.3</v>
      </c>
      <c r="I47" s="400">
        <f>'B1 (2)'!I47+'CÔng TăngHT'!I45-'Cộng giảm HT'!I45</f>
        <v>0.09</v>
      </c>
      <c r="J47" s="400">
        <f>'B1 (2)'!J47+'CÔng TăngHT'!J45-'Cộng giảm HT'!J45</f>
        <v>0</v>
      </c>
      <c r="K47" s="400">
        <f>'B1 (2)'!K47+'CÔng TăngHT'!K45-'Cộng giảm HT'!K45</f>
        <v>0</v>
      </c>
      <c r="L47" s="400">
        <f>'B1 (2)'!L47+'CÔng TăngHT'!L45-'Cộng giảm HT'!L45</f>
        <v>0</v>
      </c>
      <c r="M47" s="400">
        <f>'B1 (2)'!M47+'CÔng TăngHT'!M45-'Cộng giảm HT'!M45</f>
        <v>0</v>
      </c>
      <c r="N47" s="400">
        <f>'B1 (2)'!N47+'CÔng TăngHT'!N45-'Cộng giảm HT'!N45</f>
        <v>0</v>
      </c>
      <c r="O47" s="400">
        <f>'B1 (2)'!O47+'CÔng TăngHT'!O45-'Cộng giảm HT'!O45</f>
        <v>0.18</v>
      </c>
      <c r="P47" s="401"/>
      <c r="Q47" s="404"/>
    </row>
    <row r="48" spans="1:17" ht="15.75">
      <c r="A48" s="394" t="s">
        <v>156</v>
      </c>
      <c r="B48" s="347" t="s">
        <v>48</v>
      </c>
      <c r="C48" s="70" t="s">
        <v>49</v>
      </c>
      <c r="D48" s="395"/>
      <c r="E48" s="395">
        <f>'B1 (2)'!E48+'CÔng TăngHT'!E46-'Cộng giảm HT'!E46</f>
        <v>0</v>
      </c>
      <c r="F48" s="395">
        <f>'B1 (2)'!F48+'CÔng TăngHT'!F46-'Cộng giảm HT'!F46</f>
        <v>0</v>
      </c>
      <c r="G48" s="395">
        <f>'B1 (2)'!G48+'CÔng TăngHT'!G46-'Cộng giảm HT'!G46</f>
        <v>0</v>
      </c>
      <c r="H48" s="395">
        <f>'B1 (2)'!H48+'CÔng TăngHT'!H46-'Cộng giảm HT'!H46</f>
        <v>0</v>
      </c>
      <c r="I48" s="395">
        <f>'B1 (2)'!I48+'CÔng TăngHT'!I46-'Cộng giảm HT'!I46</f>
        <v>0</v>
      </c>
      <c r="J48" s="395">
        <f>'B1 (2)'!J48+'CÔng TăngHT'!J46-'Cộng giảm HT'!J46</f>
        <v>0</v>
      </c>
      <c r="K48" s="395">
        <f>'B1 (2)'!K48+'CÔng TăngHT'!K46-'Cộng giảm HT'!K46</f>
        <v>0</v>
      </c>
      <c r="L48" s="395">
        <f>'B1 (2)'!L48+'CÔng TăngHT'!L46-'Cộng giảm HT'!L46</f>
        <v>0</v>
      </c>
      <c r="M48" s="395">
        <f>'B1 (2)'!M48+'CÔng TăngHT'!M46-'Cộng giảm HT'!M46</f>
        <v>0</v>
      </c>
      <c r="N48" s="395">
        <f>'B1 (2)'!N48+'CÔng TăngHT'!N46-'Cộng giảm HT'!N46</f>
        <v>0</v>
      </c>
      <c r="O48" s="395">
        <f>'B1 (2)'!O48+'CÔng TăngHT'!O46-'Cộng giảm HT'!O46</f>
        <v>0</v>
      </c>
      <c r="P48" s="71"/>
      <c r="Q48" s="348"/>
    </row>
    <row r="49" spans="1:17" ht="15.75">
      <c r="A49" s="394" t="s">
        <v>157</v>
      </c>
      <c r="B49" s="347" t="s">
        <v>67</v>
      </c>
      <c r="C49" s="70" t="s">
        <v>68</v>
      </c>
      <c r="D49" s="395">
        <f>SUM(E49:O49)</f>
        <v>13.11</v>
      </c>
      <c r="E49" s="395">
        <f>'B1 (2)'!E49+'CÔng TăngHT'!E47-'Cộng giảm HT'!E47</f>
        <v>1.25</v>
      </c>
      <c r="F49" s="395">
        <f>'B1 (2)'!F49+'CÔng TăngHT'!F47-'Cộng giảm HT'!F47</f>
        <v>2.95</v>
      </c>
      <c r="G49" s="395">
        <f>'B1 (2)'!G49+'CÔng TăngHT'!G47-'Cộng giảm HT'!G47</f>
        <v>1.69</v>
      </c>
      <c r="H49" s="395">
        <f>'B1 (2)'!H49+'CÔng TăngHT'!H47-'Cộng giảm HT'!H47</f>
        <v>0.49</v>
      </c>
      <c r="I49" s="395">
        <f>'B1 (2)'!I49+'CÔng TăngHT'!I47-'Cộng giảm HT'!I47</f>
        <v>1.1200000000000001</v>
      </c>
      <c r="J49" s="395">
        <f>'B1 (2)'!J49+'CÔng TăngHT'!J47-'Cộng giảm HT'!J47</f>
        <v>1.64</v>
      </c>
      <c r="K49" s="395">
        <f>'B1 (2)'!K49+'CÔng TăngHT'!K47-'Cộng giảm HT'!K47</f>
        <v>0.26</v>
      </c>
      <c r="L49" s="395">
        <f>'B1 (2)'!L49+'CÔng TăngHT'!L47-'Cộng giảm HT'!L47</f>
        <v>0.28999999999999998</v>
      </c>
      <c r="M49" s="395">
        <f>'B1 (2)'!M49+'CÔng TăngHT'!M47-'Cộng giảm HT'!M47</f>
        <v>0.49</v>
      </c>
      <c r="N49" s="395">
        <f>'B1 (2)'!N49+'CÔng TăngHT'!N47-'Cộng giảm HT'!N47</f>
        <v>1.38</v>
      </c>
      <c r="O49" s="395">
        <f>'B1 (2)'!O49+'CÔng TăngHT'!O47-'Cộng giảm HT'!O47</f>
        <v>1.55</v>
      </c>
      <c r="P49" s="71"/>
      <c r="Q49" s="348"/>
    </row>
    <row r="50" spans="1:17" ht="15.75">
      <c r="A50" s="394" t="s">
        <v>158</v>
      </c>
      <c r="B50" s="347" t="s">
        <v>69</v>
      </c>
      <c r="C50" s="70" t="s">
        <v>70</v>
      </c>
      <c r="D50" s="395">
        <f>SUM(E50:O50)</f>
        <v>3.08</v>
      </c>
      <c r="E50" s="395">
        <f>'B1 (2)'!E50+'CÔng TăngHT'!E48-'Cộng giảm HT'!E48</f>
        <v>2.4</v>
      </c>
      <c r="F50" s="395">
        <f>'B1 (2)'!F50+'CÔng TăngHT'!F48-'Cộng giảm HT'!F48</f>
        <v>0</v>
      </c>
      <c r="G50" s="395">
        <f>'B1 (2)'!G50+'CÔng TăngHT'!G48-'Cộng giảm HT'!G48</f>
        <v>0</v>
      </c>
      <c r="H50" s="395">
        <f>'B1 (2)'!H50+'CÔng TăngHT'!H48-'Cộng giảm HT'!H48</f>
        <v>0</v>
      </c>
      <c r="I50" s="395">
        <f>'B1 (2)'!I50+'CÔng TăngHT'!I48-'Cộng giảm HT'!I48</f>
        <v>0.68</v>
      </c>
      <c r="J50" s="395">
        <f>'B1 (2)'!J50+'CÔng TăngHT'!J48-'Cộng giảm HT'!J48</f>
        <v>0</v>
      </c>
      <c r="K50" s="395">
        <f>'B1 (2)'!K50+'CÔng TăngHT'!K48-'Cộng giảm HT'!K48</f>
        <v>0</v>
      </c>
      <c r="L50" s="395">
        <f>'B1 (2)'!L50+'CÔng TăngHT'!L48-'Cộng giảm HT'!L48</f>
        <v>0</v>
      </c>
      <c r="M50" s="395">
        <f>'B1 (2)'!M50+'CÔng TăngHT'!M48-'Cộng giảm HT'!M48</f>
        <v>0</v>
      </c>
      <c r="N50" s="395">
        <f>'B1 (2)'!N50+'CÔng TăngHT'!N48-'Cộng giảm HT'!N48</f>
        <v>0</v>
      </c>
      <c r="O50" s="395">
        <f>'B1 (2)'!O50+'CÔng TăngHT'!O48-'Cộng giảm HT'!O48</f>
        <v>0</v>
      </c>
      <c r="P50" s="71"/>
      <c r="Q50" s="348"/>
    </row>
    <row r="51" spans="1:17" ht="15.75">
      <c r="A51" s="394" t="s">
        <v>159</v>
      </c>
      <c r="B51" s="347" t="s">
        <v>52</v>
      </c>
      <c r="C51" s="70" t="s">
        <v>53</v>
      </c>
      <c r="D51" s="395">
        <f t="shared" si="2"/>
        <v>726.61</v>
      </c>
      <c r="E51" s="395">
        <f>'B1 (2)'!E51+'CÔng TăngHT'!E49-'Cộng giảm HT'!E49</f>
        <v>0</v>
      </c>
      <c r="F51" s="395">
        <f>'B1 (2)'!F51+'CÔng TăngHT'!F49-'Cộng giảm HT'!F49</f>
        <v>77.48</v>
      </c>
      <c r="G51" s="395">
        <f>'B1 (2)'!G51+'CÔng TăngHT'!G49-'Cộng giảm HT'!G49</f>
        <v>146.89000000000001</v>
      </c>
      <c r="H51" s="395">
        <f>'B1 (2)'!H51+'CÔng TăngHT'!H49-'Cộng giảm HT'!H49</f>
        <v>51.6</v>
      </c>
      <c r="I51" s="395">
        <f>'B1 (2)'!I51+'CÔng TăngHT'!I49-'Cộng giảm HT'!I49</f>
        <v>57.21</v>
      </c>
      <c r="J51" s="395">
        <f>'B1 (2)'!J51+'CÔng TăngHT'!J49-'Cộng giảm HT'!J49</f>
        <v>46.54</v>
      </c>
      <c r="K51" s="395">
        <f>'B1 (2)'!K51+'CÔng TăngHT'!K49-'Cộng giảm HT'!K49</f>
        <v>43.46</v>
      </c>
      <c r="L51" s="395">
        <f>'B1 (2)'!L51+'CÔng TăngHT'!L49-'Cộng giảm HT'!L49</f>
        <v>35.71</v>
      </c>
      <c r="M51" s="395">
        <f>'B1 (2)'!M51+'CÔng TăngHT'!M49-'Cộng giảm HT'!M49</f>
        <v>58.3</v>
      </c>
      <c r="N51" s="395">
        <f>'B1 (2)'!N51+'CÔng TăngHT'!N49-'Cộng giảm HT'!N49</f>
        <v>43.46</v>
      </c>
      <c r="O51" s="395">
        <f>'B1 (2)'!O51+'CÔng TăngHT'!O49-'Cộng giảm HT'!O49</f>
        <v>165.96</v>
      </c>
      <c r="P51" s="71"/>
      <c r="Q51" s="348"/>
    </row>
    <row r="52" spans="1:17" ht="15.75">
      <c r="A52" s="394" t="s">
        <v>160</v>
      </c>
      <c r="B52" s="347" t="s">
        <v>54</v>
      </c>
      <c r="C52" s="70" t="s">
        <v>55</v>
      </c>
      <c r="D52" s="395">
        <f t="shared" si="2"/>
        <v>122.77000000000001</v>
      </c>
      <c r="E52" s="395">
        <f>'B1 (2)'!E52+'CÔng TăngHT'!E50-'Cộng giảm HT'!E50</f>
        <v>122.77000000000001</v>
      </c>
      <c r="F52" s="395">
        <f>'B1 (2)'!F52+'CÔng TăngHT'!F50-'Cộng giảm HT'!F50</f>
        <v>0</v>
      </c>
      <c r="G52" s="395">
        <f>'B1 (2)'!G52+'CÔng TăngHT'!G50-'Cộng giảm HT'!G50</f>
        <v>0</v>
      </c>
      <c r="H52" s="395">
        <f>'B1 (2)'!H52+'CÔng TăngHT'!H50-'Cộng giảm HT'!H50</f>
        <v>0</v>
      </c>
      <c r="I52" s="395">
        <f>'B1 (2)'!I52+'CÔng TăngHT'!I50-'Cộng giảm HT'!I50</f>
        <v>0</v>
      </c>
      <c r="J52" s="395">
        <f>'B1 (2)'!J52+'CÔng TăngHT'!J50-'Cộng giảm HT'!J50</f>
        <v>0</v>
      </c>
      <c r="K52" s="395">
        <f>'B1 (2)'!K52+'CÔng TăngHT'!K50-'Cộng giảm HT'!K50</f>
        <v>0</v>
      </c>
      <c r="L52" s="395">
        <f>'B1 (2)'!L52+'CÔng TăngHT'!L50-'Cộng giảm HT'!L50</f>
        <v>0</v>
      </c>
      <c r="M52" s="395">
        <f>'B1 (2)'!M52+'CÔng TăngHT'!M50-'Cộng giảm HT'!M50</f>
        <v>0</v>
      </c>
      <c r="N52" s="395">
        <f>'B1 (2)'!N52+'CÔng TăngHT'!N50-'Cộng giảm HT'!N50</f>
        <v>0</v>
      </c>
      <c r="O52" s="395">
        <f>'B1 (2)'!O52+'CÔng TăngHT'!O50-'Cộng giảm HT'!O50</f>
        <v>0</v>
      </c>
      <c r="P52" s="71"/>
      <c r="Q52" s="348"/>
    </row>
    <row r="53" spans="1:17" ht="15.75">
      <c r="A53" s="394" t="s">
        <v>161</v>
      </c>
      <c r="B53" s="347" t="s">
        <v>56</v>
      </c>
      <c r="C53" s="70" t="s">
        <v>57</v>
      </c>
      <c r="D53" s="395">
        <f t="shared" si="2"/>
        <v>21.6</v>
      </c>
      <c r="E53" s="395">
        <f>'B1 (2)'!E53+'CÔng TăngHT'!E51-'Cộng giảm HT'!E51</f>
        <v>14.4</v>
      </c>
      <c r="F53" s="395">
        <f>'B1 (2)'!F53+'CÔng TăngHT'!F51-'Cộng giảm HT'!F51</f>
        <v>0.49</v>
      </c>
      <c r="G53" s="395">
        <f>'B1 (2)'!G53+'CÔng TăngHT'!G51-'Cộng giảm HT'!G51</f>
        <v>1.9</v>
      </c>
      <c r="H53" s="395">
        <f>'B1 (2)'!H53+'CÔng TăngHT'!H51-'Cộng giảm HT'!H51</f>
        <v>0.36</v>
      </c>
      <c r="I53" s="395">
        <f>'B1 (2)'!I53+'CÔng TăngHT'!I51-'Cộng giảm HT'!I51</f>
        <v>0.48000000000000004</v>
      </c>
      <c r="J53" s="395">
        <f>'B1 (2)'!J53+'CÔng TăngHT'!J51-'Cộng giảm HT'!J51</f>
        <v>0.27</v>
      </c>
      <c r="K53" s="395">
        <f>'B1 (2)'!K53+'CÔng TăngHT'!K51-'Cộng giảm HT'!K51</f>
        <v>0.92</v>
      </c>
      <c r="L53" s="395">
        <f>'B1 (2)'!L53+'CÔng TăngHT'!L51-'Cộng giảm HT'!L51</f>
        <v>0.39</v>
      </c>
      <c r="M53" s="395">
        <f>'B1 (2)'!M53+'CÔng TăngHT'!M51-'Cộng giảm HT'!M51</f>
        <v>0.89</v>
      </c>
      <c r="N53" s="395">
        <f>'B1 (2)'!N53+'CÔng TăngHT'!N51-'Cộng giảm HT'!N51</f>
        <v>1.1600000000000001</v>
      </c>
      <c r="O53" s="395">
        <f>'B1 (2)'!O53+'CÔng TăngHT'!O51-'Cộng giảm HT'!O51</f>
        <v>0.34</v>
      </c>
      <c r="P53" s="71"/>
      <c r="Q53" s="348"/>
    </row>
    <row r="54" spans="1:17" ht="16.5" customHeight="1">
      <c r="A54" s="394" t="s">
        <v>162</v>
      </c>
      <c r="B54" s="347" t="s">
        <v>58</v>
      </c>
      <c r="C54" s="70" t="s">
        <v>59</v>
      </c>
      <c r="D54" s="395">
        <f t="shared" si="2"/>
        <v>5.03</v>
      </c>
      <c r="E54" s="395">
        <f>'B1 (2)'!E54+'CÔng TăngHT'!E52-'Cộng giảm HT'!E52</f>
        <v>0.13</v>
      </c>
      <c r="F54" s="395">
        <f>'B1 (2)'!F54+'CÔng TăngHT'!F52-'Cộng giảm HT'!F52</f>
        <v>0</v>
      </c>
      <c r="G54" s="395">
        <f>'B1 (2)'!G54+'CÔng TăngHT'!G52-'Cộng giảm HT'!G52</f>
        <v>3.04</v>
      </c>
      <c r="H54" s="395">
        <f>'B1 (2)'!H54+'CÔng TăngHT'!H52-'Cộng giảm HT'!H52</f>
        <v>0.77</v>
      </c>
      <c r="I54" s="395">
        <f>'B1 (2)'!I54+'CÔng TăngHT'!I52-'Cộng giảm HT'!I52</f>
        <v>0</v>
      </c>
      <c r="J54" s="395">
        <f>'B1 (2)'!J54+'CÔng TăngHT'!J52-'Cộng giảm HT'!J52</f>
        <v>0</v>
      </c>
      <c r="K54" s="395">
        <f>'B1 (2)'!K54+'CÔng TăngHT'!K52-'Cộng giảm HT'!K52</f>
        <v>0</v>
      </c>
      <c r="L54" s="395">
        <f>'B1 (2)'!L54+'CÔng TăngHT'!L52-'Cộng giảm HT'!L52</f>
        <v>1.0900000000000001</v>
      </c>
      <c r="M54" s="395">
        <f>'B1 (2)'!M54+'CÔng TăngHT'!M52-'Cộng giảm HT'!M52</f>
        <v>0</v>
      </c>
      <c r="N54" s="395">
        <f>'B1 (2)'!N54+'CÔng TăngHT'!N52-'Cộng giảm HT'!N52</f>
        <v>0</v>
      </c>
      <c r="O54" s="395">
        <f>'B1 (2)'!O54+'CÔng TăngHT'!O52-'Cộng giảm HT'!O52</f>
        <v>0</v>
      </c>
      <c r="P54" s="71"/>
      <c r="Q54" s="348"/>
    </row>
    <row r="55" spans="1:17" ht="15.75">
      <c r="A55" s="394" t="s">
        <v>163</v>
      </c>
      <c r="B55" s="347" t="s">
        <v>60</v>
      </c>
      <c r="C55" s="70" t="s">
        <v>61</v>
      </c>
      <c r="D55" s="395"/>
      <c r="E55" s="395">
        <f>'B1 (2)'!E55+'CÔng TăngHT'!E53-'Cộng giảm HT'!E53</f>
        <v>0</v>
      </c>
      <c r="F55" s="395">
        <f>'B1 (2)'!F55+'CÔng TăngHT'!F53-'Cộng giảm HT'!F53</f>
        <v>0</v>
      </c>
      <c r="G55" s="395">
        <f>'B1 (2)'!G55+'CÔng TăngHT'!G53-'Cộng giảm HT'!G53</f>
        <v>0</v>
      </c>
      <c r="H55" s="395">
        <f>'B1 (2)'!H55+'CÔng TăngHT'!H53-'Cộng giảm HT'!H53</f>
        <v>0</v>
      </c>
      <c r="I55" s="395">
        <f>'B1 (2)'!I55+'CÔng TăngHT'!I53-'Cộng giảm HT'!I53</f>
        <v>0</v>
      </c>
      <c r="J55" s="395">
        <f>'B1 (2)'!J55+'CÔng TăngHT'!J53-'Cộng giảm HT'!J53</f>
        <v>0</v>
      </c>
      <c r="K55" s="395">
        <f>'B1 (2)'!K55+'CÔng TăngHT'!K53-'Cộng giảm HT'!K53</f>
        <v>0</v>
      </c>
      <c r="L55" s="395">
        <f>'B1 (2)'!L55+'CÔng TăngHT'!L53-'Cộng giảm HT'!L53</f>
        <v>0</v>
      </c>
      <c r="M55" s="395">
        <f>'B1 (2)'!M55+'CÔng TăngHT'!M53-'Cộng giảm HT'!M53</f>
        <v>0</v>
      </c>
      <c r="N55" s="395">
        <f>'B1 (2)'!N55+'CÔng TăngHT'!N53-'Cộng giảm HT'!N53</f>
        <v>0</v>
      </c>
      <c r="O55" s="395">
        <f>'B1 (2)'!O55+'CÔng TăngHT'!O53-'Cộng giảm HT'!O53</f>
        <v>0</v>
      </c>
      <c r="P55" s="71"/>
      <c r="Q55" s="348"/>
    </row>
    <row r="56" spans="1:17" ht="15.75">
      <c r="A56" s="394" t="s">
        <v>164</v>
      </c>
      <c r="B56" s="347" t="s">
        <v>71</v>
      </c>
      <c r="C56" s="70" t="s">
        <v>72</v>
      </c>
      <c r="D56" s="395">
        <f t="shared" si="2"/>
        <v>0.27</v>
      </c>
      <c r="E56" s="395">
        <f>'B1 (2)'!E56+'CÔng TăngHT'!E54-'Cộng giảm HT'!E54</f>
        <v>0</v>
      </c>
      <c r="F56" s="395">
        <f>'B1 (2)'!F56+'CÔng TăngHT'!F54-'Cộng giảm HT'!F54</f>
        <v>0</v>
      </c>
      <c r="G56" s="395">
        <f>'B1 (2)'!G56+'CÔng TăngHT'!G54-'Cộng giảm HT'!G54</f>
        <v>0</v>
      </c>
      <c r="H56" s="395">
        <f>'B1 (2)'!H56+'CÔng TăngHT'!H54-'Cộng giảm HT'!H54</f>
        <v>0</v>
      </c>
      <c r="I56" s="395">
        <f>'B1 (2)'!I56+'CÔng TăngHT'!I54-'Cộng giảm HT'!I54</f>
        <v>0</v>
      </c>
      <c r="J56" s="395">
        <f>'B1 (2)'!J56+'CÔng TăngHT'!J54-'Cộng giảm HT'!J54</f>
        <v>0</v>
      </c>
      <c r="K56" s="395">
        <f>'B1 (2)'!K56+'CÔng TăngHT'!K54-'Cộng giảm HT'!K54</f>
        <v>0</v>
      </c>
      <c r="L56" s="395">
        <f>'B1 (2)'!L56+'CÔng TăngHT'!L54-'Cộng giảm HT'!L54</f>
        <v>0</v>
      </c>
      <c r="M56" s="395">
        <f>'B1 (2)'!M56+'CÔng TăngHT'!M54-'Cộng giảm HT'!M54</f>
        <v>0</v>
      </c>
      <c r="N56" s="395">
        <f>'B1 (2)'!N56+'CÔng TăngHT'!N54-'Cộng giảm HT'!N54</f>
        <v>0.24</v>
      </c>
      <c r="O56" s="395">
        <f>'B1 (2)'!O56+'CÔng TăngHT'!O54-'Cộng giảm HT'!O54</f>
        <v>0.03</v>
      </c>
      <c r="P56" s="71"/>
      <c r="Q56" s="348"/>
    </row>
    <row r="57" spans="1:17" ht="15.75">
      <c r="A57" s="394" t="s">
        <v>165</v>
      </c>
      <c r="B57" s="347" t="s">
        <v>181</v>
      </c>
      <c r="C57" s="70" t="s">
        <v>74</v>
      </c>
      <c r="D57" s="395">
        <f t="shared" si="2"/>
        <v>1000.5</v>
      </c>
      <c r="E57" s="395">
        <f>'B1 (2)'!E57+'CÔng TăngHT'!E55-'Cộng giảm HT'!E55</f>
        <v>31.59</v>
      </c>
      <c r="F57" s="395">
        <f>'B1 (2)'!F57+'CÔng TăngHT'!F55-'Cộng giảm HT'!F55</f>
        <v>105.51</v>
      </c>
      <c r="G57" s="395">
        <f>'B1 (2)'!G57+'CÔng TăngHT'!G55-'Cộng giảm HT'!G55</f>
        <v>190.1</v>
      </c>
      <c r="H57" s="395">
        <f>'B1 (2)'!H57+'CÔng TăngHT'!H55-'Cộng giảm HT'!H55</f>
        <v>152.99</v>
      </c>
      <c r="I57" s="395">
        <f>'B1 (2)'!I57+'CÔng TăngHT'!I55-'Cộng giảm HT'!I55</f>
        <v>36.89</v>
      </c>
      <c r="J57" s="395">
        <f>'B1 (2)'!J57+'CÔng TăngHT'!J55-'Cộng giảm HT'!J55</f>
        <v>61.61</v>
      </c>
      <c r="K57" s="395">
        <f>'B1 (2)'!K57+'CÔng TăngHT'!K55-'Cộng giảm HT'!K55</f>
        <v>88.62</v>
      </c>
      <c r="L57" s="395">
        <f>'B1 (2)'!L57+'CÔng TăngHT'!L55-'Cộng giảm HT'!L55</f>
        <v>139.13999999999999</v>
      </c>
      <c r="M57" s="395">
        <f>'B1 (2)'!M57+'CÔng TăngHT'!M55-'Cộng giảm HT'!M55</f>
        <v>38.92</v>
      </c>
      <c r="N57" s="395">
        <f>'B1 (2)'!N57+'CÔng TăngHT'!N55-'Cộng giảm HT'!N55</f>
        <v>81.680000000000007</v>
      </c>
      <c r="O57" s="395">
        <f>'B1 (2)'!O57+'CÔng TăngHT'!O55-'Cộng giảm HT'!O55</f>
        <v>73.45</v>
      </c>
      <c r="P57" s="71"/>
      <c r="Q57" s="348"/>
    </row>
    <row r="58" spans="1:17" ht="15.75">
      <c r="A58" s="394" t="s">
        <v>166</v>
      </c>
      <c r="B58" s="347" t="s">
        <v>75</v>
      </c>
      <c r="C58" s="70" t="s">
        <v>76</v>
      </c>
      <c r="D58" s="395">
        <f t="shared" si="2"/>
        <v>64.550000000000011</v>
      </c>
      <c r="E58" s="395">
        <f>'B1 (2)'!E58+'CÔng TăngHT'!E56-'Cộng giảm HT'!E56</f>
        <v>2.06</v>
      </c>
      <c r="F58" s="395">
        <f>'B1 (2)'!F58+'CÔng TăngHT'!F56-'Cộng giảm HT'!F56</f>
        <v>16.07</v>
      </c>
      <c r="G58" s="395">
        <f>'B1 (2)'!G58+'CÔng TăngHT'!G56-'Cộng giảm HT'!G56</f>
        <v>21.31</v>
      </c>
      <c r="H58" s="395">
        <f>'B1 (2)'!H58+'CÔng TăngHT'!H56-'Cộng giảm HT'!H56</f>
        <v>0</v>
      </c>
      <c r="I58" s="395">
        <f>'B1 (2)'!I58+'CÔng TăngHT'!I56-'Cộng giảm HT'!I56</f>
        <v>0.31</v>
      </c>
      <c r="J58" s="395">
        <f>'B1 (2)'!J58+'CÔng TăngHT'!J56-'Cộng giảm HT'!J56</f>
        <v>0</v>
      </c>
      <c r="K58" s="395">
        <f>'B1 (2)'!K58+'CÔng TăngHT'!K56-'Cộng giảm HT'!K56</f>
        <v>4.3099999999999996</v>
      </c>
      <c r="L58" s="395">
        <f>'B1 (2)'!L58+'CÔng TăngHT'!L56-'Cộng giảm HT'!L56</f>
        <v>0</v>
      </c>
      <c r="M58" s="395">
        <f>'B1 (2)'!M58+'CÔng TăngHT'!M56-'Cộng giảm HT'!M56</f>
        <v>0.84</v>
      </c>
      <c r="N58" s="395">
        <f>'B1 (2)'!N58+'CÔng TăngHT'!N56-'Cộng giảm HT'!N56</f>
        <v>0</v>
      </c>
      <c r="O58" s="395">
        <f>'B1 (2)'!O58+'CÔng TăngHT'!O56-'Cộng giảm HT'!O56</f>
        <v>19.649999999999999</v>
      </c>
      <c r="P58" s="71"/>
      <c r="Q58" s="348"/>
    </row>
    <row r="59" spans="1:17" ht="15.75">
      <c r="A59" s="394" t="s">
        <v>167</v>
      </c>
      <c r="B59" s="347" t="s">
        <v>77</v>
      </c>
      <c r="C59" s="70" t="s">
        <v>78</v>
      </c>
      <c r="D59" s="395">
        <f t="shared" si="2"/>
        <v>1.8699999999999999</v>
      </c>
      <c r="E59" s="346">
        <f>'B1 (2)'!E59+'CÔng TăngHT'!E57-'Cộng giảm HT'!E57</f>
        <v>0</v>
      </c>
      <c r="F59" s="346">
        <f>'B1 (2)'!F59+'CÔng TăngHT'!F57-'Cộng giảm HT'!F57</f>
        <v>0</v>
      </c>
      <c r="G59" s="346">
        <f>'B1 (2)'!G59+'CÔng TăngHT'!G57-'Cộng giảm HT'!G57</f>
        <v>0.15000000000000002</v>
      </c>
      <c r="H59" s="346">
        <f>'B1 (2)'!H59+'CÔng TăngHT'!H57-'Cộng giảm HT'!H57</f>
        <v>0</v>
      </c>
      <c r="I59" s="346">
        <f>'B1 (2)'!I59+'CÔng TăngHT'!I57-'Cộng giảm HT'!I57</f>
        <v>0.98</v>
      </c>
      <c r="J59" s="346">
        <f>'B1 (2)'!J59+'CÔng TăngHT'!J57-'Cộng giảm HT'!J57</f>
        <v>0</v>
      </c>
      <c r="K59" s="346">
        <f>'B1 (2)'!K59+'CÔng TăngHT'!K57-'Cộng giảm HT'!K57</f>
        <v>0</v>
      </c>
      <c r="L59" s="346">
        <f>'B1 (2)'!L59+'CÔng TăngHT'!L57-'Cộng giảm HT'!L57</f>
        <v>0</v>
      </c>
      <c r="M59" s="346">
        <f>'B1 (2)'!M59+'CÔng TăngHT'!M57-'Cộng giảm HT'!M57</f>
        <v>0</v>
      </c>
      <c r="N59" s="346">
        <f>'B1 (2)'!N59+'CÔng TăngHT'!N57-'Cộng giảm HT'!N57</f>
        <v>0.31</v>
      </c>
      <c r="O59" s="346">
        <f>'B1 (2)'!O59+'CÔng TăngHT'!O57-'Cộng giảm HT'!O57</f>
        <v>0.43</v>
      </c>
      <c r="P59" s="71"/>
      <c r="Q59" s="348"/>
    </row>
    <row r="60" spans="1:17" ht="15.75">
      <c r="A60" s="405">
        <v>3</v>
      </c>
      <c r="B60" s="406" t="s">
        <v>79</v>
      </c>
      <c r="C60" s="407" t="s">
        <v>80</v>
      </c>
      <c r="D60" s="408">
        <f t="shared" si="2"/>
        <v>170.91000000000003</v>
      </c>
      <c r="E60" s="408">
        <f>'B1 (2)'!E60+'CÔng TăngHT'!E58-'Cộng giảm HT'!E58</f>
        <v>0</v>
      </c>
      <c r="F60" s="408">
        <f>'B1 (2)'!F60+'CÔng TăngHT'!F58-'Cộng giảm HT'!F58</f>
        <v>0</v>
      </c>
      <c r="G60" s="408">
        <f>'B1 (2)'!G60+'CÔng TăngHT'!G58-'Cộng giảm HT'!G58</f>
        <v>11.34</v>
      </c>
      <c r="H60" s="408">
        <f>'B1 (2)'!H60+'CÔng TăngHT'!H58-'Cộng giảm HT'!H58</f>
        <v>37.47</v>
      </c>
      <c r="I60" s="408">
        <f>'B1 (2)'!I60+'CÔng TăngHT'!I58-'Cộng giảm HT'!I58</f>
        <v>8.14</v>
      </c>
      <c r="J60" s="408">
        <f>'B1 (2)'!J60+'CÔng TăngHT'!J58-'Cộng giảm HT'!J58</f>
        <v>9.65</v>
      </c>
      <c r="K60" s="408">
        <f>'B1 (2)'!K60+'CÔng TăngHT'!K58-'Cộng giảm HT'!K58</f>
        <v>11.8</v>
      </c>
      <c r="L60" s="408">
        <f>'B1 (2)'!L60+'CÔng TăngHT'!L58-'Cộng giảm HT'!L58</f>
        <v>22.28</v>
      </c>
      <c r="M60" s="408">
        <f>'B1 (2)'!M60+'CÔng TăngHT'!M58-'Cộng giảm HT'!M58</f>
        <v>0</v>
      </c>
      <c r="N60" s="408">
        <f>'B1 (2)'!N60+'CÔng TăngHT'!N58-'Cộng giảm HT'!N58</f>
        <v>0</v>
      </c>
      <c r="O60" s="408">
        <f>'B1 (2)'!O60+'CÔng TăngHT'!O58-'Cộng giảm HT'!O58</f>
        <v>70.23</v>
      </c>
      <c r="P60" s="71"/>
      <c r="Q60" s="348"/>
    </row>
    <row r="61" spans="1:17">
      <c r="M61" s="409"/>
    </row>
    <row r="62" spans="1:17">
      <c r="D62" s="376"/>
      <c r="M62" s="409"/>
    </row>
    <row r="63" spans="1:17" ht="15.75">
      <c r="E63" s="410"/>
      <c r="F63" s="410"/>
      <c r="G63" s="410"/>
      <c r="H63" s="410"/>
      <c r="I63" s="410"/>
      <c r="J63" s="410"/>
      <c r="K63" s="411"/>
      <c r="L63" s="410"/>
      <c r="M63" s="410"/>
      <c r="N63" s="410"/>
      <c r="O63" s="410"/>
      <c r="P63" s="348"/>
    </row>
    <row r="64" spans="1:17" ht="15.75">
      <c r="E64" s="410"/>
      <c r="F64" s="410"/>
      <c r="G64" s="410"/>
      <c r="H64" s="410"/>
      <c r="I64" s="410"/>
      <c r="J64" s="410"/>
      <c r="K64" s="410"/>
      <c r="L64" s="410"/>
      <c r="M64" s="410"/>
      <c r="N64" s="410"/>
      <c r="O64" s="410"/>
      <c r="P64" s="348"/>
    </row>
  </sheetData>
  <mergeCells count="8">
    <mergeCell ref="A1:B1"/>
    <mergeCell ref="A2:O2"/>
    <mergeCell ref="A3:O3"/>
    <mergeCell ref="A4:A6"/>
    <mergeCell ref="B4:B6"/>
    <mergeCell ref="C4:C6"/>
    <mergeCell ref="D4:D6"/>
    <mergeCell ref="E4:O5"/>
  </mergeCells>
  <pageMargins left="0.74" right="0.17" top="0.48" bottom="0.21" header="0.26" footer="0.42"/>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9"/>
  <sheetViews>
    <sheetView topLeftCell="A38" zoomScale="80" zoomScaleNormal="80" workbookViewId="0">
      <selection activeCell="H45" sqref="H45"/>
    </sheetView>
  </sheetViews>
  <sheetFormatPr defaultColWidth="9.140625" defaultRowHeight="15.75"/>
  <cols>
    <col min="1" max="1" width="5.7109375" style="83" customWidth="1"/>
    <col min="2" max="2" width="37" style="83" customWidth="1"/>
    <col min="3" max="3" width="6.85546875" style="83" customWidth="1"/>
    <col min="4" max="4" width="13.5703125" style="83" customWidth="1"/>
    <col min="5" max="5" width="14" style="83" customWidth="1"/>
    <col min="6" max="6" width="13.42578125" style="83" bestFit="1" customWidth="1"/>
    <col min="7" max="7" width="12.7109375" style="83" customWidth="1"/>
    <col min="8" max="8" width="17.28515625" style="83" customWidth="1"/>
    <col min="9" max="9" width="25" style="83" customWidth="1"/>
    <col min="10" max="10" width="26.28515625" style="83" bestFit="1" customWidth="1"/>
    <col min="11" max="11" width="41.28515625" style="83" bestFit="1" customWidth="1"/>
    <col min="12" max="16384" width="9.140625" style="83"/>
  </cols>
  <sheetData>
    <row r="1" spans="1:11" ht="16.5">
      <c r="A1" s="196" t="s">
        <v>137</v>
      </c>
      <c r="B1" s="197"/>
      <c r="C1" s="197"/>
      <c r="D1" s="197"/>
      <c r="E1" s="197"/>
      <c r="F1" s="197"/>
      <c r="G1" s="197"/>
    </row>
    <row r="2" spans="1:11" ht="35.25" customHeight="1">
      <c r="A2" s="1291" t="s">
        <v>312</v>
      </c>
      <c r="B2" s="1291"/>
      <c r="C2" s="1291"/>
      <c r="D2" s="1291"/>
      <c r="E2" s="1291"/>
      <c r="F2" s="1291"/>
      <c r="G2" s="1291"/>
    </row>
    <row r="3" spans="1:11" ht="32.25" customHeight="1">
      <c r="A3" s="1293" t="s">
        <v>1</v>
      </c>
      <c r="B3" s="1293" t="s">
        <v>2</v>
      </c>
      <c r="C3" s="1293" t="s">
        <v>3</v>
      </c>
      <c r="D3" s="1292" t="s">
        <v>784</v>
      </c>
      <c r="E3" s="1292" t="s">
        <v>1023</v>
      </c>
      <c r="F3" s="1292"/>
      <c r="G3" s="1292"/>
    </row>
    <row r="4" spans="1:11" ht="15.75" customHeight="1">
      <c r="A4" s="1293"/>
      <c r="B4" s="1293"/>
      <c r="C4" s="1293"/>
      <c r="D4" s="1292"/>
      <c r="E4" s="1292" t="s">
        <v>122</v>
      </c>
      <c r="F4" s="1292" t="s">
        <v>127</v>
      </c>
      <c r="G4" s="1292"/>
    </row>
    <row r="5" spans="1:11" ht="48.75" customHeight="1">
      <c r="A5" s="1293"/>
      <c r="B5" s="1293"/>
      <c r="C5" s="1293"/>
      <c r="D5" s="1292"/>
      <c r="E5" s="1292"/>
      <c r="F5" s="1292" t="s">
        <v>123</v>
      </c>
      <c r="G5" s="1292" t="s">
        <v>124</v>
      </c>
    </row>
    <row r="6" spans="1:11" ht="11.25" customHeight="1">
      <c r="A6" s="1293"/>
      <c r="B6" s="1293"/>
      <c r="C6" s="1293"/>
      <c r="D6" s="1292"/>
      <c r="E6" s="1292"/>
      <c r="F6" s="1292"/>
      <c r="G6" s="1292"/>
    </row>
    <row r="7" spans="1:11" ht="33" customHeight="1">
      <c r="A7" s="176">
        <v>-1</v>
      </c>
      <c r="B7" s="176">
        <v>-2</v>
      </c>
      <c r="C7" s="176">
        <v>-3</v>
      </c>
      <c r="D7" s="176">
        <v>-4</v>
      </c>
      <c r="E7" s="176">
        <v>-5</v>
      </c>
      <c r="F7" s="177" t="s">
        <v>125</v>
      </c>
      <c r="G7" s="177" t="s">
        <v>126</v>
      </c>
    </row>
    <row r="8" spans="1:11" s="82" customFormat="1" ht="16.5">
      <c r="A8" s="194"/>
      <c r="B8" s="194" t="s">
        <v>131</v>
      </c>
      <c r="C8" s="194"/>
      <c r="D8" s="178">
        <v>143172.85999999999</v>
      </c>
      <c r="E8" s="178">
        <f>E9+E21+E59</f>
        <v>143172.85999999999</v>
      </c>
      <c r="F8" s="179">
        <f t="shared" ref="F8:F14" si="0">E8-D8</f>
        <v>0</v>
      </c>
      <c r="G8" s="179">
        <f>E8/D8*100</f>
        <v>100</v>
      </c>
      <c r="H8" s="84"/>
      <c r="I8" s="84"/>
      <c r="J8" s="82" t="str">
        <f>D3</f>
        <v>Kế hoạch sử dụng đất năm 2023 (ha)</v>
      </c>
      <c r="K8" s="82" t="str">
        <f>E3</f>
        <v>Kết quả thực hiện đến ngày 30/9/2023</v>
      </c>
    </row>
    <row r="9" spans="1:11" s="82" customFormat="1" ht="16.5">
      <c r="A9" s="194">
        <v>1</v>
      </c>
      <c r="B9" s="180" t="s">
        <v>6</v>
      </c>
      <c r="C9" s="194" t="s">
        <v>7</v>
      </c>
      <c r="D9" s="181">
        <v>134491.54</v>
      </c>
      <c r="E9" s="178">
        <f>'B1'!D10</f>
        <v>134734.37</v>
      </c>
      <c r="F9" s="179">
        <f t="shared" si="0"/>
        <v>242.82999999998719</v>
      </c>
      <c r="G9" s="179">
        <f t="shared" ref="G9:G46" si="1">E9/D9*100</f>
        <v>100.18055410771561</v>
      </c>
      <c r="H9" s="85"/>
      <c r="I9" s="84" t="str">
        <f>B9</f>
        <v>Đất nông nghiệp</v>
      </c>
      <c r="J9" s="253">
        <f>D9</f>
        <v>134491.54</v>
      </c>
      <c r="K9" s="254">
        <f>E9</f>
        <v>134734.37</v>
      </c>
    </row>
    <row r="10" spans="1:11" ht="16.5">
      <c r="A10" s="177" t="s">
        <v>139</v>
      </c>
      <c r="B10" s="182" t="s">
        <v>8</v>
      </c>
      <c r="C10" s="177" t="s">
        <v>9</v>
      </c>
      <c r="D10" s="183">
        <v>1203.32</v>
      </c>
      <c r="E10" s="184">
        <f>'B1'!D11</f>
        <v>1206.1199999999999</v>
      </c>
      <c r="F10" s="185">
        <f t="shared" si="0"/>
        <v>2.7999999999999545</v>
      </c>
      <c r="G10" s="185">
        <f t="shared" si="1"/>
        <v>100.23268955888707</v>
      </c>
      <c r="H10" s="87">
        <f>D10+SUM(D12:D16)+SUM(D18:D20)</f>
        <v>134491.54</v>
      </c>
      <c r="I10" s="84" t="str">
        <f>B21</f>
        <v>Đất phi nông nghiệp</v>
      </c>
      <c r="J10" s="255">
        <f>D21</f>
        <v>8525.9599999999991</v>
      </c>
      <c r="K10" s="256">
        <f>E21</f>
        <v>8267.58</v>
      </c>
    </row>
    <row r="11" spans="1:11" s="90" customFormat="1" ht="16.5" customHeight="1">
      <c r="A11" s="186"/>
      <c r="B11" s="187" t="s">
        <v>10</v>
      </c>
      <c r="C11" s="186" t="s">
        <v>11</v>
      </c>
      <c r="D11" s="188">
        <v>736.53</v>
      </c>
      <c r="E11" s="184">
        <f>'B1'!D12</f>
        <v>737.82999999999993</v>
      </c>
      <c r="F11" s="185">
        <f t="shared" si="0"/>
        <v>1.2999999999999545</v>
      </c>
      <c r="G11" s="190">
        <f t="shared" si="1"/>
        <v>100.17650333319756</v>
      </c>
      <c r="H11" s="88"/>
      <c r="I11" s="89" t="str">
        <f>B59</f>
        <v>Đất chưa sử dụng</v>
      </c>
      <c r="J11" s="257">
        <f>D59</f>
        <v>155.36000000000001</v>
      </c>
      <c r="K11" s="257">
        <f>E59</f>
        <v>170.91000000000003</v>
      </c>
    </row>
    <row r="12" spans="1:11" ht="16.5">
      <c r="A12" s="177" t="s">
        <v>140</v>
      </c>
      <c r="B12" s="182" t="s">
        <v>12</v>
      </c>
      <c r="C12" s="177" t="s">
        <v>13</v>
      </c>
      <c r="D12" s="183">
        <v>15216.81</v>
      </c>
      <c r="E12" s="184">
        <f>'B1'!D13</f>
        <v>15432.95</v>
      </c>
      <c r="F12" s="185">
        <f t="shared" si="0"/>
        <v>216.14000000000124</v>
      </c>
      <c r="G12" s="185">
        <f t="shared" si="1"/>
        <v>101.42040283081673</v>
      </c>
      <c r="H12" s="87"/>
      <c r="I12" s="84"/>
      <c r="J12" s="87"/>
      <c r="K12" s="87"/>
    </row>
    <row r="13" spans="1:11" ht="16.5">
      <c r="A13" s="177" t="s">
        <v>141</v>
      </c>
      <c r="B13" s="182" t="s">
        <v>14</v>
      </c>
      <c r="C13" s="177" t="s">
        <v>15</v>
      </c>
      <c r="D13" s="183">
        <v>27309.17</v>
      </c>
      <c r="E13" s="184">
        <f>'B1'!D14</f>
        <v>27265.360000000001</v>
      </c>
      <c r="F13" s="185">
        <f t="shared" si="0"/>
        <v>-43.809999999997672</v>
      </c>
      <c r="G13" s="185">
        <f t="shared" si="1"/>
        <v>99.839577694964746</v>
      </c>
      <c r="I13" s="84"/>
      <c r="J13" s="87"/>
      <c r="K13" s="87"/>
    </row>
    <row r="14" spans="1:11" ht="16.5">
      <c r="A14" s="177" t="s">
        <v>142</v>
      </c>
      <c r="B14" s="182" t="s">
        <v>16</v>
      </c>
      <c r="C14" s="177" t="s">
        <v>17</v>
      </c>
      <c r="D14" s="183">
        <v>13276.07</v>
      </c>
      <c r="E14" s="184">
        <f>'B1'!D15</f>
        <v>13311.81</v>
      </c>
      <c r="F14" s="185">
        <f t="shared" si="0"/>
        <v>35.739999999999782</v>
      </c>
      <c r="G14" s="185">
        <f t="shared" si="1"/>
        <v>100.2692061732124</v>
      </c>
      <c r="H14" s="91"/>
      <c r="I14" s="84"/>
    </row>
    <row r="15" spans="1:11" ht="16.5">
      <c r="A15" s="177" t="s">
        <v>143</v>
      </c>
      <c r="B15" s="182" t="s">
        <v>18</v>
      </c>
      <c r="C15" s="177" t="s">
        <v>19</v>
      </c>
      <c r="D15" s="183">
        <v>43026.239999999998</v>
      </c>
      <c r="E15" s="184">
        <f>'B1'!D16</f>
        <v>43026.239999999998</v>
      </c>
      <c r="F15" s="185">
        <f t="shared" ref="F15:F22" si="2">E15-D15</f>
        <v>0</v>
      </c>
      <c r="G15" s="185">
        <f t="shared" si="1"/>
        <v>100</v>
      </c>
      <c r="I15" s="84"/>
    </row>
    <row r="16" spans="1:11" ht="16.5">
      <c r="A16" s="177" t="s">
        <v>144</v>
      </c>
      <c r="B16" s="182" t="s">
        <v>20</v>
      </c>
      <c r="C16" s="177" t="s">
        <v>21</v>
      </c>
      <c r="D16" s="183">
        <v>34224.089999999997</v>
      </c>
      <c r="E16" s="184">
        <f>'B1'!D17</f>
        <v>34255.949999999997</v>
      </c>
      <c r="F16" s="185">
        <f t="shared" si="2"/>
        <v>31.860000000000582</v>
      </c>
      <c r="G16" s="185">
        <f t="shared" si="1"/>
        <v>100.09309232181192</v>
      </c>
      <c r="I16" s="84"/>
    </row>
    <row r="17" spans="1:9" s="90" customFormat="1" ht="33">
      <c r="A17" s="186"/>
      <c r="B17" s="187" t="s">
        <v>243</v>
      </c>
      <c r="C17" s="186" t="s">
        <v>247</v>
      </c>
      <c r="D17" s="188">
        <v>29661.960000000003</v>
      </c>
      <c r="E17" s="189">
        <f>'B1'!D18</f>
        <v>29661.960000000003</v>
      </c>
      <c r="F17" s="190">
        <f t="shared" si="2"/>
        <v>0</v>
      </c>
      <c r="G17" s="185">
        <f t="shared" si="1"/>
        <v>100</v>
      </c>
      <c r="I17" s="89"/>
    </row>
    <row r="18" spans="1:9" ht="16.5">
      <c r="A18" s="177" t="s">
        <v>145</v>
      </c>
      <c r="B18" s="182" t="s">
        <v>22</v>
      </c>
      <c r="C18" s="177" t="s">
        <v>23</v>
      </c>
      <c r="D18" s="183">
        <v>122.59</v>
      </c>
      <c r="E18" s="184">
        <f>'B1'!D19</f>
        <v>122.69</v>
      </c>
      <c r="F18" s="185">
        <f t="shared" si="2"/>
        <v>9.9999999999994316E-2</v>
      </c>
      <c r="G18" s="190">
        <f t="shared" si="1"/>
        <v>100.08157272208173</v>
      </c>
      <c r="I18" s="84"/>
    </row>
    <row r="19" spans="1:9" ht="16.5">
      <c r="A19" s="177" t="s">
        <v>146</v>
      </c>
      <c r="B19" s="182" t="s">
        <v>24</v>
      </c>
      <c r="C19" s="177" t="s">
        <v>25</v>
      </c>
      <c r="D19" s="183">
        <v>0</v>
      </c>
      <c r="E19" s="184">
        <f>'B1'!D20</f>
        <v>0</v>
      </c>
      <c r="F19" s="185">
        <f t="shared" si="2"/>
        <v>0</v>
      </c>
      <c r="G19" s="185"/>
      <c r="I19" s="84"/>
    </row>
    <row r="20" spans="1:9" ht="16.5">
      <c r="A20" s="177" t="s">
        <v>147</v>
      </c>
      <c r="B20" s="182" t="s">
        <v>26</v>
      </c>
      <c r="C20" s="177" t="s">
        <v>27</v>
      </c>
      <c r="D20" s="183">
        <v>113.25</v>
      </c>
      <c r="E20" s="184">
        <f>'B1'!D21</f>
        <v>113.24999999999999</v>
      </c>
      <c r="F20" s="185">
        <f t="shared" si="2"/>
        <v>0</v>
      </c>
      <c r="G20" s="185">
        <f t="shared" si="1"/>
        <v>99.999999999999986</v>
      </c>
      <c r="I20" s="86"/>
    </row>
    <row r="21" spans="1:9" s="82" customFormat="1" ht="16.5">
      <c r="A21" s="194">
        <v>2</v>
      </c>
      <c r="B21" s="191" t="s">
        <v>28</v>
      </c>
      <c r="C21" s="194" t="s">
        <v>29</v>
      </c>
      <c r="D21" s="181">
        <v>8525.9599999999991</v>
      </c>
      <c r="E21" s="178">
        <f>'B1'!D22</f>
        <v>8267.58</v>
      </c>
      <c r="F21" s="179">
        <f t="shared" si="2"/>
        <v>-258.3799999999992</v>
      </c>
      <c r="G21" s="179">
        <f t="shared" si="1"/>
        <v>96.969490825666554</v>
      </c>
      <c r="H21" s="85"/>
      <c r="I21" s="84"/>
    </row>
    <row r="22" spans="1:9" ht="16.5">
      <c r="A22" s="177" t="s">
        <v>148</v>
      </c>
      <c r="B22" s="182" t="s">
        <v>30</v>
      </c>
      <c r="C22" s="177" t="s">
        <v>31</v>
      </c>
      <c r="D22" s="183">
        <v>121.88</v>
      </c>
      <c r="E22" s="184">
        <f>'B1'!D23</f>
        <v>117.88</v>
      </c>
      <c r="F22" s="185">
        <f t="shared" si="2"/>
        <v>-4</v>
      </c>
      <c r="G22" s="185">
        <f t="shared" si="1"/>
        <v>96.718083360682641</v>
      </c>
      <c r="I22" s="84"/>
    </row>
    <row r="23" spans="1:9" ht="16.5">
      <c r="A23" s="177" t="s">
        <v>138</v>
      </c>
      <c r="B23" s="192" t="s">
        <v>32</v>
      </c>
      <c r="C23" s="193" t="s">
        <v>33</v>
      </c>
      <c r="D23" s="183">
        <v>4.2699999999999996</v>
      </c>
      <c r="E23" s="184">
        <f>'B1'!D24</f>
        <v>0.97</v>
      </c>
      <c r="F23" s="185">
        <f t="shared" ref="F23" si="3">E23-D23</f>
        <v>-3.3</v>
      </c>
      <c r="G23" s="185"/>
      <c r="I23" s="84"/>
    </row>
    <row r="24" spans="1:9" ht="16.5">
      <c r="A24" s="177" t="s">
        <v>149</v>
      </c>
      <c r="B24" s="192" t="s">
        <v>34</v>
      </c>
      <c r="C24" s="193" t="s">
        <v>35</v>
      </c>
      <c r="D24" s="183"/>
      <c r="E24" s="184"/>
      <c r="F24" s="185"/>
      <c r="G24" s="185"/>
      <c r="I24" s="84"/>
    </row>
    <row r="25" spans="1:9" ht="16.5">
      <c r="A25" s="177" t="s">
        <v>150</v>
      </c>
      <c r="B25" s="192" t="s">
        <v>36</v>
      </c>
      <c r="C25" s="193" t="s">
        <v>37</v>
      </c>
      <c r="D25" s="183"/>
      <c r="E25" s="184"/>
      <c r="F25" s="185"/>
      <c r="G25" s="185"/>
      <c r="I25" s="84"/>
    </row>
    <row r="26" spans="1:9" ht="16.5">
      <c r="A26" s="177" t="s">
        <v>151</v>
      </c>
      <c r="B26" s="182" t="s">
        <v>38</v>
      </c>
      <c r="C26" s="177" t="s">
        <v>39</v>
      </c>
      <c r="D26" s="183">
        <v>5.33</v>
      </c>
      <c r="E26" s="184">
        <f>'B1'!D27</f>
        <v>5.26</v>
      </c>
      <c r="F26" s="185">
        <f t="shared" ref="F26:F46" si="4">E26-D26</f>
        <v>-7.0000000000000284E-2</v>
      </c>
      <c r="G26" s="185">
        <f t="shared" si="1"/>
        <v>98.686679174484055</v>
      </c>
      <c r="I26" s="84"/>
    </row>
    <row r="27" spans="1:9" ht="16.5">
      <c r="A27" s="177" t="s">
        <v>152</v>
      </c>
      <c r="B27" s="182" t="s">
        <v>40</v>
      </c>
      <c r="C27" s="177" t="s">
        <v>41</v>
      </c>
      <c r="D27" s="183">
        <v>59.79</v>
      </c>
      <c r="E27" s="184">
        <f>'B1'!D28</f>
        <v>56.789999999999992</v>
      </c>
      <c r="F27" s="185">
        <f t="shared" si="4"/>
        <v>-3.0000000000000071</v>
      </c>
      <c r="G27" s="185">
        <f t="shared" si="1"/>
        <v>94.982438534872031</v>
      </c>
      <c r="I27" s="84"/>
    </row>
    <row r="28" spans="1:9" ht="36.75" customHeight="1">
      <c r="A28" s="177" t="s">
        <v>153</v>
      </c>
      <c r="B28" s="182" t="s">
        <v>42</v>
      </c>
      <c r="C28" s="177" t="s">
        <v>43</v>
      </c>
      <c r="D28" s="183">
        <v>4.66</v>
      </c>
      <c r="E28" s="184">
        <f>'B1'!D29</f>
        <v>4.66</v>
      </c>
      <c r="F28" s="185">
        <f t="shared" si="4"/>
        <v>0</v>
      </c>
      <c r="G28" s="185">
        <f t="shared" si="1"/>
        <v>100</v>
      </c>
      <c r="I28" s="84"/>
    </row>
    <row r="29" spans="1:9" ht="16.5" customHeight="1">
      <c r="A29" s="177" t="s">
        <v>154</v>
      </c>
      <c r="B29" s="182" t="s">
        <v>179</v>
      </c>
      <c r="C29" s="177" t="s">
        <v>66</v>
      </c>
      <c r="D29" s="183">
        <v>23.13</v>
      </c>
      <c r="E29" s="184">
        <f>'B1'!D30</f>
        <v>22.73</v>
      </c>
      <c r="F29" s="185">
        <f t="shared" si="4"/>
        <v>-0.39999999999999858</v>
      </c>
      <c r="G29" s="185">
        <f t="shared" si="1"/>
        <v>98.270644185041078</v>
      </c>
      <c r="H29" s="87"/>
      <c r="I29" s="84"/>
    </row>
    <row r="30" spans="1:9" ht="33">
      <c r="A30" s="177" t="s">
        <v>155</v>
      </c>
      <c r="B30" s="182" t="s">
        <v>180</v>
      </c>
      <c r="C30" s="177" t="s">
        <v>45</v>
      </c>
      <c r="D30" s="183">
        <v>6270.44</v>
      </c>
      <c r="E30" s="184">
        <f>'B1'!D31</f>
        <v>6099.9</v>
      </c>
      <c r="F30" s="185">
        <f t="shared" si="4"/>
        <v>-170.53999999999996</v>
      </c>
      <c r="G30" s="185">
        <f t="shared" si="1"/>
        <v>97.28025465517571</v>
      </c>
      <c r="I30" s="84"/>
    </row>
    <row r="31" spans="1:9" ht="16.5">
      <c r="A31" s="177"/>
      <c r="B31" s="182" t="s">
        <v>216</v>
      </c>
      <c r="C31" s="177" t="s">
        <v>196</v>
      </c>
      <c r="D31" s="183">
        <v>1257.48</v>
      </c>
      <c r="E31" s="184">
        <f>'B1'!D32</f>
        <v>1158.3399999999999</v>
      </c>
      <c r="F31" s="185">
        <f t="shared" si="4"/>
        <v>-99.1400000000001</v>
      </c>
      <c r="G31" s="185">
        <f t="shared" si="1"/>
        <v>92.115977987721465</v>
      </c>
      <c r="I31" s="84"/>
    </row>
    <row r="32" spans="1:9" ht="16.5">
      <c r="A32" s="177"/>
      <c r="B32" s="182" t="s">
        <v>217</v>
      </c>
      <c r="C32" s="177" t="s">
        <v>194</v>
      </c>
      <c r="D32" s="183">
        <v>133.47999999999999</v>
      </c>
      <c r="E32" s="184">
        <f>'B1'!D33</f>
        <v>90.080000000000013</v>
      </c>
      <c r="F32" s="185">
        <f t="shared" si="4"/>
        <v>-43.399999999999977</v>
      </c>
      <c r="G32" s="185">
        <f t="shared" si="1"/>
        <v>67.485765657776469</v>
      </c>
      <c r="I32" s="84"/>
    </row>
    <row r="33" spans="1:9" ht="16.5">
      <c r="A33" s="177"/>
      <c r="B33" s="182" t="s">
        <v>210</v>
      </c>
      <c r="C33" s="177" t="s">
        <v>220</v>
      </c>
      <c r="D33" s="183">
        <v>6.19</v>
      </c>
      <c r="E33" s="184">
        <f>'B1'!D34</f>
        <v>6.19</v>
      </c>
      <c r="F33" s="185">
        <f t="shared" si="4"/>
        <v>0</v>
      </c>
      <c r="G33" s="185">
        <f t="shared" si="1"/>
        <v>100</v>
      </c>
      <c r="I33" s="84"/>
    </row>
    <row r="34" spans="1:9" ht="16.5">
      <c r="A34" s="177"/>
      <c r="B34" s="182" t="s">
        <v>211</v>
      </c>
      <c r="C34" s="177" t="s">
        <v>221</v>
      </c>
      <c r="D34" s="183">
        <v>4.96</v>
      </c>
      <c r="E34" s="184">
        <f>'B1'!D35</f>
        <v>4.96</v>
      </c>
      <c r="F34" s="185">
        <f t="shared" si="4"/>
        <v>0</v>
      </c>
      <c r="G34" s="185">
        <f t="shared" si="1"/>
        <v>100</v>
      </c>
      <c r="H34" s="87"/>
      <c r="I34" s="84"/>
    </row>
    <row r="35" spans="1:9" s="82" customFormat="1" ht="33">
      <c r="A35" s="177"/>
      <c r="B35" s="182" t="s">
        <v>212</v>
      </c>
      <c r="C35" s="177" t="s">
        <v>192</v>
      </c>
      <c r="D35" s="183">
        <v>64.66</v>
      </c>
      <c r="E35" s="184">
        <f>'B1'!D36</f>
        <v>63.25</v>
      </c>
      <c r="F35" s="185">
        <f t="shared" si="4"/>
        <v>-1.4099999999999966</v>
      </c>
      <c r="G35" s="185">
        <f t="shared" si="1"/>
        <v>97.819362820909376</v>
      </c>
      <c r="I35" s="84"/>
    </row>
    <row r="36" spans="1:9" s="82" customFormat="1" ht="16.5">
      <c r="A36" s="177"/>
      <c r="B36" s="182" t="s">
        <v>213</v>
      </c>
      <c r="C36" s="177" t="s">
        <v>195</v>
      </c>
      <c r="D36" s="183">
        <v>16.670000000000002</v>
      </c>
      <c r="E36" s="184">
        <f>'B1'!D37</f>
        <v>16.670000000000002</v>
      </c>
      <c r="F36" s="185">
        <f t="shared" si="4"/>
        <v>0</v>
      </c>
      <c r="G36" s="185">
        <f t="shared" si="1"/>
        <v>100</v>
      </c>
      <c r="H36" s="85"/>
      <c r="I36" s="84"/>
    </row>
    <row r="37" spans="1:9" s="82" customFormat="1" ht="16.5">
      <c r="A37" s="177"/>
      <c r="B37" s="182" t="s">
        <v>248</v>
      </c>
      <c r="C37" s="177" t="s">
        <v>193</v>
      </c>
      <c r="D37" s="183">
        <v>4652.03</v>
      </c>
      <c r="E37" s="184">
        <f>'B1'!D38</f>
        <v>4625.3500000000004</v>
      </c>
      <c r="F37" s="185">
        <f t="shared" si="4"/>
        <v>-26.679999999999382</v>
      </c>
      <c r="G37" s="185">
        <f t="shared" si="1"/>
        <v>99.426486931511633</v>
      </c>
      <c r="I37" s="84"/>
    </row>
    <row r="38" spans="1:9" s="82" customFormat="1" ht="16.5">
      <c r="A38" s="177"/>
      <c r="B38" s="182" t="s">
        <v>218</v>
      </c>
      <c r="C38" s="177" t="s">
        <v>224</v>
      </c>
      <c r="D38" s="183">
        <v>1.02</v>
      </c>
      <c r="E38" s="184">
        <f>'B1'!D39</f>
        <v>1.02</v>
      </c>
      <c r="F38" s="185">
        <f t="shared" si="4"/>
        <v>0</v>
      </c>
      <c r="G38" s="185">
        <f t="shared" si="1"/>
        <v>100</v>
      </c>
      <c r="I38" s="84"/>
    </row>
    <row r="39" spans="1:9" ht="16.5">
      <c r="A39" s="177"/>
      <c r="B39" s="182" t="s">
        <v>244</v>
      </c>
      <c r="C39" s="177" t="s">
        <v>245</v>
      </c>
      <c r="D39" s="183">
        <v>0</v>
      </c>
      <c r="E39" s="184"/>
      <c r="F39" s="185"/>
      <c r="G39" s="185"/>
      <c r="I39" s="84"/>
    </row>
    <row r="40" spans="1:9" ht="16.5">
      <c r="A40" s="177"/>
      <c r="B40" s="182" t="s">
        <v>46</v>
      </c>
      <c r="C40" s="177" t="s">
        <v>47</v>
      </c>
      <c r="D40" s="183">
        <v>3.86</v>
      </c>
      <c r="E40" s="184">
        <f>'B1'!D41</f>
        <v>3.86</v>
      </c>
      <c r="F40" s="185">
        <f t="shared" si="4"/>
        <v>0</v>
      </c>
      <c r="G40" s="185">
        <f t="shared" si="1"/>
        <v>100</v>
      </c>
      <c r="I40" s="84"/>
    </row>
    <row r="41" spans="1:9" ht="16.5">
      <c r="A41" s="177"/>
      <c r="B41" s="182" t="s">
        <v>50</v>
      </c>
      <c r="C41" s="177" t="s">
        <v>51</v>
      </c>
      <c r="D41" s="183">
        <v>2.66</v>
      </c>
      <c r="E41" s="184">
        <f>'B1'!D42</f>
        <v>2.66</v>
      </c>
      <c r="F41" s="185">
        <f t="shared" si="4"/>
        <v>0</v>
      </c>
      <c r="G41" s="185">
        <f t="shared" si="1"/>
        <v>100</v>
      </c>
      <c r="I41" s="84"/>
    </row>
    <row r="42" spans="1:9" ht="16.5">
      <c r="A42" s="177"/>
      <c r="B42" s="182" t="s">
        <v>62</v>
      </c>
      <c r="C42" s="177" t="s">
        <v>63</v>
      </c>
      <c r="D42" s="183">
        <v>6.85</v>
      </c>
      <c r="E42" s="184">
        <f>'B1'!D43</f>
        <v>6.8500000000000005</v>
      </c>
      <c r="F42" s="185">
        <f t="shared" si="4"/>
        <v>0</v>
      </c>
      <c r="G42" s="185">
        <f t="shared" si="1"/>
        <v>100.00000000000003</v>
      </c>
      <c r="I42" s="84"/>
    </row>
    <row r="43" spans="1:9" ht="33">
      <c r="A43" s="177"/>
      <c r="B43" s="182" t="s">
        <v>246</v>
      </c>
      <c r="C43" s="177" t="s">
        <v>64</v>
      </c>
      <c r="D43" s="183">
        <v>116.26</v>
      </c>
      <c r="E43" s="184">
        <f>'B1'!D44</f>
        <v>116.26</v>
      </c>
      <c r="F43" s="185">
        <f t="shared" si="4"/>
        <v>0</v>
      </c>
      <c r="G43" s="185">
        <f t="shared" si="1"/>
        <v>100</v>
      </c>
      <c r="I43" s="84"/>
    </row>
    <row r="44" spans="1:9" ht="33">
      <c r="A44" s="177"/>
      <c r="B44" s="182" t="s">
        <v>214</v>
      </c>
      <c r="C44" s="177" t="s">
        <v>222</v>
      </c>
      <c r="D44" s="183">
        <v>0</v>
      </c>
      <c r="E44" s="184"/>
      <c r="F44" s="185"/>
      <c r="G44" s="185"/>
      <c r="I44" s="84"/>
    </row>
    <row r="45" spans="1:9" ht="18.75" customHeight="1">
      <c r="A45" s="177"/>
      <c r="B45" s="182" t="s">
        <v>215</v>
      </c>
      <c r="C45" s="177" t="s">
        <v>223</v>
      </c>
      <c r="D45" s="183">
        <v>0.66</v>
      </c>
      <c r="E45" s="184">
        <f>'B1'!D46</f>
        <v>0.66</v>
      </c>
      <c r="F45" s="185">
        <f t="shared" si="4"/>
        <v>0</v>
      </c>
      <c r="G45" s="185">
        <f t="shared" si="1"/>
        <v>100</v>
      </c>
      <c r="I45" s="84"/>
    </row>
    <row r="46" spans="1:9" ht="16.5" customHeight="1">
      <c r="A46" s="177"/>
      <c r="B46" s="182" t="s">
        <v>219</v>
      </c>
      <c r="C46" s="177" t="s">
        <v>204</v>
      </c>
      <c r="D46" s="183">
        <v>3.66</v>
      </c>
      <c r="E46" s="184">
        <f>'B1'!D47</f>
        <v>3.7499999999999996</v>
      </c>
      <c r="F46" s="185">
        <f t="shared" si="4"/>
        <v>8.9999999999999414E-2</v>
      </c>
      <c r="G46" s="185">
        <f t="shared" si="1"/>
        <v>102.45901639344261</v>
      </c>
      <c r="I46" s="84"/>
    </row>
    <row r="47" spans="1:9" s="82" customFormat="1" ht="16.5">
      <c r="A47" s="177" t="s">
        <v>156</v>
      </c>
      <c r="B47" s="195" t="s">
        <v>48</v>
      </c>
      <c r="C47" s="177" t="s">
        <v>49</v>
      </c>
      <c r="D47" s="183">
        <v>0</v>
      </c>
      <c r="E47" s="184">
        <f>'B1'!D48</f>
        <v>0</v>
      </c>
      <c r="F47" s="185">
        <f>E47-D47</f>
        <v>0</v>
      </c>
      <c r="G47" s="185"/>
      <c r="I47" s="84"/>
    </row>
    <row r="48" spans="1:9" ht="16.5">
      <c r="A48" s="177" t="s">
        <v>157</v>
      </c>
      <c r="B48" s="195" t="s">
        <v>67</v>
      </c>
      <c r="C48" s="177" t="s">
        <v>68</v>
      </c>
      <c r="D48" s="183">
        <v>13.27</v>
      </c>
      <c r="E48" s="184">
        <f>'B1'!D49</f>
        <v>13.11</v>
      </c>
      <c r="F48" s="185">
        <f t="shared" ref="F48:G59" si="5">E48-D48</f>
        <v>-0.16000000000000014</v>
      </c>
      <c r="G48" s="185">
        <f t="shared" ref="G48:G59" si="6">E48/D48*100</f>
        <v>98.79427279577996</v>
      </c>
    </row>
    <row r="49" spans="1:9" ht="16.5">
      <c r="A49" s="177" t="s">
        <v>158</v>
      </c>
      <c r="B49" s="195" t="s">
        <v>69</v>
      </c>
      <c r="C49" s="177" t="s">
        <v>70</v>
      </c>
      <c r="D49" s="183">
        <v>5.85</v>
      </c>
      <c r="E49" s="184">
        <f>'B1'!D50</f>
        <v>3.08</v>
      </c>
      <c r="F49" s="185">
        <f t="shared" si="5"/>
        <v>-2.7699999999999996</v>
      </c>
      <c r="G49" s="185">
        <f t="shared" si="6"/>
        <v>52.649572649572654</v>
      </c>
    </row>
    <row r="50" spans="1:9" ht="16.5">
      <c r="A50" s="177" t="s">
        <v>159</v>
      </c>
      <c r="B50" s="195" t="s">
        <v>52</v>
      </c>
      <c r="C50" s="177" t="s">
        <v>53</v>
      </c>
      <c r="D50" s="183">
        <v>791.4</v>
      </c>
      <c r="E50" s="184">
        <f>'B1'!D51</f>
        <v>726.61</v>
      </c>
      <c r="F50" s="185">
        <f t="shared" si="5"/>
        <v>-64.789999999999964</v>
      </c>
      <c r="G50" s="185">
        <f t="shared" si="6"/>
        <v>91.813242355319687</v>
      </c>
      <c r="I50" s="86"/>
    </row>
    <row r="51" spans="1:9" ht="16.5">
      <c r="A51" s="177" t="s">
        <v>160</v>
      </c>
      <c r="B51" s="198" t="s">
        <v>54</v>
      </c>
      <c r="C51" s="198" t="s">
        <v>55</v>
      </c>
      <c r="D51" s="183">
        <v>128.93</v>
      </c>
      <c r="E51" s="184">
        <f>'B1'!D52</f>
        <v>122.77000000000001</v>
      </c>
      <c r="F51" s="185">
        <f t="shared" si="5"/>
        <v>-6.1599999999999966</v>
      </c>
      <c r="G51" s="185">
        <f t="shared" si="6"/>
        <v>95.222213604281393</v>
      </c>
    </row>
    <row r="52" spans="1:9" ht="16.5">
      <c r="A52" s="177" t="s">
        <v>161</v>
      </c>
      <c r="B52" s="198" t="s">
        <v>56</v>
      </c>
      <c r="C52" s="198" t="s">
        <v>57</v>
      </c>
      <c r="D52" s="183">
        <v>21.47</v>
      </c>
      <c r="E52" s="184">
        <f>'B1'!D53</f>
        <v>21.6</v>
      </c>
      <c r="F52" s="185">
        <f t="shared" si="5"/>
        <v>0.13000000000000256</v>
      </c>
      <c r="G52" s="185">
        <f t="shared" si="6"/>
        <v>100.60549604098743</v>
      </c>
    </row>
    <row r="53" spans="1:9" ht="16.5">
      <c r="A53" s="177" t="s">
        <v>162</v>
      </c>
      <c r="B53" s="198" t="s">
        <v>58</v>
      </c>
      <c r="C53" s="198" t="s">
        <v>59</v>
      </c>
      <c r="D53" s="183">
        <v>5.03</v>
      </c>
      <c r="E53" s="184">
        <f>'B1'!D54</f>
        <v>5.03</v>
      </c>
      <c r="F53" s="185">
        <f t="shared" si="5"/>
        <v>0</v>
      </c>
      <c r="G53" s="185">
        <f t="shared" si="6"/>
        <v>100</v>
      </c>
    </row>
    <row r="54" spans="1:9" ht="16.5">
      <c r="A54" s="177" t="s">
        <v>163</v>
      </c>
      <c r="B54" s="198" t="s">
        <v>60</v>
      </c>
      <c r="C54" s="198" t="s">
        <v>61</v>
      </c>
      <c r="D54" s="183">
        <v>0</v>
      </c>
      <c r="E54" s="184">
        <f>'B1'!D55</f>
        <v>0</v>
      </c>
      <c r="F54" s="185">
        <f t="shared" si="5"/>
        <v>0</v>
      </c>
      <c r="G54" s="185">
        <f t="shared" si="5"/>
        <v>0</v>
      </c>
    </row>
    <row r="55" spans="1:9" ht="16.5">
      <c r="A55" s="177" t="s">
        <v>164</v>
      </c>
      <c r="B55" s="198" t="s">
        <v>71</v>
      </c>
      <c r="C55" s="198" t="s">
        <v>72</v>
      </c>
      <c r="D55" s="183">
        <v>0.27</v>
      </c>
      <c r="E55" s="184">
        <f>'B1'!D56</f>
        <v>0.27</v>
      </c>
      <c r="F55" s="185">
        <f t="shared" si="5"/>
        <v>0</v>
      </c>
      <c r="G55" s="185">
        <f t="shared" si="6"/>
        <v>100</v>
      </c>
    </row>
    <row r="56" spans="1:9" ht="16.5">
      <c r="A56" s="177" t="s">
        <v>165</v>
      </c>
      <c r="B56" s="198" t="s">
        <v>181</v>
      </c>
      <c r="C56" s="198" t="s">
        <v>74</v>
      </c>
      <c r="D56" s="183">
        <v>1001.0699999999999</v>
      </c>
      <c r="E56" s="184">
        <f>'B1'!D57</f>
        <v>1000.5</v>
      </c>
      <c r="F56" s="185">
        <f t="shared" si="5"/>
        <v>-0.56999999999993634</v>
      </c>
      <c r="G56" s="185">
        <f t="shared" si="6"/>
        <v>99.943060924810453</v>
      </c>
    </row>
    <row r="57" spans="1:9" ht="16.5">
      <c r="A57" s="177" t="s">
        <v>166</v>
      </c>
      <c r="B57" s="198" t="s">
        <v>75</v>
      </c>
      <c r="C57" s="198" t="s">
        <v>76</v>
      </c>
      <c r="D57" s="183">
        <v>64.550000000000011</v>
      </c>
      <c r="E57" s="184">
        <f>'B1'!D58</f>
        <v>64.550000000000011</v>
      </c>
      <c r="F57" s="185">
        <f t="shared" si="5"/>
        <v>0</v>
      </c>
      <c r="G57" s="185">
        <f t="shared" si="6"/>
        <v>100</v>
      </c>
    </row>
    <row r="58" spans="1:9" ht="16.5">
      <c r="A58" s="177" t="s">
        <v>167</v>
      </c>
      <c r="B58" s="198" t="s">
        <v>77</v>
      </c>
      <c r="C58" s="198" t="s">
        <v>78</v>
      </c>
      <c r="D58" s="183">
        <v>4.62</v>
      </c>
      <c r="E58" s="184">
        <f>'B1'!D59</f>
        <v>1.8699999999999999</v>
      </c>
      <c r="F58" s="185">
        <f t="shared" si="5"/>
        <v>-2.75</v>
      </c>
      <c r="G58" s="185">
        <f t="shared" si="6"/>
        <v>40.476190476190474</v>
      </c>
    </row>
    <row r="59" spans="1:9" s="82" customFormat="1" ht="16.5">
      <c r="A59" s="199">
        <v>3</v>
      </c>
      <c r="B59" s="199" t="s">
        <v>79</v>
      </c>
      <c r="C59" s="199" t="s">
        <v>80</v>
      </c>
      <c r="D59" s="181">
        <v>155.36000000000001</v>
      </c>
      <c r="E59" s="178">
        <f>'B1'!D60</f>
        <v>170.91000000000003</v>
      </c>
      <c r="F59" s="179">
        <f t="shared" si="5"/>
        <v>15.550000000000011</v>
      </c>
      <c r="G59" s="179">
        <f t="shared" si="6"/>
        <v>110.00901132852729</v>
      </c>
    </row>
  </sheetData>
  <mergeCells count="10">
    <mergeCell ref="A2:G2"/>
    <mergeCell ref="F4:G4"/>
    <mergeCell ref="E4:E6"/>
    <mergeCell ref="A3:A6"/>
    <mergeCell ref="B3:B6"/>
    <mergeCell ref="C3:C6"/>
    <mergeCell ref="D3:D6"/>
    <mergeCell ref="F5:F6"/>
    <mergeCell ref="G5:G6"/>
    <mergeCell ref="E3:G3"/>
  </mergeCells>
  <pageMargins left="0.51" right="0" top="0.4" bottom="0.28000000000000003" header="0" footer="0"/>
  <pageSetup paperSize="9" orientation="portrait"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80"/>
  <sheetViews>
    <sheetView topLeftCell="A52" zoomScale="80" zoomScaleNormal="80" workbookViewId="0">
      <selection activeCell="H8" sqref="H8:S58"/>
    </sheetView>
  </sheetViews>
  <sheetFormatPr defaultRowHeight="12.75"/>
  <cols>
    <col min="1" max="1" width="6.7109375" style="79" customWidth="1"/>
    <col min="2" max="2" width="35.85546875" customWidth="1"/>
    <col min="3" max="3" width="7.42578125" customWidth="1"/>
    <col min="4" max="4" width="12.42578125" hidden="1" customWidth="1"/>
    <col min="5" max="7" width="13.85546875" hidden="1" customWidth="1"/>
    <col min="8" max="8" width="13.7109375" customWidth="1"/>
    <col min="9" max="9" width="14.42578125" customWidth="1"/>
    <col min="10" max="19" width="14.42578125" style="12" customWidth="1"/>
    <col min="20" max="20" width="8.28515625" customWidth="1"/>
    <col min="21" max="21" width="17" customWidth="1"/>
    <col min="22" max="23" width="8.42578125" customWidth="1"/>
    <col min="24" max="24" width="8.5703125" customWidth="1"/>
  </cols>
  <sheetData>
    <row r="1" spans="1:24" ht="15" customHeight="1">
      <c r="A1" s="1234" t="s">
        <v>313</v>
      </c>
      <c r="B1" s="1234"/>
      <c r="C1" s="1234"/>
      <c r="D1" s="1234"/>
      <c r="E1" s="1234"/>
      <c r="F1" s="1234"/>
      <c r="G1" s="1234"/>
      <c r="H1" s="1234"/>
      <c r="I1" s="1234"/>
      <c r="J1" s="1234"/>
      <c r="K1" s="1234"/>
      <c r="L1" s="1234"/>
      <c r="M1" s="1234"/>
      <c r="N1" s="1234"/>
      <c r="O1" s="1234"/>
      <c r="P1" s="1234"/>
      <c r="Q1" s="1234"/>
      <c r="R1" s="1234"/>
      <c r="S1" s="1234"/>
      <c r="T1" s="4"/>
      <c r="U1" s="4"/>
      <c r="V1" s="4"/>
      <c r="W1" s="4"/>
    </row>
    <row r="2" spans="1:24" ht="15.75">
      <c r="A2" s="1235" t="s">
        <v>976</v>
      </c>
      <c r="B2" s="1235"/>
      <c r="C2" s="1235"/>
      <c r="D2" s="1235"/>
      <c r="E2" s="1235"/>
      <c r="F2" s="1235"/>
      <c r="G2" s="1235"/>
      <c r="H2" s="1235"/>
      <c r="I2" s="1235"/>
      <c r="J2" s="1235"/>
      <c r="K2" s="1235"/>
      <c r="L2" s="1235"/>
      <c r="M2" s="1235"/>
      <c r="N2" s="1235"/>
      <c r="O2" s="1235"/>
      <c r="P2" s="1235"/>
      <c r="Q2" s="1235"/>
      <c r="R2" s="1235"/>
      <c r="S2" s="1235"/>
      <c r="W2" s="2"/>
    </row>
    <row r="3" spans="1:24" ht="15.75" customHeight="1">
      <c r="A3" s="76"/>
      <c r="B3" s="1236" t="s">
        <v>0</v>
      </c>
      <c r="C3" s="1236"/>
      <c r="D3" s="1236"/>
      <c r="E3" s="1236"/>
      <c r="F3" s="1236"/>
      <c r="G3" s="1236"/>
      <c r="H3" s="1236"/>
      <c r="I3" s="1236"/>
      <c r="J3" s="1236"/>
      <c r="K3" s="1236"/>
      <c r="L3" s="1236"/>
      <c r="M3" s="1236"/>
      <c r="N3" s="1236"/>
      <c r="O3" s="1236"/>
      <c r="P3" s="1236"/>
      <c r="Q3" s="1236"/>
      <c r="R3" s="1236"/>
      <c r="S3" s="1236"/>
      <c r="T3" s="6"/>
      <c r="U3" s="6"/>
      <c r="V3" s="6"/>
      <c r="W3" s="6"/>
      <c r="X3" s="6"/>
    </row>
    <row r="4" spans="1:24" ht="13.5" customHeight="1">
      <c r="A4" s="1237" t="s">
        <v>1</v>
      </c>
      <c r="B4" s="1237" t="s">
        <v>2</v>
      </c>
      <c r="C4" s="1237" t="s">
        <v>3</v>
      </c>
      <c r="D4" s="93"/>
      <c r="E4" s="93"/>
      <c r="F4" s="1237" t="s">
        <v>249</v>
      </c>
      <c r="G4" s="1237" t="s">
        <v>250</v>
      </c>
      <c r="H4" s="1237" t="s">
        <v>4</v>
      </c>
      <c r="I4" s="1239" t="s">
        <v>5</v>
      </c>
      <c r="J4" s="1240"/>
      <c r="K4" s="1240"/>
      <c r="L4" s="1240"/>
      <c r="M4" s="1240"/>
      <c r="N4" s="1240"/>
      <c r="O4" s="1240"/>
      <c r="P4" s="1240"/>
      <c r="Q4" s="1240"/>
      <c r="R4" s="1240"/>
      <c r="S4" s="1241"/>
      <c r="T4" s="6"/>
      <c r="U4" s="6"/>
      <c r="V4" s="6"/>
      <c r="W4" s="6"/>
      <c r="X4" s="6"/>
    </row>
    <row r="5" spans="1:24" s="3" customFormat="1" ht="28.5">
      <c r="A5" s="1238"/>
      <c r="B5" s="1238"/>
      <c r="C5" s="1238"/>
      <c r="D5" s="94"/>
      <c r="E5" s="94"/>
      <c r="F5" s="1238"/>
      <c r="G5" s="1238"/>
      <c r="H5" s="1238"/>
      <c r="I5" s="13" t="s">
        <v>111</v>
      </c>
      <c r="J5" s="14" t="s">
        <v>190</v>
      </c>
      <c r="K5" s="14" t="s">
        <v>169</v>
      </c>
      <c r="L5" s="14" t="s">
        <v>170</v>
      </c>
      <c r="M5" s="14" t="s">
        <v>172</v>
      </c>
      <c r="N5" s="14" t="s">
        <v>198</v>
      </c>
      <c r="O5" s="14" t="s">
        <v>197</v>
      </c>
      <c r="P5" s="14" t="s">
        <v>191</v>
      </c>
      <c r="Q5" s="14" t="s">
        <v>189</v>
      </c>
      <c r="R5" s="14" t="s">
        <v>174</v>
      </c>
      <c r="S5" s="14" t="s">
        <v>173</v>
      </c>
      <c r="T5" s="7"/>
      <c r="U5" s="7"/>
      <c r="V5" s="7"/>
      <c r="W5" s="7"/>
      <c r="X5" s="7"/>
    </row>
    <row r="6" spans="1:24" s="10" customFormat="1" ht="15.75">
      <c r="A6" s="172" t="s">
        <v>251</v>
      </c>
      <c r="B6" s="209" t="s">
        <v>131</v>
      </c>
      <c r="C6" s="173"/>
      <c r="D6" s="174"/>
      <c r="E6" s="173"/>
      <c r="F6" s="173"/>
      <c r="G6" s="173"/>
      <c r="H6" s="175">
        <f>SUM(I6:S6)</f>
        <v>143172.85999999999</v>
      </c>
      <c r="I6" s="47">
        <f>I8+I20+I58</f>
        <v>1393.1299999999999</v>
      </c>
      <c r="J6" s="175">
        <f t="shared" ref="J6:S6" si="0">J8+J20+J58</f>
        <v>6258.6</v>
      </c>
      <c r="K6" s="175">
        <f t="shared" si="0"/>
        <v>58391.79</v>
      </c>
      <c r="L6" s="175">
        <f t="shared" si="0"/>
        <v>29828.79</v>
      </c>
      <c r="M6" s="175">
        <f t="shared" si="0"/>
        <v>4035.36</v>
      </c>
      <c r="N6" s="175">
        <f t="shared" si="0"/>
        <v>3737.9900000000007</v>
      </c>
      <c r="O6" s="175">
        <f t="shared" si="0"/>
        <v>5846.21</v>
      </c>
      <c r="P6" s="175">
        <f t="shared" si="0"/>
        <v>6549.57</v>
      </c>
      <c r="Q6" s="175">
        <f t="shared" si="0"/>
        <v>3842.34</v>
      </c>
      <c r="R6" s="175">
        <f t="shared" si="0"/>
        <v>18520.400000000001</v>
      </c>
      <c r="S6" s="175">
        <f t="shared" si="0"/>
        <v>4768.6799999999994</v>
      </c>
      <c r="T6" s="27"/>
      <c r="U6" s="27"/>
      <c r="V6" s="27"/>
      <c r="W6" s="27"/>
      <c r="X6" s="27"/>
    </row>
    <row r="7" spans="1:24" s="10" customFormat="1" ht="15.75">
      <c r="A7" s="172" t="s">
        <v>251</v>
      </c>
      <c r="B7" s="209" t="s">
        <v>234</v>
      </c>
      <c r="C7" s="173"/>
      <c r="D7" s="174"/>
      <c r="E7" s="173"/>
      <c r="F7" s="173"/>
      <c r="G7" s="173"/>
      <c r="H7" s="175"/>
      <c r="I7" s="47"/>
      <c r="J7" s="175"/>
      <c r="K7" s="175"/>
      <c r="L7" s="175"/>
      <c r="M7" s="175"/>
      <c r="N7" s="175"/>
      <c r="O7" s="175"/>
      <c r="P7" s="175"/>
      <c r="Q7" s="175"/>
      <c r="R7" s="175"/>
      <c r="S7" s="175"/>
      <c r="T7" s="27"/>
      <c r="U7" s="27"/>
      <c r="V7" s="27"/>
      <c r="W7" s="27"/>
      <c r="X7" s="27"/>
    </row>
    <row r="8" spans="1:24" s="10" customFormat="1" ht="15.75">
      <c r="A8" s="77">
        <v>1</v>
      </c>
      <c r="B8" s="18" t="s">
        <v>6</v>
      </c>
      <c r="C8" s="19" t="s">
        <v>7</v>
      </c>
      <c r="D8" s="95">
        <v>133277.03</v>
      </c>
      <c r="E8" s="99">
        <f t="shared" ref="E8:E28" si="1">H8-D8</f>
        <v>1224.539999999979</v>
      </c>
      <c r="F8" s="99"/>
      <c r="G8" s="99"/>
      <c r="H8" s="43">
        <f>SUM(I8:S8)</f>
        <v>134501.56999999998</v>
      </c>
      <c r="I8" s="342">
        <f>'B1'!E10+'CÔng Tăng'!E8-'Cộng giảm'!E8</f>
        <v>1049.56</v>
      </c>
      <c r="J8" s="43">
        <f t="shared" ref="J8:S8" si="2">J9+SUM(J11:J15)+SUM(J17:J19)</f>
        <v>4796.79</v>
      </c>
      <c r="K8" s="43">
        <f t="shared" si="2"/>
        <v>57499.369999999995</v>
      </c>
      <c r="L8" s="43">
        <f t="shared" si="2"/>
        <v>29296.39</v>
      </c>
      <c r="M8" s="43">
        <f t="shared" si="2"/>
        <v>3252.3900000000003</v>
      </c>
      <c r="N8" s="43">
        <f t="shared" si="2"/>
        <v>2987.8900000000003</v>
      </c>
      <c r="O8" s="43">
        <f t="shared" si="2"/>
        <v>5566.2800000000007</v>
      </c>
      <c r="P8" s="43">
        <f t="shared" si="2"/>
        <v>6237.64</v>
      </c>
      <c r="Q8" s="43">
        <f t="shared" si="2"/>
        <v>2515.4300000000003</v>
      </c>
      <c r="R8" s="43">
        <f t="shared" si="2"/>
        <v>17067.560000000001</v>
      </c>
      <c r="S8" s="43">
        <f t="shared" si="2"/>
        <v>4232.2699999999995</v>
      </c>
      <c r="T8" s="28"/>
      <c r="U8" s="28"/>
      <c r="V8" s="28"/>
      <c r="W8" s="28"/>
      <c r="X8" s="28"/>
    </row>
    <row r="9" spans="1:24" s="12" customFormat="1" ht="15.75">
      <c r="A9" s="78" t="s">
        <v>139</v>
      </c>
      <c r="B9" s="20" t="s">
        <v>8</v>
      </c>
      <c r="C9" s="21" t="s">
        <v>9</v>
      </c>
      <c r="D9" s="96">
        <v>1148.8500000000001</v>
      </c>
      <c r="E9" s="99">
        <f t="shared" si="1"/>
        <v>54.4699999999998</v>
      </c>
      <c r="F9" s="200"/>
      <c r="G9" s="200"/>
      <c r="H9" s="44">
        <f>SUM(I9:S9)</f>
        <v>1203.32</v>
      </c>
      <c r="I9" s="44">
        <f>'B1'!E11+'CÔng Tăng'!E9-'Cộng giảm'!E9</f>
        <v>95.95</v>
      </c>
      <c r="J9" s="44">
        <f>'B1'!F11+'CÔng Tăng'!F9-'Cộng giảm'!F9</f>
        <v>89.95</v>
      </c>
      <c r="K9" s="44">
        <f>'B1'!G11+'CÔng Tăng'!G9-'Cộng giảm'!G9</f>
        <v>87.13</v>
      </c>
      <c r="L9" s="44">
        <f>'B1'!H11+'CÔng Tăng'!H9-'Cộng giảm'!H9</f>
        <v>209.35</v>
      </c>
      <c r="M9" s="44">
        <f>'B1'!I11+'CÔng Tăng'!I9-'Cộng giảm'!I9</f>
        <v>59.34</v>
      </c>
      <c r="N9" s="44">
        <f>'B1'!J11+'CÔng Tăng'!J9-'Cộng giảm'!J9</f>
        <v>82.13</v>
      </c>
      <c r="O9" s="44">
        <f>'B1'!K11+'CÔng Tăng'!K9-'Cộng giảm'!K9</f>
        <v>139.66999999999999</v>
      </c>
      <c r="P9" s="44">
        <f>'B1'!L11+'CÔng Tăng'!L9-'Cộng giảm'!L9</f>
        <v>149.88999999999999</v>
      </c>
      <c r="Q9" s="44">
        <f>'B1'!M11+'CÔng Tăng'!M9-'Cộng giảm'!M9</f>
        <v>94.44</v>
      </c>
      <c r="R9" s="44">
        <f>'B1'!N11+'CÔng Tăng'!N9-'Cộng giảm'!N9</f>
        <v>46.3</v>
      </c>
      <c r="S9" s="44">
        <f>'B1'!O11+'CÔng Tăng'!O9-'Cộng giảm'!O9</f>
        <v>149.16999999999999</v>
      </c>
      <c r="T9" s="8"/>
      <c r="U9" s="8"/>
      <c r="V9" s="8"/>
      <c r="W9" s="8"/>
      <c r="X9" s="8"/>
    </row>
    <row r="10" spans="1:24" s="110" customFormat="1" ht="13.5" customHeight="1">
      <c r="A10" s="108"/>
      <c r="B10" s="22" t="s">
        <v>10</v>
      </c>
      <c r="C10" s="23" t="s">
        <v>11</v>
      </c>
      <c r="D10" s="97">
        <v>474.21</v>
      </c>
      <c r="E10" s="109">
        <f t="shared" si="1"/>
        <v>262.32</v>
      </c>
      <c r="F10" s="201"/>
      <c r="G10" s="201"/>
      <c r="H10" s="339">
        <f t="shared" ref="H10:H72" si="3">SUM(I10:S10)</f>
        <v>736.53</v>
      </c>
      <c r="I10" s="339">
        <f>'B1'!E12+'CÔng Tăng'!E10-'Cộng giảm'!E10</f>
        <v>87.51</v>
      </c>
      <c r="J10" s="339">
        <f>'B1'!F12+'CÔng Tăng'!F10-'Cộng giảm'!F10</f>
        <v>39.06</v>
      </c>
      <c r="K10" s="339">
        <f>'B1'!G12+'CÔng Tăng'!G10-'Cộng giảm'!G10</f>
        <v>37.83</v>
      </c>
      <c r="L10" s="339">
        <f>'B1'!H12+'CÔng Tăng'!H10-'Cộng giảm'!H10</f>
        <v>69.12</v>
      </c>
      <c r="M10" s="339">
        <f>'B1'!I12+'CÔng Tăng'!I10-'Cộng giảm'!I10</f>
        <v>34.01</v>
      </c>
      <c r="N10" s="339">
        <f>'B1'!J12+'CÔng Tăng'!J10-'Cộng giảm'!J10</f>
        <v>45.38</v>
      </c>
      <c r="O10" s="339">
        <f>'B1'!K12+'CÔng Tăng'!K10-'Cộng giảm'!K10</f>
        <v>139.36000000000001</v>
      </c>
      <c r="P10" s="339">
        <f>'B1'!L12+'CÔng Tăng'!L10-'Cộng giảm'!L10</f>
        <v>82.81</v>
      </c>
      <c r="Q10" s="339">
        <f>'B1'!M12+'CÔng Tăng'!M10-'Cộng giảm'!M10</f>
        <v>19.97</v>
      </c>
      <c r="R10" s="339">
        <f>'B1'!N12+'CÔng Tăng'!N10-'Cộng giảm'!N10</f>
        <v>37.67</v>
      </c>
      <c r="S10" s="339">
        <f>'B1'!O12+'CÔng Tăng'!O10-'Cộng giảm'!O10</f>
        <v>143.81</v>
      </c>
      <c r="T10" s="111"/>
      <c r="U10" s="111"/>
      <c r="V10" s="111"/>
      <c r="W10" s="111"/>
      <c r="X10" s="111"/>
    </row>
    <row r="11" spans="1:24" s="11" customFormat="1" ht="15.75">
      <c r="A11" s="78" t="s">
        <v>140</v>
      </c>
      <c r="B11" s="20" t="s">
        <v>12</v>
      </c>
      <c r="C11" s="21" t="s">
        <v>13</v>
      </c>
      <c r="D11" s="96">
        <v>8503.5</v>
      </c>
      <c r="E11" s="99">
        <f t="shared" si="1"/>
        <v>6549.57</v>
      </c>
      <c r="F11" s="200"/>
      <c r="G11" s="200"/>
      <c r="H11" s="44">
        <f t="shared" si="3"/>
        <v>15053.07</v>
      </c>
      <c r="I11" s="44">
        <f>'B1'!E13+'CÔng Tăng'!E11-'Cộng giảm'!E11</f>
        <v>64.13000000000001</v>
      </c>
      <c r="J11" s="44">
        <f>'B1'!F13+'CÔng Tăng'!F11-'Cộng giảm'!F11</f>
        <v>658.8</v>
      </c>
      <c r="K11" s="44">
        <f>'B1'!G13+'CÔng Tăng'!G11-'Cộng giảm'!G11</f>
        <v>1347.01</v>
      </c>
      <c r="L11" s="44">
        <f>'B1'!H13+'CÔng Tăng'!H11-'Cộng giảm'!H11</f>
        <v>1459.5200000000002</v>
      </c>
      <c r="M11" s="44">
        <f>'B1'!I13+'CÔng Tăng'!I11-'Cộng giảm'!I11</f>
        <v>1768.29</v>
      </c>
      <c r="N11" s="44">
        <f>'B1'!J13+'CÔng Tăng'!J11-'Cộng giảm'!J11</f>
        <v>720.7</v>
      </c>
      <c r="O11" s="44">
        <f>'B1'!K13+'CÔng Tăng'!K11-'Cộng giảm'!K11</f>
        <v>581.74</v>
      </c>
      <c r="P11" s="44">
        <f>'B1'!L13+'CÔng Tăng'!L11-'Cộng giảm'!L11</f>
        <v>896.89</v>
      </c>
      <c r="Q11" s="44">
        <f>'B1'!M13+'CÔng Tăng'!M11-'Cộng giảm'!M11</f>
        <v>1198.3100000000002</v>
      </c>
      <c r="R11" s="44">
        <f>'B1'!N13+'CÔng Tăng'!N11-'Cộng giảm'!N11</f>
        <v>4199.2299999999996</v>
      </c>
      <c r="S11" s="44">
        <f>'B1'!O13+'CÔng Tăng'!O11-'Cộng giảm'!O11</f>
        <v>2158.4499999999998</v>
      </c>
      <c r="T11" s="33"/>
      <c r="U11" s="33"/>
      <c r="V11" s="33"/>
      <c r="W11" s="33"/>
      <c r="X11" s="33"/>
    </row>
    <row r="12" spans="1:24" s="11" customFormat="1" ht="15.75">
      <c r="A12" s="78" t="s">
        <v>141</v>
      </c>
      <c r="B12" s="20" t="s">
        <v>14</v>
      </c>
      <c r="C12" s="21" t="s">
        <v>15</v>
      </c>
      <c r="D12" s="96">
        <v>17879.13</v>
      </c>
      <c r="E12" s="99">
        <f t="shared" si="1"/>
        <v>9567.7800000000025</v>
      </c>
      <c r="F12" s="200"/>
      <c r="G12" s="200"/>
      <c r="H12" s="44">
        <f t="shared" si="3"/>
        <v>27446.910000000003</v>
      </c>
      <c r="I12" s="44">
        <f>'B1'!E14+'CÔng Tăng'!E12-'Cộng giảm'!E12</f>
        <v>789.45</v>
      </c>
      <c r="J12" s="44">
        <f>'B1'!F14+'CÔng Tăng'!F12-'Cộng giảm'!F12</f>
        <v>3192.1600000000003</v>
      </c>
      <c r="K12" s="44">
        <f>'B1'!G14+'CÔng Tăng'!G12-'Cộng giảm'!G12</f>
        <v>8181.33</v>
      </c>
      <c r="L12" s="44">
        <f>'B1'!H14+'CÔng Tăng'!H12-'Cộng giảm'!H12</f>
        <v>3351.88</v>
      </c>
      <c r="M12" s="44">
        <f>'B1'!I14+'CÔng Tăng'!I12-'Cộng giảm'!I12</f>
        <v>1350.7900000000002</v>
      </c>
      <c r="N12" s="44">
        <f>'B1'!J14+'CÔng Tăng'!J12-'Cộng giảm'!J12</f>
        <v>1848.2700000000002</v>
      </c>
      <c r="O12" s="44">
        <f>'B1'!K14+'CÔng Tăng'!K12-'Cộng giảm'!K12</f>
        <v>2274.0899999999997</v>
      </c>
      <c r="P12" s="44">
        <f>'B1'!L14+'CÔng Tăng'!L12-'Cộng giảm'!L12</f>
        <v>2409.3399999999997</v>
      </c>
      <c r="Q12" s="44">
        <f>'B1'!M14+'CÔng Tăng'!M12-'Cộng giảm'!M12</f>
        <v>1176.79</v>
      </c>
      <c r="R12" s="44">
        <f>'B1'!N14+'CÔng Tăng'!N12-'Cộng giảm'!N12</f>
        <v>1055.9100000000001</v>
      </c>
      <c r="S12" s="44">
        <f>'B1'!O14+'CÔng Tăng'!O12-'Cộng giảm'!O12</f>
        <v>1816.9</v>
      </c>
      <c r="T12" s="34"/>
      <c r="U12" s="34"/>
      <c r="V12" s="34"/>
      <c r="W12" s="34"/>
      <c r="X12" s="34"/>
    </row>
    <row r="13" spans="1:24" s="12" customFormat="1" ht="15.75">
      <c r="A13" s="78" t="s">
        <v>142</v>
      </c>
      <c r="B13" s="20" t="s">
        <v>16</v>
      </c>
      <c r="C13" s="21" t="s">
        <v>17</v>
      </c>
      <c r="D13" s="96">
        <v>15274.499999999998</v>
      </c>
      <c r="E13" s="99">
        <f t="shared" si="1"/>
        <v>-1998.4299999999985</v>
      </c>
      <c r="F13" s="200"/>
      <c r="G13" s="200"/>
      <c r="H13" s="44">
        <f t="shared" si="3"/>
        <v>13276.07</v>
      </c>
      <c r="I13" s="44">
        <f>'B1'!E15+'CÔng Tăng'!E13-'Cộng giảm'!E13</f>
        <v>0</v>
      </c>
      <c r="J13" s="44">
        <f>'B1'!F15+'CÔng Tăng'!F13-'Cộng giảm'!F13</f>
        <v>0</v>
      </c>
      <c r="K13" s="44">
        <f>'B1'!G15+'CÔng Tăng'!G13-'Cộng giảm'!G13</f>
        <v>3830.66</v>
      </c>
      <c r="L13" s="44">
        <f>'B1'!H15+'CÔng Tăng'!H13-'Cộng giảm'!H13</f>
        <v>0</v>
      </c>
      <c r="M13" s="44">
        <f>'B1'!I15+'CÔng Tăng'!I13-'Cộng giảm'!I13</f>
        <v>0</v>
      </c>
      <c r="N13" s="44">
        <f>'B1'!J15+'CÔng Tăng'!J13-'Cộng giảm'!J13</f>
        <v>0</v>
      </c>
      <c r="O13" s="44">
        <f>'B1'!K15+'CÔng Tăng'!K13-'Cộng giảm'!K13</f>
        <v>0</v>
      </c>
      <c r="P13" s="44">
        <f>'B1'!L15+'CÔng Tăng'!L13-'Cộng giảm'!L13</f>
        <v>0</v>
      </c>
      <c r="Q13" s="44">
        <f>'B1'!M15+'CÔng Tăng'!M13-'Cộng giảm'!M13</f>
        <v>0</v>
      </c>
      <c r="R13" s="44">
        <f>'B1'!N15+'CÔng Tăng'!N13-'Cộng giảm'!N13</f>
        <v>9371.51</v>
      </c>
      <c r="S13" s="44">
        <f>'B1'!O15+'CÔng Tăng'!O13-'Cộng giảm'!O13</f>
        <v>73.900000000000006</v>
      </c>
      <c r="T13" s="8"/>
      <c r="U13" s="8"/>
      <c r="V13" s="8"/>
      <c r="W13" s="8"/>
      <c r="X13" s="8"/>
    </row>
    <row r="14" spans="1:24" s="12" customFormat="1" ht="15.75">
      <c r="A14" s="78" t="s">
        <v>143</v>
      </c>
      <c r="B14" s="20" t="s">
        <v>18</v>
      </c>
      <c r="C14" s="21" t="s">
        <v>19</v>
      </c>
      <c r="D14" s="96">
        <v>44138.469999999994</v>
      </c>
      <c r="E14" s="99">
        <f t="shared" si="1"/>
        <v>-1112.2299999999959</v>
      </c>
      <c r="F14" s="200"/>
      <c r="G14" s="200"/>
      <c r="H14" s="44">
        <f t="shared" si="3"/>
        <v>43026.239999999998</v>
      </c>
      <c r="I14" s="44">
        <f>'B1'!E16+'CÔng Tăng'!E14-'Cộng giảm'!E14</f>
        <v>73.260000000000005</v>
      </c>
      <c r="J14" s="44">
        <f>'B1'!F16+'CÔng Tăng'!F14-'Cộng giảm'!F14</f>
        <v>0</v>
      </c>
      <c r="K14" s="44">
        <f>'B1'!G16+'CÔng Tăng'!G14-'Cộng giảm'!G14</f>
        <v>17584</v>
      </c>
      <c r="L14" s="44">
        <f>'B1'!H16+'CÔng Tăng'!H14-'Cộng giảm'!H14</f>
        <v>21352.13</v>
      </c>
      <c r="M14" s="44">
        <f>'B1'!I16+'CÔng Tăng'!I14-'Cộng giảm'!I14</f>
        <v>0</v>
      </c>
      <c r="N14" s="44">
        <f>'B1'!J16+'CÔng Tăng'!J14-'Cộng giảm'!J14</f>
        <v>0</v>
      </c>
      <c r="O14" s="44">
        <f>'B1'!K16+'CÔng Tăng'!K14-'Cộng giảm'!K14</f>
        <v>1538.22</v>
      </c>
      <c r="P14" s="44">
        <f>'B1'!L16+'CÔng Tăng'!L14-'Cộng giảm'!L14</f>
        <v>2478.63</v>
      </c>
      <c r="Q14" s="44">
        <f>'B1'!M16+'CÔng Tăng'!M14-'Cộng giảm'!M14</f>
        <v>0</v>
      </c>
      <c r="R14" s="44">
        <f>'B1'!N16+'CÔng Tăng'!N14-'Cộng giảm'!N14</f>
        <v>0</v>
      </c>
      <c r="S14" s="44">
        <f>'B1'!O16+'CÔng Tăng'!O14-'Cộng giảm'!O14</f>
        <v>0</v>
      </c>
      <c r="T14" s="9"/>
      <c r="U14" s="9"/>
      <c r="V14" s="9"/>
      <c r="W14" s="9"/>
      <c r="X14" s="9"/>
    </row>
    <row r="15" spans="1:24" s="11" customFormat="1" ht="15.75">
      <c r="A15" s="78" t="s">
        <v>144</v>
      </c>
      <c r="B15" s="20" t="s">
        <v>20</v>
      </c>
      <c r="C15" s="21" t="s">
        <v>21</v>
      </c>
      <c r="D15" s="96">
        <v>45769.380000000005</v>
      </c>
      <c r="E15" s="99">
        <f t="shared" si="1"/>
        <v>-11534.290000000008</v>
      </c>
      <c r="F15" s="200"/>
      <c r="G15" s="200"/>
      <c r="H15" s="44">
        <f t="shared" si="3"/>
        <v>34235.089999999997</v>
      </c>
      <c r="I15" s="44">
        <f>'B1'!E17+'CÔng Tăng'!E15-'Cộng giảm'!E15</f>
        <v>14.52</v>
      </c>
      <c r="J15" s="44">
        <f>'B1'!F17+'CÔng Tăng'!F15-'Cộng giảm'!F15</f>
        <v>842.72</v>
      </c>
      <c r="K15" s="44">
        <f>'B1'!G17+'CÔng Tăng'!G15-'Cộng giảm'!G15</f>
        <v>26369.21</v>
      </c>
      <c r="L15" s="44">
        <f>'B1'!H17+'CÔng Tăng'!H15-'Cộng giảm'!H15</f>
        <v>2863.6</v>
      </c>
      <c r="M15" s="44">
        <f>'B1'!I17+'CÔng Tăng'!I15-'Cộng giảm'!I15</f>
        <v>69.67</v>
      </c>
      <c r="N15" s="44">
        <f>'B1'!J17+'CÔng Tăng'!J15-'Cộng giảm'!J15</f>
        <v>316.3</v>
      </c>
      <c r="O15" s="44">
        <f>'B1'!K17+'CÔng Tăng'!K15-'Cộng giảm'!K15</f>
        <v>1015.59</v>
      </c>
      <c r="P15" s="44">
        <f>'B1'!L17+'CÔng Tăng'!L15-'Cộng giảm'!L15</f>
        <v>279.31</v>
      </c>
      <c r="Q15" s="44">
        <f>'B1'!M17+'CÔng Tăng'!M15-'Cộng giảm'!M15</f>
        <v>39.35</v>
      </c>
      <c r="R15" s="44">
        <f>'B1'!N17+'CÔng Tăng'!N15-'Cộng giảm'!N15</f>
        <v>2393.87</v>
      </c>
      <c r="S15" s="44">
        <f>'B1'!O17+'CÔng Tăng'!O15-'Cộng giảm'!O15</f>
        <v>30.95</v>
      </c>
      <c r="T15" s="34"/>
      <c r="U15" s="34"/>
      <c r="V15" s="34"/>
      <c r="W15" s="34"/>
      <c r="X15" s="34"/>
    </row>
    <row r="16" spans="1:24" s="110" customFormat="1" ht="30">
      <c r="A16" s="108"/>
      <c r="B16" s="22" t="s">
        <v>243</v>
      </c>
      <c r="C16" s="23" t="s">
        <v>247</v>
      </c>
      <c r="D16" s="97">
        <v>111.01000000000002</v>
      </c>
      <c r="E16" s="109">
        <f t="shared" si="1"/>
        <v>29550.950000000004</v>
      </c>
      <c r="F16" s="201"/>
      <c r="G16" s="201"/>
      <c r="H16" s="339">
        <f t="shared" si="3"/>
        <v>29661.960000000003</v>
      </c>
      <c r="I16" s="339">
        <f>'B1'!E18+'CÔng Tăng'!E16-'Cộng giảm'!E16</f>
        <v>9.58</v>
      </c>
      <c r="J16" s="339">
        <f>'B1'!F18+'CÔng Tăng'!F16-'Cộng giảm'!F16</f>
        <v>622.98</v>
      </c>
      <c r="K16" s="339">
        <f>'B1'!G18+'CÔng Tăng'!G16-'Cộng giảm'!G16</f>
        <v>24452.27</v>
      </c>
      <c r="L16" s="339">
        <f>'B1'!H18+'CÔng Tăng'!H16-'Cộng giảm'!H16</f>
        <v>1344.23</v>
      </c>
      <c r="M16" s="339">
        <f>'B1'!I18+'CÔng Tăng'!I16-'Cộng giảm'!I16</f>
        <v>58.8</v>
      </c>
      <c r="N16" s="339">
        <f>'B1'!J18+'CÔng Tăng'!J16-'Cộng giảm'!J16</f>
        <v>314.8</v>
      </c>
      <c r="O16" s="339">
        <f>'B1'!K18+'CÔng Tăng'!K16-'Cộng giảm'!K16</f>
        <v>740.52</v>
      </c>
      <c r="P16" s="339">
        <f>'B1'!L18+'CÔng Tăng'!L16-'Cộng giảm'!L16</f>
        <v>279.31</v>
      </c>
      <c r="Q16" s="339">
        <f>'B1'!M18+'CÔng Tăng'!M16-'Cộng giảm'!M16</f>
        <v>41.21</v>
      </c>
      <c r="R16" s="339">
        <f>'B1'!N18+'CÔng Tăng'!N16-'Cộng giảm'!N16</f>
        <v>1790.9</v>
      </c>
      <c r="S16" s="339">
        <f>'B1'!O18+'CÔng Tăng'!O16-'Cộng giảm'!O16</f>
        <v>7.36</v>
      </c>
      <c r="T16" s="203"/>
      <c r="U16" s="203"/>
      <c r="V16" s="203"/>
      <c r="W16" s="203"/>
      <c r="X16" s="203"/>
    </row>
    <row r="17" spans="1:24" s="12" customFormat="1" ht="15.75">
      <c r="A17" s="78" t="s">
        <v>145</v>
      </c>
      <c r="B17" s="20" t="s">
        <v>22</v>
      </c>
      <c r="C17" s="21" t="s">
        <v>23</v>
      </c>
      <c r="D17" s="96"/>
      <c r="E17" s="99">
        <f t="shared" si="1"/>
        <v>122.26</v>
      </c>
      <c r="F17" s="200"/>
      <c r="G17" s="200"/>
      <c r="H17" s="44">
        <f t="shared" si="3"/>
        <v>122.26</v>
      </c>
      <c r="I17" s="44">
        <f>'B1'!E19+'CÔng Tăng'!E17-'Cộng giảm'!E17</f>
        <v>8.5200000000000014</v>
      </c>
      <c r="J17" s="44">
        <f>'B1'!F19+'CÔng Tăng'!F17-'Cộng giảm'!F17</f>
        <v>3.67</v>
      </c>
      <c r="K17" s="44">
        <f>'B1'!G19+'CÔng Tăng'!G17-'Cộng giảm'!G17</f>
        <v>13.23</v>
      </c>
      <c r="L17" s="44">
        <f>'B1'!H19+'CÔng Tăng'!H17-'Cộng giảm'!H17</f>
        <v>25.23</v>
      </c>
      <c r="M17" s="44">
        <f>'B1'!I19+'CÔng Tăng'!I17-'Cộng giảm'!I17</f>
        <v>4.3</v>
      </c>
      <c r="N17" s="44">
        <f>'B1'!J19+'CÔng Tăng'!J17-'Cộng giảm'!J17</f>
        <v>17.190000000000001</v>
      </c>
      <c r="O17" s="44">
        <f>'B1'!K19+'CÔng Tăng'!K17-'Cộng giảm'!K17</f>
        <v>16.97</v>
      </c>
      <c r="P17" s="44">
        <f>'B1'!L19+'CÔng Tăng'!L17-'Cộng giảm'!L17</f>
        <v>22.97</v>
      </c>
      <c r="Q17" s="44">
        <f>'B1'!M19+'CÔng Tăng'!M17-'Cộng giảm'!M17</f>
        <v>6.54</v>
      </c>
      <c r="R17" s="44">
        <f>'B1'!N19+'CÔng Tăng'!N17-'Cộng giảm'!N17</f>
        <v>0.74</v>
      </c>
      <c r="S17" s="44">
        <f>'B1'!O19+'CÔng Tăng'!O17-'Cộng giảm'!O17</f>
        <v>2.9</v>
      </c>
      <c r="T17" s="8"/>
      <c r="U17" s="8"/>
      <c r="V17" s="8"/>
      <c r="W17" s="8"/>
      <c r="X17" s="8"/>
    </row>
    <row r="18" spans="1:24" s="12" customFormat="1" ht="15.75">
      <c r="A18" s="78" t="s">
        <v>146</v>
      </c>
      <c r="B18" s="20" t="s">
        <v>24</v>
      </c>
      <c r="C18" s="21" t="s">
        <v>25</v>
      </c>
      <c r="D18" s="96">
        <v>452.19</v>
      </c>
      <c r="E18" s="99">
        <f t="shared" si="1"/>
        <v>-452.19</v>
      </c>
      <c r="F18" s="200"/>
      <c r="G18" s="200"/>
      <c r="H18" s="44">
        <f t="shared" si="3"/>
        <v>0</v>
      </c>
      <c r="I18" s="44">
        <f>'B1'!E20+'CÔng Tăng'!E18-'Cộng giảm'!E18</f>
        <v>0</v>
      </c>
      <c r="J18" s="44">
        <f>'B1'!F20+'CÔng Tăng'!F18-'Cộng giảm'!F18</f>
        <v>0</v>
      </c>
      <c r="K18" s="44">
        <f>'B1'!G20+'CÔng Tăng'!G18-'Cộng giảm'!G18</f>
        <v>0</v>
      </c>
      <c r="L18" s="44">
        <f>'B1'!H20+'CÔng Tăng'!H18-'Cộng giảm'!H18</f>
        <v>0</v>
      </c>
      <c r="M18" s="44">
        <f>'B1'!I20+'CÔng Tăng'!I18-'Cộng giảm'!I18</f>
        <v>0</v>
      </c>
      <c r="N18" s="44">
        <f>'B1'!J20+'CÔng Tăng'!J18-'Cộng giảm'!J18</f>
        <v>0</v>
      </c>
      <c r="O18" s="44">
        <f>'B1'!K20+'CÔng Tăng'!K18-'Cộng giảm'!K18</f>
        <v>0</v>
      </c>
      <c r="P18" s="44">
        <f>'B1'!L20+'CÔng Tăng'!L18-'Cộng giảm'!L18</f>
        <v>0</v>
      </c>
      <c r="Q18" s="44">
        <f>'B1'!M20+'CÔng Tăng'!M18-'Cộng giảm'!M18</f>
        <v>0</v>
      </c>
      <c r="R18" s="44">
        <f>'B1'!N20+'CÔng Tăng'!N18-'Cộng giảm'!N18</f>
        <v>0</v>
      </c>
      <c r="S18" s="44">
        <f>'B1'!O20+'CÔng Tăng'!O18-'Cộng giảm'!O18</f>
        <v>0</v>
      </c>
      <c r="T18" s="8"/>
      <c r="U18" s="8"/>
      <c r="V18" s="8"/>
      <c r="W18" s="8"/>
      <c r="X18" s="8"/>
    </row>
    <row r="19" spans="1:24" s="135" customFormat="1" ht="15.75">
      <c r="A19" s="78" t="s">
        <v>147</v>
      </c>
      <c r="B19" s="20" t="s">
        <v>26</v>
      </c>
      <c r="C19" s="21" t="s">
        <v>27</v>
      </c>
      <c r="D19" s="96">
        <v>9759.39</v>
      </c>
      <c r="E19" s="204">
        <f t="shared" si="1"/>
        <v>-9620.7799999999988</v>
      </c>
      <c r="F19" s="205"/>
      <c r="G19" s="205"/>
      <c r="H19" s="44">
        <f t="shared" si="3"/>
        <v>138.61000000000001</v>
      </c>
      <c r="I19" s="44">
        <f>'B1'!E21+'CÔng Tăng'!E19-'Cộng giảm'!E19</f>
        <v>3.73</v>
      </c>
      <c r="J19" s="44">
        <f>'B1'!F21+'CÔng Tăng'!F19-'Cộng giảm'!F19</f>
        <v>9.4899999999999984</v>
      </c>
      <c r="K19" s="44">
        <f>'B1'!G21+'CÔng Tăng'!G19-'Cộng giảm'!G19</f>
        <v>86.8</v>
      </c>
      <c r="L19" s="44">
        <f>'B1'!H21+'CÔng Tăng'!H19-'Cộng giảm'!H19</f>
        <v>34.68</v>
      </c>
      <c r="M19" s="44">
        <f>'B1'!I21+'CÔng Tăng'!I19-'Cộng giảm'!I19</f>
        <v>0</v>
      </c>
      <c r="N19" s="44">
        <f>'B1'!J21+'CÔng Tăng'!J19-'Cộng giảm'!J19</f>
        <v>3.3</v>
      </c>
      <c r="O19" s="44">
        <f>'B1'!K21+'CÔng Tăng'!K19-'Cộng giảm'!K19</f>
        <v>0</v>
      </c>
      <c r="P19" s="44">
        <f>'B1'!L21+'CÔng Tăng'!L19-'Cộng giảm'!L19</f>
        <v>0.61</v>
      </c>
      <c r="Q19" s="44">
        <f>'B1'!M21+'CÔng Tăng'!M19-'Cộng giảm'!M19</f>
        <v>0</v>
      </c>
      <c r="R19" s="44">
        <f>'B1'!N21+'CÔng Tăng'!N19-'Cộng giảm'!N19</f>
        <v>0</v>
      </c>
      <c r="S19" s="44">
        <f>'B1'!O21+'CÔng Tăng'!O19-'Cộng giảm'!O19</f>
        <v>0</v>
      </c>
      <c r="T19" s="8"/>
      <c r="U19" s="8"/>
      <c r="V19" s="8"/>
      <c r="W19" s="8"/>
      <c r="X19" s="8"/>
    </row>
    <row r="20" spans="1:24" s="10" customFormat="1" ht="15.75">
      <c r="A20" s="41">
        <v>2</v>
      </c>
      <c r="B20" s="24" t="s">
        <v>28</v>
      </c>
      <c r="C20" s="25" t="s">
        <v>29</v>
      </c>
      <c r="D20" s="98">
        <v>380.49</v>
      </c>
      <c r="E20" s="99">
        <f t="shared" si="1"/>
        <v>8136.2199999999993</v>
      </c>
      <c r="F20" s="200"/>
      <c r="G20" s="200"/>
      <c r="H20" s="45">
        <f t="shared" si="3"/>
        <v>8516.7099999999991</v>
      </c>
      <c r="I20" s="45">
        <f>'B1'!E22+'CÔng Tăng'!E20-'Cộng giảm'!E20</f>
        <v>343.57</v>
      </c>
      <c r="J20" s="45">
        <f>'B1'!F22+'CÔng Tăng'!F20-'Cộng giảm'!F20</f>
        <v>1461.8100000000002</v>
      </c>
      <c r="K20" s="45">
        <f>'B1'!G22+'CÔng Tăng'!G20-'Cộng giảm'!G20</f>
        <v>882.18999999999994</v>
      </c>
      <c r="L20" s="45">
        <f>'B1'!H22+'CÔng Tăng'!H20-'Cộng giảm'!H20</f>
        <v>495.92999999999995</v>
      </c>
      <c r="M20" s="45">
        <f>'B1'!I22+'CÔng Tăng'!I20-'Cộng giảm'!I20</f>
        <v>775.8599999999999</v>
      </c>
      <c r="N20" s="45">
        <f>'B1'!J22+'CÔng Tăng'!J20-'Cộng giảm'!J20</f>
        <v>740.45000000000016</v>
      </c>
      <c r="O20" s="45">
        <f>'B1'!K22+'CÔng Tăng'!K20-'Cộng giảm'!K20</f>
        <v>268.32</v>
      </c>
      <c r="P20" s="45">
        <f>'B1'!L22+'CÔng Tăng'!L20-'Cộng giảm'!L20</f>
        <v>290.65000000000003</v>
      </c>
      <c r="Q20" s="45">
        <f>'B1'!M22+'CÔng Tăng'!M20-'Cộng giảm'!M20</f>
        <v>1326.9099999999999</v>
      </c>
      <c r="R20" s="45">
        <f>'B1'!N22+'CÔng Tăng'!N20-'Cộng giảm'!N20</f>
        <v>1452.84</v>
      </c>
      <c r="S20" s="45">
        <f>'B1'!O22+'CÔng Tăng'!O20-'Cộng giảm'!O20</f>
        <v>478.18000000000006</v>
      </c>
      <c r="T20" s="28"/>
      <c r="U20" s="28"/>
      <c r="V20" s="28"/>
      <c r="W20" s="28"/>
      <c r="X20" s="28"/>
    </row>
    <row r="21" spans="1:24" s="12" customFormat="1" ht="15.75">
      <c r="A21" s="78" t="s">
        <v>148</v>
      </c>
      <c r="B21" s="20" t="s">
        <v>30</v>
      </c>
      <c r="C21" s="21" t="s">
        <v>31</v>
      </c>
      <c r="D21" s="96">
        <v>2.63</v>
      </c>
      <c r="E21" s="99">
        <f t="shared" si="1"/>
        <v>120.65</v>
      </c>
      <c r="F21" s="200"/>
      <c r="G21" s="200"/>
      <c r="H21" s="44">
        <f t="shared" si="3"/>
        <v>123.28</v>
      </c>
      <c r="I21" s="44">
        <f>'B1'!E23+'CÔng Tăng'!E21-'Cộng giảm'!E21</f>
        <v>25.78</v>
      </c>
      <c r="J21" s="44">
        <f>'B1'!F23+'CÔng Tăng'!F21-'Cộng giảm'!F21</f>
        <v>51.11</v>
      </c>
      <c r="K21" s="44">
        <f>'B1'!G23+'CÔng Tăng'!G21-'Cộng giảm'!G21</f>
        <v>26.44</v>
      </c>
      <c r="L21" s="44">
        <f>'B1'!H23+'CÔng Tăng'!H21-'Cộng giảm'!H21</f>
        <v>19.7</v>
      </c>
      <c r="M21" s="44">
        <f>'B1'!I23+'CÔng Tăng'!I21-'Cộng giảm'!I21</f>
        <v>0.08</v>
      </c>
      <c r="N21" s="44">
        <f>'B1'!J23+'CÔng Tăng'!J21-'Cộng giảm'!J21</f>
        <v>0</v>
      </c>
      <c r="O21" s="44">
        <f>'B1'!K23+'CÔng Tăng'!K21-'Cộng giảm'!K21</f>
        <v>0</v>
      </c>
      <c r="P21" s="44">
        <f>'B1'!L23+'CÔng Tăng'!L21-'Cộng giảm'!L21</f>
        <v>0.01</v>
      </c>
      <c r="Q21" s="44">
        <f>'B1'!M23+'CÔng Tăng'!M21-'Cộng giảm'!M21</f>
        <v>0</v>
      </c>
      <c r="R21" s="44">
        <f>'B1'!N23+'CÔng Tăng'!N21-'Cộng giảm'!N21</f>
        <v>0.16</v>
      </c>
      <c r="S21" s="44">
        <f>'B1'!O23+'CÔng Tăng'!O21-'Cộng giảm'!O21</f>
        <v>0</v>
      </c>
      <c r="T21" s="8"/>
      <c r="U21" s="8"/>
      <c r="V21" s="8"/>
      <c r="W21" s="8"/>
      <c r="X21" s="8"/>
    </row>
    <row r="22" spans="1:24" s="12" customFormat="1" ht="15.75">
      <c r="A22" s="78" t="s">
        <v>138</v>
      </c>
      <c r="B22" s="20" t="s">
        <v>32</v>
      </c>
      <c r="C22" s="21" t="s">
        <v>33</v>
      </c>
      <c r="D22" s="96"/>
      <c r="E22" s="99">
        <f t="shared" si="1"/>
        <v>4.2700000000000005</v>
      </c>
      <c r="F22" s="200"/>
      <c r="G22" s="200"/>
      <c r="H22" s="44">
        <f t="shared" si="3"/>
        <v>4.2700000000000005</v>
      </c>
      <c r="I22" s="44">
        <f>'B1'!E24+'CÔng Tăng'!E22-'Cộng giảm'!E22</f>
        <v>3.2699999999999996</v>
      </c>
      <c r="J22" s="44">
        <f>'B1'!F24+'CÔng Tăng'!F22-'Cộng giảm'!F22</f>
        <v>0.06</v>
      </c>
      <c r="K22" s="44">
        <f>'B1'!G24+'CÔng Tăng'!G22-'Cộng giảm'!G22</f>
        <v>0.1</v>
      </c>
      <c r="L22" s="44">
        <f>'B1'!H24+'CÔng Tăng'!H22-'Cộng giảm'!H22</f>
        <v>0.12</v>
      </c>
      <c r="M22" s="44">
        <f>'B1'!I24+'CÔng Tăng'!I22-'Cộng giảm'!I22</f>
        <v>0.09</v>
      </c>
      <c r="N22" s="44">
        <f>'B1'!J24+'CÔng Tăng'!J22-'Cộng giảm'!J22</f>
        <v>0.1</v>
      </c>
      <c r="O22" s="44">
        <f>'B1'!K24+'CÔng Tăng'!K22-'Cộng giảm'!K22</f>
        <v>0.1</v>
      </c>
      <c r="P22" s="44">
        <f>'B1'!L24+'CÔng Tăng'!L22-'Cộng giảm'!L22</f>
        <v>0.1</v>
      </c>
      <c r="Q22" s="44">
        <f>'B1'!M24+'CÔng Tăng'!M22-'Cộng giảm'!M22</f>
        <v>0.1</v>
      </c>
      <c r="R22" s="44">
        <f>'B1'!N24+'CÔng Tăng'!N22-'Cộng giảm'!N22</f>
        <v>0.15</v>
      </c>
      <c r="S22" s="44">
        <f>'B1'!O24+'CÔng Tăng'!O22-'Cộng giảm'!O22</f>
        <v>0.08</v>
      </c>
      <c r="T22" s="9"/>
      <c r="U22" s="9"/>
      <c r="V22" s="9"/>
      <c r="W22" s="9"/>
      <c r="X22" s="9"/>
    </row>
    <row r="23" spans="1:24" s="12" customFormat="1" ht="15.75">
      <c r="A23" s="78" t="s">
        <v>149</v>
      </c>
      <c r="B23" s="20" t="s">
        <v>34</v>
      </c>
      <c r="C23" s="21" t="s">
        <v>35</v>
      </c>
      <c r="D23" s="96"/>
      <c r="E23" s="99">
        <f t="shared" si="1"/>
        <v>0</v>
      </c>
      <c r="F23" s="200"/>
      <c r="G23" s="200"/>
      <c r="H23" s="44">
        <f t="shared" si="3"/>
        <v>0</v>
      </c>
      <c r="I23" s="44">
        <f>'B1'!E25+'CÔng Tăng'!E23-'Cộng giảm'!E23</f>
        <v>0</v>
      </c>
      <c r="J23" s="44">
        <f>'B1'!F25+'CÔng Tăng'!F23-'Cộng giảm'!F23</f>
        <v>0</v>
      </c>
      <c r="K23" s="44">
        <f>'B1'!G25+'CÔng Tăng'!G23-'Cộng giảm'!G23</f>
        <v>0</v>
      </c>
      <c r="L23" s="44">
        <f>'B1'!H25+'CÔng Tăng'!H23-'Cộng giảm'!H23</f>
        <v>0</v>
      </c>
      <c r="M23" s="44">
        <f>'B1'!I25+'CÔng Tăng'!I23-'Cộng giảm'!I23</f>
        <v>0</v>
      </c>
      <c r="N23" s="44">
        <f>'B1'!J25+'CÔng Tăng'!J23-'Cộng giảm'!J23</f>
        <v>0</v>
      </c>
      <c r="O23" s="44">
        <f>'B1'!K25+'CÔng Tăng'!K23-'Cộng giảm'!K23</f>
        <v>0</v>
      </c>
      <c r="P23" s="44">
        <f>'B1'!L25+'CÔng Tăng'!L23-'Cộng giảm'!L23</f>
        <v>0</v>
      </c>
      <c r="Q23" s="44">
        <f>'B1'!M25+'CÔng Tăng'!M23-'Cộng giảm'!M23</f>
        <v>0</v>
      </c>
      <c r="R23" s="44">
        <f>'B1'!N25+'CÔng Tăng'!N23-'Cộng giảm'!N23</f>
        <v>0</v>
      </c>
      <c r="S23" s="44">
        <f>'B1'!O25+'CÔng Tăng'!O23-'Cộng giảm'!O23</f>
        <v>0</v>
      </c>
      <c r="T23" s="9"/>
      <c r="U23" s="9"/>
      <c r="V23" s="9"/>
      <c r="W23" s="9"/>
      <c r="X23" s="9"/>
    </row>
    <row r="24" spans="1:24" s="12" customFormat="1" ht="15.75">
      <c r="A24" s="78" t="s">
        <v>150</v>
      </c>
      <c r="B24" s="20" t="s">
        <v>36</v>
      </c>
      <c r="C24" s="21" t="s">
        <v>37</v>
      </c>
      <c r="D24" s="96">
        <v>25</v>
      </c>
      <c r="E24" s="99">
        <f t="shared" si="1"/>
        <v>-23.99</v>
      </c>
      <c r="F24" s="200"/>
      <c r="G24" s="200"/>
      <c r="H24" s="44">
        <f t="shared" si="3"/>
        <v>1.01</v>
      </c>
      <c r="I24" s="44">
        <f>'B1'!E26+'CÔng Tăng'!E24-'Cộng giảm'!E24</f>
        <v>0</v>
      </c>
      <c r="J24" s="44">
        <f>'B1'!F26+'CÔng Tăng'!F24-'Cộng giảm'!F24</f>
        <v>0</v>
      </c>
      <c r="K24" s="44">
        <f>'B1'!G26+'CÔng Tăng'!G24-'Cộng giảm'!G24</f>
        <v>0</v>
      </c>
      <c r="L24" s="44">
        <f>'B1'!H26+'CÔng Tăng'!H24-'Cộng giảm'!H24</f>
        <v>0</v>
      </c>
      <c r="M24" s="44">
        <f>'B1'!I26+'CÔng Tăng'!I24-'Cộng giảm'!I24</f>
        <v>0</v>
      </c>
      <c r="N24" s="44">
        <f>'B1'!J26+'CÔng Tăng'!J24-'Cộng giảm'!J24</f>
        <v>0</v>
      </c>
      <c r="O24" s="44">
        <f>'B1'!K26+'CÔng Tăng'!K24-'Cộng giảm'!K24</f>
        <v>1.01</v>
      </c>
      <c r="P24" s="44">
        <f>'B1'!L26+'CÔng Tăng'!L24-'Cộng giảm'!L24</f>
        <v>0</v>
      </c>
      <c r="Q24" s="44">
        <f>'B1'!M26+'CÔng Tăng'!M24-'Cộng giảm'!M24</f>
        <v>0</v>
      </c>
      <c r="R24" s="44">
        <f>'B1'!N26+'CÔng Tăng'!N24-'Cộng giảm'!N24</f>
        <v>0</v>
      </c>
      <c r="S24" s="44">
        <f>'B1'!O26+'CÔng Tăng'!O24-'Cộng giảm'!O24</f>
        <v>0</v>
      </c>
      <c r="T24" s="8"/>
      <c r="U24" s="8"/>
      <c r="V24" s="8"/>
      <c r="W24" s="8"/>
      <c r="X24" s="8"/>
    </row>
    <row r="25" spans="1:24" s="12" customFormat="1" ht="15.75">
      <c r="A25" s="78" t="s">
        <v>151</v>
      </c>
      <c r="B25" s="20" t="s">
        <v>38</v>
      </c>
      <c r="C25" s="21" t="s">
        <v>39</v>
      </c>
      <c r="D25" s="96">
        <v>41.9</v>
      </c>
      <c r="E25" s="99">
        <f t="shared" si="1"/>
        <v>-36.07</v>
      </c>
      <c r="F25" s="200"/>
      <c r="G25" s="200"/>
      <c r="H25" s="44">
        <f t="shared" si="3"/>
        <v>5.83</v>
      </c>
      <c r="I25" s="44">
        <f>'B1'!E27+'CÔng Tăng'!E25-'Cộng giảm'!E25</f>
        <v>2.04</v>
      </c>
      <c r="J25" s="44">
        <f>'B1'!F27+'CÔng Tăng'!F25-'Cộng giảm'!F25</f>
        <v>7.0000000000000007E-2</v>
      </c>
      <c r="K25" s="44">
        <f>'B1'!G27+'CÔng Tăng'!G25-'Cộng giảm'!G25</f>
        <v>0.41000000000000003</v>
      </c>
      <c r="L25" s="44">
        <f>'B1'!H27+'CÔng Tăng'!H25-'Cộng giảm'!H25</f>
        <v>0.42000000000000004</v>
      </c>
      <c r="M25" s="44">
        <f>'B1'!I27+'CÔng Tăng'!I25-'Cộng giảm'!I25</f>
        <v>0.32</v>
      </c>
      <c r="N25" s="44">
        <f>'B1'!J27+'CÔng Tăng'!J25-'Cộng giảm'!J25</f>
        <v>0</v>
      </c>
      <c r="O25" s="44">
        <f>'B1'!K27+'CÔng Tăng'!K25-'Cộng giảm'!K25</f>
        <v>0.7</v>
      </c>
      <c r="P25" s="44">
        <f>'B1'!L27+'CÔng Tăng'!L25-'Cộng giảm'!L25</f>
        <v>1.34</v>
      </c>
      <c r="Q25" s="44">
        <f>'B1'!M27+'CÔng Tăng'!M25-'Cộng giảm'!M25</f>
        <v>0.08</v>
      </c>
      <c r="R25" s="44">
        <f>'B1'!N27+'CÔng Tăng'!N25-'Cộng giảm'!N25</f>
        <v>0</v>
      </c>
      <c r="S25" s="44">
        <f>'B1'!O27+'CÔng Tăng'!O25-'Cộng giảm'!O25</f>
        <v>0.45</v>
      </c>
      <c r="T25" s="8"/>
      <c r="U25" s="8"/>
      <c r="V25" s="8"/>
      <c r="W25" s="8"/>
      <c r="X25" s="8"/>
    </row>
    <row r="26" spans="1:24" s="12" customFormat="1" ht="15.75">
      <c r="A26" s="78" t="s">
        <v>152</v>
      </c>
      <c r="B26" s="20" t="s">
        <v>40</v>
      </c>
      <c r="C26" s="21" t="s">
        <v>41</v>
      </c>
      <c r="D26" s="96">
        <v>264.85000000000002</v>
      </c>
      <c r="E26" s="99">
        <f t="shared" si="1"/>
        <v>-203.33000000000004</v>
      </c>
      <c r="F26" s="200"/>
      <c r="G26" s="200"/>
      <c r="H26" s="44">
        <f t="shared" si="3"/>
        <v>61.519999999999996</v>
      </c>
      <c r="I26" s="44">
        <f>'B1'!E28+'CÔng Tăng'!E26-'Cộng giảm'!E26</f>
        <v>0</v>
      </c>
      <c r="J26" s="44">
        <f>'B1'!F28+'CÔng Tăng'!F26-'Cộng giảm'!F26</f>
        <v>2.99</v>
      </c>
      <c r="K26" s="44">
        <f>'B1'!G28+'CÔng Tăng'!G26-'Cộng giảm'!G26</f>
        <v>7.77</v>
      </c>
      <c r="L26" s="44">
        <f>'B1'!H28+'CÔng Tăng'!H26-'Cộng giảm'!H26</f>
        <v>1.31</v>
      </c>
      <c r="M26" s="44">
        <f>'B1'!I28+'CÔng Tăng'!I26-'Cộng giảm'!I26</f>
        <v>28.93</v>
      </c>
      <c r="N26" s="44">
        <f>'B1'!J28+'CÔng Tăng'!J26-'Cộng giảm'!J26</f>
        <v>0.41</v>
      </c>
      <c r="O26" s="44">
        <f>'B1'!K28+'CÔng Tăng'!K26-'Cộng giảm'!K26</f>
        <v>18.79</v>
      </c>
      <c r="P26" s="44">
        <f>'B1'!L28+'CÔng Tăng'!L26-'Cộng giảm'!L26</f>
        <v>0.32</v>
      </c>
      <c r="Q26" s="44">
        <f>'B1'!M28+'CÔng Tăng'!M26-'Cộng giảm'!M26</f>
        <v>1</v>
      </c>
      <c r="R26" s="44">
        <f>'B1'!N28+'CÔng Tăng'!N26-'Cộng giảm'!N26</f>
        <v>0</v>
      </c>
      <c r="S26" s="44">
        <f>'B1'!O28+'CÔng Tăng'!O26-'Cộng giảm'!O26</f>
        <v>0</v>
      </c>
      <c r="T26" s="8"/>
      <c r="U26" s="8"/>
      <c r="V26" s="8"/>
      <c r="W26" s="8"/>
      <c r="X26" s="8"/>
    </row>
    <row r="27" spans="1:24" s="5" customFormat="1" ht="15.75">
      <c r="A27" s="78" t="s">
        <v>153</v>
      </c>
      <c r="B27" s="20" t="s">
        <v>42</v>
      </c>
      <c r="C27" s="21" t="s">
        <v>43</v>
      </c>
      <c r="D27" s="96">
        <v>27.7</v>
      </c>
      <c r="E27" s="99">
        <f t="shared" si="1"/>
        <v>-23.04</v>
      </c>
      <c r="F27" s="200"/>
      <c r="G27" s="200"/>
      <c r="H27" s="44">
        <f t="shared" si="3"/>
        <v>4.66</v>
      </c>
      <c r="I27" s="44">
        <f>'B1'!E29+'CÔng Tăng'!E27-'Cộng giảm'!E27</f>
        <v>0</v>
      </c>
      <c r="J27" s="44">
        <f>'B1'!F29+'CÔng Tăng'!F27-'Cộng giảm'!F27</f>
        <v>0</v>
      </c>
      <c r="K27" s="44">
        <f>'B1'!G29+'CÔng Tăng'!G27-'Cộng giảm'!G27</f>
        <v>0</v>
      </c>
      <c r="L27" s="44">
        <f>'B1'!H29+'CÔng Tăng'!H27-'Cộng giảm'!H27</f>
        <v>0</v>
      </c>
      <c r="M27" s="44">
        <f>'B1'!I29+'CÔng Tăng'!I27-'Cộng giảm'!I27</f>
        <v>0</v>
      </c>
      <c r="N27" s="44">
        <f>'B1'!J29+'CÔng Tăng'!J27-'Cộng giảm'!J27</f>
        <v>0</v>
      </c>
      <c r="O27" s="44">
        <f>'B1'!K29+'CÔng Tăng'!K27-'Cộng giảm'!K27</f>
        <v>4.66</v>
      </c>
      <c r="P27" s="44">
        <f>'B1'!L29+'CÔng Tăng'!L27-'Cộng giảm'!L27</f>
        <v>0</v>
      </c>
      <c r="Q27" s="44">
        <f>'B1'!M29+'CÔng Tăng'!M27-'Cộng giảm'!M27</f>
        <v>0</v>
      </c>
      <c r="R27" s="44">
        <f>'B1'!N29+'CÔng Tăng'!N27-'Cộng giảm'!N27</f>
        <v>0</v>
      </c>
      <c r="S27" s="44">
        <f>'B1'!O29+'CÔng Tăng'!O27-'Cộng giảm'!O27</f>
        <v>0</v>
      </c>
    </row>
    <row r="28" spans="1:24" s="11" customFormat="1" ht="18.75" customHeight="1">
      <c r="A28" s="78" t="s">
        <v>154</v>
      </c>
      <c r="B28" s="20" t="s">
        <v>179</v>
      </c>
      <c r="C28" s="21" t="s">
        <v>66</v>
      </c>
      <c r="D28" s="96">
        <v>6426.77</v>
      </c>
      <c r="E28" s="99">
        <f t="shared" si="1"/>
        <v>-6401.5800000000008</v>
      </c>
      <c r="F28" s="200"/>
      <c r="G28" s="200"/>
      <c r="H28" s="44">
        <f t="shared" si="3"/>
        <v>25.19</v>
      </c>
      <c r="I28" s="44">
        <f>'B1'!E30+'CÔng Tăng'!E28-'Cộng giảm'!E28</f>
        <v>0</v>
      </c>
      <c r="J28" s="44">
        <f>'B1'!F30+'CÔng Tăng'!F28-'Cộng giảm'!F28</f>
        <v>0</v>
      </c>
      <c r="K28" s="44">
        <f>'B1'!G30+'CÔng Tăng'!G28-'Cộng giảm'!G28</f>
        <v>5.07</v>
      </c>
      <c r="L28" s="44">
        <f>'B1'!H30+'CÔng Tăng'!H28-'Cộng giảm'!H28</f>
        <v>2.46</v>
      </c>
      <c r="M28" s="44">
        <f>'B1'!I30+'CÔng Tăng'!I28-'Cộng giảm'!I28</f>
        <v>11.09</v>
      </c>
      <c r="N28" s="44">
        <f>'B1'!J30+'CÔng Tăng'!J28-'Cộng giảm'!J28</f>
        <v>5.04</v>
      </c>
      <c r="O28" s="44">
        <f>'B1'!K30+'CÔng Tăng'!K28-'Cộng giảm'!K28</f>
        <v>0</v>
      </c>
      <c r="P28" s="44">
        <f>'B1'!L30+'CÔng Tăng'!L28-'Cộng giảm'!L28</f>
        <v>0</v>
      </c>
      <c r="Q28" s="44">
        <f>'B1'!M30+'CÔng Tăng'!M28-'Cộng giảm'!M28</f>
        <v>0.1</v>
      </c>
      <c r="R28" s="44">
        <f>'B1'!N30+'CÔng Tăng'!N28-'Cộng giảm'!N28</f>
        <v>0</v>
      </c>
      <c r="S28" s="44">
        <f>'B1'!O30+'CÔng Tăng'!O28-'Cộng giảm'!O28</f>
        <v>1.43</v>
      </c>
    </row>
    <row r="29" spans="1:24" s="107" customFormat="1" ht="30">
      <c r="A29" s="75" t="s">
        <v>155</v>
      </c>
      <c r="B29" s="67" t="s">
        <v>180</v>
      </c>
      <c r="C29" s="66" t="s">
        <v>45</v>
      </c>
      <c r="D29" s="206">
        <f t="shared" ref="D29:D39" si="4">SUM(E29:Q29)</f>
        <v>10988.220000000001</v>
      </c>
      <c r="E29" s="81">
        <v>5.85</v>
      </c>
      <c r="F29" s="207"/>
      <c r="G29" s="207"/>
      <c r="H29" s="44">
        <f t="shared" si="3"/>
        <v>6260.7400000000016</v>
      </c>
      <c r="I29" s="44">
        <f>'B1'!E31+'CÔng Tăng'!E29-'Cộng giảm'!E29</f>
        <v>129.38000000000002</v>
      </c>
      <c r="J29" s="44">
        <f>'B1'!F31+'CÔng Tăng'!F29-'Cộng giảm'!F29</f>
        <v>1198.6300000000003</v>
      </c>
      <c r="K29" s="44">
        <f>'B1'!G31+'CÔng Tăng'!G29-'Cộng giảm'!G29</f>
        <v>429.76</v>
      </c>
      <c r="L29" s="44">
        <f>'B1'!H31+'CÔng Tăng'!H29-'Cộng giảm'!H29</f>
        <v>264.88</v>
      </c>
      <c r="M29" s="44">
        <f>'B1'!I31+'CÔng Tăng'!I29-'Cộng giảm'!I29</f>
        <v>635.32000000000005</v>
      </c>
      <c r="N29" s="44">
        <f>'B1'!J31+'CÔng Tăng'!J29-'Cộng giảm'!J29</f>
        <v>622.84</v>
      </c>
      <c r="O29" s="44">
        <f>'B1'!K31+'CÔng Tăng'!K29-'Cộng giảm'!K29</f>
        <v>104.4</v>
      </c>
      <c r="P29" s="44">
        <f>'B1'!L31+'CÔng Tăng'!L29-'Cộng giảm'!L29</f>
        <v>110.52000000000001</v>
      </c>
      <c r="Q29" s="44">
        <f>'B1'!M31+'CÔng Tăng'!M29-'Cộng giảm'!M29</f>
        <v>1225.9000000000001</v>
      </c>
      <c r="R29" s="44">
        <f>'B1'!N31+'CÔng Tăng'!N29-'Cộng giảm'!N29</f>
        <v>1324.3</v>
      </c>
      <c r="S29" s="44">
        <f>'B1'!O31+'CÔng Tăng'!O29-'Cộng giảm'!O29</f>
        <v>214.81000000000003</v>
      </c>
    </row>
    <row r="30" spans="1:24" s="102" customFormat="1" ht="15.75">
      <c r="A30" s="100"/>
      <c r="B30" s="69" t="s">
        <v>216</v>
      </c>
      <c r="C30" s="103" t="s">
        <v>196</v>
      </c>
      <c r="D30" s="101">
        <f t="shared" si="4"/>
        <v>2289.3700000000003</v>
      </c>
      <c r="E30" s="101">
        <v>1.93</v>
      </c>
      <c r="F30" s="202"/>
      <c r="G30" s="202"/>
      <c r="H30" s="339">
        <f t="shared" si="3"/>
        <v>1249.18</v>
      </c>
      <c r="I30" s="339">
        <f>'B1'!E32+'CÔng Tăng'!E30-'Cộng giảm'!E30</f>
        <v>83.44</v>
      </c>
      <c r="J30" s="339">
        <f>'B1'!F32+'CÔng Tăng'!F30-'Cộng giảm'!F30</f>
        <v>112.54</v>
      </c>
      <c r="K30" s="339">
        <f>'B1'!G32+'CÔng Tăng'!G30-'Cộng giảm'!G30</f>
        <v>401.02</v>
      </c>
      <c r="L30" s="339">
        <f>'B1'!H32+'CÔng Tăng'!H30-'Cộng giảm'!H30</f>
        <v>164.38</v>
      </c>
      <c r="M30" s="339">
        <f>'B1'!I32+'CÔng Tăng'!I30-'Cộng giảm'!I30</f>
        <v>62.83</v>
      </c>
      <c r="N30" s="339">
        <f>'B1'!J32+'CÔng Tăng'!J30-'Cộng giảm'!J30</f>
        <v>53.3</v>
      </c>
      <c r="O30" s="339">
        <f>'B1'!K32+'CÔng Tăng'!K30-'Cộng giảm'!K30</f>
        <v>41.83</v>
      </c>
      <c r="P30" s="339">
        <f>'B1'!L32+'CÔng Tăng'!L30-'Cộng giảm'!L30</f>
        <v>75.069999999999993</v>
      </c>
      <c r="Q30" s="339">
        <f>'B1'!M32+'CÔng Tăng'!M30-'Cộng giảm'!M30</f>
        <v>43.85</v>
      </c>
      <c r="R30" s="339">
        <f>'B1'!N32+'CÔng Tăng'!N30-'Cộng giảm'!N30</f>
        <v>132.45999999999998</v>
      </c>
      <c r="S30" s="339">
        <f>'B1'!O32+'CÔng Tăng'!O30-'Cộng giảm'!O30</f>
        <v>78.459999999999994</v>
      </c>
    </row>
    <row r="31" spans="1:24" s="102" customFormat="1" ht="13.5" customHeight="1">
      <c r="A31" s="100"/>
      <c r="B31" s="69" t="s">
        <v>217</v>
      </c>
      <c r="C31" s="68" t="s">
        <v>194</v>
      </c>
      <c r="D31" s="101">
        <f t="shared" si="4"/>
        <v>274.36999999999995</v>
      </c>
      <c r="E31" s="101">
        <f>17.21+0.6</f>
        <v>17.810000000000002</v>
      </c>
      <c r="F31" s="202"/>
      <c r="G31" s="202"/>
      <c r="H31" s="339">
        <f t="shared" si="3"/>
        <v>133.47999999999999</v>
      </c>
      <c r="I31" s="339">
        <f>'B1'!E33+'CÔng Tăng'!E31-'Cộng giảm'!E31</f>
        <v>3.57</v>
      </c>
      <c r="J31" s="339">
        <f>'B1'!F33+'CÔng Tăng'!F31-'Cộng giảm'!F31</f>
        <v>1.68</v>
      </c>
      <c r="K31" s="339">
        <f>'B1'!G33+'CÔng Tăng'!G31-'Cộng giảm'!G31</f>
        <v>7.46</v>
      </c>
      <c r="L31" s="339">
        <f>'B1'!H33+'CÔng Tăng'!H31-'Cộng giảm'!H31</f>
        <v>33.409999999999997</v>
      </c>
      <c r="M31" s="339">
        <f>'B1'!I33+'CÔng Tăng'!I31-'Cộng giảm'!I31</f>
        <v>36.11</v>
      </c>
      <c r="N31" s="339">
        <f>'B1'!J33+'CÔng Tăng'!J31-'Cộng giảm'!J31</f>
        <v>14.1</v>
      </c>
      <c r="O31" s="339">
        <f>'B1'!K33+'CÔng Tăng'!K31-'Cộng giảm'!K31</f>
        <v>8.5399999999999991</v>
      </c>
      <c r="P31" s="339">
        <f>'B1'!L33+'CÔng Tăng'!L31-'Cộng giảm'!L31</f>
        <v>3.51</v>
      </c>
      <c r="Q31" s="339">
        <f>'B1'!M33+'CÔng Tăng'!M31-'Cộng giảm'!M31</f>
        <v>14.7</v>
      </c>
      <c r="R31" s="339">
        <f>'B1'!N33+'CÔng Tăng'!N31-'Cộng giảm'!N31</f>
        <v>2.4</v>
      </c>
      <c r="S31" s="339">
        <f>'B1'!O33+'CÔng Tăng'!O31-'Cộng giảm'!O31</f>
        <v>8</v>
      </c>
    </row>
    <row r="32" spans="1:24" s="102" customFormat="1" ht="15.75">
      <c r="A32" s="100"/>
      <c r="B32" s="69" t="s">
        <v>210</v>
      </c>
      <c r="C32" s="68" t="s">
        <v>220</v>
      </c>
      <c r="D32" s="101">
        <f t="shared" si="4"/>
        <v>16.25</v>
      </c>
      <c r="E32" s="101">
        <v>4.08</v>
      </c>
      <c r="F32" s="202"/>
      <c r="G32" s="202"/>
      <c r="H32" s="339">
        <f t="shared" si="3"/>
        <v>6.19</v>
      </c>
      <c r="I32" s="339">
        <f>'B1'!E34+'CÔng Tăng'!E32-'Cộng giảm'!E32</f>
        <v>5.86</v>
      </c>
      <c r="J32" s="339">
        <f>'B1'!F34+'CÔng Tăng'!F32-'Cộng giảm'!F32</f>
        <v>0</v>
      </c>
      <c r="K32" s="339">
        <f>'B1'!G34+'CÔng Tăng'!G32-'Cộng giảm'!G32</f>
        <v>0</v>
      </c>
      <c r="L32" s="339">
        <f>'B1'!H34+'CÔng Tăng'!H32-'Cộng giảm'!H32</f>
        <v>0</v>
      </c>
      <c r="M32" s="339">
        <f>'B1'!I34+'CÔng Tăng'!I32-'Cộng giảm'!I32</f>
        <v>0</v>
      </c>
      <c r="N32" s="339">
        <f>'B1'!J34+'CÔng Tăng'!J32-'Cộng giảm'!J32</f>
        <v>0</v>
      </c>
      <c r="O32" s="339">
        <f>'B1'!K34+'CÔng Tăng'!K32-'Cộng giảm'!K32</f>
        <v>0.12</v>
      </c>
      <c r="P32" s="339">
        <f>'B1'!L34+'CÔng Tăng'!L32-'Cộng giảm'!L32</f>
        <v>0</v>
      </c>
      <c r="Q32" s="339">
        <f>'B1'!M34+'CÔng Tăng'!M32-'Cộng giảm'!M32</f>
        <v>0</v>
      </c>
      <c r="R32" s="339">
        <f>'B1'!N34+'CÔng Tăng'!N32-'Cộng giảm'!N32</f>
        <v>0</v>
      </c>
      <c r="S32" s="339">
        <f>'B1'!O34+'CÔng Tăng'!O32-'Cộng giảm'!O32</f>
        <v>0.21</v>
      </c>
    </row>
    <row r="33" spans="1:19" s="102" customFormat="1" ht="14.25" customHeight="1">
      <c r="A33" s="100"/>
      <c r="B33" s="69" t="s">
        <v>211</v>
      </c>
      <c r="C33" s="68" t="s">
        <v>221</v>
      </c>
      <c r="D33" s="101">
        <f t="shared" si="4"/>
        <v>9.1300000000000008</v>
      </c>
      <c r="E33" s="101" t="s">
        <v>209</v>
      </c>
      <c r="F33" s="202"/>
      <c r="G33" s="202"/>
      <c r="H33" s="339">
        <f t="shared" si="3"/>
        <v>4.96</v>
      </c>
      <c r="I33" s="339">
        <f>'B1'!E35+'CÔng Tăng'!E33-'Cộng giảm'!E33</f>
        <v>1.93</v>
      </c>
      <c r="J33" s="339">
        <f>'B1'!F35+'CÔng Tăng'!F33-'Cộng giảm'!F33</f>
        <v>0.21</v>
      </c>
      <c r="K33" s="339">
        <f>'B1'!G35+'CÔng Tăng'!G33-'Cộng giảm'!G33</f>
        <v>1</v>
      </c>
      <c r="L33" s="339">
        <f>'B1'!H35+'CÔng Tăng'!H33-'Cộng giảm'!H33</f>
        <v>0.22</v>
      </c>
      <c r="M33" s="339">
        <f>'B1'!I35+'CÔng Tăng'!I33-'Cộng giảm'!I33</f>
        <v>0.17</v>
      </c>
      <c r="N33" s="339">
        <f>'B1'!J35+'CÔng Tăng'!J33-'Cộng giảm'!J33</f>
        <v>0.15</v>
      </c>
      <c r="O33" s="339">
        <f>'B1'!K35+'CÔng Tăng'!K33-'Cộng giảm'!K33</f>
        <v>0.16</v>
      </c>
      <c r="P33" s="339">
        <f>'B1'!L35+'CÔng Tăng'!L33-'Cộng giảm'!L33</f>
        <v>0.15</v>
      </c>
      <c r="Q33" s="339">
        <f>'B1'!M35+'CÔng Tăng'!M33-'Cộng giảm'!M33</f>
        <v>0.18</v>
      </c>
      <c r="R33" s="339">
        <f>'B1'!N35+'CÔng Tăng'!N33-'Cộng giảm'!N33</f>
        <v>0.45</v>
      </c>
      <c r="S33" s="339">
        <f>'B1'!O35+'CÔng Tăng'!O33-'Cộng giảm'!O33</f>
        <v>0.34</v>
      </c>
    </row>
    <row r="34" spans="1:19" s="102" customFormat="1" ht="31.5">
      <c r="A34" s="100"/>
      <c r="B34" s="69" t="s">
        <v>212</v>
      </c>
      <c r="C34" s="68" t="s">
        <v>192</v>
      </c>
      <c r="D34" s="101">
        <f t="shared" si="4"/>
        <v>119.45999999999998</v>
      </c>
      <c r="E34" s="101">
        <v>0.66</v>
      </c>
      <c r="F34" s="202"/>
      <c r="G34" s="202"/>
      <c r="H34" s="339">
        <f t="shared" si="3"/>
        <v>63.89</v>
      </c>
      <c r="I34" s="339">
        <f>'B1'!E36+'CÔng Tăng'!E34-'Cộng giảm'!E34</f>
        <v>17.670000000000002</v>
      </c>
      <c r="J34" s="339">
        <f>'B1'!F36+'CÔng Tăng'!F34-'Cộng giảm'!F34</f>
        <v>7.49</v>
      </c>
      <c r="K34" s="339">
        <f>'B1'!G36+'CÔng Tăng'!G34-'Cộng giảm'!G34</f>
        <v>6.46</v>
      </c>
      <c r="L34" s="339">
        <f>'B1'!H36+'CÔng Tăng'!H34-'Cộng giảm'!H34</f>
        <v>3.23</v>
      </c>
      <c r="M34" s="339">
        <f>'B1'!I36+'CÔng Tăng'!I34-'Cộng giảm'!I34</f>
        <v>5.6</v>
      </c>
      <c r="N34" s="339">
        <f>'B1'!J36+'CÔng Tăng'!J34-'Cộng giảm'!J34</f>
        <v>2.46</v>
      </c>
      <c r="O34" s="339">
        <f>'B1'!K36+'CÔng Tăng'!K34-'Cộng giảm'!K34</f>
        <v>4.8499999999999996</v>
      </c>
      <c r="P34" s="339">
        <f>'B1'!L36+'CÔng Tăng'!L34-'Cộng giảm'!L34</f>
        <v>4.26</v>
      </c>
      <c r="Q34" s="339">
        <f>'B1'!M36+'CÔng Tăng'!M34-'Cộng giảm'!M34</f>
        <v>2.89</v>
      </c>
      <c r="R34" s="339">
        <f>'B1'!N36+'CÔng Tăng'!N34-'Cộng giảm'!N34</f>
        <v>4.05</v>
      </c>
      <c r="S34" s="339">
        <f>'B1'!O36+'CÔng Tăng'!O34-'Cộng giảm'!O34</f>
        <v>4.93</v>
      </c>
    </row>
    <row r="35" spans="1:19" s="102" customFormat="1" ht="15.75">
      <c r="A35" s="100"/>
      <c r="B35" s="69" t="s">
        <v>213</v>
      </c>
      <c r="C35" s="68" t="s">
        <v>195</v>
      </c>
      <c r="D35" s="104">
        <f t="shared" si="4"/>
        <v>103.24</v>
      </c>
      <c r="E35" s="101">
        <f>71.92+0.11</f>
        <v>72.03</v>
      </c>
      <c r="F35" s="202"/>
      <c r="G35" s="202"/>
      <c r="H35" s="339">
        <f t="shared" si="3"/>
        <v>16.670000000000002</v>
      </c>
      <c r="I35" s="339">
        <f>'B1'!E37+'CÔng Tăng'!E35-'Cộng giảm'!E35</f>
        <v>4.08</v>
      </c>
      <c r="J35" s="339">
        <f>'B1'!F37+'CÔng Tăng'!F35-'Cộng giảm'!F35</f>
        <v>2.41</v>
      </c>
      <c r="K35" s="339">
        <f>'B1'!G37+'CÔng Tăng'!G35-'Cộng giảm'!G35</f>
        <v>1.63</v>
      </c>
      <c r="L35" s="339">
        <f>'B1'!H37+'CÔng Tăng'!H35-'Cộng giảm'!H35</f>
        <v>0.28000000000000003</v>
      </c>
      <c r="M35" s="339">
        <f>'B1'!I37+'CÔng Tăng'!I35-'Cộng giảm'!I35</f>
        <v>1.23</v>
      </c>
      <c r="N35" s="339">
        <f>'B1'!J37+'CÔng Tăng'!J35-'Cộng giảm'!J35</f>
        <v>2.91</v>
      </c>
      <c r="O35" s="339">
        <f>'B1'!K37+'CÔng Tăng'!K35-'Cộng giảm'!K35</f>
        <v>1.32</v>
      </c>
      <c r="P35" s="339">
        <f>'B1'!L37+'CÔng Tăng'!L35-'Cộng giảm'!L35</f>
        <v>0.68</v>
      </c>
      <c r="Q35" s="339">
        <f>'B1'!M37+'CÔng Tăng'!M35-'Cộng giảm'!M35</f>
        <v>0</v>
      </c>
      <c r="R35" s="339">
        <f>'B1'!N37+'CÔng Tăng'!N35-'Cộng giảm'!N35</f>
        <v>0</v>
      </c>
      <c r="S35" s="339">
        <f>'B1'!O37+'CÔng Tăng'!O35-'Cộng giảm'!O35</f>
        <v>2.13</v>
      </c>
    </row>
    <row r="36" spans="1:19" s="102" customFormat="1" ht="15.75">
      <c r="A36" s="100"/>
      <c r="B36" s="69" t="s">
        <v>248</v>
      </c>
      <c r="C36" s="68" t="s">
        <v>193</v>
      </c>
      <c r="D36" s="101">
        <f t="shared" si="4"/>
        <v>8017.25</v>
      </c>
      <c r="E36" s="101">
        <f>3.57+1</f>
        <v>4.57</v>
      </c>
      <c r="F36" s="202"/>
      <c r="G36" s="202"/>
      <c r="H36" s="339">
        <f t="shared" si="3"/>
        <v>4651.7300000000005</v>
      </c>
      <c r="I36" s="339">
        <f>'B1'!E38+'CÔng Tăng'!E36-'Cộng giảm'!E36</f>
        <v>0.28999999999999998</v>
      </c>
      <c r="J36" s="339">
        <f>'B1'!F38+'CÔng Tăng'!F36-'Cộng giảm'!F36</f>
        <v>1064.98</v>
      </c>
      <c r="K36" s="339">
        <f>'B1'!G38+'CÔng Tăng'!G36-'Cộng giảm'!G36</f>
        <v>1.31</v>
      </c>
      <c r="L36" s="339">
        <f>'B1'!H38+'CÔng Tăng'!H36-'Cộng giảm'!H36</f>
        <v>51.5</v>
      </c>
      <c r="M36" s="339">
        <f>'B1'!I38+'CÔng Tăng'!I36-'Cộng giảm'!I36</f>
        <v>501.75</v>
      </c>
      <c r="N36" s="339">
        <f>'B1'!J38+'CÔng Tăng'!J36-'Cộng giảm'!J36</f>
        <v>544.51</v>
      </c>
      <c r="O36" s="339">
        <f>'B1'!K38+'CÔng Tăng'!K36-'Cộng giảm'!K36</f>
        <v>35.36</v>
      </c>
      <c r="P36" s="339">
        <f>'B1'!L38+'CÔng Tăng'!L36-'Cộng giảm'!L36</f>
        <v>0</v>
      </c>
      <c r="Q36" s="339">
        <f>'B1'!M38+'CÔng Tăng'!M36-'Cộng giảm'!M36</f>
        <v>1161.25</v>
      </c>
      <c r="R36" s="339">
        <f>'B1'!N38+'CÔng Tăng'!N36-'Cộng giảm'!N36</f>
        <v>1181.69</v>
      </c>
      <c r="S36" s="339">
        <f>'B1'!O38+'CÔng Tăng'!O36-'Cộng giảm'!O36</f>
        <v>109.09</v>
      </c>
    </row>
    <row r="37" spans="1:19" s="102" customFormat="1" ht="15.75">
      <c r="A37" s="100"/>
      <c r="B37" s="69" t="s">
        <v>218</v>
      </c>
      <c r="C37" s="68" t="s">
        <v>224</v>
      </c>
      <c r="D37" s="101">
        <f t="shared" si="4"/>
        <v>2.2800000000000002</v>
      </c>
      <c r="E37" s="101">
        <v>0.28999999999999998</v>
      </c>
      <c r="F37" s="202"/>
      <c r="G37" s="202"/>
      <c r="H37" s="339">
        <f t="shared" si="3"/>
        <v>1.02</v>
      </c>
      <c r="I37" s="339">
        <f>'B1'!E39+'CÔng Tăng'!E37-'Cộng giảm'!E37</f>
        <v>0.3</v>
      </c>
      <c r="J37" s="339">
        <f>'B1'!F39+'CÔng Tăng'!F37-'Cộng giảm'!F37</f>
        <v>0.3</v>
      </c>
      <c r="K37" s="339">
        <f>'B1'!G39+'CÔng Tăng'!G37-'Cộng giảm'!G37</f>
        <v>0.04</v>
      </c>
      <c r="L37" s="339">
        <f>'B1'!H39+'CÔng Tăng'!H37-'Cộng giảm'!H37</f>
        <v>0</v>
      </c>
      <c r="M37" s="339">
        <f>'B1'!I39+'CÔng Tăng'!I37-'Cộng giảm'!I37</f>
        <v>0.02</v>
      </c>
      <c r="N37" s="339">
        <f>'B1'!J39+'CÔng Tăng'!J37-'Cộng giảm'!J37</f>
        <v>0.22</v>
      </c>
      <c r="O37" s="339">
        <f>'B1'!K39+'CÔng Tăng'!K37-'Cộng giảm'!K37</f>
        <v>0.04</v>
      </c>
      <c r="P37" s="339">
        <f>'B1'!L39+'CÔng Tăng'!L37-'Cộng giảm'!L37</f>
        <v>0.05</v>
      </c>
      <c r="Q37" s="339">
        <f>'B1'!M39+'CÔng Tăng'!M37-'Cộng giảm'!M37</f>
        <v>0</v>
      </c>
      <c r="R37" s="339">
        <f>'B1'!N39+'CÔng Tăng'!N37-'Cộng giảm'!N37</f>
        <v>0.03</v>
      </c>
      <c r="S37" s="339">
        <f>'B1'!O39+'CÔng Tăng'!O37-'Cộng giảm'!O37</f>
        <v>0.02</v>
      </c>
    </row>
    <row r="38" spans="1:19" s="102" customFormat="1" ht="15" customHeight="1">
      <c r="A38" s="100"/>
      <c r="B38" s="69" t="s">
        <v>244</v>
      </c>
      <c r="C38" s="68" t="s">
        <v>245</v>
      </c>
      <c r="D38" s="101">
        <f t="shared" si="4"/>
        <v>0.31</v>
      </c>
      <c r="E38" s="101">
        <v>0.31</v>
      </c>
      <c r="F38" s="202"/>
      <c r="G38" s="202"/>
      <c r="H38" s="339">
        <f t="shared" si="3"/>
        <v>0</v>
      </c>
      <c r="I38" s="339">
        <f>'B1'!E40+'CÔng Tăng'!E38-'Cộng giảm'!E38</f>
        <v>0</v>
      </c>
      <c r="J38" s="339">
        <f>'B1'!F40+'CÔng Tăng'!F38-'Cộng giảm'!F38</f>
        <v>0</v>
      </c>
      <c r="K38" s="339">
        <f>'B1'!G40+'CÔng Tăng'!G38-'Cộng giảm'!G38</f>
        <v>0</v>
      </c>
      <c r="L38" s="339">
        <f>'B1'!H40+'CÔng Tăng'!H38-'Cộng giảm'!H38</f>
        <v>0</v>
      </c>
      <c r="M38" s="339">
        <f>'B1'!I40+'CÔng Tăng'!I38-'Cộng giảm'!I38</f>
        <v>0</v>
      </c>
      <c r="N38" s="339">
        <f>'B1'!J40+'CÔng Tăng'!J38-'Cộng giảm'!J38</f>
        <v>0</v>
      </c>
      <c r="O38" s="339">
        <f>'B1'!K40+'CÔng Tăng'!K38-'Cộng giảm'!K38</f>
        <v>0</v>
      </c>
      <c r="P38" s="339">
        <f>'B1'!L40+'CÔng Tăng'!L38-'Cộng giảm'!L38</f>
        <v>0</v>
      </c>
      <c r="Q38" s="339">
        <f>'B1'!M40+'CÔng Tăng'!M38-'Cộng giảm'!M38</f>
        <v>0</v>
      </c>
      <c r="R38" s="339">
        <f>'B1'!N40+'CÔng Tăng'!N38-'Cộng giảm'!N38</f>
        <v>0</v>
      </c>
      <c r="S38" s="339">
        <f>'B1'!O40+'CÔng Tăng'!O38-'Cộng giảm'!O38</f>
        <v>0</v>
      </c>
    </row>
    <row r="39" spans="1:19" s="102" customFormat="1" ht="15.75" customHeight="1">
      <c r="A39" s="100"/>
      <c r="B39" s="69" t="s">
        <v>46</v>
      </c>
      <c r="C39" s="68" t="s">
        <v>47</v>
      </c>
      <c r="D39" s="101">
        <f t="shared" si="4"/>
        <v>5.8599999999999994</v>
      </c>
      <c r="E39" s="101">
        <v>1.48</v>
      </c>
      <c r="F39" s="202"/>
      <c r="G39" s="202"/>
      <c r="H39" s="339">
        <f t="shared" si="3"/>
        <v>3.86</v>
      </c>
      <c r="I39" s="339">
        <f>'B1'!E41+'CÔng Tăng'!E39-'Cộng giảm'!E39</f>
        <v>0</v>
      </c>
      <c r="J39" s="339">
        <f>'B1'!F41+'CÔng Tăng'!F39-'Cộng giảm'!F39</f>
        <v>0.01</v>
      </c>
      <c r="K39" s="339">
        <f>'B1'!G41+'CÔng Tăng'!G39-'Cộng giảm'!G39</f>
        <v>0.22</v>
      </c>
      <c r="L39" s="339">
        <f>'B1'!H41+'CÔng Tăng'!H39-'Cộng giảm'!H39</f>
        <v>0.28999999999999998</v>
      </c>
      <c r="M39" s="339">
        <f>'B1'!I41+'CÔng Tăng'!I39-'Cộng giảm'!I39</f>
        <v>0</v>
      </c>
      <c r="N39" s="339">
        <f>'B1'!J41+'CÔng Tăng'!J39-'Cộng giảm'!J39</f>
        <v>0</v>
      </c>
      <c r="O39" s="339">
        <f>'B1'!K41+'CÔng Tăng'!K39-'Cộng giảm'!K39</f>
        <v>0</v>
      </c>
      <c r="P39" s="339">
        <f>'B1'!L41+'CÔng Tăng'!L39-'Cộng giảm'!L39</f>
        <v>0</v>
      </c>
      <c r="Q39" s="339">
        <f>'B1'!M41+'CÔng Tăng'!M39-'Cộng giảm'!M39</f>
        <v>0</v>
      </c>
      <c r="R39" s="339">
        <f>'B1'!N41+'CÔng Tăng'!N39-'Cộng giảm'!N39</f>
        <v>0</v>
      </c>
      <c r="S39" s="339">
        <f>'B1'!O41+'CÔng Tăng'!O39-'Cộng giảm'!O39</f>
        <v>3.34</v>
      </c>
    </row>
    <row r="40" spans="1:19" s="110" customFormat="1" ht="15.75">
      <c r="A40" s="108"/>
      <c r="B40" s="22" t="s">
        <v>50</v>
      </c>
      <c r="C40" s="23" t="s">
        <v>51</v>
      </c>
      <c r="D40" s="97">
        <v>20.9</v>
      </c>
      <c r="E40" s="109">
        <f t="shared" ref="E40:E57" si="5">H40-D40</f>
        <v>-18.239999999999998</v>
      </c>
      <c r="F40" s="201"/>
      <c r="G40" s="201"/>
      <c r="H40" s="339">
        <f t="shared" si="3"/>
        <v>2.66</v>
      </c>
      <c r="I40" s="339">
        <f>'B1'!E42+'CÔng Tăng'!E40-'Cộng giảm'!E40</f>
        <v>0.93</v>
      </c>
      <c r="J40" s="339">
        <f>'B1'!F42+'CÔng Tăng'!F40-'Cộng giảm'!F40</f>
        <v>0</v>
      </c>
      <c r="K40" s="339">
        <f>'B1'!G42+'CÔng Tăng'!G40-'Cộng giảm'!G40</f>
        <v>0</v>
      </c>
      <c r="L40" s="339">
        <f>'B1'!H42+'CÔng Tăng'!H40-'Cộng giảm'!H40</f>
        <v>0</v>
      </c>
      <c r="M40" s="339">
        <f>'B1'!I42+'CÔng Tăng'!I40-'Cộng giảm'!I40</f>
        <v>1.73</v>
      </c>
      <c r="N40" s="339">
        <f>'B1'!J42+'CÔng Tăng'!J40-'Cộng giảm'!J40</f>
        <v>0</v>
      </c>
      <c r="O40" s="339">
        <f>'B1'!K42+'CÔng Tăng'!K40-'Cộng giảm'!K40</f>
        <v>0</v>
      </c>
      <c r="P40" s="339">
        <f>'B1'!L42+'CÔng Tăng'!L40-'Cộng giảm'!L40</f>
        <v>0</v>
      </c>
      <c r="Q40" s="339">
        <f>'B1'!M42+'CÔng Tăng'!M40-'Cộng giảm'!M40</f>
        <v>0</v>
      </c>
      <c r="R40" s="339">
        <f>'B1'!N42+'CÔng Tăng'!N40-'Cộng giảm'!N40</f>
        <v>0</v>
      </c>
      <c r="S40" s="339">
        <f>'B1'!O42+'CÔng Tăng'!O40-'Cộng giảm'!O40</f>
        <v>0</v>
      </c>
    </row>
    <row r="41" spans="1:19" s="110" customFormat="1" ht="15.75">
      <c r="A41" s="108"/>
      <c r="B41" s="22" t="s">
        <v>62</v>
      </c>
      <c r="C41" s="23" t="s">
        <v>63</v>
      </c>
      <c r="D41" s="97"/>
      <c r="E41" s="109">
        <f t="shared" si="5"/>
        <v>6.8500000000000005</v>
      </c>
      <c r="F41" s="201"/>
      <c r="G41" s="201"/>
      <c r="H41" s="339">
        <f t="shared" si="3"/>
        <v>6.8500000000000005</v>
      </c>
      <c r="I41" s="339">
        <f>'B1'!E43+'CÔng Tăng'!E41-'Cộng giảm'!E41</f>
        <v>1.99</v>
      </c>
      <c r="J41" s="339">
        <f>'B1'!F43+'CÔng Tăng'!F41-'Cộng giảm'!F41</f>
        <v>2.42</v>
      </c>
      <c r="K41" s="339">
        <f>'B1'!G43+'CÔng Tăng'!G41-'Cộng giảm'!G41</f>
        <v>0</v>
      </c>
      <c r="L41" s="339">
        <f>'B1'!H43+'CÔng Tăng'!H41-'Cộng giảm'!H41</f>
        <v>1.96</v>
      </c>
      <c r="M41" s="339">
        <f>'B1'!I43+'CÔng Tăng'!I41-'Cộng giảm'!I41</f>
        <v>0.23</v>
      </c>
      <c r="N41" s="339">
        <f>'B1'!J43+'CÔng Tăng'!J41-'Cộng giảm'!J41</f>
        <v>0.25</v>
      </c>
      <c r="O41" s="339">
        <f>'B1'!K43+'CÔng Tăng'!K41-'Cộng giảm'!K41</f>
        <v>0</v>
      </c>
      <c r="P41" s="339">
        <f>'B1'!L43+'CÔng Tăng'!L41-'Cộng giảm'!L41</f>
        <v>0</v>
      </c>
      <c r="Q41" s="339">
        <f>'B1'!M43+'CÔng Tăng'!M41-'Cộng giảm'!M41</f>
        <v>0</v>
      </c>
      <c r="R41" s="339">
        <f>'B1'!N43+'CÔng Tăng'!N41-'Cộng giảm'!N41</f>
        <v>0</v>
      </c>
      <c r="S41" s="339">
        <f>'B1'!O43+'CÔng Tăng'!O41-'Cộng giảm'!O41</f>
        <v>0</v>
      </c>
    </row>
    <row r="42" spans="1:19" s="110" customFormat="1" ht="30">
      <c r="A42" s="108"/>
      <c r="B42" s="22" t="s">
        <v>246</v>
      </c>
      <c r="C42" s="23" t="s">
        <v>64</v>
      </c>
      <c r="D42" s="97">
        <v>28.5</v>
      </c>
      <c r="E42" s="109">
        <f t="shared" si="5"/>
        <v>87.429999999999993</v>
      </c>
      <c r="F42" s="201"/>
      <c r="G42" s="201"/>
      <c r="H42" s="339">
        <f t="shared" si="3"/>
        <v>115.92999999999999</v>
      </c>
      <c r="I42" s="339">
        <f>'B1'!E44+'CÔng Tăng'!E42-'Cộng giảm'!E42</f>
        <v>7.18</v>
      </c>
      <c r="J42" s="339">
        <f>'B1'!F44+'CÔng Tăng'!F42-'Cộng giảm'!F42</f>
        <v>6.41</v>
      </c>
      <c r="K42" s="339">
        <f>'B1'!G44+'CÔng Tăng'!G42-'Cộng giảm'!G42</f>
        <v>9.1</v>
      </c>
      <c r="L42" s="339">
        <f>'B1'!H44+'CÔng Tăng'!H42-'Cộng giảm'!H42</f>
        <v>9.31</v>
      </c>
      <c r="M42" s="339">
        <f>'B1'!I44+'CÔng Tăng'!I42-'Cộng giảm'!I42</f>
        <v>25.65</v>
      </c>
      <c r="N42" s="339">
        <f>'B1'!J44+'CÔng Tăng'!J42-'Cộng giảm'!J42</f>
        <v>4.9400000000000004</v>
      </c>
      <c r="O42" s="339">
        <f>'B1'!K44+'CÔng Tăng'!K42-'Cộng giảm'!K42</f>
        <v>12.18</v>
      </c>
      <c r="P42" s="339">
        <f>'B1'!L44+'CÔng Tăng'!L42-'Cộng giảm'!L42</f>
        <v>26.8</v>
      </c>
      <c r="Q42" s="339">
        <f>'B1'!M44+'CÔng Tăng'!M42-'Cộng giảm'!M42</f>
        <v>3.03</v>
      </c>
      <c r="R42" s="339">
        <f>'B1'!N44+'CÔng Tăng'!N42-'Cộng giảm'!N42</f>
        <v>3.22</v>
      </c>
      <c r="S42" s="339">
        <f>'B1'!O44+'CÔng Tăng'!O42-'Cộng giảm'!O42</f>
        <v>8.11</v>
      </c>
    </row>
    <row r="43" spans="1:19" s="110" customFormat="1" ht="18" customHeight="1">
      <c r="A43" s="108"/>
      <c r="B43" s="22" t="s">
        <v>214</v>
      </c>
      <c r="C43" s="23" t="s">
        <v>222</v>
      </c>
      <c r="D43" s="97">
        <v>880.71000000000015</v>
      </c>
      <c r="E43" s="109">
        <f t="shared" si="5"/>
        <v>-880.71000000000015</v>
      </c>
      <c r="F43" s="201"/>
      <c r="G43" s="201"/>
      <c r="H43" s="339">
        <f t="shared" si="3"/>
        <v>0</v>
      </c>
      <c r="I43" s="339">
        <f>'B1'!E45+'CÔng Tăng'!E43-'Cộng giảm'!E43</f>
        <v>0</v>
      </c>
      <c r="J43" s="339">
        <f>'B1'!F45+'CÔng Tăng'!F43-'Cộng giảm'!F43</f>
        <v>0</v>
      </c>
      <c r="K43" s="339">
        <f>'B1'!G45+'CÔng Tăng'!G43-'Cộng giảm'!G43</f>
        <v>0</v>
      </c>
      <c r="L43" s="339">
        <f>'B1'!H45+'CÔng Tăng'!H43-'Cộng giảm'!H43</f>
        <v>0</v>
      </c>
      <c r="M43" s="339">
        <f>'B1'!I45+'CÔng Tăng'!I43-'Cộng giảm'!I43</f>
        <v>0</v>
      </c>
      <c r="N43" s="339">
        <f>'B1'!J45+'CÔng Tăng'!J43-'Cộng giảm'!J43</f>
        <v>0</v>
      </c>
      <c r="O43" s="339">
        <f>'B1'!K45+'CÔng Tăng'!K43-'Cộng giảm'!K43</f>
        <v>0</v>
      </c>
      <c r="P43" s="339">
        <f>'B1'!L45+'CÔng Tăng'!L43-'Cộng giảm'!L43</f>
        <v>0</v>
      </c>
      <c r="Q43" s="339">
        <f>'B1'!M45+'CÔng Tăng'!M43-'Cộng giảm'!M43</f>
        <v>0</v>
      </c>
      <c r="R43" s="339">
        <f>'B1'!N45+'CÔng Tăng'!N43-'Cộng giảm'!N43</f>
        <v>0</v>
      </c>
      <c r="S43" s="339">
        <f>'B1'!O45+'CÔng Tăng'!O43-'Cộng giảm'!O43</f>
        <v>0</v>
      </c>
    </row>
    <row r="44" spans="1:19" s="110" customFormat="1" ht="12.75" customHeight="1">
      <c r="A44" s="108"/>
      <c r="B44" s="22" t="s">
        <v>215</v>
      </c>
      <c r="C44" s="23" t="s">
        <v>223</v>
      </c>
      <c r="D44" s="97">
        <v>111.30000000000001</v>
      </c>
      <c r="E44" s="109">
        <f t="shared" si="5"/>
        <v>-110.64000000000001</v>
      </c>
      <c r="F44" s="201"/>
      <c r="G44" s="201"/>
      <c r="H44" s="339">
        <f t="shared" si="3"/>
        <v>0.66</v>
      </c>
      <c r="I44" s="339">
        <f>'B1'!E46+'CÔng Tăng'!E44-'Cộng giảm'!E44</f>
        <v>0.66</v>
      </c>
      <c r="J44" s="339">
        <f>'B1'!F46+'CÔng Tăng'!F44-'Cộng giảm'!F44</f>
        <v>0</v>
      </c>
      <c r="K44" s="339">
        <f>'B1'!G46+'CÔng Tăng'!G44-'Cộng giảm'!G44</f>
        <v>0</v>
      </c>
      <c r="L44" s="339">
        <f>'B1'!H46+'CÔng Tăng'!H44-'Cộng giảm'!H44</f>
        <v>0</v>
      </c>
      <c r="M44" s="339">
        <f>'B1'!I46+'CÔng Tăng'!I44-'Cộng giảm'!I44</f>
        <v>0</v>
      </c>
      <c r="N44" s="339">
        <f>'B1'!J46+'CÔng Tăng'!J44-'Cộng giảm'!J44</f>
        <v>0</v>
      </c>
      <c r="O44" s="339">
        <f>'B1'!K46+'CÔng Tăng'!K44-'Cộng giảm'!K44</f>
        <v>0</v>
      </c>
      <c r="P44" s="339">
        <f>'B1'!L46+'CÔng Tăng'!L44-'Cộng giảm'!L44</f>
        <v>0</v>
      </c>
      <c r="Q44" s="339">
        <f>'B1'!M46+'CÔng Tăng'!M44-'Cộng giảm'!M44</f>
        <v>0</v>
      </c>
      <c r="R44" s="339">
        <f>'B1'!N46+'CÔng Tăng'!N44-'Cộng giảm'!N44</f>
        <v>0</v>
      </c>
      <c r="S44" s="339">
        <f>'B1'!O46+'CÔng Tăng'!O44-'Cộng giảm'!O44</f>
        <v>0</v>
      </c>
    </row>
    <row r="45" spans="1:19" s="208" customFormat="1" ht="15.75">
      <c r="A45" s="108"/>
      <c r="B45" s="22" t="s">
        <v>219</v>
      </c>
      <c r="C45" s="23" t="s">
        <v>204</v>
      </c>
      <c r="D45" s="97">
        <v>33.309999999999995</v>
      </c>
      <c r="E45" s="109">
        <f t="shared" si="5"/>
        <v>-29.649999999999995</v>
      </c>
      <c r="F45" s="201"/>
      <c r="G45" s="201"/>
      <c r="H45" s="339">
        <f t="shared" si="3"/>
        <v>3.6599999999999997</v>
      </c>
      <c r="I45" s="339">
        <f>'B1'!E47+'CÔng Tăng'!E45-'Cộng giảm'!E45</f>
        <v>1.48</v>
      </c>
      <c r="J45" s="339">
        <f>'B1'!F47+'CÔng Tăng'!F45-'Cộng giảm'!F45</f>
        <v>0.18</v>
      </c>
      <c r="K45" s="339">
        <f>'B1'!G47+'CÔng Tăng'!G45-'Cộng giảm'!G45</f>
        <v>1.52</v>
      </c>
      <c r="L45" s="339">
        <f>'B1'!H47+'CÔng Tăng'!H45-'Cộng giảm'!H45</f>
        <v>0.3</v>
      </c>
      <c r="M45" s="339">
        <f>'B1'!I47+'CÔng Tăng'!I45-'Cộng giảm'!I45</f>
        <v>0</v>
      </c>
      <c r="N45" s="339">
        <f>'B1'!J47+'CÔng Tăng'!J45-'Cộng giảm'!J45</f>
        <v>0</v>
      </c>
      <c r="O45" s="339">
        <f>'B1'!K47+'CÔng Tăng'!K45-'Cộng giảm'!K45</f>
        <v>0</v>
      </c>
      <c r="P45" s="339">
        <f>'B1'!L47+'CÔng Tăng'!L45-'Cộng giảm'!L45</f>
        <v>0</v>
      </c>
      <c r="Q45" s="339">
        <f>'B1'!M47+'CÔng Tăng'!M45-'Cộng giảm'!M45</f>
        <v>0</v>
      </c>
      <c r="R45" s="339">
        <f>'B1'!N47+'CÔng Tăng'!N45-'Cộng giảm'!N45</f>
        <v>0</v>
      </c>
      <c r="S45" s="339">
        <f>'B1'!O47+'CÔng Tăng'!O45-'Cộng giảm'!O45</f>
        <v>0.18</v>
      </c>
    </row>
    <row r="46" spans="1:19" s="12" customFormat="1" ht="15.75">
      <c r="A46" s="78" t="s">
        <v>156</v>
      </c>
      <c r="B46" s="20" t="s">
        <v>48</v>
      </c>
      <c r="C46" s="21" t="s">
        <v>49</v>
      </c>
      <c r="D46" s="96">
        <v>1</v>
      </c>
      <c r="E46" s="99">
        <f t="shared" si="5"/>
        <v>-1</v>
      </c>
      <c r="F46" s="200"/>
      <c r="G46" s="200"/>
      <c r="H46" s="44">
        <f t="shared" si="3"/>
        <v>0</v>
      </c>
      <c r="I46" s="44">
        <f>'B1'!E48+'CÔng Tăng'!E46-'Cộng giảm'!E46</f>
        <v>0</v>
      </c>
      <c r="J46" s="44">
        <f>'B1'!F48+'CÔng Tăng'!F46-'Cộng giảm'!F46</f>
        <v>0</v>
      </c>
      <c r="K46" s="44">
        <f>'B1'!G48+'CÔng Tăng'!G46-'Cộng giảm'!G46</f>
        <v>0</v>
      </c>
      <c r="L46" s="44">
        <f>'B1'!H48+'CÔng Tăng'!H46-'Cộng giảm'!H46</f>
        <v>0</v>
      </c>
      <c r="M46" s="44">
        <f>'B1'!I48+'CÔng Tăng'!I46-'Cộng giảm'!I46</f>
        <v>0</v>
      </c>
      <c r="N46" s="44">
        <f>'B1'!J48+'CÔng Tăng'!J46-'Cộng giảm'!J46</f>
        <v>0</v>
      </c>
      <c r="O46" s="44">
        <f>'B1'!K48+'CÔng Tăng'!K46-'Cộng giảm'!K46</f>
        <v>0</v>
      </c>
      <c r="P46" s="44">
        <f>'B1'!L48+'CÔng Tăng'!L46-'Cộng giảm'!L46</f>
        <v>0</v>
      </c>
      <c r="Q46" s="44">
        <f>'B1'!M48+'CÔng Tăng'!M46-'Cộng giảm'!M46</f>
        <v>0</v>
      </c>
      <c r="R46" s="44">
        <f>'B1'!N48+'CÔng Tăng'!N46-'Cộng giảm'!N46</f>
        <v>0</v>
      </c>
      <c r="S46" s="44">
        <f>'B1'!O48+'CÔng Tăng'!O46-'Cộng giảm'!O46</f>
        <v>0</v>
      </c>
    </row>
    <row r="47" spans="1:19" s="12" customFormat="1" ht="15.75">
      <c r="A47" s="78" t="s">
        <v>157</v>
      </c>
      <c r="B47" s="20" t="s">
        <v>67</v>
      </c>
      <c r="C47" s="21" t="s">
        <v>68</v>
      </c>
      <c r="D47" s="96"/>
      <c r="E47" s="99">
        <f t="shared" si="5"/>
        <v>13.11</v>
      </c>
      <c r="F47" s="200"/>
      <c r="G47" s="200"/>
      <c r="H47" s="44">
        <f t="shared" si="3"/>
        <v>13.11</v>
      </c>
      <c r="I47" s="44">
        <f>'B1'!E49+'CÔng Tăng'!E47-'Cộng giảm'!E47</f>
        <v>1.25</v>
      </c>
      <c r="J47" s="44">
        <f>'B1'!F49+'CÔng Tăng'!F47-'Cộng giảm'!F47</f>
        <v>2.95</v>
      </c>
      <c r="K47" s="44">
        <f>'B1'!G49+'CÔng Tăng'!G47-'Cộng giảm'!G47</f>
        <v>1.69</v>
      </c>
      <c r="L47" s="44">
        <f>'B1'!H49+'CÔng Tăng'!H47-'Cộng giảm'!H47</f>
        <v>0.49</v>
      </c>
      <c r="M47" s="44">
        <f>'B1'!I49+'CÔng Tăng'!I47-'Cộng giảm'!I47</f>
        <v>1.1200000000000001</v>
      </c>
      <c r="N47" s="44">
        <f>'B1'!J49+'CÔng Tăng'!J47-'Cộng giảm'!J47</f>
        <v>1.64</v>
      </c>
      <c r="O47" s="44">
        <f>'B1'!K49+'CÔng Tăng'!K47-'Cộng giảm'!K47</f>
        <v>0.26</v>
      </c>
      <c r="P47" s="44">
        <f>'B1'!L49+'CÔng Tăng'!L47-'Cộng giảm'!L47</f>
        <v>0.28999999999999998</v>
      </c>
      <c r="Q47" s="44">
        <f>'B1'!M49+'CÔng Tăng'!M47-'Cộng giảm'!M47</f>
        <v>0.49</v>
      </c>
      <c r="R47" s="44">
        <f>'B1'!N49+'CÔng Tăng'!N47-'Cộng giảm'!N47</f>
        <v>1.38</v>
      </c>
      <c r="S47" s="44">
        <f>'B1'!O49+'CÔng Tăng'!O47-'Cộng giảm'!O47</f>
        <v>1.55</v>
      </c>
    </row>
    <row r="48" spans="1:19" s="12" customFormat="1" ht="15.75">
      <c r="A48" s="78" t="s">
        <v>158</v>
      </c>
      <c r="B48" s="20" t="s">
        <v>69</v>
      </c>
      <c r="C48" s="21" t="s">
        <v>70</v>
      </c>
      <c r="D48" s="96">
        <v>9.3400000000000016</v>
      </c>
      <c r="E48" s="99">
        <f t="shared" si="5"/>
        <v>-3.5200000000000014</v>
      </c>
      <c r="F48" s="200"/>
      <c r="G48" s="200"/>
      <c r="H48" s="44">
        <f t="shared" si="3"/>
        <v>5.82</v>
      </c>
      <c r="I48" s="44">
        <f>'B1'!E50+'CÔng Tăng'!E48-'Cộng giảm'!E48</f>
        <v>2.37</v>
      </c>
      <c r="J48" s="44">
        <f>'B1'!F50+'CÔng Tăng'!F48-'Cộng giảm'!F48</f>
        <v>0</v>
      </c>
      <c r="K48" s="44">
        <f>'B1'!G50+'CÔng Tăng'!G48-'Cộng giảm'!G48</f>
        <v>2.77</v>
      </c>
      <c r="L48" s="44">
        <f>'B1'!H50+'CÔng Tăng'!H48-'Cộng giảm'!H48</f>
        <v>0</v>
      </c>
      <c r="M48" s="44">
        <f>'B1'!I50+'CÔng Tăng'!I48-'Cộng giảm'!I48</f>
        <v>0.68</v>
      </c>
      <c r="N48" s="44">
        <f>'B1'!J50+'CÔng Tăng'!J48-'Cộng giảm'!J48</f>
        <v>0</v>
      </c>
      <c r="O48" s="44">
        <f>'B1'!K50+'CÔng Tăng'!K48-'Cộng giảm'!K48</f>
        <v>0</v>
      </c>
      <c r="P48" s="44">
        <f>'B1'!L50+'CÔng Tăng'!L48-'Cộng giảm'!L48</f>
        <v>0</v>
      </c>
      <c r="Q48" s="44">
        <f>'B1'!M50+'CÔng Tăng'!M48-'Cộng giảm'!M48</f>
        <v>0</v>
      </c>
      <c r="R48" s="44">
        <f>'B1'!N50+'CÔng Tăng'!N48-'Cộng giảm'!N48</f>
        <v>0</v>
      </c>
      <c r="S48" s="44">
        <f>'B1'!O50+'CÔng Tăng'!O48-'Cộng giảm'!O48</f>
        <v>0</v>
      </c>
    </row>
    <row r="49" spans="1:19" s="12" customFormat="1" ht="15.75">
      <c r="A49" s="78" t="s">
        <v>159</v>
      </c>
      <c r="B49" s="20" t="s">
        <v>52</v>
      </c>
      <c r="C49" s="21" t="s">
        <v>53</v>
      </c>
      <c r="D49" s="96">
        <v>170.36</v>
      </c>
      <c r="E49" s="99">
        <f t="shared" si="5"/>
        <v>615.40000000000009</v>
      </c>
      <c r="F49" s="200"/>
      <c r="G49" s="200"/>
      <c r="H49" s="44">
        <f t="shared" si="3"/>
        <v>785.7600000000001</v>
      </c>
      <c r="I49" s="44">
        <f>'B1'!E51+'CÔng Tăng'!E49-'Cộng giảm'!E49</f>
        <v>0</v>
      </c>
      <c r="J49" s="44">
        <f>'B1'!F51+'CÔng Tăng'!F49-'Cộng giảm'!F49</f>
        <v>83.17</v>
      </c>
      <c r="K49" s="44">
        <f>'B1'!G51+'CÔng Tăng'!G49-'Cộng giảm'!G49</f>
        <v>191.78000000000003</v>
      </c>
      <c r="L49" s="44">
        <f>'B1'!H51+'CÔng Tăng'!H49-'Cộng giảm'!H49</f>
        <v>52.43</v>
      </c>
      <c r="M49" s="44">
        <f>'B1'!I51+'CÔng Tăng'!I49-'Cộng giảm'!I49</f>
        <v>59.57</v>
      </c>
      <c r="N49" s="44">
        <f>'B1'!J51+'CÔng Tăng'!J49-'Cộng giảm'!J49</f>
        <v>48.54</v>
      </c>
      <c r="O49" s="44">
        <f>'B1'!K51+'CÔng Tăng'!K49-'Cộng giảm'!K49</f>
        <v>44.55</v>
      </c>
      <c r="P49" s="44">
        <f>'B1'!L51+'CÔng Tăng'!L49-'Cộng giảm'!L49</f>
        <v>37.46</v>
      </c>
      <c r="Q49" s="44">
        <f>'B1'!M51+'CÔng Tăng'!M49-'Cộng giảm'!M49</f>
        <v>58.69</v>
      </c>
      <c r="R49" s="44">
        <f>'B1'!N51+'CÔng Tăng'!N49-'Cộng giảm'!N49</f>
        <v>43.61</v>
      </c>
      <c r="S49" s="44">
        <f>'B1'!O51+'CÔng Tăng'!O49-'Cộng giảm'!O49</f>
        <v>165.96</v>
      </c>
    </row>
    <row r="50" spans="1:19" s="12" customFormat="1" ht="15.75">
      <c r="A50" s="78" t="s">
        <v>160</v>
      </c>
      <c r="B50" s="20" t="s">
        <v>54</v>
      </c>
      <c r="C50" s="21" t="s">
        <v>55</v>
      </c>
      <c r="D50" s="96">
        <v>203.18</v>
      </c>
      <c r="E50" s="99">
        <f t="shared" si="5"/>
        <v>-70.260000000000019</v>
      </c>
      <c r="F50" s="200"/>
      <c r="G50" s="200"/>
      <c r="H50" s="44">
        <f t="shared" si="3"/>
        <v>132.91999999999999</v>
      </c>
      <c r="I50" s="44">
        <f>'B1'!E52+'CÔng Tăng'!E50-'Cộng giảm'!E50</f>
        <v>132.91999999999999</v>
      </c>
      <c r="J50" s="44">
        <f>'B1'!F52+'CÔng Tăng'!F50-'Cộng giảm'!F50</f>
        <v>0</v>
      </c>
      <c r="K50" s="44">
        <f>'B1'!G52+'CÔng Tăng'!G50-'Cộng giảm'!G50</f>
        <v>0</v>
      </c>
      <c r="L50" s="44">
        <f>'B1'!H52+'CÔng Tăng'!H50-'Cộng giảm'!H50</f>
        <v>0</v>
      </c>
      <c r="M50" s="44">
        <f>'B1'!I52+'CÔng Tăng'!I50-'Cộng giảm'!I50</f>
        <v>0</v>
      </c>
      <c r="N50" s="44">
        <f>'B1'!J52+'CÔng Tăng'!J50-'Cộng giảm'!J50</f>
        <v>0</v>
      </c>
      <c r="O50" s="44">
        <f>'B1'!K52+'CÔng Tăng'!K50-'Cộng giảm'!K50</f>
        <v>0</v>
      </c>
      <c r="P50" s="44">
        <f>'B1'!L52+'CÔng Tăng'!L50-'Cộng giảm'!L50</f>
        <v>0</v>
      </c>
      <c r="Q50" s="44">
        <f>'B1'!M52+'CÔng Tăng'!M50-'Cộng giảm'!M50</f>
        <v>0</v>
      </c>
      <c r="R50" s="44">
        <f>'B1'!N52+'CÔng Tăng'!N50-'Cộng giảm'!N50</f>
        <v>0</v>
      </c>
      <c r="S50" s="44">
        <f>'B1'!O52+'CÔng Tăng'!O50-'Cộng giảm'!O50</f>
        <v>0</v>
      </c>
    </row>
    <row r="51" spans="1:19" s="12" customFormat="1" ht="15.75">
      <c r="A51" s="78" t="s">
        <v>161</v>
      </c>
      <c r="B51" s="20" t="s">
        <v>56</v>
      </c>
      <c r="C51" s="21" t="s">
        <v>57</v>
      </c>
      <c r="D51" s="96">
        <v>17.209999999999997</v>
      </c>
      <c r="E51" s="99">
        <f t="shared" si="5"/>
        <v>2.4100000000000037</v>
      </c>
      <c r="F51" s="200"/>
      <c r="G51" s="200"/>
      <c r="H51" s="44">
        <f t="shared" si="3"/>
        <v>19.62</v>
      </c>
      <c r="I51" s="44">
        <f>'B1'!E53+'CÔng Tăng'!E51-'Cộng giảm'!E51</f>
        <v>12.780000000000001</v>
      </c>
      <c r="J51" s="44">
        <f>'B1'!F53+'CÔng Tăng'!F51-'Cộng giảm'!F51</f>
        <v>0.49</v>
      </c>
      <c r="K51" s="44">
        <f>'B1'!G53+'CÔng Tăng'!G51-'Cộng giảm'!G51</f>
        <v>1.7999999999999998</v>
      </c>
      <c r="L51" s="44">
        <f>'B1'!H53+'CÔng Tăng'!H51-'Cộng giảm'!H51</f>
        <v>0.36</v>
      </c>
      <c r="M51" s="44">
        <f>'B1'!I53+'CÔng Tăng'!I51-'Cộng giảm'!I51</f>
        <v>0.48000000000000004</v>
      </c>
      <c r="N51" s="44">
        <f>'B1'!J53+'CÔng Tăng'!J51-'Cộng giảm'!J51</f>
        <v>0.27</v>
      </c>
      <c r="O51" s="44">
        <f>'B1'!K53+'CÔng Tăng'!K51-'Cộng giảm'!K51</f>
        <v>0.92</v>
      </c>
      <c r="P51" s="44">
        <f>'B1'!L53+'CÔng Tăng'!L51-'Cộng giảm'!L51</f>
        <v>0.38</v>
      </c>
      <c r="Q51" s="44">
        <f>'B1'!M53+'CÔng Tăng'!M51-'Cộng giảm'!M51</f>
        <v>0.79</v>
      </c>
      <c r="R51" s="44">
        <f>'B1'!N53+'CÔng Tăng'!N51-'Cộng giảm'!N51</f>
        <v>1.0100000000000002</v>
      </c>
      <c r="S51" s="44">
        <f>'B1'!O53+'CÔng Tăng'!O51-'Cộng giảm'!O51</f>
        <v>0.34</v>
      </c>
    </row>
    <row r="52" spans="1:19" s="12" customFormat="1" ht="30">
      <c r="A52" s="78" t="s">
        <v>162</v>
      </c>
      <c r="B52" s="20" t="s">
        <v>58</v>
      </c>
      <c r="C52" s="21" t="s">
        <v>59</v>
      </c>
      <c r="D52" s="96">
        <v>23.57</v>
      </c>
      <c r="E52" s="99">
        <f t="shared" si="5"/>
        <v>-18.54</v>
      </c>
      <c r="F52" s="200"/>
      <c r="G52" s="200"/>
      <c r="H52" s="44">
        <f t="shared" si="3"/>
        <v>5.03</v>
      </c>
      <c r="I52" s="44">
        <f>'B1'!E54+'CÔng Tăng'!E52-'Cộng giảm'!E52</f>
        <v>0.13</v>
      </c>
      <c r="J52" s="44">
        <f>'B1'!F54+'CÔng Tăng'!F52-'Cộng giảm'!F52</f>
        <v>0</v>
      </c>
      <c r="K52" s="44">
        <f>'B1'!G54+'CÔng Tăng'!G52-'Cộng giảm'!G52</f>
        <v>3.04</v>
      </c>
      <c r="L52" s="44">
        <f>'B1'!H54+'CÔng Tăng'!H52-'Cộng giảm'!H52</f>
        <v>0.77</v>
      </c>
      <c r="M52" s="44">
        <f>'B1'!I54+'CÔng Tăng'!I52-'Cộng giảm'!I52</f>
        <v>0</v>
      </c>
      <c r="N52" s="44">
        <f>'B1'!J54+'CÔng Tăng'!J52-'Cộng giảm'!J52</f>
        <v>0</v>
      </c>
      <c r="O52" s="44">
        <f>'B1'!K54+'CÔng Tăng'!K52-'Cộng giảm'!K52</f>
        <v>0</v>
      </c>
      <c r="P52" s="44">
        <f>'B1'!L54+'CÔng Tăng'!L52-'Cộng giảm'!L52</f>
        <v>1.0900000000000001</v>
      </c>
      <c r="Q52" s="44">
        <f>'B1'!M54+'CÔng Tăng'!M52-'Cộng giảm'!M52</f>
        <v>0</v>
      </c>
      <c r="R52" s="44">
        <f>'B1'!N54+'CÔng Tăng'!N52-'Cộng giảm'!N52</f>
        <v>0</v>
      </c>
      <c r="S52" s="44">
        <f>'B1'!O54+'CÔng Tăng'!O52-'Cộng giảm'!O52</f>
        <v>0</v>
      </c>
    </row>
    <row r="53" spans="1:19" s="12" customFormat="1" ht="15.75">
      <c r="A53" s="78" t="s">
        <v>163</v>
      </c>
      <c r="B53" s="20" t="s">
        <v>60</v>
      </c>
      <c r="C53" s="21" t="s">
        <v>61</v>
      </c>
      <c r="D53" s="96">
        <v>1.45</v>
      </c>
      <c r="E53" s="99">
        <f t="shared" si="5"/>
        <v>-1.45</v>
      </c>
      <c r="F53" s="200"/>
      <c r="G53" s="200"/>
      <c r="H53" s="44">
        <f t="shared" si="3"/>
        <v>0</v>
      </c>
      <c r="I53" s="44">
        <f>'B1'!E55+'CÔng Tăng'!E53-'Cộng giảm'!E53</f>
        <v>0</v>
      </c>
      <c r="J53" s="44">
        <f>'B1'!F55+'CÔng Tăng'!F53-'Cộng giảm'!F53</f>
        <v>0</v>
      </c>
      <c r="K53" s="44">
        <f>'B1'!G55+'CÔng Tăng'!G53-'Cộng giảm'!G53</f>
        <v>0</v>
      </c>
      <c r="L53" s="44">
        <f>'B1'!H55+'CÔng Tăng'!H53-'Cộng giảm'!H53</f>
        <v>0</v>
      </c>
      <c r="M53" s="44">
        <f>'B1'!I55+'CÔng Tăng'!I53-'Cộng giảm'!I53</f>
        <v>0</v>
      </c>
      <c r="N53" s="44">
        <f>'B1'!J55+'CÔng Tăng'!J53-'Cộng giảm'!J53</f>
        <v>0</v>
      </c>
      <c r="O53" s="44">
        <f>'B1'!K55+'CÔng Tăng'!K53-'Cộng giảm'!K53</f>
        <v>0</v>
      </c>
      <c r="P53" s="44">
        <f>'B1'!L55+'CÔng Tăng'!L53-'Cộng giảm'!L53</f>
        <v>0</v>
      </c>
      <c r="Q53" s="44">
        <f>'B1'!M55+'CÔng Tăng'!M53-'Cộng giảm'!M53</f>
        <v>0</v>
      </c>
      <c r="R53" s="44">
        <f>'B1'!N55+'CÔng Tăng'!N53-'Cộng giảm'!N53</f>
        <v>0</v>
      </c>
      <c r="S53" s="44">
        <f>'B1'!O55+'CÔng Tăng'!O53-'Cộng giảm'!O53</f>
        <v>0</v>
      </c>
    </row>
    <row r="54" spans="1:19" s="12" customFormat="1" ht="15.75">
      <c r="A54" s="78" t="s">
        <v>164</v>
      </c>
      <c r="B54" s="20" t="s">
        <v>71</v>
      </c>
      <c r="C54" s="21" t="s">
        <v>72</v>
      </c>
      <c r="D54" s="96">
        <v>1031.26</v>
      </c>
      <c r="E54" s="99">
        <f t="shared" si="5"/>
        <v>-1030.99</v>
      </c>
      <c r="F54" s="200"/>
      <c r="G54" s="200"/>
      <c r="H54" s="44">
        <f t="shared" si="3"/>
        <v>0.27</v>
      </c>
      <c r="I54" s="44">
        <f>'B1'!E56+'CÔng Tăng'!E54-'Cộng giảm'!E54</f>
        <v>0</v>
      </c>
      <c r="J54" s="44">
        <f>'B1'!F56+'CÔng Tăng'!F54-'Cộng giảm'!F54</f>
        <v>0</v>
      </c>
      <c r="K54" s="44">
        <f>'B1'!G56+'CÔng Tăng'!G54-'Cộng giảm'!G54</f>
        <v>0</v>
      </c>
      <c r="L54" s="44">
        <f>'B1'!H56+'CÔng Tăng'!H54-'Cộng giảm'!H54</f>
        <v>0</v>
      </c>
      <c r="M54" s="44">
        <f>'B1'!I56+'CÔng Tăng'!I54-'Cộng giảm'!I54</f>
        <v>0</v>
      </c>
      <c r="N54" s="44">
        <f>'B1'!J56+'CÔng Tăng'!J54-'Cộng giảm'!J54</f>
        <v>0</v>
      </c>
      <c r="O54" s="44">
        <f>'B1'!K56+'CÔng Tăng'!K54-'Cộng giảm'!K54</f>
        <v>0</v>
      </c>
      <c r="P54" s="44">
        <f>'B1'!L56+'CÔng Tăng'!L54-'Cộng giảm'!L54</f>
        <v>0</v>
      </c>
      <c r="Q54" s="44">
        <f>'B1'!M56+'CÔng Tăng'!M54-'Cộng giảm'!M54</f>
        <v>0</v>
      </c>
      <c r="R54" s="44">
        <f>'B1'!N56+'CÔng Tăng'!N54-'Cộng giảm'!N54</f>
        <v>0.24</v>
      </c>
      <c r="S54" s="44">
        <f>'B1'!O56+'CÔng Tăng'!O54-'Cộng giảm'!O54</f>
        <v>0.03</v>
      </c>
    </row>
    <row r="55" spans="1:19" s="12" customFormat="1" ht="15.75">
      <c r="A55" s="78" t="s">
        <v>165</v>
      </c>
      <c r="B55" s="20" t="s">
        <v>181</v>
      </c>
      <c r="C55" s="21" t="s">
        <v>74</v>
      </c>
      <c r="D55" s="96">
        <v>57.489999999999995</v>
      </c>
      <c r="E55" s="99">
        <f t="shared" si="5"/>
        <v>943.01</v>
      </c>
      <c r="F55" s="200"/>
      <c r="G55" s="200"/>
      <c r="H55" s="44">
        <f t="shared" si="3"/>
        <v>1000.5</v>
      </c>
      <c r="I55" s="44">
        <f>'B1'!E57+'CÔng Tăng'!E55-'Cộng giảm'!E55</f>
        <v>31.59</v>
      </c>
      <c r="J55" s="44">
        <f>'B1'!F57+'CÔng Tăng'!F55-'Cộng giảm'!F55</f>
        <v>105.51</v>
      </c>
      <c r="K55" s="44">
        <f>'B1'!G57+'CÔng Tăng'!G55-'Cộng giảm'!G55</f>
        <v>190.1</v>
      </c>
      <c r="L55" s="44">
        <f>'B1'!H57+'CÔng Tăng'!H55-'Cộng giảm'!H55</f>
        <v>152.99</v>
      </c>
      <c r="M55" s="44">
        <f>'B1'!I57+'CÔng Tăng'!I55-'Cộng giảm'!I55</f>
        <v>36.89</v>
      </c>
      <c r="N55" s="44">
        <f>'B1'!J57+'CÔng Tăng'!J55-'Cộng giảm'!J55</f>
        <v>61.61</v>
      </c>
      <c r="O55" s="44">
        <f>'B1'!K57+'CÔng Tăng'!K55-'Cộng giảm'!K55</f>
        <v>88.62</v>
      </c>
      <c r="P55" s="44">
        <f>'B1'!L57+'CÔng Tăng'!L55-'Cộng giảm'!L55</f>
        <v>139.13999999999999</v>
      </c>
      <c r="Q55" s="44">
        <f>'B1'!M57+'CÔng Tăng'!M55-'Cộng giảm'!M55</f>
        <v>38.92</v>
      </c>
      <c r="R55" s="44">
        <f>'B1'!N57+'CÔng Tăng'!N55-'Cộng giảm'!N55</f>
        <v>81.680000000000007</v>
      </c>
      <c r="S55" s="44">
        <f>'B1'!O57+'CÔng Tăng'!O55-'Cộng giảm'!O55</f>
        <v>73.45</v>
      </c>
    </row>
    <row r="56" spans="1:19" s="12" customFormat="1" ht="15.75">
      <c r="A56" s="78" t="s">
        <v>166</v>
      </c>
      <c r="B56" s="20" t="s">
        <v>75</v>
      </c>
      <c r="C56" s="21" t="s">
        <v>76</v>
      </c>
      <c r="D56" s="96">
        <v>0.47</v>
      </c>
      <c r="E56" s="99">
        <f t="shared" si="5"/>
        <v>64.080000000000013</v>
      </c>
      <c r="F56" s="200"/>
      <c r="G56" s="200"/>
      <c r="H56" s="44">
        <f t="shared" si="3"/>
        <v>64.550000000000011</v>
      </c>
      <c r="I56" s="44">
        <f>'B1'!E58+'CÔng Tăng'!E56-'Cộng giảm'!E56</f>
        <v>2.06</v>
      </c>
      <c r="J56" s="44">
        <f>'B1'!F58+'CÔng Tăng'!F56-'Cộng giảm'!F56</f>
        <v>16.07</v>
      </c>
      <c r="K56" s="44">
        <f>'B1'!G58+'CÔng Tăng'!G56-'Cộng giảm'!G56</f>
        <v>21.31</v>
      </c>
      <c r="L56" s="44">
        <f>'B1'!H58+'CÔng Tăng'!H56-'Cộng giảm'!H56</f>
        <v>0</v>
      </c>
      <c r="M56" s="44">
        <f>'B1'!I58+'CÔng Tăng'!I56-'Cộng giảm'!I56</f>
        <v>0.31</v>
      </c>
      <c r="N56" s="44">
        <f>'B1'!J58+'CÔng Tăng'!J56-'Cộng giảm'!J56</f>
        <v>0</v>
      </c>
      <c r="O56" s="44">
        <f>'B1'!K58+'CÔng Tăng'!K56-'Cộng giảm'!K56</f>
        <v>4.3099999999999996</v>
      </c>
      <c r="P56" s="44">
        <f>'B1'!L58+'CÔng Tăng'!L56-'Cộng giảm'!L56</f>
        <v>0</v>
      </c>
      <c r="Q56" s="44">
        <f>'B1'!M58+'CÔng Tăng'!M56-'Cộng giảm'!M56</f>
        <v>0.84</v>
      </c>
      <c r="R56" s="44">
        <f>'B1'!N58+'CÔng Tăng'!N56-'Cộng giảm'!N56</f>
        <v>0</v>
      </c>
      <c r="S56" s="44">
        <f>'B1'!O58+'CÔng Tăng'!O56-'Cộng giảm'!O56</f>
        <v>19.649999999999999</v>
      </c>
    </row>
    <row r="57" spans="1:19" s="135" customFormat="1" ht="15.75">
      <c r="A57" s="78" t="s">
        <v>167</v>
      </c>
      <c r="B57" s="20" t="s">
        <v>77</v>
      </c>
      <c r="C57" s="21" t="s">
        <v>78</v>
      </c>
      <c r="D57" s="96">
        <v>136.43999999999988</v>
      </c>
      <c r="E57" s="204">
        <f t="shared" si="5"/>
        <v>-133.80999999999989</v>
      </c>
      <c r="F57" s="205"/>
      <c r="G57" s="205"/>
      <c r="H57" s="44">
        <f t="shared" si="3"/>
        <v>2.6300000000000003</v>
      </c>
      <c r="I57" s="44">
        <f>'B1'!E59+'CÔng Tăng'!E57-'Cộng giảm'!E57</f>
        <v>0</v>
      </c>
      <c r="J57" s="44">
        <f>'B1'!F59+'CÔng Tăng'!F57-'Cộng giảm'!F57</f>
        <v>0.76</v>
      </c>
      <c r="K57" s="44">
        <f>'B1'!G59+'CÔng Tăng'!G57-'Cộng giảm'!G57</f>
        <v>0.15000000000000002</v>
      </c>
      <c r="L57" s="44">
        <f>'B1'!H59+'CÔng Tăng'!H57-'Cộng giảm'!H57</f>
        <v>0</v>
      </c>
      <c r="M57" s="44">
        <f>'B1'!I59+'CÔng Tăng'!I57-'Cộng giảm'!I57</f>
        <v>0.98</v>
      </c>
      <c r="N57" s="44">
        <f>'B1'!J59+'CÔng Tăng'!J57-'Cộng giảm'!J57</f>
        <v>0</v>
      </c>
      <c r="O57" s="44">
        <f>'B1'!K59+'CÔng Tăng'!K57-'Cộng giảm'!K57</f>
        <v>0</v>
      </c>
      <c r="P57" s="44">
        <f>'B1'!L59+'CÔng Tăng'!L57-'Cộng giảm'!L57</f>
        <v>0</v>
      </c>
      <c r="Q57" s="44">
        <f>'B1'!M59+'CÔng Tăng'!M57-'Cộng giảm'!M57</f>
        <v>0</v>
      </c>
      <c r="R57" s="44">
        <f>'B1'!N59+'CÔng Tăng'!N57-'Cộng giảm'!N57</f>
        <v>0.31</v>
      </c>
      <c r="S57" s="44">
        <f>'B1'!O59+'CÔng Tăng'!O57-'Cộng giảm'!O57</f>
        <v>0.43</v>
      </c>
    </row>
    <row r="58" spans="1:19" s="10" customFormat="1" ht="14.25">
      <c r="A58" s="41">
        <v>3</v>
      </c>
      <c r="B58" s="24" t="s">
        <v>79</v>
      </c>
      <c r="C58" s="25" t="s">
        <v>80</v>
      </c>
      <c r="D58" s="25"/>
      <c r="E58" s="25"/>
      <c r="F58" s="25"/>
      <c r="G58" s="25"/>
      <c r="H58" s="45">
        <f t="shared" si="3"/>
        <v>154.58000000000001</v>
      </c>
      <c r="I58" s="45">
        <f>'B1'!E60+'CÔng Tăng'!E58-'Cộng giảm'!E58</f>
        <v>0</v>
      </c>
      <c r="J58" s="45">
        <f>'B1'!F60+'CÔng Tăng'!F58-'Cộng giảm'!F58</f>
        <v>0</v>
      </c>
      <c r="K58" s="45">
        <f>'B1'!G60+'CÔng Tăng'!G58-'Cộng giảm'!G58</f>
        <v>10.23</v>
      </c>
      <c r="L58" s="45">
        <f>'B1'!H60+'CÔng Tăng'!H58-'Cộng giảm'!H58</f>
        <v>36.47</v>
      </c>
      <c r="M58" s="45">
        <f>'B1'!I60+'CÔng Tăng'!I58-'Cộng giảm'!I58</f>
        <v>7.11</v>
      </c>
      <c r="N58" s="45">
        <f>'B1'!J60+'CÔng Tăng'!J58-'Cộng giảm'!J58</f>
        <v>9.65</v>
      </c>
      <c r="O58" s="45">
        <f>'B1'!K60+'CÔng Tăng'!K58-'Cộng giảm'!K58</f>
        <v>11.610000000000001</v>
      </c>
      <c r="P58" s="45">
        <f>'B1'!L60+'CÔng Tăng'!L58-'Cộng giảm'!L58</f>
        <v>21.28</v>
      </c>
      <c r="Q58" s="45">
        <f>'B1'!M60+'CÔng Tăng'!M58-'Cộng giảm'!M58</f>
        <v>0</v>
      </c>
      <c r="R58" s="45">
        <f>'B1'!N60+'CÔng Tăng'!N58-'Cộng giảm'!N58</f>
        <v>0</v>
      </c>
      <c r="S58" s="45">
        <f>'B1'!O60+'CÔng Tăng'!O58-'Cộng giảm'!O58</f>
        <v>58.230000000000004</v>
      </c>
    </row>
    <row r="59" spans="1:19" ht="15">
      <c r="A59" s="41" t="s">
        <v>252</v>
      </c>
      <c r="B59" s="24" t="s">
        <v>253</v>
      </c>
      <c r="C59" s="21"/>
      <c r="D59" s="21"/>
      <c r="E59" s="21"/>
      <c r="F59" s="21"/>
      <c r="G59" s="21"/>
      <c r="H59" s="44">
        <f t="shared" si="3"/>
        <v>0</v>
      </c>
      <c r="I59" s="44"/>
      <c r="J59" s="44"/>
      <c r="K59" s="44"/>
      <c r="L59" s="44"/>
      <c r="M59" s="44"/>
      <c r="N59" s="44"/>
      <c r="O59" s="44"/>
      <c r="P59" s="44"/>
      <c r="Q59" s="44"/>
      <c r="R59" s="44"/>
      <c r="S59" s="44"/>
    </row>
    <row r="60" spans="1:19" ht="15">
      <c r="A60" s="210">
        <v>1</v>
      </c>
      <c r="B60" s="211" t="s">
        <v>254</v>
      </c>
      <c r="C60" s="212"/>
      <c r="D60" s="212"/>
      <c r="E60" s="212"/>
      <c r="F60" s="212"/>
      <c r="G60" s="212"/>
      <c r="H60" s="44">
        <f t="shared" si="3"/>
        <v>0</v>
      </c>
      <c r="I60" s="44"/>
      <c r="J60" s="44"/>
      <c r="K60" s="44"/>
      <c r="L60" s="44"/>
      <c r="M60" s="44"/>
      <c r="N60" s="44"/>
      <c r="O60" s="44"/>
      <c r="P60" s="44"/>
      <c r="Q60" s="44"/>
      <c r="R60" s="44"/>
      <c r="S60" s="44"/>
    </row>
    <row r="61" spans="1:19" ht="15">
      <c r="A61" s="210">
        <v>2</v>
      </c>
      <c r="B61" s="211" t="s">
        <v>255</v>
      </c>
      <c r="C61" s="212"/>
      <c r="D61" s="212"/>
      <c r="E61" s="212"/>
      <c r="F61" s="212"/>
      <c r="G61" s="212"/>
      <c r="H61" s="44">
        <f t="shared" si="3"/>
        <v>0</v>
      </c>
      <c r="I61" s="44"/>
      <c r="J61" s="44"/>
      <c r="K61" s="44"/>
      <c r="L61" s="44"/>
      <c r="M61" s="44"/>
      <c r="N61" s="44"/>
      <c r="O61" s="44"/>
      <c r="P61" s="44"/>
      <c r="Q61" s="44"/>
      <c r="R61" s="44"/>
      <c r="S61" s="44"/>
    </row>
    <row r="62" spans="1:19" ht="15">
      <c r="A62" s="210">
        <v>3</v>
      </c>
      <c r="B62" s="211" t="s">
        <v>128</v>
      </c>
      <c r="C62" s="212"/>
      <c r="D62" s="212"/>
      <c r="E62" s="212"/>
      <c r="F62" s="212"/>
      <c r="G62" s="212"/>
      <c r="H62" s="44">
        <f t="shared" si="3"/>
        <v>0</v>
      </c>
      <c r="I62" s="44"/>
      <c r="J62" s="44"/>
      <c r="K62" s="44"/>
      <c r="L62" s="44"/>
      <c r="M62" s="44"/>
      <c r="N62" s="44"/>
      <c r="O62" s="44"/>
      <c r="P62" s="44"/>
      <c r="Q62" s="44"/>
      <c r="R62" s="44"/>
      <c r="S62" s="44"/>
    </row>
    <row r="63" spans="1:19" ht="57">
      <c r="A63" s="210">
        <v>4</v>
      </c>
      <c r="B63" s="211" t="s">
        <v>256</v>
      </c>
      <c r="C63" s="212"/>
      <c r="D63" s="212"/>
      <c r="E63" s="212"/>
      <c r="F63" s="212"/>
      <c r="G63" s="212"/>
      <c r="H63" s="44">
        <f t="shared" si="3"/>
        <v>0</v>
      </c>
      <c r="I63" s="213"/>
      <c r="J63" s="213"/>
      <c r="K63" s="213"/>
      <c r="L63" s="213"/>
      <c r="M63" s="213"/>
      <c r="N63" s="213"/>
      <c r="O63" s="213"/>
      <c r="P63" s="213"/>
      <c r="Q63" s="213"/>
      <c r="R63" s="213"/>
      <c r="S63" s="213"/>
    </row>
    <row r="64" spans="1:19" ht="42.75">
      <c r="A64" s="210">
        <v>5</v>
      </c>
      <c r="B64" s="211" t="s">
        <v>257</v>
      </c>
      <c r="C64" s="212"/>
      <c r="D64" s="212"/>
      <c r="E64" s="212"/>
      <c r="F64" s="212"/>
      <c r="G64" s="212"/>
      <c r="H64" s="44">
        <f t="shared" si="3"/>
        <v>42938.030000000006</v>
      </c>
      <c r="I64" s="213">
        <f>I13+I16</f>
        <v>9.58</v>
      </c>
      <c r="J64" s="213">
        <f t="shared" ref="J64:S64" si="6">J13+J16</f>
        <v>622.98</v>
      </c>
      <c r="K64" s="213">
        <f t="shared" si="6"/>
        <v>28282.93</v>
      </c>
      <c r="L64" s="213">
        <f t="shared" si="6"/>
        <v>1344.23</v>
      </c>
      <c r="M64" s="213">
        <f t="shared" si="6"/>
        <v>58.8</v>
      </c>
      <c r="N64" s="213">
        <f t="shared" si="6"/>
        <v>314.8</v>
      </c>
      <c r="O64" s="213">
        <f t="shared" si="6"/>
        <v>740.52</v>
      </c>
      <c r="P64" s="213">
        <f t="shared" si="6"/>
        <v>279.31</v>
      </c>
      <c r="Q64" s="213">
        <f t="shared" si="6"/>
        <v>41.21</v>
      </c>
      <c r="R64" s="213">
        <f t="shared" si="6"/>
        <v>11162.41</v>
      </c>
      <c r="S64" s="213">
        <f t="shared" si="6"/>
        <v>81.260000000000005</v>
      </c>
    </row>
    <row r="65" spans="1:19" ht="15">
      <c r="A65" s="210">
        <v>6</v>
      </c>
      <c r="B65" s="211" t="s">
        <v>258</v>
      </c>
      <c r="C65" s="212"/>
      <c r="D65" s="212"/>
      <c r="E65" s="212"/>
      <c r="F65" s="212"/>
      <c r="G65" s="212"/>
      <c r="H65" s="44">
        <f t="shared" si="3"/>
        <v>0</v>
      </c>
      <c r="I65" s="213"/>
      <c r="J65" s="213"/>
      <c r="K65" s="213"/>
      <c r="L65" s="213"/>
      <c r="M65" s="213"/>
      <c r="N65" s="213"/>
      <c r="O65" s="213"/>
      <c r="P65" s="213"/>
      <c r="Q65" s="213"/>
      <c r="R65" s="213"/>
      <c r="S65" s="213"/>
    </row>
    <row r="66" spans="1:19" ht="28.5">
      <c r="A66" s="210">
        <v>7</v>
      </c>
      <c r="B66" s="211" t="s">
        <v>259</v>
      </c>
      <c r="C66" s="212"/>
      <c r="D66" s="212"/>
      <c r="E66" s="212"/>
      <c r="F66" s="212"/>
      <c r="G66" s="212"/>
      <c r="H66" s="44">
        <f t="shared" si="3"/>
        <v>44679.45</v>
      </c>
      <c r="I66" s="213">
        <v>73.260000000000005</v>
      </c>
      <c r="J66" s="213"/>
      <c r="K66" s="213">
        <v>19237.21</v>
      </c>
      <c r="L66" s="213">
        <f>L14</f>
        <v>21352.13</v>
      </c>
      <c r="M66" s="213"/>
      <c r="N66" s="213"/>
      <c r="O66" s="213">
        <v>1538.22</v>
      </c>
      <c r="P66" s="213">
        <v>2478.63</v>
      </c>
      <c r="Q66" s="213"/>
      <c r="R66" s="213"/>
      <c r="S66" s="213"/>
    </row>
    <row r="67" spans="1:19" ht="28.5">
      <c r="A67" s="210">
        <v>8</v>
      </c>
      <c r="B67" s="211" t="s">
        <v>260</v>
      </c>
      <c r="C67" s="212"/>
      <c r="D67" s="212"/>
      <c r="E67" s="212"/>
      <c r="F67" s="212"/>
      <c r="G67" s="212"/>
      <c r="H67" s="44">
        <f t="shared" si="3"/>
        <v>0</v>
      </c>
      <c r="I67" s="213">
        <f>I24</f>
        <v>0</v>
      </c>
      <c r="J67" s="213"/>
      <c r="K67" s="213"/>
      <c r="L67" s="213"/>
      <c r="M67" s="213"/>
      <c r="N67" s="213"/>
      <c r="O67" s="213"/>
      <c r="P67" s="213"/>
      <c r="Q67" s="213"/>
      <c r="R67" s="213"/>
      <c r="S67" s="213"/>
    </row>
    <row r="68" spans="1:19" ht="28.5">
      <c r="A68" s="210">
        <v>9</v>
      </c>
      <c r="B68" s="211" t="s">
        <v>264</v>
      </c>
      <c r="C68" s="212"/>
      <c r="D68" s="212"/>
      <c r="E68" s="212"/>
      <c r="F68" s="212"/>
      <c r="G68" s="212"/>
      <c r="H68" s="44">
        <f t="shared" si="3"/>
        <v>0</v>
      </c>
      <c r="I68" s="213"/>
      <c r="J68" s="213"/>
      <c r="K68" s="213"/>
      <c r="L68" s="213"/>
      <c r="M68" s="213"/>
      <c r="N68" s="213"/>
      <c r="O68" s="213"/>
      <c r="P68" s="213"/>
      <c r="Q68" s="213"/>
      <c r="R68" s="213"/>
      <c r="S68" s="213"/>
    </row>
    <row r="69" spans="1:19" ht="15">
      <c r="A69" s="210">
        <v>10</v>
      </c>
      <c r="B69" s="211" t="s">
        <v>261</v>
      </c>
      <c r="C69" s="212"/>
      <c r="D69" s="212"/>
      <c r="E69" s="212"/>
      <c r="F69" s="212"/>
      <c r="G69" s="212"/>
      <c r="H69" s="44">
        <f t="shared" si="3"/>
        <v>0</v>
      </c>
      <c r="I69" s="213"/>
      <c r="J69" s="213"/>
      <c r="K69" s="213"/>
      <c r="L69" s="213"/>
      <c r="M69" s="213"/>
      <c r="N69" s="213"/>
      <c r="O69" s="213"/>
      <c r="P69" s="213"/>
      <c r="Q69" s="213"/>
      <c r="R69" s="213"/>
      <c r="S69" s="213"/>
    </row>
    <row r="70" spans="1:19" ht="15">
      <c r="A70" s="210">
        <v>11</v>
      </c>
      <c r="B70" s="214" t="s">
        <v>265</v>
      </c>
      <c r="C70" s="212"/>
      <c r="D70" s="212"/>
      <c r="E70" s="212"/>
      <c r="F70" s="212"/>
      <c r="G70" s="212"/>
      <c r="H70" s="44">
        <f t="shared" si="3"/>
        <v>0</v>
      </c>
      <c r="I70" s="213"/>
      <c r="J70" s="213"/>
      <c r="K70" s="213"/>
      <c r="L70" s="213"/>
      <c r="M70" s="213"/>
      <c r="N70" s="213"/>
      <c r="O70" s="213"/>
      <c r="P70" s="213"/>
      <c r="Q70" s="213"/>
      <c r="R70" s="213"/>
      <c r="S70" s="213"/>
    </row>
    <row r="71" spans="1:19" ht="15">
      <c r="A71" s="210">
        <v>12</v>
      </c>
      <c r="B71" s="211" t="s">
        <v>262</v>
      </c>
      <c r="C71" s="212"/>
      <c r="D71" s="212"/>
      <c r="E71" s="212"/>
      <c r="F71" s="212"/>
      <c r="G71" s="212"/>
      <c r="H71" s="44">
        <f t="shared" si="3"/>
        <v>2369</v>
      </c>
      <c r="I71" s="213"/>
      <c r="J71" s="213">
        <v>109.96</v>
      </c>
      <c r="K71" s="213">
        <v>567.98</v>
      </c>
      <c r="L71" s="213">
        <v>298.64</v>
      </c>
      <c r="M71" s="213">
        <v>145.91999999999999</v>
      </c>
      <c r="N71" s="213">
        <v>102.11</v>
      </c>
      <c r="O71" s="213">
        <v>337.87</v>
      </c>
      <c r="P71" s="213">
        <v>427.67</v>
      </c>
      <c r="Q71" s="213">
        <v>99.9</v>
      </c>
      <c r="R71" s="213">
        <v>64.47</v>
      </c>
      <c r="S71" s="213">
        <v>214.48</v>
      </c>
    </row>
    <row r="72" spans="1:19" ht="28.5">
      <c r="A72" s="42">
        <v>13</v>
      </c>
      <c r="B72" s="26" t="s">
        <v>263</v>
      </c>
      <c r="C72" s="38"/>
      <c r="D72" s="38"/>
      <c r="E72" s="38"/>
      <c r="F72" s="38"/>
      <c r="G72" s="38"/>
      <c r="H72" s="48">
        <f t="shared" si="3"/>
        <v>0</v>
      </c>
      <c r="I72" s="48"/>
      <c r="J72" s="48"/>
      <c r="K72" s="48"/>
      <c r="L72" s="48"/>
      <c r="M72" s="48"/>
      <c r="N72" s="48"/>
      <c r="O72" s="48"/>
      <c r="P72" s="48"/>
      <c r="Q72" s="48"/>
      <c r="R72" s="48"/>
      <c r="S72" s="48"/>
    </row>
    <row r="73" spans="1:19" ht="23.25" customHeight="1">
      <c r="A73" s="1294" t="s">
        <v>266</v>
      </c>
      <c r="B73" s="1294"/>
      <c r="C73" s="1294"/>
      <c r="D73" s="1294"/>
      <c r="E73" s="1294"/>
      <c r="F73" s="1294"/>
      <c r="G73" s="1294"/>
      <c r="H73" s="1294"/>
      <c r="I73" s="1294"/>
      <c r="J73" s="52"/>
      <c r="K73" s="51"/>
      <c r="L73" s="51"/>
      <c r="M73" s="51"/>
      <c r="N73" s="51"/>
      <c r="O73" s="51"/>
      <c r="P73" s="51"/>
      <c r="Q73" s="51"/>
      <c r="R73" s="51"/>
      <c r="S73" s="51"/>
    </row>
    <row r="74" spans="1:19" hidden="1">
      <c r="I74" s="92"/>
      <c r="J74" s="171">
        <f>'CÔng Tăng'!F25+'CÔng Tăng'!F26+'CÔng Tăng'!F30-'Cộng giảm'!F30+'CÔng Tăng'!F32+'CÔng Tăng'!F34-'Cộng giảm'!F34+'CÔng Tăng'!F35-'Cộng giảm'!F35+'CÔng Tăng'!F37+'CÔng Tăng'!F45+'CÔng Tăng'!F47+'CÔng Tăng'!F49-'Cộng giảm'!F49+'CÔng Tăng'!F51-'Cộng giảm'!F51</f>
        <v>6.9</v>
      </c>
      <c r="K74" s="171">
        <f>'CÔng Tăng'!G25+'CÔng Tăng'!G26+'CÔng Tăng'!G30-'Cộng giảm'!G30+'CÔng Tăng'!G32+'CÔng Tăng'!G34-'Cộng giảm'!G34+'CÔng Tăng'!G35-'Cộng giảm'!G35+'CÔng Tăng'!G37+'CÔng Tăng'!G45+'CÔng Tăng'!G47+'CÔng Tăng'!G49-'Cộng giảm'!G49+'CÔng Tăng'!G51-'Cộng giảm'!G51</f>
        <v>74.11999999999999</v>
      </c>
      <c r="L74" s="171">
        <f>'CÔng Tăng'!H25+'CÔng Tăng'!H26+'CÔng Tăng'!H30-'Cộng giảm'!H30+'CÔng Tăng'!H32+'CÔng Tăng'!H34-'Cộng giảm'!H34+'CÔng Tăng'!H35-'Cộng giảm'!H35+'CÔng Tăng'!H37+'CÔng Tăng'!H45+'CÔng Tăng'!H47+'CÔng Tăng'!H49-'Cộng giảm'!H49+'CÔng Tăng'!H51-'Cộng giảm'!H51</f>
        <v>0.92999999999999994</v>
      </c>
      <c r="M74" s="171">
        <f>'CÔng Tăng'!I25+'CÔng Tăng'!I26+'CÔng Tăng'!I30-'Cộng giảm'!I30+'CÔng Tăng'!I32+'CÔng Tăng'!I34-'Cộng giảm'!I34+'CÔng Tăng'!I35-'Cộng giảm'!I35+'CÔng Tăng'!I37+'CÔng Tăng'!I45+'CÔng Tăng'!I47+'CÔng Tăng'!I49-'Cộng giảm'!I49+'CÔng Tăng'!I51-'Cộng giảm'!I51</f>
        <v>4.57</v>
      </c>
      <c r="N74" s="171">
        <f>'CÔng Tăng'!J25+'CÔng Tăng'!J26+'CÔng Tăng'!J30-'Cộng giảm'!J30+'CÔng Tăng'!J32+'CÔng Tăng'!J34-'Cộng giảm'!J34+'CÔng Tăng'!J35-'Cộng giảm'!J35+'CÔng Tăng'!J37+'CÔng Tăng'!J45+'CÔng Tăng'!J47+'CÔng Tăng'!J49-'Cộng giảm'!J49+'CÔng Tăng'!J51-'Cộng giảm'!J51</f>
        <v>2</v>
      </c>
      <c r="O74" s="171">
        <f>'CÔng Tăng'!K25+'CÔng Tăng'!K26+'CÔng Tăng'!K30-'Cộng giảm'!K30+'CÔng Tăng'!K32+'CÔng Tăng'!K34-'Cộng giảm'!K34+'CÔng Tăng'!K35-'Cộng giảm'!K35+'CÔng Tăng'!K37+'CÔng Tăng'!K45+'CÔng Tăng'!K47+'CÔng Tăng'!K49-'Cộng giảm'!K49+'CÔng Tăng'!K51-'Cộng giảm'!K51</f>
        <v>1.1299999999999999</v>
      </c>
      <c r="P74" s="171">
        <f>'CÔng Tăng'!L25+'CÔng Tăng'!L26+'CÔng Tăng'!L30-'Cộng giảm'!L30+'CÔng Tăng'!L32+'CÔng Tăng'!L34-'Cộng giảm'!L34+'CÔng Tăng'!L35-'Cộng giảm'!L35+'CÔng Tăng'!L37+'CÔng Tăng'!L45+'CÔng Tăng'!L47+'CÔng Tăng'!L49-'Cộng giảm'!L49+'CÔng Tăng'!L51-'Cộng giảm'!L51</f>
        <v>1.74</v>
      </c>
      <c r="Q74" s="171">
        <f>'CÔng Tăng'!M25+'CÔng Tăng'!M26+'CÔng Tăng'!M30-'Cộng giảm'!M30+'CÔng Tăng'!M32+'CÔng Tăng'!M34-'Cộng giảm'!M34+'CÔng Tăng'!M35-'Cộng giảm'!M35+'CÔng Tăng'!M37+'CÔng Tăng'!M45+'CÔng Tăng'!M47+'CÔng Tăng'!M49-'Cộng giảm'!M49+'CÔng Tăng'!M51-'Cộng giảm'!M51</f>
        <v>6.34</v>
      </c>
      <c r="R74" s="171">
        <f>'CÔng Tăng'!N25+'CÔng Tăng'!N26+'CÔng Tăng'!N30-'Cộng giảm'!N30+'CÔng Tăng'!N32+'CÔng Tăng'!N34-'Cộng giảm'!N34+'CÔng Tăng'!N35-'Cộng giảm'!N35+'CÔng Tăng'!N37+'CÔng Tăng'!N45+'CÔng Tăng'!N47+'CÔng Tăng'!N49-'Cộng giảm'!N49+'CÔng Tăng'!N51-'Cộng giảm'!N51</f>
        <v>39</v>
      </c>
      <c r="S74" s="171">
        <f>'CÔng Tăng'!O25+'CÔng Tăng'!O26+'CÔng Tăng'!O30-'Cộng giảm'!O30+'CÔng Tăng'!O32+'CÔng Tăng'!O34-'Cộng giảm'!O34+'CÔng Tăng'!O35-'Cộng giảm'!O35+'CÔng Tăng'!O37+'CÔng Tăng'!O45+'CÔng Tăng'!O47+'CÔng Tăng'!O49-'Cộng giảm'!O49+'CÔng Tăng'!O51-'Cộng giảm'!O51</f>
        <v>8.3699999999999992</v>
      </c>
    </row>
    <row r="75" spans="1:19" hidden="1">
      <c r="I75" s="92"/>
      <c r="J75" s="80"/>
    </row>
    <row r="76" spans="1:19" hidden="1">
      <c r="J76" s="80">
        <v>110.47999999999999</v>
      </c>
      <c r="K76" s="80">
        <v>568.05000000000007</v>
      </c>
      <c r="L76" s="80">
        <v>298.99</v>
      </c>
      <c r="M76" s="80">
        <v>146.35999999999999</v>
      </c>
      <c r="N76" s="80">
        <v>106.33</v>
      </c>
      <c r="O76" s="80">
        <v>338.22</v>
      </c>
      <c r="P76" s="80">
        <v>477.77000000000004</v>
      </c>
      <c r="Q76" s="80">
        <v>100.54</v>
      </c>
      <c r="R76" s="80">
        <v>64.47</v>
      </c>
      <c r="S76" s="80">
        <v>214.48</v>
      </c>
    </row>
    <row r="77" spans="1:19" ht="17.25" customHeight="1">
      <c r="J77" s="80"/>
    </row>
    <row r="80" spans="1:19">
      <c r="I80" s="92"/>
      <c r="J80" s="92"/>
      <c r="K80" s="92"/>
      <c r="L80" s="92"/>
      <c r="M80" s="92"/>
      <c r="N80" s="92"/>
      <c r="O80" s="92"/>
      <c r="P80" s="92"/>
      <c r="Q80" s="92"/>
      <c r="R80" s="92"/>
      <c r="S80" s="92"/>
    </row>
  </sheetData>
  <mergeCells count="11">
    <mergeCell ref="A73:I73"/>
    <mergeCell ref="A1:S1"/>
    <mergeCell ref="A2:S2"/>
    <mergeCell ref="B3:S3"/>
    <mergeCell ref="A4:A5"/>
    <mergeCell ref="B4:B5"/>
    <mergeCell ref="C4:C5"/>
    <mergeCell ref="H4:H5"/>
    <mergeCell ref="I4:S4"/>
    <mergeCell ref="F4:F5"/>
    <mergeCell ref="G4:G5"/>
  </mergeCells>
  <phoneticPr fontId="11" type="noConversion"/>
  <pageMargins left="0.64" right="0.2" top="0.61" bottom="0.25" header="0.24" footer="0.2"/>
  <pageSetup paperSize="8" fitToWidth="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34"/>
  <sheetViews>
    <sheetView zoomScale="78" zoomScaleNormal="78" workbookViewId="0">
      <selection activeCell="D12" sqref="D12:O12"/>
    </sheetView>
  </sheetViews>
  <sheetFormatPr defaultRowHeight="20.25" customHeight="1"/>
  <cols>
    <col min="1" max="1" width="6.85546875" customWidth="1"/>
    <col min="2" max="2" width="58.28515625" customWidth="1"/>
    <col min="3" max="3" width="14.42578125" style="1" customWidth="1"/>
    <col min="4" max="5" width="11.140625" customWidth="1"/>
    <col min="6" max="6" width="12.28515625" customWidth="1"/>
    <col min="7" max="7" width="11.7109375" customWidth="1"/>
    <col min="8" max="8" width="12.140625" customWidth="1"/>
    <col min="9" max="9" width="12" customWidth="1"/>
    <col min="10" max="10" width="13.140625" customWidth="1"/>
    <col min="11" max="11" width="12.85546875" customWidth="1"/>
    <col min="12" max="12" width="11" customWidth="1"/>
    <col min="13" max="13" width="11.5703125" customWidth="1"/>
    <col min="14" max="14" width="9.7109375" customWidth="1"/>
    <col min="15" max="15" width="10.140625" customWidth="1"/>
  </cols>
  <sheetData>
    <row r="1" spans="1:17" ht="20.25" customHeight="1">
      <c r="A1" s="1297" t="s">
        <v>314</v>
      </c>
      <c r="B1" s="1297"/>
      <c r="C1" s="343"/>
      <c r="D1" s="30"/>
      <c r="E1" s="30"/>
      <c r="F1" s="30"/>
      <c r="G1" s="30"/>
      <c r="H1" s="30"/>
      <c r="I1" s="30"/>
      <c r="J1" s="30"/>
      <c r="K1" s="30"/>
      <c r="L1" s="30"/>
      <c r="M1" s="30"/>
      <c r="N1" s="30"/>
      <c r="O1" s="30"/>
    </row>
    <row r="2" spans="1:17" ht="20.25" customHeight="1">
      <c r="A2" s="1296" t="s">
        <v>978</v>
      </c>
      <c r="B2" s="1296"/>
      <c r="C2" s="1296"/>
      <c r="D2" s="1296"/>
      <c r="E2" s="1296"/>
      <c r="F2" s="1296"/>
      <c r="G2" s="1296"/>
      <c r="H2" s="1296"/>
      <c r="I2" s="1296"/>
      <c r="J2" s="1296"/>
      <c r="K2" s="1296"/>
      <c r="L2" s="1296"/>
      <c r="M2" s="1296"/>
      <c r="N2" s="1296"/>
      <c r="O2" s="1296"/>
    </row>
    <row r="3" spans="1:17" ht="20.25" customHeight="1">
      <c r="A3" s="1295" t="s">
        <v>0</v>
      </c>
      <c r="B3" s="1295"/>
      <c r="C3" s="1295"/>
      <c r="D3" s="1295"/>
      <c r="E3" s="1295"/>
      <c r="F3" s="1295"/>
      <c r="G3" s="1295"/>
      <c r="H3" s="1295"/>
      <c r="I3" s="1295"/>
      <c r="J3" s="1295"/>
      <c r="K3" s="1295"/>
      <c r="L3" s="1295"/>
      <c r="M3" s="1295"/>
      <c r="N3" s="1295"/>
      <c r="O3" s="1295"/>
    </row>
    <row r="4" spans="1:17" ht="20.25" customHeight="1">
      <c r="A4" s="1253" t="s">
        <v>1</v>
      </c>
      <c r="B4" s="1253" t="s">
        <v>2</v>
      </c>
      <c r="C4" s="1253" t="s">
        <v>3</v>
      </c>
      <c r="D4" s="1253" t="s">
        <v>4</v>
      </c>
      <c r="E4" s="1253" t="s">
        <v>5</v>
      </c>
      <c r="F4" s="1253"/>
      <c r="G4" s="1253"/>
      <c r="H4" s="1253"/>
      <c r="I4" s="1253"/>
      <c r="J4" s="1253"/>
      <c r="K4" s="1253"/>
      <c r="L4" s="1253"/>
      <c r="M4" s="1253"/>
      <c r="N4" s="1253"/>
      <c r="O4" s="1253"/>
    </row>
    <row r="5" spans="1:17" ht="20.25" customHeight="1">
      <c r="A5" s="1253"/>
      <c r="B5" s="1253"/>
      <c r="C5" s="1253"/>
      <c r="D5" s="1253"/>
      <c r="E5" s="1253"/>
      <c r="F5" s="1253"/>
      <c r="G5" s="1253"/>
      <c r="H5" s="1253"/>
      <c r="I5" s="1253"/>
      <c r="J5" s="1253"/>
      <c r="K5" s="1253"/>
      <c r="L5" s="1253"/>
      <c r="M5" s="1253"/>
      <c r="N5" s="1253"/>
      <c r="O5" s="1253"/>
    </row>
    <row r="6" spans="1:17" ht="33.75" customHeight="1">
      <c r="A6" s="1253"/>
      <c r="B6" s="1253"/>
      <c r="C6" s="1253"/>
      <c r="D6" s="1253"/>
      <c r="E6" s="220" t="s">
        <v>111</v>
      </c>
      <c r="F6" s="220" t="s">
        <v>190</v>
      </c>
      <c r="G6" s="220" t="s">
        <v>169</v>
      </c>
      <c r="H6" s="220" t="s">
        <v>170</v>
      </c>
      <c r="I6" s="220" t="s">
        <v>172</v>
      </c>
      <c r="J6" s="220" t="s">
        <v>198</v>
      </c>
      <c r="K6" s="220" t="s">
        <v>197</v>
      </c>
      <c r="L6" s="220" t="s">
        <v>191</v>
      </c>
      <c r="M6" s="220" t="s">
        <v>189</v>
      </c>
      <c r="N6" s="220" t="s">
        <v>174</v>
      </c>
      <c r="O6" s="220" t="s">
        <v>173</v>
      </c>
    </row>
    <row r="7" spans="1:17" s="40" customFormat="1" ht="32.25" customHeight="1">
      <c r="A7" s="53">
        <v>-1</v>
      </c>
      <c r="B7" s="53">
        <v>-2</v>
      </c>
      <c r="C7" s="53">
        <v>-3</v>
      </c>
      <c r="D7" s="53" t="s">
        <v>135</v>
      </c>
      <c r="E7" s="53">
        <v>-5</v>
      </c>
      <c r="F7" s="53">
        <v>-6</v>
      </c>
      <c r="G7" s="53">
        <v>-7</v>
      </c>
      <c r="H7" s="53">
        <v>-8</v>
      </c>
      <c r="I7" s="53">
        <v>-9</v>
      </c>
      <c r="J7" s="53">
        <v>-10</v>
      </c>
      <c r="K7" s="53">
        <v>-11</v>
      </c>
      <c r="L7" s="53">
        <v>-12</v>
      </c>
      <c r="M7" s="53">
        <v>-13</v>
      </c>
      <c r="N7" s="53">
        <v>-14</v>
      </c>
      <c r="O7" s="53">
        <v>-15</v>
      </c>
      <c r="Q7" s="1143"/>
    </row>
    <row r="8" spans="1:17" s="10" customFormat="1" ht="20.25" customHeight="1">
      <c r="A8" s="54">
        <v>1</v>
      </c>
      <c r="B8" s="55" t="s">
        <v>81</v>
      </c>
      <c r="C8" s="54" t="s">
        <v>82</v>
      </c>
      <c r="D8" s="56">
        <f>SUM(E8:O8)</f>
        <v>247.79999999999998</v>
      </c>
      <c r="E8" s="56">
        <f>E10+SUM(E12:E18)</f>
        <v>22.660000000000004</v>
      </c>
      <c r="F8" s="56">
        <f t="shared" ref="F8:O8" si="0">F10+SUM(F12:F18)</f>
        <v>7.7200000000000006</v>
      </c>
      <c r="G8" s="56">
        <f t="shared" si="0"/>
        <v>84.809999999999988</v>
      </c>
      <c r="H8" s="56">
        <f t="shared" si="0"/>
        <v>35.51</v>
      </c>
      <c r="I8" s="56">
        <f t="shared" si="0"/>
        <v>3.54</v>
      </c>
      <c r="J8" s="56">
        <f t="shared" si="0"/>
        <v>2.1</v>
      </c>
      <c r="K8" s="56">
        <f t="shared" si="0"/>
        <v>8.0499999999999989</v>
      </c>
      <c r="L8" s="56">
        <f t="shared" si="0"/>
        <v>1.85</v>
      </c>
      <c r="M8" s="56">
        <f t="shared" si="0"/>
        <v>6.38</v>
      </c>
      <c r="N8" s="56">
        <f t="shared" si="0"/>
        <v>65.59</v>
      </c>
      <c r="O8" s="56">
        <f t="shared" si="0"/>
        <v>9.59</v>
      </c>
      <c r="Q8" s="318"/>
    </row>
    <row r="9" spans="1:17" ht="20.25" customHeight="1">
      <c r="A9" s="57"/>
      <c r="B9" s="58" t="s">
        <v>94</v>
      </c>
      <c r="C9" s="57"/>
      <c r="D9" s="59"/>
      <c r="E9" s="59"/>
      <c r="F9" s="59"/>
      <c r="G9" s="59"/>
      <c r="H9" s="59"/>
      <c r="I9" s="60"/>
      <c r="J9" s="60"/>
      <c r="K9" s="60"/>
      <c r="L9" s="60"/>
      <c r="M9" s="60"/>
      <c r="N9" s="60"/>
      <c r="O9" s="60"/>
      <c r="Q9" s="1019"/>
    </row>
    <row r="10" spans="1:17" ht="20.25" customHeight="1">
      <c r="A10" s="57" t="s">
        <v>139</v>
      </c>
      <c r="B10" s="61" t="s">
        <v>8</v>
      </c>
      <c r="C10" s="62" t="s">
        <v>83</v>
      </c>
      <c r="D10" s="59">
        <f>SUM(E10:O10)</f>
        <v>2.8</v>
      </c>
      <c r="E10" s="59">
        <v>0.8</v>
      </c>
      <c r="F10" s="59"/>
      <c r="G10" s="59"/>
      <c r="H10" s="60">
        <v>0.5</v>
      </c>
      <c r="I10" s="60"/>
      <c r="J10" s="60"/>
      <c r="K10" s="60"/>
      <c r="L10" s="60"/>
      <c r="M10" s="60"/>
      <c r="N10" s="60">
        <v>1.5</v>
      </c>
      <c r="O10" s="60"/>
      <c r="P10" s="1019"/>
    </row>
    <row r="11" spans="1:17" ht="20.25" customHeight="1">
      <c r="A11" s="57"/>
      <c r="B11" s="58" t="s">
        <v>10</v>
      </c>
      <c r="C11" s="57" t="s">
        <v>84</v>
      </c>
      <c r="D11" s="59">
        <f t="shared" ref="D11:D33" si="1">SUM(E11:O11)</f>
        <v>1.3</v>
      </c>
      <c r="E11" s="59">
        <v>0.8</v>
      </c>
      <c r="F11" s="59"/>
      <c r="G11" s="59"/>
      <c r="H11" s="60">
        <v>0.5</v>
      </c>
      <c r="I11" s="60"/>
      <c r="J11" s="60"/>
      <c r="K11" s="60"/>
      <c r="L11" s="60"/>
      <c r="M11" s="60"/>
      <c r="N11" s="60"/>
      <c r="O11" s="60"/>
    </row>
    <row r="12" spans="1:17" ht="20.25" customHeight="1">
      <c r="A12" s="57" t="s">
        <v>140</v>
      </c>
      <c r="B12" s="58" t="s">
        <v>12</v>
      </c>
      <c r="C12" s="57" t="s">
        <v>85</v>
      </c>
      <c r="D12" s="59">
        <f t="shared" si="1"/>
        <v>97.92</v>
      </c>
      <c r="E12" s="59">
        <v>10.01</v>
      </c>
      <c r="F12" s="59">
        <v>4.32</v>
      </c>
      <c r="G12" s="59">
        <v>42.66</v>
      </c>
      <c r="H12" s="59">
        <v>15.47</v>
      </c>
      <c r="I12" s="60">
        <v>2.42</v>
      </c>
      <c r="J12" s="60">
        <v>1.01</v>
      </c>
      <c r="K12" s="60">
        <v>4.7699999999999996</v>
      </c>
      <c r="L12" s="60">
        <v>1.06</v>
      </c>
      <c r="M12" s="60">
        <v>2.56</v>
      </c>
      <c r="N12" s="60">
        <v>9.27</v>
      </c>
      <c r="O12" s="60">
        <v>4.37</v>
      </c>
    </row>
    <row r="13" spans="1:17" ht="20.25" customHeight="1">
      <c r="A13" s="57" t="s">
        <v>141</v>
      </c>
      <c r="B13" s="58" t="s">
        <v>14</v>
      </c>
      <c r="C13" s="57" t="s">
        <v>86</v>
      </c>
      <c r="D13" s="59">
        <f t="shared" si="1"/>
        <v>90.05</v>
      </c>
      <c r="E13" s="59">
        <v>9.66</v>
      </c>
      <c r="F13" s="59">
        <v>3.4</v>
      </c>
      <c r="G13" s="59">
        <v>41.91</v>
      </c>
      <c r="H13" s="59">
        <v>19.54</v>
      </c>
      <c r="I13" s="60">
        <v>1.1200000000000001</v>
      </c>
      <c r="J13" s="60">
        <v>1.0900000000000001</v>
      </c>
      <c r="K13" s="60">
        <v>3.28</v>
      </c>
      <c r="L13" s="60">
        <v>0.79</v>
      </c>
      <c r="M13" s="60">
        <v>1.96</v>
      </c>
      <c r="N13" s="60">
        <v>2.08</v>
      </c>
      <c r="O13" s="60">
        <v>5.22</v>
      </c>
    </row>
    <row r="14" spans="1:17" ht="20.25" customHeight="1">
      <c r="A14" s="57" t="s">
        <v>142</v>
      </c>
      <c r="B14" s="58" t="s">
        <v>16</v>
      </c>
      <c r="C14" s="57" t="s">
        <v>87</v>
      </c>
      <c r="D14" s="59">
        <f t="shared" si="1"/>
        <v>35.74</v>
      </c>
      <c r="E14" s="59"/>
      <c r="F14" s="59"/>
      <c r="G14" s="59"/>
      <c r="H14" s="59"/>
      <c r="I14" s="60"/>
      <c r="J14" s="60"/>
      <c r="K14" s="60"/>
      <c r="L14" s="60" t="s">
        <v>280</v>
      </c>
      <c r="M14" s="60"/>
      <c r="N14" s="60">
        <f>36.24-0.5</f>
        <v>35.74</v>
      </c>
      <c r="O14" s="60"/>
    </row>
    <row r="15" spans="1:17" ht="20.25" customHeight="1">
      <c r="A15" s="57" t="s">
        <v>143</v>
      </c>
      <c r="B15" s="58" t="s">
        <v>18</v>
      </c>
      <c r="C15" s="57" t="s">
        <v>88</v>
      </c>
      <c r="D15" s="59">
        <f t="shared" si="1"/>
        <v>0</v>
      </c>
      <c r="E15" s="59"/>
      <c r="F15" s="59"/>
      <c r="G15" s="59"/>
      <c r="H15" s="59"/>
      <c r="I15" s="59"/>
      <c r="J15" s="59"/>
      <c r="K15" s="59"/>
      <c r="L15" s="59"/>
      <c r="M15" s="59"/>
      <c r="N15" s="59"/>
      <c r="O15" s="59"/>
    </row>
    <row r="16" spans="1:17" ht="20.25" customHeight="1">
      <c r="A16" s="57" t="s">
        <v>144</v>
      </c>
      <c r="B16" s="58" t="s">
        <v>20</v>
      </c>
      <c r="C16" s="57" t="s">
        <v>89</v>
      </c>
      <c r="D16" s="59">
        <f t="shared" si="1"/>
        <v>20.86</v>
      </c>
      <c r="E16" s="59">
        <v>2</v>
      </c>
      <c r="F16" s="59"/>
      <c r="G16" s="59"/>
      <c r="H16" s="59"/>
      <c r="I16" s="60"/>
      <c r="J16" s="60"/>
      <c r="K16" s="60"/>
      <c r="L16" s="60"/>
      <c r="M16" s="60">
        <v>1.86</v>
      </c>
      <c r="N16" s="60">
        <v>17</v>
      </c>
      <c r="O16" s="60"/>
    </row>
    <row r="17" spans="1:15" s="110" customFormat="1" ht="20.25" customHeight="1">
      <c r="A17" s="62"/>
      <c r="B17" s="61" t="s">
        <v>243</v>
      </c>
      <c r="C17" s="62" t="s">
        <v>267</v>
      </c>
      <c r="D17" s="59">
        <f t="shared" si="1"/>
        <v>0</v>
      </c>
      <c r="E17" s="224"/>
      <c r="F17" s="224"/>
      <c r="G17" s="224"/>
      <c r="H17" s="224"/>
      <c r="I17" s="225"/>
      <c r="J17" s="225"/>
      <c r="K17" s="225"/>
      <c r="L17" s="225"/>
      <c r="M17" s="225"/>
      <c r="N17" s="225"/>
      <c r="O17" s="225"/>
    </row>
    <row r="18" spans="1:15" ht="20.25" customHeight="1">
      <c r="A18" s="57" t="s">
        <v>145</v>
      </c>
      <c r="B18" s="58" t="s">
        <v>22</v>
      </c>
      <c r="C18" s="57" t="s">
        <v>90</v>
      </c>
      <c r="D18" s="59">
        <f t="shared" si="1"/>
        <v>0.43</v>
      </c>
      <c r="E18" s="59">
        <v>0.19</v>
      </c>
      <c r="F18" s="59"/>
      <c r="G18" s="59">
        <v>0.24</v>
      </c>
      <c r="H18" s="59"/>
      <c r="I18" s="60"/>
      <c r="J18" s="60"/>
      <c r="K18" s="60"/>
      <c r="L18" s="60"/>
      <c r="M18" s="60"/>
      <c r="N18" s="60"/>
      <c r="O18" s="60"/>
    </row>
    <row r="19" spans="1:15" s="135" customFormat="1" ht="15.75">
      <c r="A19" s="57" t="s">
        <v>146</v>
      </c>
      <c r="B19" s="58" t="s">
        <v>24</v>
      </c>
      <c r="C19" s="57" t="s">
        <v>91</v>
      </c>
      <c r="D19" s="59">
        <f t="shared" si="1"/>
        <v>0</v>
      </c>
      <c r="E19" s="59"/>
      <c r="F19" s="59"/>
      <c r="G19" s="59"/>
      <c r="H19" s="59"/>
      <c r="I19" s="59"/>
      <c r="J19" s="59"/>
      <c r="K19" s="59"/>
      <c r="L19" s="59"/>
      <c r="M19" s="59"/>
      <c r="N19" s="59"/>
      <c r="O19" s="59"/>
    </row>
    <row r="20" spans="1:15" s="135" customFormat="1" ht="20.25" customHeight="1">
      <c r="A20" s="57" t="s">
        <v>147</v>
      </c>
      <c r="B20" s="58" t="s">
        <v>26</v>
      </c>
      <c r="C20" s="57" t="s">
        <v>92</v>
      </c>
      <c r="D20" s="59">
        <f t="shared" si="1"/>
        <v>0</v>
      </c>
      <c r="E20" s="59"/>
      <c r="F20" s="59"/>
      <c r="G20" s="59"/>
      <c r="H20" s="59"/>
      <c r="I20" s="60"/>
      <c r="J20" s="60"/>
      <c r="K20" s="60"/>
      <c r="L20" s="60"/>
      <c r="M20" s="60"/>
      <c r="N20" s="60"/>
      <c r="O20" s="60"/>
    </row>
    <row r="21" spans="1:15" s="10" customFormat="1" ht="20.25" customHeight="1">
      <c r="A21" s="63">
        <v>2</v>
      </c>
      <c r="B21" s="64" t="s">
        <v>93</v>
      </c>
      <c r="C21" s="63"/>
      <c r="D21" s="65">
        <f>SUM(E21:O21)</f>
        <v>0</v>
      </c>
      <c r="E21" s="65">
        <f>SUM(E23:E32)</f>
        <v>0</v>
      </c>
      <c r="F21" s="65">
        <f t="shared" ref="F21:O21" si="2">SUM(F23:F32)</f>
        <v>0</v>
      </c>
      <c r="G21" s="65">
        <f t="shared" si="2"/>
        <v>0</v>
      </c>
      <c r="H21" s="65">
        <f t="shared" si="2"/>
        <v>0</v>
      </c>
      <c r="I21" s="65">
        <f t="shared" si="2"/>
        <v>0</v>
      </c>
      <c r="J21" s="65">
        <f t="shared" si="2"/>
        <v>0</v>
      </c>
      <c r="K21" s="65">
        <f t="shared" si="2"/>
        <v>0</v>
      </c>
      <c r="L21" s="65">
        <f t="shared" si="2"/>
        <v>0</v>
      </c>
      <c r="M21" s="65">
        <f t="shared" si="2"/>
        <v>0</v>
      </c>
      <c r="N21" s="65">
        <f t="shared" si="2"/>
        <v>0</v>
      </c>
      <c r="O21" s="65">
        <f t="shared" si="2"/>
        <v>0</v>
      </c>
    </row>
    <row r="22" spans="1:15" ht="20.25" customHeight="1">
      <c r="A22" s="57"/>
      <c r="B22" s="58" t="s">
        <v>94</v>
      </c>
      <c r="C22" s="57"/>
      <c r="D22" s="59">
        <f t="shared" si="1"/>
        <v>0</v>
      </c>
      <c r="E22" s="59"/>
      <c r="F22" s="59"/>
      <c r="G22" s="59"/>
      <c r="H22" s="59"/>
      <c r="I22" s="60"/>
      <c r="J22" s="60"/>
      <c r="K22" s="60"/>
      <c r="L22" s="60"/>
      <c r="M22" s="60"/>
      <c r="N22" s="60"/>
      <c r="O22" s="60"/>
    </row>
    <row r="23" spans="1:15" ht="20.25" customHeight="1">
      <c r="A23" s="57" t="s">
        <v>148</v>
      </c>
      <c r="B23" s="58" t="s">
        <v>95</v>
      </c>
      <c r="C23" s="57" t="s">
        <v>96</v>
      </c>
      <c r="D23" s="59">
        <f t="shared" si="1"/>
        <v>0</v>
      </c>
      <c r="E23" s="59"/>
      <c r="F23" s="59"/>
      <c r="G23" s="59"/>
      <c r="H23" s="59"/>
      <c r="I23" s="60"/>
      <c r="J23" s="60"/>
      <c r="K23" s="60"/>
      <c r="L23" s="60"/>
      <c r="M23" s="60"/>
      <c r="N23" s="60"/>
      <c r="O23" s="60"/>
    </row>
    <row r="24" spans="1:15" ht="20.25" customHeight="1">
      <c r="A24" s="57" t="s">
        <v>138</v>
      </c>
      <c r="B24" s="58" t="s">
        <v>175</v>
      </c>
      <c r="C24" s="57" t="s">
        <v>176</v>
      </c>
      <c r="D24" s="59">
        <f t="shared" si="1"/>
        <v>0</v>
      </c>
      <c r="E24" s="59"/>
      <c r="F24" s="59"/>
      <c r="G24" s="59"/>
      <c r="H24" s="59"/>
      <c r="I24" s="60"/>
      <c r="J24" s="60"/>
      <c r="K24" s="60"/>
      <c r="L24" s="60"/>
      <c r="M24" s="60"/>
      <c r="N24" s="60"/>
      <c r="O24" s="60"/>
    </row>
    <row r="25" spans="1:15" ht="33.75" customHeight="1">
      <c r="A25" s="57" t="s">
        <v>149</v>
      </c>
      <c r="B25" s="58" t="s">
        <v>97</v>
      </c>
      <c r="C25" s="57" t="s">
        <v>98</v>
      </c>
      <c r="D25" s="59">
        <f t="shared" si="1"/>
        <v>0</v>
      </c>
      <c r="E25" s="59"/>
      <c r="F25" s="59"/>
      <c r="G25" s="59"/>
      <c r="H25" s="59"/>
      <c r="I25" s="60"/>
      <c r="J25" s="60"/>
      <c r="K25" s="60"/>
      <c r="L25" s="60"/>
      <c r="M25" s="60"/>
      <c r="N25" s="60"/>
      <c r="O25" s="60"/>
    </row>
    <row r="26" spans="1:15" ht="20.25" customHeight="1">
      <c r="A26" s="57" t="s">
        <v>150</v>
      </c>
      <c r="B26" s="58" t="s">
        <v>99</v>
      </c>
      <c r="C26" s="57" t="s">
        <v>100</v>
      </c>
      <c r="D26" s="59">
        <f t="shared" si="1"/>
        <v>0</v>
      </c>
      <c r="E26" s="59"/>
      <c r="F26" s="59"/>
      <c r="G26" s="59"/>
      <c r="H26" s="59"/>
      <c r="I26" s="60"/>
      <c r="J26" s="60"/>
      <c r="K26" s="60"/>
      <c r="L26" s="60"/>
      <c r="M26" s="60"/>
      <c r="N26" s="60"/>
      <c r="O26" s="60"/>
    </row>
    <row r="27" spans="1:15" ht="31.5">
      <c r="A27" s="57" t="s">
        <v>151</v>
      </c>
      <c r="B27" s="58" t="s">
        <v>101</v>
      </c>
      <c r="C27" s="57" t="s">
        <v>102</v>
      </c>
      <c r="D27" s="59">
        <f t="shared" si="1"/>
        <v>0</v>
      </c>
      <c r="E27" s="59"/>
      <c r="F27" s="59"/>
      <c r="G27" s="59"/>
      <c r="H27" s="59"/>
      <c r="I27" s="60"/>
      <c r="J27" s="60"/>
      <c r="K27" s="60"/>
      <c r="L27" s="60"/>
      <c r="M27" s="60"/>
      <c r="N27" s="60"/>
      <c r="O27" s="60"/>
    </row>
    <row r="28" spans="1:15" ht="15.75">
      <c r="A28" s="57" t="s">
        <v>152</v>
      </c>
      <c r="B28" s="58" t="s">
        <v>136</v>
      </c>
      <c r="C28" s="57" t="s">
        <v>103</v>
      </c>
      <c r="D28" s="59">
        <f t="shared" si="1"/>
        <v>0</v>
      </c>
      <c r="E28" s="59"/>
      <c r="F28" s="59"/>
      <c r="G28" s="59"/>
      <c r="H28" s="59"/>
      <c r="I28" s="60"/>
      <c r="J28" s="60"/>
      <c r="K28" s="60"/>
      <c r="L28" s="60"/>
      <c r="M28" s="60"/>
      <c r="N28" s="60"/>
      <c r="O28" s="60"/>
    </row>
    <row r="29" spans="1:15" ht="31.5">
      <c r="A29" s="57" t="s">
        <v>153</v>
      </c>
      <c r="B29" s="58" t="s">
        <v>104</v>
      </c>
      <c r="C29" s="57" t="s">
        <v>105</v>
      </c>
      <c r="D29" s="59">
        <f t="shared" si="1"/>
        <v>0</v>
      </c>
      <c r="E29" s="59"/>
      <c r="F29" s="59"/>
      <c r="G29" s="59"/>
      <c r="H29" s="59"/>
      <c r="I29" s="60"/>
      <c r="J29" s="60"/>
      <c r="K29" s="60"/>
      <c r="L29" s="60"/>
      <c r="M29" s="60"/>
      <c r="N29" s="60"/>
      <c r="O29" s="60"/>
    </row>
    <row r="30" spans="1:15" ht="31.5">
      <c r="A30" s="216" t="s">
        <v>154</v>
      </c>
      <c r="B30" s="217" t="s">
        <v>177</v>
      </c>
      <c r="C30" s="216" t="s">
        <v>178</v>
      </c>
      <c r="D30" s="59">
        <f t="shared" si="1"/>
        <v>0</v>
      </c>
      <c r="E30" s="218"/>
      <c r="F30" s="218"/>
      <c r="G30" s="218"/>
      <c r="H30" s="218"/>
      <c r="I30" s="219"/>
      <c r="J30" s="219"/>
      <c r="K30" s="219"/>
      <c r="L30" s="219"/>
      <c r="M30" s="219"/>
      <c r="N30" s="219"/>
      <c r="O30" s="219"/>
    </row>
    <row r="31" spans="1:15" ht="20.25" customHeight="1">
      <c r="A31" s="221" t="s">
        <v>155</v>
      </c>
      <c r="B31" s="221" t="s">
        <v>201</v>
      </c>
      <c r="C31" s="344" t="s">
        <v>268</v>
      </c>
      <c r="D31" s="59">
        <f t="shared" si="1"/>
        <v>0</v>
      </c>
      <c r="E31" s="221"/>
      <c r="F31" s="341"/>
      <c r="G31" s="221"/>
      <c r="H31" s="221"/>
      <c r="I31" s="221"/>
      <c r="J31" s="221"/>
      <c r="K31" s="221"/>
      <c r="L31" s="221"/>
      <c r="M31" s="221"/>
      <c r="N31" s="221"/>
      <c r="O31" s="221"/>
    </row>
    <row r="32" spans="1:15" ht="20.25" customHeight="1">
      <c r="A32" s="221"/>
      <c r="B32" s="221" t="s">
        <v>243</v>
      </c>
      <c r="C32" s="344" t="s">
        <v>269</v>
      </c>
      <c r="D32" s="59">
        <f t="shared" si="1"/>
        <v>0</v>
      </c>
      <c r="E32" s="221"/>
      <c r="F32" s="221"/>
      <c r="G32" s="221"/>
      <c r="H32" s="221"/>
      <c r="I32" s="221"/>
      <c r="J32" s="221"/>
      <c r="K32" s="221"/>
      <c r="L32" s="221"/>
      <c r="M32" s="221"/>
      <c r="N32" s="221"/>
      <c r="O32" s="221"/>
    </row>
    <row r="33" spans="1:15" s="10" customFormat="1" ht="20.25" customHeight="1">
      <c r="A33" s="223">
        <v>3</v>
      </c>
      <c r="B33" s="223" t="s">
        <v>107</v>
      </c>
      <c r="C33" s="345" t="s">
        <v>106</v>
      </c>
      <c r="D33" s="415">
        <f t="shared" si="1"/>
        <v>1.47</v>
      </c>
      <c r="E33" s="223"/>
      <c r="F33" s="223"/>
      <c r="G33" s="223">
        <v>1.47</v>
      </c>
      <c r="H33" s="223"/>
      <c r="I33" s="223"/>
      <c r="J33" s="223"/>
      <c r="K33" s="223"/>
      <c r="L33" s="223"/>
      <c r="M33" s="223"/>
      <c r="N33" s="223"/>
      <c r="O33" s="223"/>
    </row>
    <row r="34" spans="1:15" s="30" customFormat="1" ht="15.75">
      <c r="A34" s="215"/>
      <c r="B34" s="30" t="s">
        <v>270</v>
      </c>
      <c r="C34" s="343"/>
    </row>
  </sheetData>
  <mergeCells count="8">
    <mergeCell ref="E4:O5"/>
    <mergeCell ref="A3:O3"/>
    <mergeCell ref="A2:O2"/>
    <mergeCell ref="D4:D6"/>
    <mergeCell ref="A1:B1"/>
    <mergeCell ref="A4:A6"/>
    <mergeCell ref="B4:B6"/>
    <mergeCell ref="C4:C6"/>
  </mergeCells>
  <phoneticPr fontId="11" type="noConversion"/>
  <pageMargins left="0.79" right="0.15748031496062992" top="0.7" bottom="0.31496062992125984" header="0.28000000000000003" footer="0.23622047244094491"/>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61"/>
  <sheetViews>
    <sheetView topLeftCell="B1" zoomScale="75" zoomScaleNormal="75" workbookViewId="0">
      <selection activeCell="D14" sqref="D14"/>
    </sheetView>
  </sheetViews>
  <sheetFormatPr defaultColWidth="9.140625" defaultRowHeight="12.75"/>
  <cols>
    <col min="1" max="1" width="7.42578125" style="412" customWidth="1"/>
    <col min="2" max="2" width="46.42578125" style="113" customWidth="1"/>
    <col min="3" max="3" width="10.85546875" style="112" customWidth="1"/>
    <col min="4" max="4" width="13.5703125" style="113" customWidth="1"/>
    <col min="5" max="5" width="19.140625" style="113" customWidth="1"/>
    <col min="6" max="6" width="15" style="113" customWidth="1"/>
    <col min="7" max="7" width="14.7109375" style="113" customWidth="1"/>
    <col min="8" max="9" width="15" style="113" customWidth="1"/>
    <col min="10" max="11" width="14.5703125" style="113" customWidth="1"/>
    <col min="12" max="13" width="15" style="113" customWidth="1"/>
    <col min="14" max="14" width="14.28515625" style="113" customWidth="1"/>
    <col min="15" max="15" width="15" style="113" customWidth="1"/>
    <col min="16" max="16" width="8.140625" style="113" customWidth="1"/>
    <col min="17" max="17" width="8.42578125" style="113" customWidth="1"/>
    <col min="18" max="18" width="8" style="113" customWidth="1"/>
    <col min="19" max="19" width="8.140625" style="113" customWidth="1"/>
    <col min="20" max="20" width="7.85546875" style="113" customWidth="1"/>
    <col min="21" max="21" width="7.42578125" style="113" customWidth="1"/>
    <col min="22" max="22" width="8.28515625" style="113" customWidth="1"/>
    <col min="23" max="16384" width="9.140625" style="113"/>
  </cols>
  <sheetData>
    <row r="1" spans="1:22" ht="15.75">
      <c r="A1" s="1298" t="s">
        <v>315</v>
      </c>
      <c r="B1" s="1298"/>
      <c r="C1" s="230"/>
      <c r="D1" s="115"/>
      <c r="E1" s="115"/>
      <c r="F1" s="115"/>
      <c r="G1" s="115"/>
      <c r="H1" s="115"/>
      <c r="I1" s="115"/>
      <c r="J1" s="115"/>
      <c r="K1" s="115"/>
      <c r="L1" s="115"/>
      <c r="M1" s="115"/>
      <c r="N1" s="115"/>
      <c r="O1" s="115"/>
    </row>
    <row r="2" spans="1:22" ht="15.75">
      <c r="A2" s="1299" t="s">
        <v>979</v>
      </c>
      <c r="B2" s="1299"/>
      <c r="C2" s="1299"/>
      <c r="D2" s="1299"/>
      <c r="E2" s="1299"/>
      <c r="F2" s="1299"/>
      <c r="G2" s="1299"/>
      <c r="H2" s="1299"/>
      <c r="I2" s="1299"/>
      <c r="J2" s="1299"/>
      <c r="K2" s="1299"/>
      <c r="L2" s="1299"/>
      <c r="M2" s="1299"/>
      <c r="N2" s="1299"/>
      <c r="O2" s="1299"/>
    </row>
    <row r="3" spans="1:22" ht="15.75">
      <c r="A3" s="1300" t="s">
        <v>0</v>
      </c>
      <c r="B3" s="1301"/>
      <c r="C3" s="1301"/>
      <c r="D3" s="1301"/>
      <c r="E3" s="1301"/>
      <c r="F3" s="1301"/>
      <c r="G3" s="1301"/>
      <c r="H3" s="1301"/>
      <c r="I3" s="1301"/>
      <c r="J3" s="1301"/>
      <c r="K3" s="1301"/>
      <c r="L3" s="1301"/>
      <c r="M3" s="1301"/>
      <c r="N3" s="1301"/>
      <c r="O3" s="1302"/>
    </row>
    <row r="4" spans="1:22" s="115" customFormat="1" ht="15.75">
      <c r="A4" s="1254" t="s">
        <v>1</v>
      </c>
      <c r="B4" s="1254" t="s">
        <v>2</v>
      </c>
      <c r="C4" s="1254" t="s">
        <v>3</v>
      </c>
      <c r="D4" s="1254" t="s">
        <v>4</v>
      </c>
      <c r="E4" s="1254" t="s">
        <v>5</v>
      </c>
      <c r="F4" s="1254"/>
      <c r="G4" s="1254"/>
      <c r="H4" s="1254"/>
      <c r="I4" s="1254"/>
      <c r="J4" s="1254"/>
      <c r="K4" s="1254"/>
      <c r="L4" s="1254"/>
      <c r="M4" s="1254"/>
      <c r="N4" s="1254"/>
      <c r="O4" s="1254"/>
      <c r="P4" s="114"/>
      <c r="Q4" s="114"/>
      <c r="R4" s="114"/>
      <c r="S4" s="114"/>
      <c r="T4" s="114"/>
      <c r="U4" s="114"/>
      <c r="V4" s="114"/>
    </row>
    <row r="5" spans="1:22" s="115" customFormat="1" ht="4.5" hidden="1" customHeight="1">
      <c r="A5" s="1254"/>
      <c r="B5" s="1254"/>
      <c r="C5" s="1254"/>
      <c r="D5" s="1254"/>
      <c r="E5" s="1254"/>
      <c r="F5" s="1254"/>
      <c r="G5" s="1254"/>
      <c r="H5" s="1254"/>
      <c r="I5" s="1254"/>
      <c r="J5" s="1254"/>
      <c r="K5" s="1254"/>
      <c r="L5" s="1254"/>
      <c r="M5" s="1254"/>
      <c r="N5" s="1254"/>
      <c r="O5" s="1254"/>
      <c r="P5" s="114"/>
      <c r="Q5" s="114"/>
      <c r="R5" s="114"/>
      <c r="S5" s="114"/>
      <c r="T5" s="114"/>
      <c r="U5" s="114"/>
      <c r="V5" s="114"/>
    </row>
    <row r="6" spans="1:22" s="115" customFormat="1" ht="36.75" customHeight="1">
      <c r="A6" s="1254"/>
      <c r="B6" s="1254"/>
      <c r="C6" s="1254"/>
      <c r="D6" s="1254"/>
      <c r="E6" s="231" t="s">
        <v>111</v>
      </c>
      <c r="F6" s="232" t="s">
        <v>190</v>
      </c>
      <c r="G6" s="232" t="s">
        <v>169</v>
      </c>
      <c r="H6" s="232" t="s">
        <v>170</v>
      </c>
      <c r="I6" s="232" t="s">
        <v>172</v>
      </c>
      <c r="J6" s="232" t="s">
        <v>198</v>
      </c>
      <c r="K6" s="232" t="s">
        <v>197</v>
      </c>
      <c r="L6" s="232" t="s">
        <v>191</v>
      </c>
      <c r="M6" s="232" t="s">
        <v>189</v>
      </c>
      <c r="N6" s="232" t="s">
        <v>174</v>
      </c>
      <c r="O6" s="232" t="s">
        <v>173</v>
      </c>
      <c r="P6" s="116"/>
      <c r="Q6" s="116"/>
      <c r="R6" s="116"/>
      <c r="S6" s="116"/>
      <c r="T6" s="116"/>
      <c r="U6" s="116"/>
      <c r="V6" s="106"/>
    </row>
    <row r="7" spans="1:22" s="118" customFormat="1" ht="15.75" customHeight="1">
      <c r="A7" s="1144">
        <v>-1</v>
      </c>
      <c r="B7" s="235">
        <v>-2</v>
      </c>
      <c r="C7" s="235">
        <v>-3</v>
      </c>
      <c r="D7" s="236" t="s">
        <v>130</v>
      </c>
      <c r="E7" s="237">
        <v>-5</v>
      </c>
      <c r="F7" s="237">
        <v>-6</v>
      </c>
      <c r="G7" s="237">
        <v>-7</v>
      </c>
      <c r="H7" s="237">
        <v>-8</v>
      </c>
      <c r="I7" s="237">
        <v>-9</v>
      </c>
      <c r="J7" s="237">
        <v>-10</v>
      </c>
      <c r="K7" s="237">
        <v>-11</v>
      </c>
      <c r="L7" s="237">
        <v>-12</v>
      </c>
      <c r="M7" s="237">
        <v>-13</v>
      </c>
      <c r="N7" s="237">
        <v>-14</v>
      </c>
      <c r="O7" s="237">
        <v>-15</v>
      </c>
      <c r="P7" s="117"/>
      <c r="Q7" s="935"/>
      <c r="R7" s="117"/>
      <c r="S7" s="117"/>
      <c r="T7" s="117"/>
      <c r="U7" s="117"/>
      <c r="V7" s="117"/>
    </row>
    <row r="8" spans="1:22" s="120" customFormat="1" ht="15.75">
      <c r="A8" s="1145"/>
      <c r="B8" s="239" t="s">
        <v>129</v>
      </c>
      <c r="C8" s="239"/>
      <c r="D8" s="240">
        <f>D9+D22</f>
        <v>497.76999999999992</v>
      </c>
      <c r="E8" s="240">
        <f>E9+E22</f>
        <v>19.759999999999998</v>
      </c>
      <c r="F8" s="240">
        <f t="shared" ref="F8:O8" si="0">F9+F22</f>
        <v>5.0599999999999996</v>
      </c>
      <c r="G8" s="240">
        <f t="shared" si="0"/>
        <v>79.099999999999994</v>
      </c>
      <c r="H8" s="240">
        <f t="shared" si="0"/>
        <v>42.12</v>
      </c>
      <c r="I8" s="240">
        <f t="shared" si="0"/>
        <v>3.71</v>
      </c>
      <c r="J8" s="240">
        <f t="shared" si="0"/>
        <v>1.6</v>
      </c>
      <c r="K8" s="240">
        <f t="shared" si="0"/>
        <v>10.1</v>
      </c>
      <c r="L8" s="240">
        <f t="shared" si="0"/>
        <v>0.11</v>
      </c>
      <c r="M8" s="240">
        <f t="shared" si="0"/>
        <v>74.099999999999994</v>
      </c>
      <c r="N8" s="240">
        <f t="shared" si="0"/>
        <v>241.59</v>
      </c>
      <c r="O8" s="240">
        <f t="shared" si="0"/>
        <v>20.52</v>
      </c>
      <c r="P8" s="119"/>
      <c r="Q8" s="119"/>
      <c r="R8" s="119"/>
      <c r="S8" s="119"/>
      <c r="T8" s="119"/>
      <c r="U8" s="119"/>
      <c r="V8" s="119"/>
    </row>
    <row r="9" spans="1:22" s="122" customFormat="1" ht="15.75">
      <c r="A9" s="1146">
        <v>1</v>
      </c>
      <c r="B9" s="1147" t="s">
        <v>6</v>
      </c>
      <c r="C9" s="132" t="s">
        <v>7</v>
      </c>
      <c r="D9" s="241">
        <f>SUM(E9:O9)</f>
        <v>204.58999999999997</v>
      </c>
      <c r="E9" s="241">
        <f>E11+SUM(E13:E17)+SUM(E19:E21)</f>
        <v>10.62</v>
      </c>
      <c r="F9" s="241">
        <f t="shared" ref="F9:O9" si="1">F11+SUM(F13:F17)+SUM(F19:F21)</f>
        <v>5</v>
      </c>
      <c r="G9" s="241">
        <f t="shared" si="1"/>
        <v>70.149999999999991</v>
      </c>
      <c r="H9" s="241">
        <f t="shared" si="1"/>
        <v>32.119999999999997</v>
      </c>
      <c r="I9" s="241">
        <f t="shared" si="1"/>
        <v>0.44999999999999996</v>
      </c>
      <c r="J9" s="241">
        <f t="shared" si="1"/>
        <v>0.1</v>
      </c>
      <c r="K9" s="241">
        <f t="shared" si="1"/>
        <v>6.08</v>
      </c>
      <c r="L9" s="241">
        <f t="shared" si="1"/>
        <v>0.1</v>
      </c>
      <c r="M9" s="241">
        <f t="shared" si="1"/>
        <v>5.91</v>
      </c>
      <c r="N9" s="241">
        <f t="shared" si="1"/>
        <v>65.44</v>
      </c>
      <c r="O9" s="241">
        <f t="shared" si="1"/>
        <v>8.620000000000001</v>
      </c>
      <c r="P9" s="1026"/>
      <c r="Q9" s="121"/>
      <c r="R9" s="121"/>
      <c r="S9" s="121"/>
      <c r="T9" s="121"/>
      <c r="U9" s="121"/>
      <c r="V9" s="121"/>
    </row>
    <row r="10" spans="1:22" ht="15.75">
      <c r="A10" s="1148"/>
      <c r="B10" s="1149" t="s">
        <v>94</v>
      </c>
      <c r="C10" s="123"/>
      <c r="D10" s="242"/>
      <c r="E10" s="124"/>
      <c r="F10" s="124"/>
      <c r="G10" s="124"/>
      <c r="H10" s="125"/>
      <c r="I10" s="124"/>
      <c r="J10" s="124"/>
      <c r="K10" s="124"/>
      <c r="L10" s="229"/>
      <c r="M10" s="124"/>
      <c r="N10" s="124"/>
      <c r="O10" s="126"/>
      <c r="P10" s="127"/>
      <c r="Q10" s="127"/>
      <c r="R10" s="127"/>
      <c r="S10" s="127"/>
      <c r="T10" s="127"/>
      <c r="U10" s="127"/>
      <c r="V10" s="127"/>
    </row>
    <row r="11" spans="1:22" ht="15.75">
      <c r="A11" s="1148" t="s">
        <v>139</v>
      </c>
      <c r="B11" s="1149" t="s">
        <v>8</v>
      </c>
      <c r="C11" s="123" t="s">
        <v>9</v>
      </c>
      <c r="D11" s="242">
        <f t="shared" ref="D11:D21" si="2">SUM(E11:O11)</f>
        <v>2.8</v>
      </c>
      <c r="E11" s="124">
        <v>0.8</v>
      </c>
      <c r="F11" s="124"/>
      <c r="G11" s="124"/>
      <c r="H11" s="125">
        <v>0.5</v>
      </c>
      <c r="I11" s="124"/>
      <c r="J11" s="124"/>
      <c r="K11" s="124"/>
      <c r="L11" s="229"/>
      <c r="M11" s="124"/>
      <c r="N11" s="124">
        <v>1.5</v>
      </c>
      <c r="O11" s="126"/>
      <c r="P11" s="131"/>
      <c r="Q11" s="131"/>
      <c r="R11" s="127"/>
      <c r="S11" s="127">
        <f>570.57-0.5</f>
        <v>570.07000000000005</v>
      </c>
      <c r="T11" s="127"/>
      <c r="U11" s="127"/>
      <c r="V11" s="127"/>
    </row>
    <row r="12" spans="1:22" ht="15.75">
      <c r="A12" s="1148"/>
      <c r="B12" s="1149" t="s">
        <v>10</v>
      </c>
      <c r="C12" s="123" t="s">
        <v>11</v>
      </c>
      <c r="D12" s="242">
        <f t="shared" si="2"/>
        <v>1.3</v>
      </c>
      <c r="E12" s="242">
        <v>0.8</v>
      </c>
      <c r="F12" s="242"/>
      <c r="G12" s="242"/>
      <c r="H12" s="242">
        <v>0.5</v>
      </c>
      <c r="I12" s="242"/>
      <c r="J12" s="242"/>
      <c r="K12" s="242"/>
      <c r="L12" s="242"/>
      <c r="M12" s="242"/>
      <c r="N12" s="242"/>
      <c r="O12" s="242"/>
      <c r="P12" s="127"/>
      <c r="Q12" s="127"/>
      <c r="R12" s="127"/>
      <c r="S12" s="127"/>
      <c r="T12" s="127"/>
      <c r="U12" s="127"/>
      <c r="V12" s="127"/>
    </row>
    <row r="13" spans="1:22" ht="15.75">
      <c r="A13" s="1148" t="s">
        <v>140</v>
      </c>
      <c r="B13" s="1149" t="s">
        <v>12</v>
      </c>
      <c r="C13" s="123" t="s">
        <v>13</v>
      </c>
      <c r="D13" s="242">
        <f t="shared" si="2"/>
        <v>76.53</v>
      </c>
      <c r="E13" s="242">
        <f>2.81+1.39+0.09</f>
        <v>4.29</v>
      </c>
      <c r="F13" s="242">
        <v>3</v>
      </c>
      <c r="G13" s="242">
        <v>37.520000000000003</v>
      </c>
      <c r="H13" s="242">
        <f>14.12-0.5</f>
        <v>13.62</v>
      </c>
      <c r="I13" s="242">
        <v>0.09</v>
      </c>
      <c r="J13" s="242"/>
      <c r="K13" s="243">
        <v>3</v>
      </c>
      <c r="L13" s="242"/>
      <c r="M13" s="242">
        <v>2.09</v>
      </c>
      <c r="N13" s="242">
        <v>9.1999999999999993</v>
      </c>
      <c r="O13" s="242">
        <v>3.72</v>
      </c>
      <c r="P13" s="127"/>
      <c r="Q13" s="127"/>
      <c r="R13" s="127"/>
      <c r="S13" s="127"/>
      <c r="T13" s="127"/>
      <c r="U13" s="127"/>
      <c r="V13" s="127"/>
    </row>
    <row r="14" spans="1:22" ht="15.75">
      <c r="A14" s="1148" t="s">
        <v>141</v>
      </c>
      <c r="B14" s="1149" t="s">
        <v>14</v>
      </c>
      <c r="C14" s="123" t="s">
        <v>15</v>
      </c>
      <c r="D14" s="242">
        <f t="shared" si="2"/>
        <v>68.23</v>
      </c>
      <c r="E14" s="242">
        <v>3.34</v>
      </c>
      <c r="F14" s="242">
        <v>2</v>
      </c>
      <c r="G14" s="242">
        <v>32.39</v>
      </c>
      <c r="H14" s="242">
        <v>18</v>
      </c>
      <c r="I14" s="242">
        <v>0.36</v>
      </c>
      <c r="J14" s="242">
        <v>0.1</v>
      </c>
      <c r="K14" s="242">
        <v>3.08</v>
      </c>
      <c r="L14" s="242">
        <v>0.1</v>
      </c>
      <c r="M14" s="242">
        <v>1.96</v>
      </c>
      <c r="N14" s="242">
        <v>2</v>
      </c>
      <c r="O14" s="242">
        <v>4.9000000000000004</v>
      </c>
      <c r="P14" s="127"/>
      <c r="Q14" s="127"/>
      <c r="R14" s="127"/>
      <c r="S14" s="127"/>
      <c r="T14" s="127"/>
      <c r="U14" s="127"/>
      <c r="V14" s="127"/>
    </row>
    <row r="15" spans="1:22" ht="15.75">
      <c r="A15" s="1148" t="s">
        <v>142</v>
      </c>
      <c r="B15" s="1149" t="s">
        <v>16</v>
      </c>
      <c r="C15" s="123" t="s">
        <v>17</v>
      </c>
      <c r="D15" s="242">
        <f t="shared" si="2"/>
        <v>35.74</v>
      </c>
      <c r="E15" s="242"/>
      <c r="F15" s="242"/>
      <c r="G15" s="242"/>
      <c r="H15" s="242"/>
      <c r="I15" s="242"/>
      <c r="J15" s="242"/>
      <c r="K15" s="242"/>
      <c r="L15" s="242"/>
      <c r="M15" s="242"/>
      <c r="N15" s="242">
        <v>35.74</v>
      </c>
      <c r="O15" s="242"/>
      <c r="P15" s="131"/>
      <c r="Q15" s="127"/>
      <c r="R15" s="127"/>
      <c r="S15" s="127"/>
      <c r="T15" s="131">
        <f>D8-S11</f>
        <v>-72.300000000000125</v>
      </c>
      <c r="U15" s="127"/>
      <c r="V15" s="127"/>
    </row>
    <row r="16" spans="1:22" ht="15.75">
      <c r="A16" s="1148" t="s">
        <v>143</v>
      </c>
      <c r="B16" s="1149" t="s">
        <v>18</v>
      </c>
      <c r="C16" s="123" t="s">
        <v>19</v>
      </c>
      <c r="D16" s="242">
        <f t="shared" si="2"/>
        <v>0</v>
      </c>
      <c r="E16" s="124"/>
      <c r="F16" s="124"/>
      <c r="G16" s="124"/>
      <c r="H16" s="124"/>
      <c r="I16" s="124"/>
      <c r="J16" s="124"/>
      <c r="K16" s="124"/>
      <c r="L16" s="229"/>
      <c r="M16" s="124"/>
      <c r="N16" s="124"/>
      <c r="O16" s="126"/>
      <c r="P16" s="127"/>
      <c r="Q16" s="131"/>
      <c r="R16" s="127"/>
      <c r="S16" s="127"/>
      <c r="T16" s="127"/>
      <c r="U16" s="127"/>
      <c r="V16" s="127"/>
    </row>
    <row r="17" spans="1:22" ht="15.75">
      <c r="A17" s="1148" t="s">
        <v>144</v>
      </c>
      <c r="B17" s="1149" t="s">
        <v>20</v>
      </c>
      <c r="C17" s="123" t="s">
        <v>21</v>
      </c>
      <c r="D17" s="242">
        <f t="shared" si="2"/>
        <v>20.86</v>
      </c>
      <c r="E17" s="242">
        <v>2</v>
      </c>
      <c r="F17" s="242"/>
      <c r="G17" s="242"/>
      <c r="H17" s="242"/>
      <c r="I17" s="242"/>
      <c r="J17" s="242"/>
      <c r="K17" s="242"/>
      <c r="L17" s="242"/>
      <c r="M17" s="242">
        <v>1.86</v>
      </c>
      <c r="N17" s="242">
        <v>17</v>
      </c>
      <c r="O17" s="242"/>
      <c r="P17" s="127"/>
      <c r="Q17" s="127"/>
      <c r="R17" s="127"/>
      <c r="S17" s="127"/>
      <c r="T17" s="127"/>
      <c r="U17" s="127"/>
      <c r="V17" s="127"/>
    </row>
    <row r="18" spans="1:22" ht="15.75">
      <c r="A18" s="1148"/>
      <c r="B18" s="1149" t="s">
        <v>243</v>
      </c>
      <c r="C18" s="123" t="s">
        <v>247</v>
      </c>
      <c r="D18" s="242">
        <f t="shared" si="2"/>
        <v>0</v>
      </c>
      <c r="E18" s="242"/>
      <c r="F18" s="242"/>
      <c r="G18" s="242"/>
      <c r="H18" s="242"/>
      <c r="I18" s="242"/>
      <c r="J18" s="242"/>
      <c r="K18" s="242"/>
      <c r="L18" s="242"/>
      <c r="M18" s="242"/>
      <c r="N18" s="242"/>
      <c r="O18" s="242"/>
      <c r="P18" s="127"/>
      <c r="Q18" s="127"/>
      <c r="R18" s="127"/>
      <c r="S18" s="127"/>
      <c r="T18" s="127"/>
      <c r="U18" s="127"/>
      <c r="V18" s="127"/>
    </row>
    <row r="19" spans="1:22" ht="15.75">
      <c r="A19" s="1148" t="s">
        <v>145</v>
      </c>
      <c r="B19" s="1149" t="s">
        <v>241</v>
      </c>
      <c r="C19" s="123" t="s">
        <v>23</v>
      </c>
      <c r="D19" s="242">
        <f t="shared" si="2"/>
        <v>0.43</v>
      </c>
      <c r="E19" s="242">
        <v>0.19</v>
      </c>
      <c r="F19" s="242"/>
      <c r="G19" s="242">
        <v>0.24</v>
      </c>
      <c r="H19" s="242"/>
      <c r="I19" s="242"/>
      <c r="J19" s="242"/>
      <c r="K19" s="242"/>
      <c r="L19" s="242"/>
      <c r="M19" s="242"/>
      <c r="N19" s="242"/>
      <c r="O19" s="242"/>
      <c r="P19" s="127"/>
      <c r="Q19" s="127"/>
      <c r="R19" s="127"/>
      <c r="S19" s="127"/>
      <c r="T19" s="127"/>
      <c r="U19" s="127"/>
      <c r="V19" s="127"/>
    </row>
    <row r="20" spans="1:22" ht="15.75">
      <c r="A20" s="1150" t="s">
        <v>146</v>
      </c>
      <c r="B20" s="1149" t="s">
        <v>24</v>
      </c>
      <c r="C20" s="123" t="s">
        <v>25</v>
      </c>
      <c r="D20" s="242">
        <f t="shared" si="2"/>
        <v>0</v>
      </c>
      <c r="E20" s="242"/>
      <c r="F20" s="242"/>
      <c r="G20" s="242"/>
      <c r="H20" s="242"/>
      <c r="I20" s="242"/>
      <c r="J20" s="242"/>
      <c r="K20" s="242"/>
      <c r="L20" s="242"/>
      <c r="M20" s="242"/>
      <c r="N20" s="242"/>
      <c r="O20" s="242"/>
      <c r="P20" s="131"/>
      <c r="Q20" s="127"/>
      <c r="R20" s="127"/>
      <c r="S20" s="127"/>
      <c r="T20" s="127"/>
      <c r="U20" s="127"/>
      <c r="V20" s="127"/>
    </row>
    <row r="21" spans="1:22" ht="15.75">
      <c r="A21" s="1148" t="s">
        <v>147</v>
      </c>
      <c r="B21" s="1149" t="s">
        <v>26</v>
      </c>
      <c r="C21" s="123" t="s">
        <v>27</v>
      </c>
      <c r="D21" s="242">
        <f t="shared" si="2"/>
        <v>0</v>
      </c>
      <c r="E21" s="242"/>
      <c r="F21" s="242"/>
      <c r="G21" s="242"/>
      <c r="H21" s="242"/>
      <c r="I21" s="242"/>
      <c r="J21" s="242"/>
      <c r="K21" s="242"/>
      <c r="L21" s="242"/>
      <c r="M21" s="242"/>
      <c r="N21" s="242"/>
      <c r="O21" s="242"/>
      <c r="P21" s="127"/>
      <c r="Q21" s="127"/>
      <c r="R21" s="131"/>
      <c r="S21" s="127"/>
      <c r="T21" s="127"/>
      <c r="U21" s="127"/>
      <c r="V21" s="127"/>
    </row>
    <row r="22" spans="1:22" s="134" customFormat="1" ht="15.75">
      <c r="A22" s="1146">
        <v>2</v>
      </c>
      <c r="B22" s="1147" t="s">
        <v>28</v>
      </c>
      <c r="C22" s="132" t="s">
        <v>29</v>
      </c>
      <c r="D22" s="241">
        <f>SUM(E22:O22)</f>
        <v>293.17999999999995</v>
      </c>
      <c r="E22" s="241">
        <f>SUM(E24:E32)+SUM(E50:E61)</f>
        <v>9.1399999999999988</v>
      </c>
      <c r="F22" s="241">
        <f t="shared" ref="F22:O22" si="3">SUM(F24:F32)+SUM(F50:F61)</f>
        <v>0.06</v>
      </c>
      <c r="G22" s="241">
        <f t="shared" si="3"/>
        <v>8.9499999999999993</v>
      </c>
      <c r="H22" s="241">
        <f t="shared" si="3"/>
        <v>10</v>
      </c>
      <c r="I22" s="241">
        <f t="shared" si="3"/>
        <v>3.26</v>
      </c>
      <c r="J22" s="241">
        <f t="shared" si="3"/>
        <v>1.5</v>
      </c>
      <c r="K22" s="241">
        <f t="shared" si="3"/>
        <v>4.0199999999999996</v>
      </c>
      <c r="L22" s="241">
        <f t="shared" si="3"/>
        <v>0.01</v>
      </c>
      <c r="M22" s="241">
        <f t="shared" si="3"/>
        <v>68.19</v>
      </c>
      <c r="N22" s="241">
        <f t="shared" si="3"/>
        <v>176.15</v>
      </c>
      <c r="O22" s="241">
        <f t="shared" si="3"/>
        <v>11.899999999999999</v>
      </c>
      <c r="P22" s="133"/>
      <c r="Q22" s="133"/>
      <c r="R22" s="133"/>
      <c r="S22" s="133"/>
      <c r="T22" s="133"/>
      <c r="U22" s="133"/>
      <c r="V22" s="133"/>
    </row>
    <row r="23" spans="1:22" ht="15.75">
      <c r="A23" s="1148"/>
      <c r="B23" s="1149" t="s">
        <v>94</v>
      </c>
      <c r="C23" s="123"/>
      <c r="D23" s="242">
        <f t="shared" ref="D23:D61" si="4">SUM(E23:O23)</f>
        <v>0</v>
      </c>
      <c r="E23" s="242"/>
      <c r="F23" s="242"/>
      <c r="G23" s="242"/>
      <c r="H23" s="242"/>
      <c r="I23" s="242"/>
      <c r="J23" s="242"/>
      <c r="K23" s="242"/>
      <c r="L23" s="242"/>
      <c r="M23" s="242"/>
      <c r="N23" s="242"/>
      <c r="O23" s="242"/>
      <c r="P23" s="127"/>
      <c r="Q23" s="127"/>
      <c r="R23" s="127"/>
      <c r="S23" s="127"/>
      <c r="T23" s="127"/>
      <c r="U23" s="127"/>
      <c r="V23" s="127"/>
    </row>
    <row r="24" spans="1:22" ht="15.75">
      <c r="A24" s="1148" t="s">
        <v>148</v>
      </c>
      <c r="B24" s="1149" t="s">
        <v>30</v>
      </c>
      <c r="C24" s="123" t="s">
        <v>31</v>
      </c>
      <c r="D24" s="242">
        <f t="shared" si="4"/>
        <v>2.33</v>
      </c>
      <c r="E24" s="242">
        <v>2.33</v>
      </c>
      <c r="F24" s="242"/>
      <c r="G24" s="242"/>
      <c r="H24" s="242"/>
      <c r="I24" s="242"/>
      <c r="J24" s="242"/>
      <c r="K24" s="242"/>
      <c r="L24" s="242"/>
      <c r="M24" s="242"/>
      <c r="N24" s="242"/>
      <c r="O24" s="242"/>
      <c r="P24" s="127"/>
      <c r="Q24" s="127"/>
      <c r="R24" s="127"/>
      <c r="S24" s="127"/>
      <c r="T24" s="127"/>
      <c r="U24" s="127"/>
      <c r="V24" s="127"/>
    </row>
    <row r="25" spans="1:22" ht="15.75">
      <c r="A25" s="1148" t="s">
        <v>138</v>
      </c>
      <c r="B25" s="1149" t="s">
        <v>32</v>
      </c>
      <c r="C25" s="123" t="s">
        <v>33</v>
      </c>
      <c r="D25" s="242">
        <f t="shared" si="4"/>
        <v>0.89</v>
      </c>
      <c r="E25" s="242">
        <v>0.89</v>
      </c>
      <c r="F25" s="242"/>
      <c r="G25" s="242"/>
      <c r="H25" s="242"/>
      <c r="I25" s="242"/>
      <c r="J25" s="242"/>
      <c r="K25" s="242"/>
      <c r="L25" s="242"/>
      <c r="M25" s="242"/>
      <c r="N25" s="242"/>
      <c r="O25" s="242"/>
      <c r="P25" s="127"/>
      <c r="Q25" s="127"/>
      <c r="R25" s="127"/>
      <c r="S25" s="127"/>
      <c r="T25" s="127"/>
      <c r="U25" s="127"/>
      <c r="V25" s="127"/>
    </row>
    <row r="26" spans="1:22" ht="15.75">
      <c r="A26" s="1148" t="s">
        <v>149</v>
      </c>
      <c r="B26" s="1149" t="s">
        <v>34</v>
      </c>
      <c r="C26" s="123" t="s">
        <v>35</v>
      </c>
      <c r="D26" s="242">
        <f t="shared" si="4"/>
        <v>0</v>
      </c>
      <c r="E26" s="242"/>
      <c r="F26" s="242"/>
      <c r="G26" s="242"/>
      <c r="H26" s="242"/>
      <c r="I26" s="242"/>
      <c r="J26" s="242"/>
      <c r="K26" s="242"/>
      <c r="L26" s="242"/>
      <c r="M26" s="242"/>
      <c r="N26" s="242"/>
      <c r="O26" s="242"/>
      <c r="P26" s="127"/>
      <c r="Q26" s="127"/>
      <c r="R26" s="127"/>
      <c r="S26" s="127"/>
      <c r="T26" s="127"/>
      <c r="U26" s="127"/>
      <c r="V26" s="127"/>
    </row>
    <row r="27" spans="1:22" ht="15.75">
      <c r="A27" s="1148" t="s">
        <v>150</v>
      </c>
      <c r="B27" s="1149" t="s">
        <v>36</v>
      </c>
      <c r="C27" s="123" t="s">
        <v>37</v>
      </c>
      <c r="D27" s="242">
        <f t="shared" si="4"/>
        <v>0</v>
      </c>
      <c r="E27" s="242"/>
      <c r="F27" s="242"/>
      <c r="G27" s="242"/>
      <c r="H27" s="242"/>
      <c r="I27" s="242"/>
      <c r="J27" s="242"/>
      <c r="K27" s="242"/>
      <c r="L27" s="242"/>
      <c r="M27" s="242"/>
      <c r="N27" s="242"/>
      <c r="O27" s="242"/>
      <c r="P27" s="127"/>
      <c r="Q27" s="127"/>
      <c r="R27" s="127"/>
      <c r="S27" s="127"/>
      <c r="T27" s="127"/>
      <c r="U27" s="127"/>
      <c r="V27" s="127"/>
    </row>
    <row r="28" spans="1:22" ht="15.75">
      <c r="A28" s="1148" t="s">
        <v>151</v>
      </c>
      <c r="B28" s="1149" t="s">
        <v>38</v>
      </c>
      <c r="C28" s="123" t="s">
        <v>39</v>
      </c>
      <c r="D28" s="242">
        <f t="shared" si="4"/>
        <v>0</v>
      </c>
      <c r="E28" s="242"/>
      <c r="F28" s="242"/>
      <c r="G28" s="242"/>
      <c r="H28" s="242"/>
      <c r="I28" s="242"/>
      <c r="J28" s="242"/>
      <c r="K28" s="242"/>
      <c r="L28" s="242"/>
      <c r="M28" s="242"/>
      <c r="N28" s="242"/>
      <c r="O28" s="242"/>
      <c r="P28" s="127"/>
      <c r="Q28" s="131"/>
      <c r="R28" s="127"/>
      <c r="S28" s="127"/>
      <c r="T28" s="127"/>
      <c r="U28" s="127"/>
      <c r="V28" s="127"/>
    </row>
    <row r="29" spans="1:22" ht="15.75">
      <c r="A29" s="1148" t="s">
        <v>152</v>
      </c>
      <c r="B29" s="1151" t="s">
        <v>40</v>
      </c>
      <c r="C29" s="123" t="s">
        <v>41</v>
      </c>
      <c r="D29" s="242">
        <f t="shared" si="4"/>
        <v>0</v>
      </c>
      <c r="E29" s="242"/>
      <c r="F29" s="242"/>
      <c r="G29" s="242"/>
      <c r="H29" s="242"/>
      <c r="I29" s="242"/>
      <c r="J29" s="242"/>
      <c r="K29" s="242"/>
      <c r="L29" s="242"/>
      <c r="M29" s="242"/>
      <c r="N29" s="242"/>
      <c r="O29" s="242"/>
      <c r="P29" s="127"/>
      <c r="Q29" s="127"/>
      <c r="R29" s="127"/>
      <c r="S29" s="127"/>
      <c r="T29" s="127"/>
      <c r="U29" s="127"/>
      <c r="V29" s="127"/>
    </row>
    <row r="30" spans="1:22" ht="15.75">
      <c r="A30" s="1148" t="s">
        <v>153</v>
      </c>
      <c r="B30" s="1149" t="s">
        <v>42</v>
      </c>
      <c r="C30" s="123" t="s">
        <v>43</v>
      </c>
      <c r="D30" s="242">
        <f t="shared" si="4"/>
        <v>0</v>
      </c>
      <c r="E30" s="242"/>
      <c r="F30" s="242"/>
      <c r="G30" s="242"/>
      <c r="H30" s="242"/>
      <c r="I30" s="242"/>
      <c r="J30" s="242"/>
      <c r="K30" s="242"/>
      <c r="L30" s="242"/>
      <c r="M30" s="242"/>
      <c r="N30" s="242"/>
      <c r="O30" s="242"/>
      <c r="P30" s="127"/>
      <c r="Q30" s="127"/>
      <c r="R30" s="127"/>
      <c r="S30" s="127"/>
      <c r="T30" s="127"/>
      <c r="U30" s="127"/>
      <c r="V30" s="127"/>
    </row>
    <row r="31" spans="1:22" ht="15.75">
      <c r="A31" s="1148" t="s">
        <v>154</v>
      </c>
      <c r="B31" s="1149" t="s">
        <v>65</v>
      </c>
      <c r="C31" s="123" t="s">
        <v>66</v>
      </c>
      <c r="D31" s="242">
        <f t="shared" si="4"/>
        <v>0</v>
      </c>
      <c r="E31" s="242"/>
      <c r="F31" s="242"/>
      <c r="G31" s="242"/>
      <c r="H31" s="242"/>
      <c r="I31" s="242"/>
      <c r="J31" s="242"/>
      <c r="K31" s="242"/>
      <c r="L31" s="242"/>
      <c r="M31" s="242"/>
      <c r="N31" s="242"/>
      <c r="O31" s="242"/>
      <c r="P31" s="127"/>
      <c r="Q31" s="127"/>
      <c r="R31" s="127"/>
      <c r="S31" s="127"/>
      <c r="T31" s="127"/>
      <c r="U31" s="127"/>
      <c r="V31" s="127"/>
    </row>
    <row r="32" spans="1:22" ht="31.5">
      <c r="A32" s="1148" t="s">
        <v>155</v>
      </c>
      <c r="B32" s="1149" t="s">
        <v>44</v>
      </c>
      <c r="C32" s="123" t="s">
        <v>45</v>
      </c>
      <c r="D32" s="242">
        <f t="shared" si="4"/>
        <v>276.94</v>
      </c>
      <c r="E32" s="242">
        <f>SUM(E34:E49)</f>
        <v>2.3899999999999997</v>
      </c>
      <c r="F32" s="242">
        <f t="shared" ref="F32:O32" si="5">SUM(F34:F49)</f>
        <v>0.06</v>
      </c>
      <c r="G32" s="242">
        <f t="shared" si="5"/>
        <v>4.46</v>
      </c>
      <c r="H32" s="242">
        <f t="shared" si="5"/>
        <v>10</v>
      </c>
      <c r="I32" s="242">
        <f t="shared" si="5"/>
        <v>3.2399999999999998</v>
      </c>
      <c r="J32" s="242">
        <f t="shared" si="5"/>
        <v>1.5</v>
      </c>
      <c r="K32" s="242">
        <f t="shared" si="5"/>
        <v>0</v>
      </c>
      <c r="L32" s="242">
        <f t="shared" si="5"/>
        <v>0</v>
      </c>
      <c r="M32" s="242">
        <f t="shared" si="5"/>
        <v>68.09</v>
      </c>
      <c r="N32" s="242">
        <f t="shared" si="5"/>
        <v>176</v>
      </c>
      <c r="O32" s="242">
        <f t="shared" si="5"/>
        <v>11.2</v>
      </c>
      <c r="P32" s="127"/>
      <c r="Q32" s="127"/>
      <c r="R32" s="127"/>
      <c r="S32" s="127"/>
      <c r="T32" s="127"/>
      <c r="U32" s="127"/>
      <c r="V32" s="127"/>
    </row>
    <row r="33" spans="1:22" ht="15.75">
      <c r="A33" s="1148"/>
      <c r="B33" s="1149" t="s">
        <v>94</v>
      </c>
      <c r="C33" s="123"/>
      <c r="D33" s="242">
        <f t="shared" si="4"/>
        <v>0</v>
      </c>
      <c r="E33" s="242"/>
      <c r="F33" s="242"/>
      <c r="G33" s="242"/>
      <c r="H33" s="242"/>
      <c r="I33" s="242"/>
      <c r="J33" s="242"/>
      <c r="K33" s="242"/>
      <c r="L33" s="242"/>
      <c r="M33" s="242"/>
      <c r="N33" s="242"/>
      <c r="O33" s="242"/>
      <c r="P33" s="127"/>
      <c r="Q33" s="127"/>
      <c r="R33" s="127"/>
      <c r="S33" s="127"/>
      <c r="T33" s="127"/>
      <c r="U33" s="127"/>
      <c r="V33" s="127"/>
    </row>
    <row r="34" spans="1:22" ht="15.75">
      <c r="A34" s="1148" t="s">
        <v>209</v>
      </c>
      <c r="B34" s="1149" t="s">
        <v>216</v>
      </c>
      <c r="C34" s="123" t="s">
        <v>196</v>
      </c>
      <c r="D34" s="242">
        <f t="shared" si="4"/>
        <v>23.49</v>
      </c>
      <c r="E34" s="242">
        <v>2.2799999999999998</v>
      </c>
      <c r="F34" s="242"/>
      <c r="G34" s="242">
        <v>2.5299999999999998</v>
      </c>
      <c r="H34" s="242"/>
      <c r="I34" s="242">
        <v>3.15</v>
      </c>
      <c r="J34" s="242">
        <v>1.5</v>
      </c>
      <c r="K34" s="242"/>
      <c r="L34" s="242"/>
      <c r="M34" s="242">
        <v>1.03</v>
      </c>
      <c r="N34" s="242">
        <v>1.8</v>
      </c>
      <c r="O34" s="242">
        <v>11.2</v>
      </c>
      <c r="P34" s="127"/>
      <c r="Q34" s="127"/>
      <c r="R34" s="127"/>
      <c r="S34" s="127"/>
      <c r="T34" s="127"/>
      <c r="U34" s="127"/>
      <c r="V34" s="127"/>
    </row>
    <row r="35" spans="1:22" ht="15.75">
      <c r="A35" s="1148" t="s">
        <v>209</v>
      </c>
      <c r="B35" s="1149" t="s">
        <v>271</v>
      </c>
      <c r="C35" s="123" t="s">
        <v>194</v>
      </c>
      <c r="D35" s="242">
        <f t="shared" si="4"/>
        <v>10.15</v>
      </c>
      <c r="E35" s="242"/>
      <c r="F35" s="242"/>
      <c r="G35" s="242">
        <v>0.15</v>
      </c>
      <c r="H35" s="242">
        <v>10</v>
      </c>
      <c r="I35" s="242"/>
      <c r="J35" s="242"/>
      <c r="K35" s="242"/>
      <c r="L35" s="242"/>
      <c r="M35" s="242"/>
      <c r="N35" s="242"/>
      <c r="O35" s="242"/>
      <c r="P35" s="127"/>
      <c r="Q35" s="127"/>
      <c r="R35" s="127"/>
      <c r="S35" s="127"/>
      <c r="T35" s="127"/>
      <c r="U35" s="127"/>
      <c r="V35" s="127"/>
    </row>
    <row r="36" spans="1:22" ht="15.75">
      <c r="A36" s="1148" t="s">
        <v>209</v>
      </c>
      <c r="B36" s="1149" t="s">
        <v>210</v>
      </c>
      <c r="C36" s="123" t="s">
        <v>220</v>
      </c>
      <c r="D36" s="242">
        <f t="shared" si="4"/>
        <v>0</v>
      </c>
      <c r="E36" s="242"/>
      <c r="F36" s="242"/>
      <c r="G36" s="242"/>
      <c r="H36" s="242"/>
      <c r="I36" s="242"/>
      <c r="J36" s="242"/>
      <c r="K36" s="242"/>
      <c r="L36" s="242"/>
      <c r="M36" s="242"/>
      <c r="N36" s="242"/>
      <c r="O36" s="242"/>
      <c r="P36" s="127"/>
      <c r="Q36" s="127"/>
      <c r="R36" s="127"/>
      <c r="S36" s="127"/>
      <c r="T36" s="127"/>
      <c r="U36" s="127"/>
      <c r="V36" s="127"/>
    </row>
    <row r="37" spans="1:22" ht="15.75">
      <c r="A37" s="1148" t="s">
        <v>209</v>
      </c>
      <c r="B37" s="1149" t="s">
        <v>211</v>
      </c>
      <c r="C37" s="123" t="s">
        <v>221</v>
      </c>
      <c r="D37" s="242">
        <f t="shared" si="4"/>
        <v>0</v>
      </c>
      <c r="E37" s="242"/>
      <c r="F37" s="242"/>
      <c r="G37" s="242"/>
      <c r="H37" s="242"/>
      <c r="I37" s="242"/>
      <c r="J37" s="242"/>
      <c r="K37" s="242"/>
      <c r="L37" s="242"/>
      <c r="M37" s="242"/>
      <c r="N37" s="242"/>
      <c r="O37" s="242"/>
      <c r="P37" s="127"/>
      <c r="Q37" s="127"/>
      <c r="R37" s="127"/>
      <c r="S37" s="127"/>
      <c r="T37" s="127"/>
      <c r="U37" s="127"/>
      <c r="V37" s="127"/>
    </row>
    <row r="38" spans="1:22" ht="15.75">
      <c r="A38" s="1148" t="s">
        <v>209</v>
      </c>
      <c r="B38" s="1149" t="s">
        <v>272</v>
      </c>
      <c r="C38" s="123" t="s">
        <v>192</v>
      </c>
      <c r="D38" s="242">
        <f t="shared" si="4"/>
        <v>0.48</v>
      </c>
      <c r="E38" s="242">
        <v>0.11</v>
      </c>
      <c r="F38" s="242">
        <v>0.06</v>
      </c>
      <c r="G38" s="242">
        <v>0.31</v>
      </c>
      <c r="H38" s="242"/>
      <c r="I38" s="242"/>
      <c r="J38" s="242"/>
      <c r="K38" s="242"/>
      <c r="L38" s="242"/>
      <c r="M38" s="242"/>
      <c r="N38" s="242"/>
      <c r="O38" s="242"/>
      <c r="P38" s="127"/>
      <c r="Q38" s="127"/>
      <c r="R38" s="127"/>
      <c r="S38" s="127"/>
      <c r="T38" s="127"/>
      <c r="U38" s="127"/>
      <c r="V38" s="127"/>
    </row>
    <row r="39" spans="1:22" ht="15.75">
      <c r="A39" s="1148" t="s">
        <v>209</v>
      </c>
      <c r="B39" s="1151" t="s">
        <v>213</v>
      </c>
      <c r="C39" s="123" t="s">
        <v>195</v>
      </c>
      <c r="D39" s="242">
        <f t="shared" si="4"/>
        <v>0</v>
      </c>
      <c r="E39" s="242"/>
      <c r="F39" s="242"/>
      <c r="G39" s="242"/>
      <c r="H39" s="242"/>
      <c r="I39" s="242"/>
      <c r="J39" s="242"/>
      <c r="K39" s="242"/>
      <c r="L39" s="242"/>
      <c r="M39" s="242"/>
      <c r="N39" s="242"/>
      <c r="O39" s="242"/>
      <c r="P39" s="127"/>
      <c r="Q39" s="127"/>
      <c r="R39" s="127"/>
      <c r="S39" s="127"/>
      <c r="T39" s="127"/>
      <c r="U39" s="127"/>
      <c r="V39" s="127"/>
    </row>
    <row r="40" spans="1:22" ht="15.75">
      <c r="A40" s="1148" t="s">
        <v>209</v>
      </c>
      <c r="B40" s="1149" t="s">
        <v>248</v>
      </c>
      <c r="C40" s="123" t="s">
        <v>193</v>
      </c>
      <c r="D40" s="242">
        <f t="shared" si="4"/>
        <v>241.26</v>
      </c>
      <c r="E40" s="242"/>
      <c r="F40" s="242"/>
      <c r="G40" s="242"/>
      <c r="H40" s="242"/>
      <c r="I40" s="242"/>
      <c r="J40" s="242"/>
      <c r="K40" s="242"/>
      <c r="L40" s="242"/>
      <c r="M40" s="242">
        <f>0.06+67</f>
        <v>67.06</v>
      </c>
      <c r="N40" s="242">
        <v>174.2</v>
      </c>
      <c r="O40" s="242"/>
      <c r="P40" s="127"/>
      <c r="Q40" s="127"/>
      <c r="R40" s="127"/>
      <c r="S40" s="127"/>
      <c r="T40" s="127"/>
      <c r="U40" s="127"/>
      <c r="V40" s="127"/>
    </row>
    <row r="41" spans="1:22" ht="15.75">
      <c r="A41" s="1148" t="s">
        <v>209</v>
      </c>
      <c r="B41" s="1149" t="s">
        <v>273</v>
      </c>
      <c r="C41" s="123" t="s">
        <v>224</v>
      </c>
      <c r="D41" s="242">
        <f t="shared" si="4"/>
        <v>0</v>
      </c>
      <c r="E41" s="242"/>
      <c r="F41" s="242"/>
      <c r="G41" s="242"/>
      <c r="H41" s="242"/>
      <c r="I41" s="242"/>
      <c r="J41" s="242"/>
      <c r="K41" s="242"/>
      <c r="L41" s="242"/>
      <c r="M41" s="242"/>
      <c r="N41" s="242"/>
      <c r="O41" s="242"/>
      <c r="P41" s="127"/>
      <c r="Q41" s="127"/>
      <c r="R41" s="127"/>
      <c r="S41" s="127"/>
      <c r="T41" s="127"/>
      <c r="U41" s="127"/>
      <c r="V41" s="127"/>
    </row>
    <row r="42" spans="1:22" ht="15.75">
      <c r="A42" s="1148" t="s">
        <v>209</v>
      </c>
      <c r="B42" s="1149" t="s">
        <v>244</v>
      </c>
      <c r="C42" s="123" t="s">
        <v>245</v>
      </c>
      <c r="D42" s="242">
        <f t="shared" si="4"/>
        <v>0</v>
      </c>
      <c r="E42" s="242"/>
      <c r="F42" s="242"/>
      <c r="G42" s="242"/>
      <c r="H42" s="242"/>
      <c r="I42" s="242"/>
      <c r="J42" s="242"/>
      <c r="K42" s="242"/>
      <c r="L42" s="242"/>
      <c r="M42" s="242"/>
      <c r="N42" s="242"/>
      <c r="O42" s="242"/>
      <c r="P42" s="127"/>
      <c r="Q42" s="127"/>
      <c r="R42" s="127"/>
      <c r="S42" s="127"/>
      <c r="T42" s="127"/>
      <c r="U42" s="127"/>
      <c r="V42" s="127"/>
    </row>
    <row r="43" spans="1:22" ht="15.75">
      <c r="A43" s="1148" t="s">
        <v>209</v>
      </c>
      <c r="B43" s="1149" t="s">
        <v>46</v>
      </c>
      <c r="C43" s="123" t="s">
        <v>47</v>
      </c>
      <c r="D43" s="242">
        <f t="shared" si="4"/>
        <v>0</v>
      </c>
      <c r="E43" s="242"/>
      <c r="F43" s="242"/>
      <c r="G43" s="242"/>
      <c r="H43" s="242"/>
      <c r="I43" s="242"/>
      <c r="J43" s="242"/>
      <c r="K43" s="242"/>
      <c r="L43" s="242"/>
      <c r="M43" s="242"/>
      <c r="N43" s="242"/>
      <c r="O43" s="242"/>
      <c r="P43" s="127"/>
      <c r="Q43" s="127"/>
      <c r="R43" s="127"/>
      <c r="S43" s="127"/>
      <c r="T43" s="127"/>
      <c r="U43" s="127"/>
      <c r="V43" s="127"/>
    </row>
    <row r="44" spans="1:22" ht="15.75">
      <c r="A44" s="1148" t="s">
        <v>209</v>
      </c>
      <c r="B44" s="1149" t="s">
        <v>50</v>
      </c>
      <c r="C44" s="123" t="s">
        <v>51</v>
      </c>
      <c r="D44" s="242">
        <f t="shared" si="4"/>
        <v>0</v>
      </c>
      <c r="E44" s="242"/>
      <c r="F44" s="242"/>
      <c r="G44" s="242"/>
      <c r="H44" s="242"/>
      <c r="I44" s="242"/>
      <c r="J44" s="242"/>
      <c r="K44" s="242"/>
      <c r="L44" s="242"/>
      <c r="M44" s="242"/>
      <c r="N44" s="242"/>
      <c r="O44" s="242"/>
      <c r="P44" s="127"/>
      <c r="Q44" s="127"/>
      <c r="R44" s="127"/>
      <c r="S44" s="127"/>
      <c r="T44" s="127"/>
      <c r="U44" s="127"/>
      <c r="V44" s="127"/>
    </row>
    <row r="45" spans="1:22" ht="15.75">
      <c r="A45" s="1148" t="s">
        <v>209</v>
      </c>
      <c r="B45" s="1149" t="s">
        <v>62</v>
      </c>
      <c r="C45" s="123" t="s">
        <v>63</v>
      </c>
      <c r="D45" s="242">
        <f t="shared" si="4"/>
        <v>0</v>
      </c>
      <c r="E45" s="242"/>
      <c r="F45" s="242"/>
      <c r="G45" s="242"/>
      <c r="H45" s="242"/>
      <c r="I45" s="242"/>
      <c r="J45" s="242"/>
      <c r="K45" s="242"/>
      <c r="L45" s="242"/>
      <c r="M45" s="242"/>
      <c r="N45" s="242"/>
      <c r="O45" s="242"/>
      <c r="P45" s="127"/>
      <c r="Q45" s="127"/>
      <c r="R45" s="127"/>
      <c r="S45" s="127"/>
      <c r="T45" s="127"/>
      <c r="U45" s="127"/>
      <c r="V45" s="127"/>
    </row>
    <row r="46" spans="1:22" ht="15.75">
      <c r="A46" s="1152" t="s">
        <v>209</v>
      </c>
      <c r="B46" s="1153" t="s">
        <v>246</v>
      </c>
      <c r="C46" s="228" t="s">
        <v>64</v>
      </c>
      <c r="D46" s="242">
        <f t="shared" si="4"/>
        <v>1.47</v>
      </c>
      <c r="E46" s="244"/>
      <c r="F46" s="244"/>
      <c r="G46" s="244">
        <v>1.47</v>
      </c>
      <c r="H46" s="244"/>
      <c r="I46" s="244"/>
      <c r="J46" s="244"/>
      <c r="K46" s="244"/>
      <c r="L46" s="244"/>
      <c r="M46" s="244"/>
      <c r="N46" s="244"/>
      <c r="O46" s="244"/>
      <c r="P46" s="127"/>
      <c r="Q46" s="127"/>
      <c r="R46" s="127"/>
      <c r="S46" s="127"/>
      <c r="T46" s="127"/>
      <c r="U46" s="127"/>
      <c r="V46" s="127"/>
    </row>
    <row r="47" spans="1:22" ht="15.75">
      <c r="A47" s="1154" t="s">
        <v>209</v>
      </c>
      <c r="B47" s="247" t="s">
        <v>214</v>
      </c>
      <c r="C47" s="246" t="s">
        <v>222</v>
      </c>
      <c r="D47" s="242">
        <f t="shared" si="4"/>
        <v>0</v>
      </c>
      <c r="E47" s="247"/>
      <c r="F47" s="247"/>
      <c r="G47" s="247"/>
      <c r="H47" s="247"/>
      <c r="I47" s="247"/>
      <c r="J47" s="247"/>
      <c r="K47" s="247"/>
      <c r="L47" s="247"/>
      <c r="M47" s="247"/>
      <c r="N47" s="247"/>
      <c r="O47" s="247"/>
    </row>
    <row r="48" spans="1:22" ht="15.75">
      <c r="A48" s="1154" t="s">
        <v>209</v>
      </c>
      <c r="B48" s="247" t="s">
        <v>215</v>
      </c>
      <c r="C48" s="246" t="s">
        <v>223</v>
      </c>
      <c r="D48" s="242">
        <f t="shared" si="4"/>
        <v>0</v>
      </c>
      <c r="E48" s="247"/>
      <c r="F48" s="247"/>
      <c r="G48" s="247"/>
      <c r="H48" s="247"/>
      <c r="I48" s="247"/>
      <c r="J48" s="247"/>
      <c r="K48" s="247"/>
      <c r="L48" s="247"/>
      <c r="M48" s="247"/>
      <c r="N48" s="247"/>
      <c r="O48" s="247"/>
    </row>
    <row r="49" spans="1:16" ht="15.75">
      <c r="A49" s="1154" t="s">
        <v>209</v>
      </c>
      <c r="B49" s="247" t="s">
        <v>219</v>
      </c>
      <c r="C49" s="246" t="s">
        <v>204</v>
      </c>
      <c r="D49" s="242">
        <f t="shared" si="4"/>
        <v>0.09</v>
      </c>
      <c r="E49" s="247"/>
      <c r="F49" s="247"/>
      <c r="G49" s="247"/>
      <c r="H49" s="247"/>
      <c r="I49" s="247">
        <v>0.09</v>
      </c>
      <c r="J49" s="247"/>
      <c r="K49" s="247"/>
      <c r="L49" s="247"/>
      <c r="M49" s="247"/>
      <c r="N49" s="247"/>
      <c r="O49" s="247"/>
    </row>
    <row r="50" spans="1:16" ht="15.75">
      <c r="A50" s="1154" t="s">
        <v>156</v>
      </c>
      <c r="B50" s="247" t="s">
        <v>48</v>
      </c>
      <c r="C50" s="246" t="s">
        <v>49</v>
      </c>
      <c r="D50" s="242">
        <f t="shared" si="4"/>
        <v>0</v>
      </c>
      <c r="E50" s="249"/>
      <c r="F50" s="247"/>
      <c r="G50" s="247"/>
      <c r="H50" s="247"/>
      <c r="I50" s="247"/>
      <c r="J50" s="247"/>
      <c r="K50" s="247"/>
      <c r="L50" s="247"/>
      <c r="M50" s="247"/>
      <c r="N50" s="247"/>
      <c r="O50" s="247"/>
    </row>
    <row r="51" spans="1:16" ht="16.5" customHeight="1">
      <c r="A51" s="1154" t="s">
        <v>157</v>
      </c>
      <c r="B51" s="247" t="s">
        <v>67</v>
      </c>
      <c r="C51" s="246" t="s">
        <v>68</v>
      </c>
      <c r="D51" s="242">
        <f t="shared" si="4"/>
        <v>0.17</v>
      </c>
      <c r="E51" s="248"/>
      <c r="F51" s="247"/>
      <c r="G51" s="247">
        <v>0.17</v>
      </c>
      <c r="H51" s="247"/>
      <c r="I51" s="247"/>
      <c r="J51" s="247"/>
      <c r="K51" s="247"/>
      <c r="L51" s="247"/>
      <c r="M51" s="247"/>
      <c r="N51" s="247"/>
      <c r="O51" s="247"/>
    </row>
    <row r="52" spans="1:16" ht="15.75">
      <c r="A52" s="1154" t="s">
        <v>158</v>
      </c>
      <c r="B52" s="247" t="s">
        <v>69</v>
      </c>
      <c r="C52" s="246" t="s">
        <v>70</v>
      </c>
      <c r="D52" s="242">
        <f t="shared" si="4"/>
        <v>0.03</v>
      </c>
      <c r="E52" s="1155">
        <v>0.03</v>
      </c>
      <c r="F52" s="1155"/>
      <c r="G52" s="1155"/>
      <c r="H52" s="1155"/>
      <c r="I52" s="1155"/>
      <c r="J52" s="1155"/>
      <c r="K52" s="1155"/>
      <c r="L52" s="1155"/>
      <c r="M52" s="1155"/>
      <c r="N52" s="1155"/>
      <c r="O52" s="1155"/>
    </row>
    <row r="53" spans="1:16" ht="15.75">
      <c r="A53" s="1154" t="s">
        <v>159</v>
      </c>
      <c r="B53" s="247" t="s">
        <v>52</v>
      </c>
      <c r="C53" s="246" t="s">
        <v>53</v>
      </c>
      <c r="D53" s="242">
        <f t="shared" si="4"/>
        <v>1</v>
      </c>
      <c r="E53" s="1155"/>
      <c r="F53" s="1155"/>
      <c r="G53" s="1155">
        <v>0.26</v>
      </c>
      <c r="H53" s="1155"/>
      <c r="I53" s="1155">
        <v>0.02</v>
      </c>
      <c r="J53" s="1155"/>
      <c r="K53" s="1155">
        <v>0.02</v>
      </c>
      <c r="L53" s="1155"/>
      <c r="M53" s="1155"/>
      <c r="N53" s="1155"/>
      <c r="O53" s="1155">
        <v>0.7</v>
      </c>
    </row>
    <row r="54" spans="1:16" ht="15.75">
      <c r="A54" s="1154" t="s">
        <v>160</v>
      </c>
      <c r="B54" s="247" t="s">
        <v>54</v>
      </c>
      <c r="C54" s="246" t="s">
        <v>55</v>
      </c>
      <c r="D54" s="242">
        <f t="shared" si="4"/>
        <v>2</v>
      </c>
      <c r="E54" s="1155">
        <v>2</v>
      </c>
      <c r="F54" s="1155"/>
      <c r="G54" s="1155"/>
      <c r="H54" s="1155"/>
      <c r="I54" s="1155"/>
      <c r="J54" s="1155"/>
      <c r="K54" s="1155"/>
      <c r="L54" s="1155"/>
      <c r="M54" s="1155"/>
      <c r="N54" s="1155"/>
      <c r="O54" s="1155"/>
      <c r="P54" s="113">
        <f>1.85+1.72</f>
        <v>3.5700000000000003</v>
      </c>
    </row>
    <row r="55" spans="1:16" ht="15.75">
      <c r="A55" s="1154" t="s">
        <v>161</v>
      </c>
      <c r="B55" s="247" t="s">
        <v>56</v>
      </c>
      <c r="C55" s="246" t="s">
        <v>57</v>
      </c>
      <c r="D55" s="242">
        <f t="shared" si="4"/>
        <v>3.57</v>
      </c>
      <c r="E55" s="1155">
        <v>1.5</v>
      </c>
      <c r="F55" s="1155"/>
      <c r="G55" s="1155">
        <f>0.1+1.71</f>
        <v>1.81</v>
      </c>
      <c r="H55" s="1155"/>
      <c r="I55" s="1155"/>
      <c r="J55" s="1155"/>
      <c r="K55" s="1155"/>
      <c r="L55" s="1155">
        <v>0.01</v>
      </c>
      <c r="M55" s="1155">
        <v>0.1</v>
      </c>
      <c r="N55" s="1155">
        <v>0.15</v>
      </c>
      <c r="O55" s="1155"/>
    </row>
    <row r="56" spans="1:16" ht="15.75">
      <c r="A56" s="1154" t="s">
        <v>162</v>
      </c>
      <c r="B56" s="247" t="s">
        <v>58</v>
      </c>
      <c r="C56" s="246" t="s">
        <v>59</v>
      </c>
      <c r="D56" s="242">
        <f t="shared" si="4"/>
        <v>0</v>
      </c>
      <c r="E56" s="1155"/>
      <c r="F56" s="1155"/>
      <c r="G56" s="1155"/>
      <c r="H56" s="1155"/>
      <c r="I56" s="1155"/>
      <c r="J56" s="1155"/>
      <c r="K56" s="1155"/>
      <c r="L56" s="1155"/>
      <c r="M56" s="1155"/>
      <c r="N56" s="1155"/>
      <c r="O56" s="1155"/>
    </row>
    <row r="57" spans="1:16" ht="15.75">
      <c r="A57" s="1154" t="s">
        <v>163</v>
      </c>
      <c r="B57" s="247" t="s">
        <v>60</v>
      </c>
      <c r="C57" s="246" t="s">
        <v>61</v>
      </c>
      <c r="D57" s="242">
        <f t="shared" si="4"/>
        <v>0</v>
      </c>
      <c r="E57" s="1155"/>
      <c r="F57" s="1155"/>
      <c r="G57" s="1155"/>
      <c r="H57" s="1155"/>
      <c r="I57" s="1155"/>
      <c r="J57" s="1155"/>
      <c r="K57" s="1155"/>
      <c r="L57" s="1155"/>
      <c r="M57" s="1155"/>
      <c r="N57" s="1155"/>
      <c r="O57" s="1155"/>
    </row>
    <row r="58" spans="1:16" ht="15.75">
      <c r="A58" s="1154" t="s">
        <v>164</v>
      </c>
      <c r="B58" s="247" t="s">
        <v>274</v>
      </c>
      <c r="C58" s="246" t="s">
        <v>72</v>
      </c>
      <c r="D58" s="242">
        <f t="shared" si="4"/>
        <v>0</v>
      </c>
      <c r="E58" s="1155"/>
      <c r="F58" s="1155"/>
      <c r="G58" s="1155"/>
      <c r="H58" s="1155"/>
      <c r="I58" s="1155"/>
      <c r="J58" s="1155"/>
      <c r="K58" s="1155"/>
      <c r="L58" s="1155"/>
      <c r="M58" s="1155"/>
      <c r="N58" s="1155"/>
      <c r="O58" s="1155"/>
    </row>
    <row r="59" spans="1:16" ht="15.75">
      <c r="A59" s="1154" t="s">
        <v>165</v>
      </c>
      <c r="B59" s="247" t="s">
        <v>73</v>
      </c>
      <c r="C59" s="246" t="s">
        <v>74</v>
      </c>
      <c r="D59" s="242">
        <f t="shared" si="4"/>
        <v>6.25</v>
      </c>
      <c r="E59" s="1155"/>
      <c r="F59" s="1155"/>
      <c r="G59" s="1155">
        <v>2.25</v>
      </c>
      <c r="H59" s="1155"/>
      <c r="I59" s="1155"/>
      <c r="J59" s="1155"/>
      <c r="K59" s="1155">
        <v>4</v>
      </c>
      <c r="L59" s="1155"/>
      <c r="M59" s="1155"/>
      <c r="N59" s="1155"/>
      <c r="O59" s="1155"/>
    </row>
    <row r="60" spans="1:16" ht="15.75">
      <c r="A60" s="1154" t="s">
        <v>166</v>
      </c>
      <c r="B60" s="247" t="s">
        <v>75</v>
      </c>
      <c r="C60" s="246" t="s">
        <v>76</v>
      </c>
      <c r="D60" s="242">
        <f t="shared" si="4"/>
        <v>0</v>
      </c>
      <c r="E60" s="1155"/>
      <c r="F60" s="1155"/>
      <c r="G60" s="1155"/>
      <c r="H60" s="1155"/>
      <c r="I60" s="1155"/>
      <c r="J60" s="1155"/>
      <c r="K60" s="1155"/>
      <c r="L60" s="1155"/>
      <c r="M60" s="1155"/>
      <c r="N60" s="1155"/>
      <c r="O60" s="1155"/>
    </row>
    <row r="61" spans="1:16" ht="15.75">
      <c r="A61" s="1156" t="s">
        <v>167</v>
      </c>
      <c r="B61" s="252" t="s">
        <v>77</v>
      </c>
      <c r="C61" s="251" t="s">
        <v>78</v>
      </c>
      <c r="D61" s="413">
        <f t="shared" si="4"/>
        <v>0</v>
      </c>
      <c r="E61" s="252"/>
      <c r="F61" s="252"/>
      <c r="G61" s="252"/>
      <c r="H61" s="252"/>
      <c r="I61" s="252"/>
      <c r="J61" s="252"/>
      <c r="K61" s="252"/>
      <c r="L61" s="252"/>
      <c r="M61" s="252"/>
      <c r="N61" s="252"/>
      <c r="O61" s="252"/>
    </row>
  </sheetData>
  <mergeCells count="8">
    <mergeCell ref="A1:B1"/>
    <mergeCell ref="A2:O2"/>
    <mergeCell ref="A3:O3"/>
    <mergeCell ref="A4:A6"/>
    <mergeCell ref="B4:B6"/>
    <mergeCell ref="C4:C6"/>
    <mergeCell ref="D4:D6"/>
    <mergeCell ref="E4:O5"/>
  </mergeCells>
  <pageMargins left="0.92" right="0.15" top="0.41" bottom="0.3" header="0.37" footer="0.2"/>
  <pageSetup paperSize="8" scale="85" fitToWidth="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61"/>
  <sheetViews>
    <sheetView topLeftCell="A6" zoomScale="90" zoomScaleNormal="90" workbookViewId="0">
      <pane ySplit="1" topLeftCell="A25" activePane="bottomLeft" state="frozen"/>
      <selection activeCell="A6" sqref="A6"/>
      <selection pane="bottomLeft" activeCell="D8" sqref="D8"/>
    </sheetView>
  </sheetViews>
  <sheetFormatPr defaultColWidth="9.140625" defaultRowHeight="12.75"/>
  <cols>
    <col min="1" max="1" width="7.42578125" style="74" customWidth="1"/>
    <col min="2" max="2" width="50.42578125" style="31" customWidth="1"/>
    <col min="3" max="3" width="10.85546875" style="112" customWidth="1"/>
    <col min="4" max="4" width="17.42578125" style="113" customWidth="1"/>
    <col min="5" max="5" width="14.7109375" style="113" customWidth="1"/>
    <col min="6" max="15" width="14.28515625" style="113" customWidth="1"/>
    <col min="16" max="16" width="8.140625" style="113" customWidth="1"/>
    <col min="17" max="17" width="8.42578125" style="113" customWidth="1"/>
    <col min="18" max="18" width="8" style="113" customWidth="1"/>
    <col min="19" max="19" width="8.140625" style="113" customWidth="1"/>
    <col min="20" max="20" width="7.85546875" style="113" customWidth="1"/>
    <col min="21" max="21" width="7.42578125" style="113" customWidth="1"/>
    <col min="22" max="22" width="8.28515625" style="113" customWidth="1"/>
    <col min="23" max="32" width="9.140625" style="113"/>
    <col min="33" max="16384" width="9.140625" style="31"/>
  </cols>
  <sheetData>
    <row r="1" spans="1:32" ht="15.75">
      <c r="A1" s="1297" t="s">
        <v>316</v>
      </c>
      <c r="B1" s="1297"/>
      <c r="C1" s="230"/>
      <c r="D1" s="115"/>
      <c r="E1" s="115"/>
      <c r="F1" s="115"/>
      <c r="G1" s="115"/>
      <c r="H1" s="115"/>
      <c r="I1" s="115"/>
      <c r="J1" s="115"/>
      <c r="K1" s="115"/>
      <c r="L1" s="115"/>
      <c r="M1" s="115"/>
      <c r="N1" s="115"/>
      <c r="O1" s="115"/>
    </row>
    <row r="2" spans="1:32" ht="15.75">
      <c r="A2" s="1303" t="s">
        <v>981</v>
      </c>
      <c r="B2" s="1303"/>
      <c r="C2" s="1303"/>
      <c r="D2" s="1303"/>
      <c r="E2" s="1303"/>
      <c r="F2" s="1303"/>
      <c r="G2" s="1303"/>
      <c r="H2" s="1303"/>
      <c r="I2" s="1303"/>
      <c r="J2" s="1303"/>
      <c r="K2" s="1303"/>
      <c r="L2" s="1303"/>
      <c r="M2" s="1303"/>
      <c r="N2" s="1303"/>
      <c r="O2" s="1303"/>
    </row>
    <row r="3" spans="1:32" ht="15.75">
      <c r="A3" s="1304" t="s">
        <v>0</v>
      </c>
      <c r="B3" s="1305"/>
      <c r="C3" s="1305"/>
      <c r="D3" s="1305"/>
      <c r="E3" s="1305"/>
      <c r="F3" s="1305"/>
      <c r="G3" s="1305"/>
      <c r="H3" s="1305"/>
      <c r="I3" s="1305"/>
      <c r="J3" s="1305"/>
      <c r="K3" s="1305"/>
      <c r="L3" s="1305"/>
      <c r="M3" s="1305"/>
      <c r="N3" s="1305"/>
      <c r="O3" s="1306"/>
    </row>
    <row r="4" spans="1:32" s="30" customFormat="1" ht="15.75">
      <c r="A4" s="1253" t="s">
        <v>1</v>
      </c>
      <c r="B4" s="1253" t="s">
        <v>2</v>
      </c>
      <c r="C4" s="1254" t="s">
        <v>3</v>
      </c>
      <c r="D4" s="1254" t="s">
        <v>4</v>
      </c>
      <c r="E4" s="1254" t="s">
        <v>5</v>
      </c>
      <c r="F4" s="1254"/>
      <c r="G4" s="1254"/>
      <c r="H4" s="1254"/>
      <c r="I4" s="1254"/>
      <c r="J4" s="1254"/>
      <c r="K4" s="1254"/>
      <c r="L4" s="1254"/>
      <c r="M4" s="1254"/>
      <c r="N4" s="1254"/>
      <c r="O4" s="1254"/>
      <c r="P4" s="114"/>
      <c r="Q4" s="114"/>
      <c r="R4" s="114"/>
      <c r="S4" s="114"/>
      <c r="T4" s="114"/>
      <c r="U4" s="114"/>
      <c r="V4" s="114"/>
      <c r="W4" s="115"/>
      <c r="X4" s="115"/>
      <c r="Y4" s="115"/>
      <c r="Z4" s="115"/>
      <c r="AA4" s="115"/>
      <c r="AB4" s="115"/>
      <c r="AC4" s="115"/>
      <c r="AD4" s="115"/>
      <c r="AE4" s="115"/>
      <c r="AF4" s="115"/>
    </row>
    <row r="5" spans="1:32" s="30" customFormat="1" ht="4.5" hidden="1" customHeight="1">
      <c r="A5" s="1253"/>
      <c r="B5" s="1253"/>
      <c r="C5" s="1254"/>
      <c r="D5" s="1254"/>
      <c r="E5" s="1254"/>
      <c r="F5" s="1254"/>
      <c r="G5" s="1254"/>
      <c r="H5" s="1254"/>
      <c r="I5" s="1254"/>
      <c r="J5" s="1254"/>
      <c r="K5" s="1254"/>
      <c r="L5" s="1254"/>
      <c r="M5" s="1254"/>
      <c r="N5" s="1254"/>
      <c r="O5" s="1254"/>
      <c r="P5" s="114"/>
      <c r="Q5" s="114"/>
      <c r="R5" s="114"/>
      <c r="S5" s="114"/>
      <c r="T5" s="114"/>
      <c r="U5" s="114"/>
      <c r="V5" s="114"/>
      <c r="W5" s="115"/>
      <c r="X5" s="115"/>
      <c r="Y5" s="115"/>
      <c r="Z5" s="115"/>
      <c r="AA5" s="115"/>
      <c r="AB5" s="115"/>
      <c r="AC5" s="115"/>
      <c r="AD5" s="115"/>
      <c r="AE5" s="115"/>
      <c r="AF5" s="115"/>
    </row>
    <row r="6" spans="1:32" s="30" customFormat="1" ht="36.75" customHeight="1">
      <c r="A6" s="1253"/>
      <c r="B6" s="1253"/>
      <c r="C6" s="1254"/>
      <c r="D6" s="1254"/>
      <c r="E6" s="231" t="s">
        <v>111</v>
      </c>
      <c r="F6" s="232" t="s">
        <v>190</v>
      </c>
      <c r="G6" s="232" t="s">
        <v>169</v>
      </c>
      <c r="H6" s="232" t="s">
        <v>170</v>
      </c>
      <c r="I6" s="232" t="s">
        <v>172</v>
      </c>
      <c r="J6" s="232" t="s">
        <v>198</v>
      </c>
      <c r="K6" s="232" t="s">
        <v>197</v>
      </c>
      <c r="L6" s="232" t="s">
        <v>191</v>
      </c>
      <c r="M6" s="232" t="s">
        <v>189</v>
      </c>
      <c r="N6" s="232" t="s">
        <v>174</v>
      </c>
      <c r="O6" s="232" t="s">
        <v>173</v>
      </c>
      <c r="P6" s="116"/>
      <c r="Q6" s="116"/>
      <c r="R6" s="116"/>
      <c r="S6" s="116"/>
      <c r="T6" s="116"/>
      <c r="U6" s="116"/>
      <c r="V6" s="106"/>
      <c r="W6" s="115"/>
      <c r="X6" s="115"/>
      <c r="Y6" s="115"/>
      <c r="Z6" s="115"/>
      <c r="AA6" s="115"/>
      <c r="AB6" s="115"/>
      <c r="AC6" s="115"/>
      <c r="AD6" s="115"/>
      <c r="AE6" s="115"/>
      <c r="AF6" s="115"/>
    </row>
    <row r="7" spans="1:32" s="36" customFormat="1" ht="15.75" customHeight="1">
      <c r="A7" s="233">
        <v>-1</v>
      </c>
      <c r="B7" s="234">
        <v>-2</v>
      </c>
      <c r="C7" s="235">
        <v>-3</v>
      </c>
      <c r="D7" s="236" t="s">
        <v>130</v>
      </c>
      <c r="E7" s="237">
        <v>-5</v>
      </c>
      <c r="F7" s="237">
        <v>-6</v>
      </c>
      <c r="G7" s="237">
        <v>-7</v>
      </c>
      <c r="H7" s="237">
        <v>-8</v>
      </c>
      <c r="I7" s="237">
        <v>-9</v>
      </c>
      <c r="J7" s="237">
        <v>-10</v>
      </c>
      <c r="K7" s="237">
        <v>-11</v>
      </c>
      <c r="L7" s="237">
        <v>-12</v>
      </c>
      <c r="M7" s="237">
        <v>-13</v>
      </c>
      <c r="N7" s="237">
        <v>-14</v>
      </c>
      <c r="O7" s="1000">
        <v>-15</v>
      </c>
      <c r="P7" s="117"/>
      <c r="Q7" s="117"/>
      <c r="R7" s="117"/>
      <c r="S7" s="117"/>
      <c r="T7" s="117"/>
      <c r="U7" s="117"/>
      <c r="V7" s="117"/>
      <c r="W7" s="118"/>
      <c r="X7" s="118"/>
      <c r="Y7" s="118"/>
      <c r="Z7" s="118"/>
      <c r="AA7" s="118"/>
      <c r="AB7" s="118"/>
      <c r="AC7" s="118"/>
      <c r="AD7" s="118"/>
      <c r="AE7" s="118"/>
      <c r="AF7" s="118"/>
    </row>
    <row r="8" spans="1:32" s="39" customFormat="1" ht="15.75">
      <c r="A8" s="238"/>
      <c r="B8" s="29" t="s">
        <v>129</v>
      </c>
      <c r="C8" s="239"/>
      <c r="D8" s="240">
        <f>D9+D22</f>
        <v>16.329999999999998</v>
      </c>
      <c r="E8" s="240">
        <f t="shared" ref="E8:O8" si="0">E9+E22</f>
        <v>0</v>
      </c>
      <c r="F8" s="240">
        <f t="shared" si="0"/>
        <v>0</v>
      </c>
      <c r="G8" s="240">
        <f t="shared" si="0"/>
        <v>1.1100000000000001</v>
      </c>
      <c r="H8" s="240">
        <f t="shared" si="0"/>
        <v>1</v>
      </c>
      <c r="I8" s="240">
        <f t="shared" si="0"/>
        <v>1.03</v>
      </c>
      <c r="J8" s="240">
        <f t="shared" si="0"/>
        <v>0</v>
      </c>
      <c r="K8" s="240">
        <f t="shared" si="0"/>
        <v>0.19</v>
      </c>
      <c r="L8" s="240">
        <f t="shared" si="0"/>
        <v>1</v>
      </c>
      <c r="M8" s="240">
        <f t="shared" si="0"/>
        <v>0</v>
      </c>
      <c r="N8" s="240">
        <f t="shared" si="0"/>
        <v>0</v>
      </c>
      <c r="O8" s="1001">
        <f t="shared" si="0"/>
        <v>12</v>
      </c>
      <c r="P8" s="119"/>
      <c r="Q8" s="119"/>
      <c r="R8" s="119"/>
      <c r="S8" s="119"/>
      <c r="T8" s="119"/>
      <c r="U8" s="119"/>
      <c r="V8" s="119"/>
      <c r="W8" s="120"/>
      <c r="X8" s="120"/>
      <c r="Y8" s="120"/>
      <c r="Z8" s="120"/>
      <c r="AA8" s="120"/>
      <c r="AB8" s="120"/>
      <c r="AC8" s="120"/>
      <c r="AD8" s="120"/>
      <c r="AE8" s="120"/>
      <c r="AF8" s="120"/>
    </row>
    <row r="9" spans="1:32" s="32" customFormat="1" ht="15.75">
      <c r="A9" s="73">
        <v>1</v>
      </c>
      <c r="B9" s="15" t="s">
        <v>6</v>
      </c>
      <c r="C9" s="132" t="s">
        <v>7</v>
      </c>
      <c r="D9" s="242">
        <f t="shared" ref="D9:D14" si="1">SUM(E9:O9)</f>
        <v>15</v>
      </c>
      <c r="E9" s="241">
        <f>SUM(E13:E21)</f>
        <v>0</v>
      </c>
      <c r="F9" s="241">
        <f t="shared" ref="F9:O9" si="2">SUM(F13:F21)</f>
        <v>0</v>
      </c>
      <c r="G9" s="241">
        <f t="shared" si="2"/>
        <v>1</v>
      </c>
      <c r="H9" s="241">
        <f t="shared" si="2"/>
        <v>1</v>
      </c>
      <c r="I9" s="241">
        <f t="shared" si="2"/>
        <v>0</v>
      </c>
      <c r="J9" s="241">
        <f t="shared" si="2"/>
        <v>0</v>
      </c>
      <c r="K9" s="241">
        <f t="shared" si="2"/>
        <v>0</v>
      </c>
      <c r="L9" s="241">
        <f t="shared" si="2"/>
        <v>1</v>
      </c>
      <c r="M9" s="241">
        <f t="shared" si="2"/>
        <v>0</v>
      </c>
      <c r="N9" s="241">
        <f t="shared" si="2"/>
        <v>0</v>
      </c>
      <c r="O9" s="1002">
        <f t="shared" si="2"/>
        <v>12</v>
      </c>
      <c r="P9" s="121"/>
      <c r="Q9" s="121"/>
      <c r="R9" s="121"/>
      <c r="S9" s="121"/>
      <c r="T9" s="121"/>
      <c r="U9" s="121"/>
      <c r="V9" s="121"/>
      <c r="W9" s="122"/>
      <c r="X9" s="122"/>
      <c r="Y9" s="122"/>
      <c r="Z9" s="122"/>
      <c r="AA9" s="122"/>
      <c r="AB9" s="122"/>
      <c r="AC9" s="122"/>
      <c r="AD9" s="122"/>
      <c r="AE9" s="122"/>
      <c r="AF9" s="122"/>
    </row>
    <row r="10" spans="1:32" ht="15.75">
      <c r="A10" s="72"/>
      <c r="B10" s="16" t="s">
        <v>94</v>
      </c>
      <c r="C10" s="123"/>
      <c r="D10" s="242"/>
      <c r="E10" s="124"/>
      <c r="F10" s="124"/>
      <c r="G10" s="124"/>
      <c r="H10" s="125"/>
      <c r="I10" s="124"/>
      <c r="J10" s="124"/>
      <c r="K10" s="124"/>
      <c r="L10" s="229"/>
      <c r="M10" s="124"/>
      <c r="N10" s="124"/>
      <c r="O10" s="126"/>
      <c r="P10" s="127"/>
      <c r="Q10" s="127"/>
      <c r="R10" s="127"/>
      <c r="S10" s="127"/>
      <c r="T10" s="127"/>
      <c r="U10" s="127"/>
      <c r="V10" s="127"/>
    </row>
    <row r="11" spans="1:32" ht="15.75">
      <c r="A11" s="72" t="s">
        <v>139</v>
      </c>
      <c r="B11" s="17" t="s">
        <v>8</v>
      </c>
      <c r="C11" s="128" t="s">
        <v>9</v>
      </c>
      <c r="D11" s="242"/>
      <c r="E11" s="124"/>
      <c r="F11" s="124"/>
      <c r="G11" s="124"/>
      <c r="H11" s="125"/>
      <c r="I11" s="124"/>
      <c r="J11" s="124"/>
      <c r="K11" s="124"/>
      <c r="L11" s="229"/>
      <c r="M11" s="124"/>
      <c r="N11" s="124"/>
      <c r="O11" s="126"/>
      <c r="P11" s="127"/>
      <c r="Q11" s="127"/>
      <c r="R11" s="127"/>
      <c r="S11" s="127"/>
      <c r="T11" s="127"/>
      <c r="U11" s="127"/>
      <c r="V11" s="127"/>
    </row>
    <row r="12" spans="1:32" s="46" customFormat="1" ht="15.75">
      <c r="A12" s="72"/>
      <c r="B12" s="16" t="s">
        <v>10</v>
      </c>
      <c r="C12" s="123" t="s">
        <v>11</v>
      </c>
      <c r="D12" s="242"/>
      <c r="E12" s="242"/>
      <c r="F12" s="242"/>
      <c r="G12" s="242"/>
      <c r="H12" s="242"/>
      <c r="I12" s="242"/>
      <c r="J12" s="242"/>
      <c r="K12" s="242"/>
      <c r="L12" s="242"/>
      <c r="M12" s="242"/>
      <c r="N12" s="242"/>
      <c r="O12" s="1003"/>
      <c r="P12" s="129"/>
      <c r="Q12" s="129"/>
      <c r="R12" s="129"/>
      <c r="S12" s="129"/>
      <c r="T12" s="129"/>
      <c r="U12" s="129"/>
      <c r="V12" s="129"/>
      <c r="W12" s="130"/>
      <c r="X12" s="130"/>
      <c r="Y12" s="130"/>
      <c r="Z12" s="130"/>
      <c r="AA12" s="130"/>
      <c r="AB12" s="130"/>
      <c r="AC12" s="130"/>
      <c r="AD12" s="130"/>
      <c r="AE12" s="130"/>
      <c r="AF12" s="130"/>
    </row>
    <row r="13" spans="1:32" ht="15.75">
      <c r="A13" s="72" t="s">
        <v>140</v>
      </c>
      <c r="B13" s="16" t="s">
        <v>12</v>
      </c>
      <c r="C13" s="123" t="s">
        <v>13</v>
      </c>
      <c r="D13" s="242"/>
      <c r="E13" s="242"/>
      <c r="F13" s="242"/>
      <c r="G13" s="242"/>
      <c r="H13" s="242"/>
      <c r="I13" s="242"/>
      <c r="J13" s="242"/>
      <c r="K13" s="243"/>
      <c r="L13" s="242"/>
      <c r="M13" s="242"/>
      <c r="N13" s="242"/>
      <c r="O13" s="1003"/>
      <c r="P13" s="127"/>
      <c r="Q13" s="127"/>
      <c r="R13" s="127"/>
      <c r="S13" s="127"/>
      <c r="T13" s="127"/>
      <c r="U13" s="127"/>
      <c r="V13" s="127"/>
    </row>
    <row r="14" spans="1:32" ht="15.75">
      <c r="A14" s="72" t="s">
        <v>141</v>
      </c>
      <c r="B14" s="16" t="s">
        <v>14</v>
      </c>
      <c r="C14" s="123" t="s">
        <v>15</v>
      </c>
      <c r="D14" s="242">
        <f t="shared" si="1"/>
        <v>15</v>
      </c>
      <c r="E14" s="242"/>
      <c r="F14" s="242"/>
      <c r="G14" s="242">
        <v>1</v>
      </c>
      <c r="H14" s="242">
        <v>1</v>
      </c>
      <c r="I14" s="242"/>
      <c r="J14" s="242"/>
      <c r="K14" s="242"/>
      <c r="L14" s="242">
        <v>1</v>
      </c>
      <c r="M14" s="242"/>
      <c r="N14" s="242"/>
      <c r="O14" s="1003">
        <v>12</v>
      </c>
      <c r="P14" s="127"/>
      <c r="Q14" s="127"/>
      <c r="R14" s="127"/>
      <c r="S14" s="127"/>
      <c r="T14" s="127"/>
      <c r="U14" s="127"/>
      <c r="V14" s="127"/>
    </row>
    <row r="15" spans="1:32" ht="15.75">
      <c r="A15" s="72" t="s">
        <v>142</v>
      </c>
      <c r="B15" s="16" t="s">
        <v>16</v>
      </c>
      <c r="C15" s="123" t="s">
        <v>17</v>
      </c>
      <c r="D15" s="242"/>
      <c r="E15" s="242"/>
      <c r="F15" s="242"/>
      <c r="G15" s="242"/>
      <c r="H15" s="242"/>
      <c r="I15" s="242"/>
      <c r="J15" s="242"/>
      <c r="K15" s="242"/>
      <c r="L15" s="242"/>
      <c r="M15" s="242"/>
      <c r="N15" s="242"/>
      <c r="O15" s="1003"/>
      <c r="P15" s="127"/>
      <c r="Q15" s="127"/>
      <c r="R15" s="127"/>
      <c r="S15" s="127"/>
      <c r="T15" s="127"/>
      <c r="U15" s="127"/>
      <c r="V15" s="127"/>
    </row>
    <row r="16" spans="1:32" ht="15.75">
      <c r="A16" s="72" t="s">
        <v>143</v>
      </c>
      <c r="B16" s="16" t="s">
        <v>18</v>
      </c>
      <c r="C16" s="123" t="s">
        <v>19</v>
      </c>
      <c r="D16" s="242"/>
      <c r="E16" s="124"/>
      <c r="F16" s="124"/>
      <c r="G16" s="124"/>
      <c r="H16" s="124"/>
      <c r="I16" s="124"/>
      <c r="J16" s="124"/>
      <c r="K16" s="124"/>
      <c r="L16" s="229"/>
      <c r="M16" s="124"/>
      <c r="N16" s="124"/>
      <c r="O16" s="126"/>
      <c r="P16" s="127"/>
      <c r="Q16" s="131"/>
      <c r="R16" s="127"/>
      <c r="S16" s="127"/>
      <c r="T16" s="127"/>
      <c r="U16" s="127"/>
      <c r="V16" s="127"/>
    </row>
    <row r="17" spans="1:32" ht="15.75">
      <c r="A17" s="72" t="s">
        <v>144</v>
      </c>
      <c r="B17" s="16" t="s">
        <v>20</v>
      </c>
      <c r="C17" s="123" t="s">
        <v>21</v>
      </c>
      <c r="D17" s="242"/>
      <c r="E17" s="242"/>
      <c r="F17" s="242"/>
      <c r="G17" s="242"/>
      <c r="H17" s="242"/>
      <c r="I17" s="242"/>
      <c r="J17" s="242"/>
      <c r="K17" s="242"/>
      <c r="L17" s="242"/>
      <c r="M17" s="242"/>
      <c r="N17" s="242"/>
      <c r="O17" s="1003"/>
      <c r="P17" s="127"/>
      <c r="Q17" s="127"/>
      <c r="R17" s="127"/>
      <c r="S17" s="127"/>
      <c r="T17" s="127"/>
      <c r="U17" s="127"/>
      <c r="V17" s="127"/>
    </row>
    <row r="18" spans="1:32" ht="15.75">
      <c r="A18" s="72"/>
      <c r="B18" s="16" t="s">
        <v>243</v>
      </c>
      <c r="C18" s="123" t="s">
        <v>247</v>
      </c>
      <c r="D18" s="242"/>
      <c r="E18" s="242"/>
      <c r="F18" s="242"/>
      <c r="G18" s="242"/>
      <c r="H18" s="242"/>
      <c r="I18" s="242"/>
      <c r="J18" s="242"/>
      <c r="K18" s="242"/>
      <c r="L18" s="242"/>
      <c r="M18" s="242"/>
      <c r="N18" s="242"/>
      <c r="O18" s="1003"/>
      <c r="P18" s="127"/>
      <c r="Q18" s="127"/>
      <c r="R18" s="127"/>
      <c r="S18" s="127"/>
      <c r="T18" s="127"/>
      <c r="U18" s="127"/>
      <c r="V18" s="127"/>
    </row>
    <row r="19" spans="1:32" ht="15.75">
      <c r="A19" s="72" t="s">
        <v>145</v>
      </c>
      <c r="B19" s="16" t="s">
        <v>241</v>
      </c>
      <c r="C19" s="123" t="s">
        <v>23</v>
      </c>
      <c r="D19" s="242"/>
      <c r="E19" s="242"/>
      <c r="F19" s="242"/>
      <c r="G19" s="242"/>
      <c r="H19" s="242"/>
      <c r="I19" s="242"/>
      <c r="J19" s="242"/>
      <c r="K19" s="242"/>
      <c r="L19" s="242"/>
      <c r="M19" s="242"/>
      <c r="N19" s="242"/>
      <c r="O19" s="1003"/>
      <c r="P19" s="127"/>
      <c r="Q19" s="127"/>
      <c r="R19" s="127"/>
      <c r="S19" s="127"/>
      <c r="T19" s="127"/>
      <c r="U19" s="127"/>
      <c r="V19" s="127"/>
    </row>
    <row r="20" spans="1:32" ht="15.75">
      <c r="A20" s="340" t="s">
        <v>146</v>
      </c>
      <c r="B20" s="16" t="s">
        <v>24</v>
      </c>
      <c r="C20" s="123" t="s">
        <v>25</v>
      </c>
      <c r="D20" s="242"/>
      <c r="E20" s="242"/>
      <c r="F20" s="242"/>
      <c r="G20" s="242"/>
      <c r="H20" s="242"/>
      <c r="I20" s="242"/>
      <c r="J20" s="242"/>
      <c r="K20" s="242"/>
      <c r="L20" s="242"/>
      <c r="M20" s="242"/>
      <c r="N20" s="242"/>
      <c r="O20" s="1003"/>
      <c r="P20" s="127"/>
      <c r="Q20" s="127"/>
      <c r="R20" s="127"/>
      <c r="S20" s="127"/>
      <c r="T20" s="127"/>
      <c r="U20" s="127"/>
      <c r="V20" s="127"/>
    </row>
    <row r="21" spans="1:32" ht="15.75">
      <c r="A21" s="72" t="s">
        <v>147</v>
      </c>
      <c r="B21" s="16" t="s">
        <v>26</v>
      </c>
      <c r="C21" s="123" t="s">
        <v>27</v>
      </c>
      <c r="D21" s="242"/>
      <c r="E21" s="242"/>
      <c r="F21" s="242"/>
      <c r="G21" s="242"/>
      <c r="H21" s="242"/>
      <c r="I21" s="242"/>
      <c r="J21" s="242"/>
      <c r="K21" s="242"/>
      <c r="L21" s="242"/>
      <c r="M21" s="242"/>
      <c r="N21" s="242"/>
      <c r="O21" s="1003"/>
      <c r="P21" s="127"/>
      <c r="Q21" s="127"/>
      <c r="R21" s="127"/>
      <c r="S21" s="127"/>
      <c r="T21" s="127"/>
      <c r="U21" s="127"/>
      <c r="V21" s="127"/>
    </row>
    <row r="22" spans="1:32" s="37" customFormat="1" ht="15.75">
      <c r="A22" s="73">
        <v>2</v>
      </c>
      <c r="B22" s="15" t="s">
        <v>28</v>
      </c>
      <c r="C22" s="132" t="s">
        <v>29</v>
      </c>
      <c r="D22" s="241">
        <f>SUM(E22:O22)</f>
        <v>1.33</v>
      </c>
      <c r="E22" s="241">
        <f>SUM(E24:E32)+SUM(E50:E61)</f>
        <v>0</v>
      </c>
      <c r="F22" s="241">
        <f t="shared" ref="F22:O22" si="3">SUM(F24:F32)+SUM(F50:F61)</f>
        <v>0</v>
      </c>
      <c r="G22" s="241">
        <f t="shared" si="3"/>
        <v>0.11</v>
      </c>
      <c r="H22" s="241">
        <f t="shared" si="3"/>
        <v>0</v>
      </c>
      <c r="I22" s="241">
        <f t="shared" si="3"/>
        <v>1.03</v>
      </c>
      <c r="J22" s="241">
        <f t="shared" si="3"/>
        <v>0</v>
      </c>
      <c r="K22" s="241">
        <f t="shared" si="3"/>
        <v>0.19</v>
      </c>
      <c r="L22" s="241">
        <f t="shared" si="3"/>
        <v>0</v>
      </c>
      <c r="M22" s="241">
        <f t="shared" si="3"/>
        <v>0</v>
      </c>
      <c r="N22" s="241">
        <f t="shared" si="3"/>
        <v>0</v>
      </c>
      <c r="O22" s="1002">
        <f t="shared" si="3"/>
        <v>0</v>
      </c>
      <c r="P22" s="133"/>
      <c r="Q22" s="133"/>
      <c r="R22" s="133"/>
      <c r="S22" s="133"/>
      <c r="T22" s="133"/>
      <c r="U22" s="133"/>
      <c r="V22" s="133"/>
      <c r="W22" s="134"/>
      <c r="X22" s="134"/>
      <c r="Y22" s="134"/>
      <c r="Z22" s="134"/>
      <c r="AA22" s="134"/>
      <c r="AB22" s="134"/>
      <c r="AC22" s="134"/>
      <c r="AD22" s="134"/>
      <c r="AE22" s="134"/>
      <c r="AF22" s="134"/>
    </row>
    <row r="23" spans="1:32" ht="15.75">
      <c r="A23" s="72"/>
      <c r="B23" s="16" t="s">
        <v>94</v>
      </c>
      <c r="C23" s="123"/>
      <c r="D23" s="241"/>
      <c r="E23" s="242"/>
      <c r="F23" s="242"/>
      <c r="G23" s="242"/>
      <c r="H23" s="242"/>
      <c r="I23" s="242"/>
      <c r="J23" s="242"/>
      <c r="K23" s="242"/>
      <c r="L23" s="242"/>
      <c r="M23" s="242"/>
      <c r="N23" s="242"/>
      <c r="O23" s="1003"/>
      <c r="P23" s="127"/>
      <c r="Q23" s="127"/>
      <c r="R23" s="127"/>
      <c r="S23" s="127"/>
      <c r="T23" s="127"/>
      <c r="U23" s="127"/>
      <c r="V23" s="127"/>
    </row>
    <row r="24" spans="1:32" ht="15.75">
      <c r="A24" s="72" t="s">
        <v>148</v>
      </c>
      <c r="B24" s="16" t="s">
        <v>30</v>
      </c>
      <c r="C24" s="123" t="s">
        <v>31</v>
      </c>
      <c r="D24" s="241"/>
      <c r="E24" s="242"/>
      <c r="F24" s="242"/>
      <c r="G24" s="242"/>
      <c r="H24" s="242"/>
      <c r="I24" s="242"/>
      <c r="J24" s="242"/>
      <c r="K24" s="242"/>
      <c r="L24" s="242"/>
      <c r="M24" s="242"/>
      <c r="N24" s="242"/>
      <c r="O24" s="1003"/>
      <c r="P24" s="127"/>
      <c r="Q24" s="127"/>
      <c r="R24" s="127"/>
      <c r="S24" s="127"/>
      <c r="T24" s="127"/>
      <c r="U24" s="127"/>
      <c r="V24" s="127"/>
    </row>
    <row r="25" spans="1:32" ht="15.75">
      <c r="A25" s="72" t="s">
        <v>138</v>
      </c>
      <c r="B25" s="16" t="s">
        <v>32</v>
      </c>
      <c r="C25" s="123" t="s">
        <v>33</v>
      </c>
      <c r="D25" s="241"/>
      <c r="E25" s="242"/>
      <c r="F25" s="242"/>
      <c r="G25" s="242"/>
      <c r="H25" s="242"/>
      <c r="I25" s="242"/>
      <c r="J25" s="242"/>
      <c r="K25" s="242"/>
      <c r="L25" s="242"/>
      <c r="M25" s="242"/>
      <c r="N25" s="242"/>
      <c r="O25" s="1003"/>
      <c r="P25" s="127"/>
      <c r="Q25" s="127"/>
      <c r="R25" s="127"/>
      <c r="S25" s="127"/>
      <c r="T25" s="127"/>
      <c r="U25" s="127"/>
      <c r="V25" s="127"/>
    </row>
    <row r="26" spans="1:32" ht="15.75">
      <c r="A26" s="72" t="s">
        <v>149</v>
      </c>
      <c r="B26" s="16" t="s">
        <v>34</v>
      </c>
      <c r="C26" s="123" t="s">
        <v>35</v>
      </c>
      <c r="D26" s="241"/>
      <c r="E26" s="242"/>
      <c r="F26" s="242"/>
      <c r="G26" s="242"/>
      <c r="H26" s="242"/>
      <c r="I26" s="242"/>
      <c r="J26" s="242"/>
      <c r="K26" s="242"/>
      <c r="L26" s="242"/>
      <c r="M26" s="242"/>
      <c r="N26" s="242"/>
      <c r="O26" s="1003"/>
      <c r="P26" s="127"/>
      <c r="Q26" s="127"/>
      <c r="R26" s="127"/>
      <c r="S26" s="127"/>
      <c r="T26" s="127"/>
      <c r="U26" s="127"/>
      <c r="V26" s="127"/>
    </row>
    <row r="27" spans="1:32" ht="15.75">
      <c r="A27" s="72" t="s">
        <v>150</v>
      </c>
      <c r="B27" s="16" t="s">
        <v>36</v>
      </c>
      <c r="C27" s="123" t="s">
        <v>37</v>
      </c>
      <c r="D27" s="241"/>
      <c r="E27" s="242"/>
      <c r="F27" s="242"/>
      <c r="G27" s="242"/>
      <c r="H27" s="242"/>
      <c r="I27" s="242"/>
      <c r="J27" s="242"/>
      <c r="K27" s="242"/>
      <c r="L27" s="242"/>
      <c r="M27" s="242"/>
      <c r="N27" s="242"/>
      <c r="O27" s="1003"/>
      <c r="P27" s="127"/>
      <c r="Q27" s="127"/>
      <c r="R27" s="127"/>
      <c r="S27" s="127"/>
      <c r="T27" s="127"/>
      <c r="U27" s="127"/>
      <c r="V27" s="127"/>
    </row>
    <row r="28" spans="1:32" ht="15.75">
      <c r="A28" s="72" t="s">
        <v>151</v>
      </c>
      <c r="B28" s="16" t="s">
        <v>38</v>
      </c>
      <c r="C28" s="123" t="s">
        <v>39</v>
      </c>
      <c r="D28" s="241"/>
      <c r="E28" s="242"/>
      <c r="F28" s="242"/>
      <c r="G28" s="242"/>
      <c r="H28" s="242"/>
      <c r="I28" s="242"/>
      <c r="J28" s="242"/>
      <c r="K28" s="242"/>
      <c r="L28" s="242"/>
      <c r="M28" s="242"/>
      <c r="N28" s="242"/>
      <c r="O28" s="1003"/>
      <c r="P28" s="127"/>
      <c r="Q28" s="127"/>
      <c r="R28" s="127"/>
      <c r="S28" s="127"/>
      <c r="T28" s="127"/>
      <c r="U28" s="127"/>
      <c r="V28" s="127"/>
    </row>
    <row r="29" spans="1:32" ht="15.75">
      <c r="A29" s="72" t="s">
        <v>152</v>
      </c>
      <c r="B29" s="50" t="s">
        <v>40</v>
      </c>
      <c r="C29" s="123" t="s">
        <v>41</v>
      </c>
      <c r="D29" s="242">
        <f>SUM(E29:O29)</f>
        <v>1.03</v>
      </c>
      <c r="E29" s="242"/>
      <c r="F29" s="242"/>
      <c r="G29" s="242"/>
      <c r="H29" s="242"/>
      <c r="I29" s="242">
        <v>1.03</v>
      </c>
      <c r="J29" s="242"/>
      <c r="K29" s="242"/>
      <c r="L29" s="242"/>
      <c r="M29" s="242"/>
      <c r="N29" s="242"/>
      <c r="O29" s="1003"/>
      <c r="P29" s="127"/>
      <c r="Q29" s="127"/>
      <c r="R29" s="127"/>
      <c r="S29" s="127"/>
      <c r="T29" s="127"/>
      <c r="U29" s="127"/>
      <c r="V29" s="127"/>
    </row>
    <row r="30" spans="1:32" ht="15.75">
      <c r="A30" s="72" t="s">
        <v>153</v>
      </c>
      <c r="B30" s="16" t="s">
        <v>42</v>
      </c>
      <c r="C30" s="123" t="s">
        <v>43</v>
      </c>
      <c r="D30" s="242"/>
      <c r="E30" s="242"/>
      <c r="F30" s="242"/>
      <c r="G30" s="242"/>
      <c r="H30" s="242"/>
      <c r="I30" s="242"/>
      <c r="J30" s="242"/>
      <c r="K30" s="242"/>
      <c r="L30" s="242"/>
      <c r="M30" s="242"/>
      <c r="N30" s="242"/>
      <c r="O30" s="1003"/>
      <c r="P30" s="127"/>
      <c r="Q30" s="127"/>
      <c r="R30" s="127"/>
      <c r="S30" s="127"/>
      <c r="T30" s="127"/>
      <c r="U30" s="127"/>
      <c r="V30" s="127"/>
    </row>
    <row r="31" spans="1:32" ht="15.75">
      <c r="A31" s="72" t="s">
        <v>154</v>
      </c>
      <c r="B31" s="16" t="s">
        <v>65</v>
      </c>
      <c r="C31" s="123" t="s">
        <v>66</v>
      </c>
      <c r="D31" s="242"/>
      <c r="E31" s="242"/>
      <c r="F31" s="242"/>
      <c r="G31" s="242"/>
      <c r="H31" s="242"/>
      <c r="I31" s="242"/>
      <c r="J31" s="242"/>
      <c r="K31" s="242"/>
      <c r="L31" s="242"/>
      <c r="M31" s="242"/>
      <c r="N31" s="242"/>
      <c r="O31" s="1003"/>
      <c r="P31" s="127"/>
      <c r="Q31" s="127"/>
      <c r="R31" s="127"/>
      <c r="S31" s="127"/>
      <c r="T31" s="127"/>
      <c r="U31" s="127"/>
      <c r="V31" s="127"/>
    </row>
    <row r="32" spans="1:32" ht="31.5">
      <c r="A32" s="72" t="s">
        <v>155</v>
      </c>
      <c r="B32" s="16" t="s">
        <v>44</v>
      </c>
      <c r="C32" s="123" t="s">
        <v>45</v>
      </c>
      <c r="D32" s="242">
        <f>SUM(D34:D49)</f>
        <v>0.11</v>
      </c>
      <c r="E32" s="242">
        <f t="shared" ref="E32:O32" si="4">SUM(E34:E49)</f>
        <v>0</v>
      </c>
      <c r="F32" s="242">
        <f t="shared" si="4"/>
        <v>0</v>
      </c>
      <c r="G32" s="242">
        <f t="shared" si="4"/>
        <v>0.11</v>
      </c>
      <c r="H32" s="242">
        <f t="shared" si="4"/>
        <v>0</v>
      </c>
      <c r="I32" s="242">
        <f t="shared" si="4"/>
        <v>0</v>
      </c>
      <c r="J32" s="242">
        <f t="shared" si="4"/>
        <v>0</v>
      </c>
      <c r="K32" s="242">
        <f t="shared" si="4"/>
        <v>0</v>
      </c>
      <c r="L32" s="242">
        <f t="shared" si="4"/>
        <v>0</v>
      </c>
      <c r="M32" s="242">
        <f t="shared" si="4"/>
        <v>0</v>
      </c>
      <c r="N32" s="242">
        <f t="shared" si="4"/>
        <v>0</v>
      </c>
      <c r="O32" s="1003">
        <f t="shared" si="4"/>
        <v>0</v>
      </c>
      <c r="P32" s="127"/>
      <c r="Q32" s="127"/>
      <c r="R32" s="127"/>
      <c r="S32" s="127"/>
      <c r="T32" s="127"/>
      <c r="U32" s="127"/>
      <c r="V32" s="127"/>
    </row>
    <row r="33" spans="1:22" ht="15.75">
      <c r="A33" s="72"/>
      <c r="B33" s="16" t="s">
        <v>94</v>
      </c>
      <c r="C33" s="123"/>
      <c r="D33" s="242"/>
      <c r="E33" s="242"/>
      <c r="F33" s="242"/>
      <c r="G33" s="242"/>
      <c r="H33" s="242"/>
      <c r="I33" s="242"/>
      <c r="J33" s="242"/>
      <c r="K33" s="242"/>
      <c r="L33" s="242"/>
      <c r="M33" s="242"/>
      <c r="N33" s="242"/>
      <c r="O33" s="1003"/>
      <c r="P33" s="127"/>
      <c r="Q33" s="127"/>
      <c r="R33" s="127"/>
      <c r="S33" s="127"/>
      <c r="T33" s="127"/>
      <c r="U33" s="127"/>
      <c r="V33" s="127"/>
    </row>
    <row r="34" spans="1:22" ht="15.75">
      <c r="A34" s="72" t="s">
        <v>209</v>
      </c>
      <c r="B34" s="16" t="s">
        <v>216</v>
      </c>
      <c r="C34" s="123" t="s">
        <v>196</v>
      </c>
      <c r="D34" s="242">
        <f t="shared" ref="D34:D53" si="5">SUM(E34:O34)</f>
        <v>0.11</v>
      </c>
      <c r="E34" s="242"/>
      <c r="F34" s="242"/>
      <c r="G34" s="242">
        <v>0.11</v>
      </c>
      <c r="H34" s="242"/>
      <c r="I34" s="242"/>
      <c r="J34" s="242"/>
      <c r="K34" s="242"/>
      <c r="L34" s="242"/>
      <c r="M34" s="242"/>
      <c r="N34" s="242"/>
      <c r="O34" s="1003"/>
      <c r="P34" s="127"/>
      <c r="Q34" s="127"/>
      <c r="R34" s="127"/>
      <c r="S34" s="127"/>
      <c r="T34" s="127"/>
      <c r="U34" s="127"/>
      <c r="V34" s="127"/>
    </row>
    <row r="35" spans="1:22" ht="15.75">
      <c r="A35" s="72" t="s">
        <v>209</v>
      </c>
      <c r="B35" s="16" t="s">
        <v>271</v>
      </c>
      <c r="C35" s="123" t="s">
        <v>194</v>
      </c>
      <c r="D35" s="242"/>
      <c r="E35" s="242"/>
      <c r="F35" s="242"/>
      <c r="G35" s="242"/>
      <c r="H35" s="242"/>
      <c r="I35" s="242"/>
      <c r="J35" s="242"/>
      <c r="K35" s="242"/>
      <c r="L35" s="242"/>
      <c r="M35" s="242"/>
      <c r="N35" s="242"/>
      <c r="O35" s="1003"/>
      <c r="P35" s="127"/>
      <c r="Q35" s="127"/>
      <c r="R35" s="127"/>
      <c r="S35" s="127"/>
      <c r="T35" s="127"/>
      <c r="U35" s="127"/>
      <c r="V35" s="127"/>
    </row>
    <row r="36" spans="1:22" ht="15.75">
      <c r="A36" s="72" t="s">
        <v>209</v>
      </c>
      <c r="B36" s="16" t="s">
        <v>210</v>
      </c>
      <c r="C36" s="123" t="s">
        <v>220</v>
      </c>
      <c r="D36" s="242"/>
      <c r="E36" s="242"/>
      <c r="F36" s="242"/>
      <c r="G36" s="242"/>
      <c r="H36" s="242"/>
      <c r="I36" s="242"/>
      <c r="J36" s="242"/>
      <c r="K36" s="242"/>
      <c r="L36" s="242"/>
      <c r="M36" s="242"/>
      <c r="N36" s="242"/>
      <c r="O36" s="1003"/>
      <c r="P36" s="127"/>
      <c r="Q36" s="127"/>
      <c r="R36" s="127"/>
      <c r="S36" s="127"/>
      <c r="T36" s="127"/>
      <c r="U36" s="127"/>
      <c r="V36" s="127"/>
    </row>
    <row r="37" spans="1:22" ht="15.75">
      <c r="A37" s="72" t="s">
        <v>209</v>
      </c>
      <c r="B37" s="16" t="s">
        <v>211</v>
      </c>
      <c r="C37" s="123" t="s">
        <v>221</v>
      </c>
      <c r="D37" s="242"/>
      <c r="E37" s="242"/>
      <c r="F37" s="242"/>
      <c r="G37" s="242"/>
      <c r="H37" s="242"/>
      <c r="I37" s="242"/>
      <c r="J37" s="242"/>
      <c r="K37" s="242"/>
      <c r="L37" s="242"/>
      <c r="M37" s="242"/>
      <c r="N37" s="242"/>
      <c r="O37" s="1003"/>
      <c r="P37" s="127"/>
      <c r="Q37" s="127"/>
      <c r="R37" s="127"/>
      <c r="S37" s="127"/>
      <c r="T37" s="127"/>
      <c r="U37" s="127"/>
      <c r="V37" s="127"/>
    </row>
    <row r="38" spans="1:22" ht="15.75">
      <c r="A38" s="72" t="s">
        <v>209</v>
      </c>
      <c r="B38" s="16" t="s">
        <v>272</v>
      </c>
      <c r="C38" s="123" t="s">
        <v>192</v>
      </c>
      <c r="D38" s="242"/>
      <c r="E38" s="242"/>
      <c r="F38" s="242"/>
      <c r="G38" s="242"/>
      <c r="H38" s="242"/>
      <c r="I38" s="242"/>
      <c r="J38" s="242"/>
      <c r="K38" s="242"/>
      <c r="L38" s="242"/>
      <c r="M38" s="242"/>
      <c r="N38" s="242"/>
      <c r="O38" s="1003"/>
      <c r="P38" s="127"/>
      <c r="Q38" s="127"/>
      <c r="R38" s="127"/>
      <c r="S38" s="127"/>
      <c r="T38" s="127"/>
      <c r="U38" s="127"/>
      <c r="V38" s="127"/>
    </row>
    <row r="39" spans="1:22" ht="15.75">
      <c r="A39" s="72" t="s">
        <v>209</v>
      </c>
      <c r="B39" s="50" t="s">
        <v>213</v>
      </c>
      <c r="C39" s="123" t="s">
        <v>195</v>
      </c>
      <c r="D39" s="242"/>
      <c r="E39" s="242"/>
      <c r="F39" s="242"/>
      <c r="G39" s="242"/>
      <c r="H39" s="242"/>
      <c r="I39" s="242"/>
      <c r="J39" s="242"/>
      <c r="K39" s="242"/>
      <c r="L39" s="242"/>
      <c r="M39" s="242"/>
      <c r="N39" s="242"/>
      <c r="O39" s="1003"/>
      <c r="P39" s="127"/>
      <c r="Q39" s="127"/>
      <c r="R39" s="127"/>
      <c r="S39" s="127"/>
      <c r="T39" s="127"/>
      <c r="U39" s="127"/>
      <c r="V39" s="127"/>
    </row>
    <row r="40" spans="1:22" ht="15.75">
      <c r="A40" s="72" t="s">
        <v>209</v>
      </c>
      <c r="B40" s="16" t="s">
        <v>248</v>
      </c>
      <c r="C40" s="123" t="s">
        <v>193</v>
      </c>
      <c r="D40" s="242"/>
      <c r="E40" s="242"/>
      <c r="F40" s="242"/>
      <c r="G40" s="242"/>
      <c r="H40" s="242"/>
      <c r="I40" s="242"/>
      <c r="J40" s="242"/>
      <c r="K40" s="242"/>
      <c r="L40" s="242"/>
      <c r="M40" s="242"/>
      <c r="N40" s="242"/>
      <c r="O40" s="1003"/>
      <c r="P40" s="127"/>
      <c r="Q40" s="127"/>
      <c r="R40" s="127"/>
      <c r="S40" s="127"/>
      <c r="T40" s="127"/>
      <c r="U40" s="127"/>
      <c r="V40" s="127"/>
    </row>
    <row r="41" spans="1:22" ht="15.75">
      <c r="A41" s="72" t="s">
        <v>209</v>
      </c>
      <c r="B41" s="16" t="s">
        <v>273</v>
      </c>
      <c r="C41" s="123" t="s">
        <v>224</v>
      </c>
      <c r="D41" s="242"/>
      <c r="E41" s="242"/>
      <c r="F41" s="242"/>
      <c r="G41" s="242"/>
      <c r="H41" s="242"/>
      <c r="I41" s="242"/>
      <c r="J41" s="242"/>
      <c r="K41" s="242"/>
      <c r="L41" s="242"/>
      <c r="M41" s="242"/>
      <c r="N41" s="242"/>
      <c r="O41" s="1003"/>
      <c r="P41" s="127"/>
      <c r="Q41" s="127"/>
      <c r="R41" s="127"/>
      <c r="S41" s="127"/>
      <c r="T41" s="127"/>
      <c r="U41" s="127"/>
      <c r="V41" s="127"/>
    </row>
    <row r="42" spans="1:22" ht="15.75">
      <c r="A42" s="72" t="s">
        <v>209</v>
      </c>
      <c r="B42" s="16" t="s">
        <v>244</v>
      </c>
      <c r="C42" s="123" t="s">
        <v>245</v>
      </c>
      <c r="D42" s="242"/>
      <c r="E42" s="242"/>
      <c r="F42" s="242"/>
      <c r="G42" s="242"/>
      <c r="H42" s="242"/>
      <c r="I42" s="242"/>
      <c r="J42" s="242"/>
      <c r="K42" s="242"/>
      <c r="L42" s="242"/>
      <c r="M42" s="242"/>
      <c r="N42" s="242"/>
      <c r="O42" s="1003"/>
      <c r="P42" s="127"/>
      <c r="Q42" s="127"/>
      <c r="R42" s="127"/>
      <c r="S42" s="127"/>
      <c r="T42" s="127"/>
      <c r="U42" s="127"/>
      <c r="V42" s="127"/>
    </row>
    <row r="43" spans="1:22" ht="15.75">
      <c r="A43" s="72" t="s">
        <v>209</v>
      </c>
      <c r="B43" s="16" t="s">
        <v>46</v>
      </c>
      <c r="C43" s="123" t="s">
        <v>47</v>
      </c>
      <c r="D43" s="242"/>
      <c r="E43" s="242"/>
      <c r="F43" s="242"/>
      <c r="G43" s="242"/>
      <c r="H43" s="242"/>
      <c r="I43" s="242"/>
      <c r="J43" s="242"/>
      <c r="K43" s="242"/>
      <c r="L43" s="242"/>
      <c r="M43" s="242"/>
      <c r="N43" s="242"/>
      <c r="O43" s="1003"/>
      <c r="P43" s="127"/>
      <c r="Q43" s="127"/>
      <c r="R43" s="127"/>
      <c r="S43" s="127"/>
      <c r="T43" s="127"/>
      <c r="U43" s="127"/>
      <c r="V43" s="127"/>
    </row>
    <row r="44" spans="1:22" ht="15.75">
      <c r="A44" s="72" t="s">
        <v>209</v>
      </c>
      <c r="B44" s="16" t="s">
        <v>50</v>
      </c>
      <c r="C44" s="123" t="s">
        <v>51</v>
      </c>
      <c r="D44" s="242"/>
      <c r="E44" s="242"/>
      <c r="F44" s="242"/>
      <c r="G44" s="242"/>
      <c r="H44" s="242"/>
      <c r="I44" s="242"/>
      <c r="J44" s="242"/>
      <c r="K44" s="242"/>
      <c r="L44" s="242"/>
      <c r="M44" s="242"/>
      <c r="N44" s="242"/>
      <c r="O44" s="1003"/>
      <c r="P44" s="127"/>
      <c r="Q44" s="127"/>
      <c r="R44" s="127"/>
      <c r="S44" s="127"/>
      <c r="T44" s="127"/>
      <c r="U44" s="127"/>
      <c r="V44" s="127"/>
    </row>
    <row r="45" spans="1:22" ht="15.75">
      <c r="A45" s="72" t="s">
        <v>209</v>
      </c>
      <c r="B45" s="16" t="s">
        <v>62</v>
      </c>
      <c r="C45" s="123" t="s">
        <v>63</v>
      </c>
      <c r="D45" s="242"/>
      <c r="E45" s="242"/>
      <c r="F45" s="242"/>
      <c r="G45" s="242"/>
      <c r="H45" s="242"/>
      <c r="I45" s="242"/>
      <c r="J45" s="242"/>
      <c r="K45" s="242"/>
      <c r="L45" s="242"/>
      <c r="M45" s="242"/>
      <c r="N45" s="242"/>
      <c r="O45" s="1003"/>
      <c r="P45" s="127"/>
      <c r="Q45" s="127"/>
      <c r="R45" s="127"/>
      <c r="S45" s="127"/>
      <c r="T45" s="127"/>
      <c r="U45" s="127"/>
      <c r="V45" s="127"/>
    </row>
    <row r="46" spans="1:22" ht="15.75">
      <c r="A46" s="226" t="s">
        <v>209</v>
      </c>
      <c r="B46" s="227" t="s">
        <v>246</v>
      </c>
      <c r="C46" s="228" t="s">
        <v>64</v>
      </c>
      <c r="D46" s="242"/>
      <c r="E46" s="244"/>
      <c r="F46" s="244"/>
      <c r="G46" s="244"/>
      <c r="H46" s="244"/>
      <c r="I46" s="244"/>
      <c r="J46" s="244"/>
      <c r="K46" s="244"/>
      <c r="L46" s="244"/>
      <c r="M46" s="244"/>
      <c r="N46" s="244"/>
      <c r="O46" s="1004"/>
      <c r="P46" s="127"/>
      <c r="Q46" s="127"/>
      <c r="R46" s="127"/>
      <c r="S46" s="127"/>
      <c r="T46" s="127"/>
      <c r="U46" s="127"/>
      <c r="V46" s="127"/>
    </row>
    <row r="47" spans="1:22" ht="15.75">
      <c r="A47" s="245" t="s">
        <v>209</v>
      </c>
      <c r="B47" s="221" t="s">
        <v>214</v>
      </c>
      <c r="C47" s="246" t="s">
        <v>222</v>
      </c>
      <c r="D47" s="242"/>
      <c r="E47" s="247"/>
      <c r="F47" s="247"/>
      <c r="G47" s="247"/>
      <c r="H47" s="247"/>
      <c r="I47" s="247"/>
      <c r="J47" s="247"/>
      <c r="K47" s="247"/>
      <c r="L47" s="247"/>
      <c r="M47" s="247"/>
      <c r="N47" s="247"/>
      <c r="O47" s="247"/>
    </row>
    <row r="48" spans="1:22" ht="15.75">
      <c r="A48" s="245" t="s">
        <v>209</v>
      </c>
      <c r="B48" s="221" t="s">
        <v>215</v>
      </c>
      <c r="C48" s="246" t="s">
        <v>223</v>
      </c>
      <c r="D48" s="242"/>
      <c r="E48" s="247"/>
      <c r="F48" s="247"/>
      <c r="G48" s="247"/>
      <c r="H48" s="247"/>
      <c r="I48" s="247"/>
      <c r="J48" s="247"/>
      <c r="K48" s="247"/>
      <c r="L48" s="247"/>
      <c r="M48" s="247"/>
      <c r="N48" s="247"/>
      <c r="O48" s="247"/>
    </row>
    <row r="49" spans="1:15" ht="15.75">
      <c r="A49" s="245" t="s">
        <v>209</v>
      </c>
      <c r="B49" s="221" t="s">
        <v>219</v>
      </c>
      <c r="C49" s="246" t="s">
        <v>204</v>
      </c>
      <c r="D49" s="242"/>
      <c r="E49" s="247"/>
      <c r="F49" s="247"/>
      <c r="G49" s="247"/>
      <c r="H49" s="247"/>
      <c r="I49" s="247"/>
      <c r="J49" s="247"/>
      <c r="K49" s="247"/>
      <c r="L49" s="247"/>
      <c r="M49" s="247"/>
      <c r="N49" s="247"/>
      <c r="O49" s="247"/>
    </row>
    <row r="50" spans="1:15" ht="15.75">
      <c r="A50" s="245" t="s">
        <v>156</v>
      </c>
      <c r="B50" s="221" t="s">
        <v>48</v>
      </c>
      <c r="C50" s="246" t="s">
        <v>49</v>
      </c>
      <c r="D50" s="242"/>
      <c r="E50" s="249"/>
      <c r="F50" s="247"/>
      <c r="G50" s="247"/>
      <c r="H50" s="247"/>
      <c r="I50" s="247"/>
      <c r="J50" s="247"/>
      <c r="K50" s="247"/>
      <c r="L50" s="247"/>
      <c r="M50" s="247"/>
      <c r="N50" s="247"/>
      <c r="O50" s="247"/>
    </row>
    <row r="51" spans="1:15" ht="15.75">
      <c r="A51" s="245" t="s">
        <v>157</v>
      </c>
      <c r="B51" s="221" t="s">
        <v>67</v>
      </c>
      <c r="C51" s="246" t="s">
        <v>68</v>
      </c>
      <c r="D51" s="242"/>
      <c r="E51" s="248"/>
      <c r="F51" s="247"/>
      <c r="G51" s="247"/>
      <c r="H51" s="247"/>
      <c r="I51" s="247"/>
      <c r="J51" s="247"/>
      <c r="K51" s="247"/>
      <c r="L51" s="247"/>
      <c r="M51" s="247"/>
      <c r="N51" s="247"/>
      <c r="O51" s="247"/>
    </row>
    <row r="52" spans="1:15" ht="15.75">
      <c r="A52" s="245" t="s">
        <v>158</v>
      </c>
      <c r="B52" s="221" t="s">
        <v>69</v>
      </c>
      <c r="C52" s="246" t="s">
        <v>70</v>
      </c>
      <c r="D52" s="242"/>
      <c r="E52" s="247"/>
      <c r="F52" s="248"/>
      <c r="G52" s="247"/>
      <c r="H52" s="247"/>
      <c r="I52" s="247"/>
      <c r="J52" s="247"/>
      <c r="K52" s="247"/>
      <c r="L52" s="247"/>
      <c r="M52" s="247"/>
      <c r="N52" s="247"/>
      <c r="O52" s="247"/>
    </row>
    <row r="53" spans="1:15" ht="15.75">
      <c r="A53" s="245" t="s">
        <v>159</v>
      </c>
      <c r="B53" s="221" t="s">
        <v>52</v>
      </c>
      <c r="C53" s="246" t="s">
        <v>53</v>
      </c>
      <c r="D53" s="242">
        <f t="shared" si="5"/>
        <v>0.19</v>
      </c>
      <c r="E53" s="248"/>
      <c r="F53" s="247"/>
      <c r="G53" s="247"/>
      <c r="H53" s="247"/>
      <c r="I53" s="247"/>
      <c r="J53" s="247"/>
      <c r="K53" s="247">
        <v>0.19</v>
      </c>
      <c r="L53" s="247"/>
      <c r="M53" s="247"/>
      <c r="N53" s="247"/>
      <c r="O53" s="247"/>
    </row>
    <row r="54" spans="1:15" ht="15.75">
      <c r="A54" s="245" t="s">
        <v>160</v>
      </c>
      <c r="B54" s="221" t="s">
        <v>54</v>
      </c>
      <c r="C54" s="246" t="s">
        <v>55</v>
      </c>
      <c r="D54" s="242"/>
      <c r="E54" s="247"/>
      <c r="F54" s="247"/>
      <c r="G54" s="247"/>
      <c r="H54" s="247"/>
      <c r="I54" s="247"/>
      <c r="J54" s="247"/>
      <c r="K54" s="247"/>
      <c r="L54" s="247"/>
      <c r="M54" s="247"/>
      <c r="N54" s="247"/>
      <c r="O54" s="247"/>
    </row>
    <row r="55" spans="1:15" ht="15.75">
      <c r="A55" s="245" t="s">
        <v>161</v>
      </c>
      <c r="B55" s="221" t="s">
        <v>56</v>
      </c>
      <c r="C55" s="246" t="s">
        <v>57</v>
      </c>
      <c r="D55" s="242"/>
      <c r="E55" s="247"/>
      <c r="F55" s="247"/>
      <c r="G55" s="247"/>
      <c r="H55" s="247"/>
      <c r="I55" s="247"/>
      <c r="J55" s="247"/>
      <c r="K55" s="247"/>
      <c r="L55" s="247"/>
      <c r="M55" s="247"/>
      <c r="N55" s="247"/>
      <c r="O55" s="247"/>
    </row>
    <row r="56" spans="1:15" ht="15.75">
      <c r="A56" s="245" t="s">
        <v>162</v>
      </c>
      <c r="B56" s="221" t="s">
        <v>58</v>
      </c>
      <c r="C56" s="246" t="s">
        <v>59</v>
      </c>
      <c r="D56" s="242"/>
      <c r="E56" s="247"/>
      <c r="F56" s="247"/>
      <c r="G56" s="247"/>
      <c r="H56" s="247"/>
      <c r="I56" s="247"/>
      <c r="J56" s="247"/>
      <c r="K56" s="247"/>
      <c r="L56" s="247"/>
      <c r="M56" s="247"/>
      <c r="N56" s="247"/>
      <c r="O56" s="247"/>
    </row>
    <row r="57" spans="1:15" ht="15.75">
      <c r="A57" s="245" t="s">
        <v>163</v>
      </c>
      <c r="B57" s="221" t="s">
        <v>60</v>
      </c>
      <c r="C57" s="246" t="s">
        <v>61</v>
      </c>
      <c r="D57" s="242"/>
      <c r="E57" s="247"/>
      <c r="F57" s="247"/>
      <c r="G57" s="247"/>
      <c r="H57" s="247"/>
      <c r="I57" s="247"/>
      <c r="J57" s="247"/>
      <c r="K57" s="247"/>
      <c r="L57" s="247"/>
      <c r="M57" s="247"/>
      <c r="N57" s="247"/>
      <c r="O57" s="247"/>
    </row>
    <row r="58" spans="1:15" ht="15.75">
      <c r="A58" s="245" t="s">
        <v>164</v>
      </c>
      <c r="B58" s="221" t="s">
        <v>274</v>
      </c>
      <c r="C58" s="246" t="s">
        <v>72</v>
      </c>
      <c r="D58" s="242"/>
      <c r="E58" s="247"/>
      <c r="F58" s="247"/>
      <c r="G58" s="247"/>
      <c r="H58" s="247"/>
      <c r="I58" s="247"/>
      <c r="J58" s="247"/>
      <c r="K58" s="247"/>
      <c r="L58" s="247"/>
      <c r="M58" s="247"/>
      <c r="N58" s="247"/>
      <c r="O58" s="247"/>
    </row>
    <row r="59" spans="1:15" ht="15.75">
      <c r="A59" s="245" t="s">
        <v>165</v>
      </c>
      <c r="B59" s="221" t="s">
        <v>73</v>
      </c>
      <c r="C59" s="246" t="s">
        <v>74</v>
      </c>
      <c r="D59" s="242"/>
      <c r="E59" s="247"/>
      <c r="F59" s="247"/>
      <c r="G59" s="247"/>
      <c r="H59" s="247"/>
      <c r="I59" s="247"/>
      <c r="J59" s="247"/>
      <c r="K59" s="247"/>
      <c r="L59" s="247"/>
      <c r="M59" s="247"/>
      <c r="N59" s="247"/>
      <c r="O59" s="247"/>
    </row>
    <row r="60" spans="1:15" ht="15.75">
      <c r="A60" s="245" t="s">
        <v>166</v>
      </c>
      <c r="B60" s="221" t="s">
        <v>75</v>
      </c>
      <c r="C60" s="246" t="s">
        <v>76</v>
      </c>
      <c r="D60" s="242"/>
      <c r="E60" s="247"/>
      <c r="F60" s="247"/>
      <c r="G60" s="247"/>
      <c r="H60" s="247"/>
      <c r="I60" s="247"/>
      <c r="J60" s="247"/>
      <c r="K60" s="247"/>
      <c r="L60" s="247"/>
      <c r="M60" s="247"/>
      <c r="N60" s="247"/>
      <c r="O60" s="247"/>
    </row>
    <row r="61" spans="1:15" ht="15.75">
      <c r="A61" s="250" t="s">
        <v>167</v>
      </c>
      <c r="B61" s="222" t="s">
        <v>77</v>
      </c>
      <c r="C61" s="251" t="s">
        <v>78</v>
      </c>
      <c r="D61" s="413"/>
      <c r="E61" s="252"/>
      <c r="F61" s="252"/>
      <c r="G61" s="252"/>
      <c r="H61" s="252"/>
      <c r="I61" s="252"/>
      <c r="J61" s="252"/>
      <c r="K61" s="252"/>
      <c r="L61" s="252"/>
      <c r="M61" s="252"/>
      <c r="N61" s="252"/>
      <c r="O61" s="252"/>
    </row>
  </sheetData>
  <mergeCells count="8">
    <mergeCell ref="D4:D6"/>
    <mergeCell ref="E4:O5"/>
    <mergeCell ref="A1:B1"/>
    <mergeCell ref="A4:A6"/>
    <mergeCell ref="B4:B6"/>
    <mergeCell ref="C4:C6"/>
    <mergeCell ref="A2:O2"/>
    <mergeCell ref="A3:O3"/>
  </mergeCells>
  <phoneticPr fontId="11" type="noConversion"/>
  <pageMargins left="0.92" right="0.15" top="0.41" bottom="0.3" header="0.37" footer="0.2"/>
  <pageSetup paperSize="8" scale="85" fitToWidth="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opLeftCell="A9" zoomScale="80" zoomScaleNormal="80" workbookViewId="0">
      <pane xSplit="4" ySplit="1" topLeftCell="E61" activePane="bottomRight" state="frozen"/>
      <selection activeCell="A9" sqref="A9"/>
      <selection pane="topRight" activeCell="E9" sqref="E9"/>
      <selection pane="bottomLeft" activeCell="A10" sqref="A10"/>
      <selection pane="bottomRight" activeCell="F68" sqref="F68"/>
    </sheetView>
  </sheetViews>
  <sheetFormatPr defaultRowHeight="15"/>
  <cols>
    <col min="1" max="1" width="8" style="925" customWidth="1"/>
    <col min="2" max="2" width="28.140625" style="899" customWidth="1"/>
    <col min="3" max="3" width="9.140625" style="900" customWidth="1"/>
    <col min="4" max="4" width="8.140625" style="900" customWidth="1"/>
    <col min="5" max="5" width="9.42578125" style="921" customWidth="1"/>
    <col min="6" max="6" width="9.7109375" style="922" customWidth="1"/>
    <col min="7" max="7" width="10" style="921" customWidth="1"/>
    <col min="8" max="8" width="6.140625" style="921" customWidth="1"/>
    <col min="9" max="9" width="7" style="921" customWidth="1"/>
    <col min="10" max="10" width="11.7109375" style="921" bestFit="1" customWidth="1"/>
    <col min="11" max="11" width="8.85546875" style="921" customWidth="1"/>
    <col min="12" max="12" width="8" style="921" customWidth="1"/>
    <col min="13" max="13" width="7.140625" style="921" customWidth="1"/>
    <col min="14" max="14" width="7.42578125" style="921" customWidth="1"/>
    <col min="15" max="15" width="6.42578125" style="921" customWidth="1"/>
    <col min="16" max="17" width="6.28515625" style="921" customWidth="1"/>
    <col min="18" max="18" width="6.140625" style="921" customWidth="1"/>
    <col min="19" max="19" width="6.28515625" style="921" customWidth="1"/>
    <col min="20" max="20" width="6.7109375" style="921" customWidth="1"/>
    <col min="21" max="21" width="7.7109375" style="921" customWidth="1"/>
    <col min="22" max="22" width="17.5703125" style="923" customWidth="1"/>
    <col min="23" max="23" width="29.7109375" style="897" customWidth="1"/>
    <col min="24" max="257" width="9.140625" style="898"/>
    <col min="258" max="258" width="10.42578125" style="898" customWidth="1"/>
    <col min="259" max="259" width="51.28515625" style="898" customWidth="1"/>
    <col min="260" max="260" width="9.140625" style="898"/>
    <col min="261" max="261" width="8.140625" style="898" customWidth="1"/>
    <col min="262" max="262" width="9.42578125" style="898" customWidth="1"/>
    <col min="263" max="264" width="9.7109375" style="898" customWidth="1"/>
    <col min="265" max="266" width="10" style="898" customWidth="1"/>
    <col min="267" max="267" width="10.7109375" style="898" customWidth="1"/>
    <col min="268" max="268" width="10.140625" style="898" customWidth="1"/>
    <col min="269" max="276" width="9.140625" style="898" customWidth="1"/>
    <col min="277" max="277" width="9.28515625" style="898" customWidth="1"/>
    <col min="278" max="278" width="17.5703125" style="898" customWidth="1"/>
    <col min="279" max="279" width="37.85546875" style="898" customWidth="1"/>
    <col min="280" max="513" width="9.140625" style="898"/>
    <col min="514" max="514" width="10.42578125" style="898" customWidth="1"/>
    <col min="515" max="515" width="51.28515625" style="898" customWidth="1"/>
    <col min="516" max="516" width="9.140625" style="898"/>
    <col min="517" max="517" width="8.140625" style="898" customWidth="1"/>
    <col min="518" max="518" width="9.42578125" style="898" customWidth="1"/>
    <col min="519" max="520" width="9.7109375" style="898" customWidth="1"/>
    <col min="521" max="522" width="10" style="898" customWidth="1"/>
    <col min="523" max="523" width="10.7109375" style="898" customWidth="1"/>
    <col min="524" max="524" width="10.140625" style="898" customWidth="1"/>
    <col min="525" max="532" width="9.140625" style="898" customWidth="1"/>
    <col min="533" max="533" width="9.28515625" style="898" customWidth="1"/>
    <col min="534" max="534" width="17.5703125" style="898" customWidth="1"/>
    <col min="535" max="535" width="37.85546875" style="898" customWidth="1"/>
    <col min="536" max="769" width="9.140625" style="898"/>
    <col min="770" max="770" width="10.42578125" style="898" customWidth="1"/>
    <col min="771" max="771" width="51.28515625" style="898" customWidth="1"/>
    <col min="772" max="772" width="9.140625" style="898"/>
    <col min="773" max="773" width="8.140625" style="898" customWidth="1"/>
    <col min="774" max="774" width="9.42578125" style="898" customWidth="1"/>
    <col min="775" max="776" width="9.7109375" style="898" customWidth="1"/>
    <col min="777" max="778" width="10" style="898" customWidth="1"/>
    <col min="779" max="779" width="10.7109375" style="898" customWidth="1"/>
    <col min="780" max="780" width="10.140625" style="898" customWidth="1"/>
    <col min="781" max="788" width="9.140625" style="898" customWidth="1"/>
    <col min="789" max="789" width="9.28515625" style="898" customWidth="1"/>
    <col min="790" max="790" width="17.5703125" style="898" customWidth="1"/>
    <col min="791" max="791" width="37.85546875" style="898" customWidth="1"/>
    <col min="792" max="1025" width="9.140625" style="898"/>
    <col min="1026" max="1026" width="10.42578125" style="898" customWidth="1"/>
    <col min="1027" max="1027" width="51.28515625" style="898" customWidth="1"/>
    <col min="1028" max="1028" width="9.140625" style="898"/>
    <col min="1029" max="1029" width="8.140625" style="898" customWidth="1"/>
    <col min="1030" max="1030" width="9.42578125" style="898" customWidth="1"/>
    <col min="1031" max="1032" width="9.7109375" style="898" customWidth="1"/>
    <col min="1033" max="1034" width="10" style="898" customWidth="1"/>
    <col min="1035" max="1035" width="10.7109375" style="898" customWidth="1"/>
    <col min="1036" max="1036" width="10.140625" style="898" customWidth="1"/>
    <col min="1037" max="1044" width="9.140625" style="898" customWidth="1"/>
    <col min="1045" max="1045" width="9.28515625" style="898" customWidth="1"/>
    <col min="1046" max="1046" width="17.5703125" style="898" customWidth="1"/>
    <col min="1047" max="1047" width="37.85546875" style="898" customWidth="1"/>
    <col min="1048" max="1281" width="9.140625" style="898"/>
    <col min="1282" max="1282" width="10.42578125" style="898" customWidth="1"/>
    <col min="1283" max="1283" width="51.28515625" style="898" customWidth="1"/>
    <col min="1284" max="1284" width="9.140625" style="898"/>
    <col min="1285" max="1285" width="8.140625" style="898" customWidth="1"/>
    <col min="1286" max="1286" width="9.42578125" style="898" customWidth="1"/>
    <col min="1287" max="1288" width="9.7109375" style="898" customWidth="1"/>
    <col min="1289" max="1290" width="10" style="898" customWidth="1"/>
    <col min="1291" max="1291" width="10.7109375" style="898" customWidth="1"/>
    <col min="1292" max="1292" width="10.140625" style="898" customWidth="1"/>
    <col min="1293" max="1300" width="9.140625" style="898" customWidth="1"/>
    <col min="1301" max="1301" width="9.28515625" style="898" customWidth="1"/>
    <col min="1302" max="1302" width="17.5703125" style="898" customWidth="1"/>
    <col min="1303" max="1303" width="37.85546875" style="898" customWidth="1"/>
    <col min="1304" max="1537" width="9.140625" style="898"/>
    <col min="1538" max="1538" width="10.42578125" style="898" customWidth="1"/>
    <col min="1539" max="1539" width="51.28515625" style="898" customWidth="1"/>
    <col min="1540" max="1540" width="9.140625" style="898"/>
    <col min="1541" max="1541" width="8.140625" style="898" customWidth="1"/>
    <col min="1542" max="1542" width="9.42578125" style="898" customWidth="1"/>
    <col min="1543" max="1544" width="9.7109375" style="898" customWidth="1"/>
    <col min="1545" max="1546" width="10" style="898" customWidth="1"/>
    <col min="1547" max="1547" width="10.7109375" style="898" customWidth="1"/>
    <col min="1548" max="1548" width="10.140625" style="898" customWidth="1"/>
    <col min="1549" max="1556" width="9.140625" style="898" customWidth="1"/>
    <col min="1557" max="1557" width="9.28515625" style="898" customWidth="1"/>
    <col min="1558" max="1558" width="17.5703125" style="898" customWidth="1"/>
    <col min="1559" max="1559" width="37.85546875" style="898" customWidth="1"/>
    <col min="1560" max="1793" width="9.140625" style="898"/>
    <col min="1794" max="1794" width="10.42578125" style="898" customWidth="1"/>
    <col min="1795" max="1795" width="51.28515625" style="898" customWidth="1"/>
    <col min="1796" max="1796" width="9.140625" style="898"/>
    <col min="1797" max="1797" width="8.140625" style="898" customWidth="1"/>
    <col min="1798" max="1798" width="9.42578125" style="898" customWidth="1"/>
    <col min="1799" max="1800" width="9.7109375" style="898" customWidth="1"/>
    <col min="1801" max="1802" width="10" style="898" customWidth="1"/>
    <col min="1803" max="1803" width="10.7109375" style="898" customWidth="1"/>
    <col min="1804" max="1804" width="10.140625" style="898" customWidth="1"/>
    <col min="1805" max="1812" width="9.140625" style="898" customWidth="1"/>
    <col min="1813" max="1813" width="9.28515625" style="898" customWidth="1"/>
    <col min="1814" max="1814" width="17.5703125" style="898" customWidth="1"/>
    <col min="1815" max="1815" width="37.85546875" style="898" customWidth="1"/>
    <col min="1816" max="2049" width="9.140625" style="898"/>
    <col min="2050" max="2050" width="10.42578125" style="898" customWidth="1"/>
    <col min="2051" max="2051" width="51.28515625" style="898" customWidth="1"/>
    <col min="2052" max="2052" width="9.140625" style="898"/>
    <col min="2053" max="2053" width="8.140625" style="898" customWidth="1"/>
    <col min="2054" max="2054" width="9.42578125" style="898" customWidth="1"/>
    <col min="2055" max="2056" width="9.7109375" style="898" customWidth="1"/>
    <col min="2057" max="2058" width="10" style="898" customWidth="1"/>
    <col min="2059" max="2059" width="10.7109375" style="898" customWidth="1"/>
    <col min="2060" max="2060" width="10.140625" style="898" customWidth="1"/>
    <col min="2061" max="2068" width="9.140625" style="898" customWidth="1"/>
    <col min="2069" max="2069" width="9.28515625" style="898" customWidth="1"/>
    <col min="2070" max="2070" width="17.5703125" style="898" customWidth="1"/>
    <col min="2071" max="2071" width="37.85546875" style="898" customWidth="1"/>
    <col min="2072" max="2305" width="9.140625" style="898"/>
    <col min="2306" max="2306" width="10.42578125" style="898" customWidth="1"/>
    <col min="2307" max="2307" width="51.28515625" style="898" customWidth="1"/>
    <col min="2308" max="2308" width="9.140625" style="898"/>
    <col min="2309" max="2309" width="8.140625" style="898" customWidth="1"/>
    <col min="2310" max="2310" width="9.42578125" style="898" customWidth="1"/>
    <col min="2311" max="2312" width="9.7109375" style="898" customWidth="1"/>
    <col min="2313" max="2314" width="10" style="898" customWidth="1"/>
    <col min="2315" max="2315" width="10.7109375" style="898" customWidth="1"/>
    <col min="2316" max="2316" width="10.140625" style="898" customWidth="1"/>
    <col min="2317" max="2324" width="9.140625" style="898" customWidth="1"/>
    <col min="2325" max="2325" width="9.28515625" style="898" customWidth="1"/>
    <col min="2326" max="2326" width="17.5703125" style="898" customWidth="1"/>
    <col min="2327" max="2327" width="37.85546875" style="898" customWidth="1"/>
    <col min="2328" max="2561" width="9.140625" style="898"/>
    <col min="2562" max="2562" width="10.42578125" style="898" customWidth="1"/>
    <col min="2563" max="2563" width="51.28515625" style="898" customWidth="1"/>
    <col min="2564" max="2564" width="9.140625" style="898"/>
    <col min="2565" max="2565" width="8.140625" style="898" customWidth="1"/>
    <col min="2566" max="2566" width="9.42578125" style="898" customWidth="1"/>
    <col min="2567" max="2568" width="9.7109375" style="898" customWidth="1"/>
    <col min="2569" max="2570" width="10" style="898" customWidth="1"/>
    <col min="2571" max="2571" width="10.7109375" style="898" customWidth="1"/>
    <col min="2572" max="2572" width="10.140625" style="898" customWidth="1"/>
    <col min="2573" max="2580" width="9.140625" style="898" customWidth="1"/>
    <col min="2581" max="2581" width="9.28515625" style="898" customWidth="1"/>
    <col min="2582" max="2582" width="17.5703125" style="898" customWidth="1"/>
    <col min="2583" max="2583" width="37.85546875" style="898" customWidth="1"/>
    <col min="2584" max="2817" width="9.140625" style="898"/>
    <col min="2818" max="2818" width="10.42578125" style="898" customWidth="1"/>
    <col min="2819" max="2819" width="51.28515625" style="898" customWidth="1"/>
    <col min="2820" max="2820" width="9.140625" style="898"/>
    <col min="2821" max="2821" width="8.140625" style="898" customWidth="1"/>
    <col min="2822" max="2822" width="9.42578125" style="898" customWidth="1"/>
    <col min="2823" max="2824" width="9.7109375" style="898" customWidth="1"/>
    <col min="2825" max="2826" width="10" style="898" customWidth="1"/>
    <col min="2827" max="2827" width="10.7109375" style="898" customWidth="1"/>
    <col min="2828" max="2828" width="10.140625" style="898" customWidth="1"/>
    <col min="2829" max="2836" width="9.140625" style="898" customWidth="1"/>
    <col min="2837" max="2837" width="9.28515625" style="898" customWidth="1"/>
    <col min="2838" max="2838" width="17.5703125" style="898" customWidth="1"/>
    <col min="2839" max="2839" width="37.85546875" style="898" customWidth="1"/>
    <col min="2840" max="3073" width="9.140625" style="898"/>
    <col min="3074" max="3074" width="10.42578125" style="898" customWidth="1"/>
    <col min="3075" max="3075" width="51.28515625" style="898" customWidth="1"/>
    <col min="3076" max="3076" width="9.140625" style="898"/>
    <col min="3077" max="3077" width="8.140625" style="898" customWidth="1"/>
    <col min="3078" max="3078" width="9.42578125" style="898" customWidth="1"/>
    <col min="3079" max="3080" width="9.7109375" style="898" customWidth="1"/>
    <col min="3081" max="3082" width="10" style="898" customWidth="1"/>
    <col min="3083" max="3083" width="10.7109375" style="898" customWidth="1"/>
    <col min="3084" max="3084" width="10.140625" style="898" customWidth="1"/>
    <col min="3085" max="3092" width="9.140625" style="898" customWidth="1"/>
    <col min="3093" max="3093" width="9.28515625" style="898" customWidth="1"/>
    <col min="3094" max="3094" width="17.5703125" style="898" customWidth="1"/>
    <col min="3095" max="3095" width="37.85546875" style="898" customWidth="1"/>
    <col min="3096" max="3329" width="9.140625" style="898"/>
    <col min="3330" max="3330" width="10.42578125" style="898" customWidth="1"/>
    <col min="3331" max="3331" width="51.28515625" style="898" customWidth="1"/>
    <col min="3332" max="3332" width="9.140625" style="898"/>
    <col min="3333" max="3333" width="8.140625" style="898" customWidth="1"/>
    <col min="3334" max="3334" width="9.42578125" style="898" customWidth="1"/>
    <col min="3335" max="3336" width="9.7109375" style="898" customWidth="1"/>
    <col min="3337" max="3338" width="10" style="898" customWidth="1"/>
    <col min="3339" max="3339" width="10.7109375" style="898" customWidth="1"/>
    <col min="3340" max="3340" width="10.140625" style="898" customWidth="1"/>
    <col min="3341" max="3348" width="9.140625" style="898" customWidth="1"/>
    <col min="3349" max="3349" width="9.28515625" style="898" customWidth="1"/>
    <col min="3350" max="3350" width="17.5703125" style="898" customWidth="1"/>
    <col min="3351" max="3351" width="37.85546875" style="898" customWidth="1"/>
    <col min="3352" max="3585" width="9.140625" style="898"/>
    <col min="3586" max="3586" width="10.42578125" style="898" customWidth="1"/>
    <col min="3587" max="3587" width="51.28515625" style="898" customWidth="1"/>
    <col min="3588" max="3588" width="9.140625" style="898"/>
    <col min="3589" max="3589" width="8.140625" style="898" customWidth="1"/>
    <col min="3590" max="3590" width="9.42578125" style="898" customWidth="1"/>
    <col min="3591" max="3592" width="9.7109375" style="898" customWidth="1"/>
    <col min="3593" max="3594" width="10" style="898" customWidth="1"/>
    <col min="3595" max="3595" width="10.7109375" style="898" customWidth="1"/>
    <col min="3596" max="3596" width="10.140625" style="898" customWidth="1"/>
    <col min="3597" max="3604" width="9.140625" style="898" customWidth="1"/>
    <col min="3605" max="3605" width="9.28515625" style="898" customWidth="1"/>
    <col min="3606" max="3606" width="17.5703125" style="898" customWidth="1"/>
    <col min="3607" max="3607" width="37.85546875" style="898" customWidth="1"/>
    <col min="3608" max="3841" width="9.140625" style="898"/>
    <col min="3842" max="3842" width="10.42578125" style="898" customWidth="1"/>
    <col min="3843" max="3843" width="51.28515625" style="898" customWidth="1"/>
    <col min="3844" max="3844" width="9.140625" style="898"/>
    <col min="3845" max="3845" width="8.140625" style="898" customWidth="1"/>
    <col min="3846" max="3846" width="9.42578125" style="898" customWidth="1"/>
    <col min="3847" max="3848" width="9.7109375" style="898" customWidth="1"/>
    <col min="3849" max="3850" width="10" style="898" customWidth="1"/>
    <col min="3851" max="3851" width="10.7109375" style="898" customWidth="1"/>
    <col min="3852" max="3852" width="10.140625" style="898" customWidth="1"/>
    <col min="3853" max="3860" width="9.140625" style="898" customWidth="1"/>
    <col min="3861" max="3861" width="9.28515625" style="898" customWidth="1"/>
    <col min="3862" max="3862" width="17.5703125" style="898" customWidth="1"/>
    <col min="3863" max="3863" width="37.85546875" style="898" customWidth="1"/>
    <col min="3864" max="4097" width="9.140625" style="898"/>
    <col min="4098" max="4098" width="10.42578125" style="898" customWidth="1"/>
    <col min="4099" max="4099" width="51.28515625" style="898" customWidth="1"/>
    <col min="4100" max="4100" width="9.140625" style="898"/>
    <col min="4101" max="4101" width="8.140625" style="898" customWidth="1"/>
    <col min="4102" max="4102" width="9.42578125" style="898" customWidth="1"/>
    <col min="4103" max="4104" width="9.7109375" style="898" customWidth="1"/>
    <col min="4105" max="4106" width="10" style="898" customWidth="1"/>
    <col min="4107" max="4107" width="10.7109375" style="898" customWidth="1"/>
    <col min="4108" max="4108" width="10.140625" style="898" customWidth="1"/>
    <col min="4109" max="4116" width="9.140625" style="898" customWidth="1"/>
    <col min="4117" max="4117" width="9.28515625" style="898" customWidth="1"/>
    <col min="4118" max="4118" width="17.5703125" style="898" customWidth="1"/>
    <col min="4119" max="4119" width="37.85546875" style="898" customWidth="1"/>
    <col min="4120" max="4353" width="9.140625" style="898"/>
    <col min="4354" max="4354" width="10.42578125" style="898" customWidth="1"/>
    <col min="4355" max="4355" width="51.28515625" style="898" customWidth="1"/>
    <col min="4356" max="4356" width="9.140625" style="898"/>
    <col min="4357" max="4357" width="8.140625" style="898" customWidth="1"/>
    <col min="4358" max="4358" width="9.42578125" style="898" customWidth="1"/>
    <col min="4359" max="4360" width="9.7109375" style="898" customWidth="1"/>
    <col min="4361" max="4362" width="10" style="898" customWidth="1"/>
    <col min="4363" max="4363" width="10.7109375" style="898" customWidth="1"/>
    <col min="4364" max="4364" width="10.140625" style="898" customWidth="1"/>
    <col min="4365" max="4372" width="9.140625" style="898" customWidth="1"/>
    <col min="4373" max="4373" width="9.28515625" style="898" customWidth="1"/>
    <col min="4374" max="4374" width="17.5703125" style="898" customWidth="1"/>
    <col min="4375" max="4375" width="37.85546875" style="898" customWidth="1"/>
    <col min="4376" max="4609" width="9.140625" style="898"/>
    <col min="4610" max="4610" width="10.42578125" style="898" customWidth="1"/>
    <col min="4611" max="4611" width="51.28515625" style="898" customWidth="1"/>
    <col min="4612" max="4612" width="9.140625" style="898"/>
    <col min="4613" max="4613" width="8.140625" style="898" customWidth="1"/>
    <col min="4614" max="4614" width="9.42578125" style="898" customWidth="1"/>
    <col min="4615" max="4616" width="9.7109375" style="898" customWidth="1"/>
    <col min="4617" max="4618" width="10" style="898" customWidth="1"/>
    <col min="4619" max="4619" width="10.7109375" style="898" customWidth="1"/>
    <col min="4620" max="4620" width="10.140625" style="898" customWidth="1"/>
    <col min="4621" max="4628" width="9.140625" style="898" customWidth="1"/>
    <col min="4629" max="4629" width="9.28515625" style="898" customWidth="1"/>
    <col min="4630" max="4630" width="17.5703125" style="898" customWidth="1"/>
    <col min="4631" max="4631" width="37.85546875" style="898" customWidth="1"/>
    <col min="4632" max="4865" width="9.140625" style="898"/>
    <col min="4866" max="4866" width="10.42578125" style="898" customWidth="1"/>
    <col min="4867" max="4867" width="51.28515625" style="898" customWidth="1"/>
    <col min="4868" max="4868" width="9.140625" style="898"/>
    <col min="4869" max="4869" width="8.140625" style="898" customWidth="1"/>
    <col min="4870" max="4870" width="9.42578125" style="898" customWidth="1"/>
    <col min="4871" max="4872" width="9.7109375" style="898" customWidth="1"/>
    <col min="4873" max="4874" width="10" style="898" customWidth="1"/>
    <col min="4875" max="4875" width="10.7109375" style="898" customWidth="1"/>
    <col min="4876" max="4876" width="10.140625" style="898" customWidth="1"/>
    <col min="4877" max="4884" width="9.140625" style="898" customWidth="1"/>
    <col min="4885" max="4885" width="9.28515625" style="898" customWidth="1"/>
    <col min="4886" max="4886" width="17.5703125" style="898" customWidth="1"/>
    <col min="4887" max="4887" width="37.85546875" style="898" customWidth="1"/>
    <col min="4888" max="5121" width="9.140625" style="898"/>
    <col min="5122" max="5122" width="10.42578125" style="898" customWidth="1"/>
    <col min="5123" max="5123" width="51.28515625" style="898" customWidth="1"/>
    <col min="5124" max="5124" width="9.140625" style="898"/>
    <col min="5125" max="5125" width="8.140625" style="898" customWidth="1"/>
    <col min="5126" max="5126" width="9.42578125" style="898" customWidth="1"/>
    <col min="5127" max="5128" width="9.7109375" style="898" customWidth="1"/>
    <col min="5129" max="5130" width="10" style="898" customWidth="1"/>
    <col min="5131" max="5131" width="10.7109375" style="898" customWidth="1"/>
    <col min="5132" max="5132" width="10.140625" style="898" customWidth="1"/>
    <col min="5133" max="5140" width="9.140625" style="898" customWidth="1"/>
    <col min="5141" max="5141" width="9.28515625" style="898" customWidth="1"/>
    <col min="5142" max="5142" width="17.5703125" style="898" customWidth="1"/>
    <col min="5143" max="5143" width="37.85546875" style="898" customWidth="1"/>
    <col min="5144" max="5377" width="9.140625" style="898"/>
    <col min="5378" max="5378" width="10.42578125" style="898" customWidth="1"/>
    <col min="5379" max="5379" width="51.28515625" style="898" customWidth="1"/>
    <col min="5380" max="5380" width="9.140625" style="898"/>
    <col min="5381" max="5381" width="8.140625" style="898" customWidth="1"/>
    <col min="5382" max="5382" width="9.42578125" style="898" customWidth="1"/>
    <col min="5383" max="5384" width="9.7109375" style="898" customWidth="1"/>
    <col min="5385" max="5386" width="10" style="898" customWidth="1"/>
    <col min="5387" max="5387" width="10.7109375" style="898" customWidth="1"/>
    <col min="5388" max="5388" width="10.140625" style="898" customWidth="1"/>
    <col min="5389" max="5396" width="9.140625" style="898" customWidth="1"/>
    <col min="5397" max="5397" width="9.28515625" style="898" customWidth="1"/>
    <col min="5398" max="5398" width="17.5703125" style="898" customWidth="1"/>
    <col min="5399" max="5399" width="37.85546875" style="898" customWidth="1"/>
    <col min="5400" max="5633" width="9.140625" style="898"/>
    <col min="5634" max="5634" width="10.42578125" style="898" customWidth="1"/>
    <col min="5635" max="5635" width="51.28515625" style="898" customWidth="1"/>
    <col min="5636" max="5636" width="9.140625" style="898"/>
    <col min="5637" max="5637" width="8.140625" style="898" customWidth="1"/>
    <col min="5638" max="5638" width="9.42578125" style="898" customWidth="1"/>
    <col min="5639" max="5640" width="9.7109375" style="898" customWidth="1"/>
    <col min="5641" max="5642" width="10" style="898" customWidth="1"/>
    <col min="5643" max="5643" width="10.7109375" style="898" customWidth="1"/>
    <col min="5644" max="5644" width="10.140625" style="898" customWidth="1"/>
    <col min="5645" max="5652" width="9.140625" style="898" customWidth="1"/>
    <col min="5653" max="5653" width="9.28515625" style="898" customWidth="1"/>
    <col min="5654" max="5654" width="17.5703125" style="898" customWidth="1"/>
    <col min="5655" max="5655" width="37.85546875" style="898" customWidth="1"/>
    <col min="5656" max="5889" width="9.140625" style="898"/>
    <col min="5890" max="5890" width="10.42578125" style="898" customWidth="1"/>
    <col min="5891" max="5891" width="51.28515625" style="898" customWidth="1"/>
    <col min="5892" max="5892" width="9.140625" style="898"/>
    <col min="5893" max="5893" width="8.140625" style="898" customWidth="1"/>
    <col min="5894" max="5894" width="9.42578125" style="898" customWidth="1"/>
    <col min="5895" max="5896" width="9.7109375" style="898" customWidth="1"/>
    <col min="5897" max="5898" width="10" style="898" customWidth="1"/>
    <col min="5899" max="5899" width="10.7109375" style="898" customWidth="1"/>
    <col min="5900" max="5900" width="10.140625" style="898" customWidth="1"/>
    <col min="5901" max="5908" width="9.140625" style="898" customWidth="1"/>
    <col min="5909" max="5909" width="9.28515625" style="898" customWidth="1"/>
    <col min="5910" max="5910" width="17.5703125" style="898" customWidth="1"/>
    <col min="5911" max="5911" width="37.85546875" style="898" customWidth="1"/>
    <col min="5912" max="6145" width="9.140625" style="898"/>
    <col min="6146" max="6146" width="10.42578125" style="898" customWidth="1"/>
    <col min="6147" max="6147" width="51.28515625" style="898" customWidth="1"/>
    <col min="6148" max="6148" width="9.140625" style="898"/>
    <col min="6149" max="6149" width="8.140625" style="898" customWidth="1"/>
    <col min="6150" max="6150" width="9.42578125" style="898" customWidth="1"/>
    <col min="6151" max="6152" width="9.7109375" style="898" customWidth="1"/>
    <col min="6153" max="6154" width="10" style="898" customWidth="1"/>
    <col min="6155" max="6155" width="10.7109375" style="898" customWidth="1"/>
    <col min="6156" max="6156" width="10.140625" style="898" customWidth="1"/>
    <col min="6157" max="6164" width="9.140625" style="898" customWidth="1"/>
    <col min="6165" max="6165" width="9.28515625" style="898" customWidth="1"/>
    <col min="6166" max="6166" width="17.5703125" style="898" customWidth="1"/>
    <col min="6167" max="6167" width="37.85546875" style="898" customWidth="1"/>
    <col min="6168" max="6401" width="9.140625" style="898"/>
    <col min="6402" max="6402" width="10.42578125" style="898" customWidth="1"/>
    <col min="6403" max="6403" width="51.28515625" style="898" customWidth="1"/>
    <col min="6404" max="6404" width="9.140625" style="898"/>
    <col min="6405" max="6405" width="8.140625" style="898" customWidth="1"/>
    <col min="6406" max="6406" width="9.42578125" style="898" customWidth="1"/>
    <col min="6407" max="6408" width="9.7109375" style="898" customWidth="1"/>
    <col min="6409" max="6410" width="10" style="898" customWidth="1"/>
    <col min="6411" max="6411" width="10.7109375" style="898" customWidth="1"/>
    <col min="6412" max="6412" width="10.140625" style="898" customWidth="1"/>
    <col min="6413" max="6420" width="9.140625" style="898" customWidth="1"/>
    <col min="6421" max="6421" width="9.28515625" style="898" customWidth="1"/>
    <col min="6422" max="6422" width="17.5703125" style="898" customWidth="1"/>
    <col min="6423" max="6423" width="37.85546875" style="898" customWidth="1"/>
    <col min="6424" max="6657" width="9.140625" style="898"/>
    <col min="6658" max="6658" width="10.42578125" style="898" customWidth="1"/>
    <col min="6659" max="6659" width="51.28515625" style="898" customWidth="1"/>
    <col min="6660" max="6660" width="9.140625" style="898"/>
    <col min="6661" max="6661" width="8.140625" style="898" customWidth="1"/>
    <col min="6662" max="6662" width="9.42578125" style="898" customWidth="1"/>
    <col min="6663" max="6664" width="9.7109375" style="898" customWidth="1"/>
    <col min="6665" max="6666" width="10" style="898" customWidth="1"/>
    <col min="6667" max="6667" width="10.7109375" style="898" customWidth="1"/>
    <col min="6668" max="6668" width="10.140625" style="898" customWidth="1"/>
    <col min="6669" max="6676" width="9.140625" style="898" customWidth="1"/>
    <col min="6677" max="6677" width="9.28515625" style="898" customWidth="1"/>
    <col min="6678" max="6678" width="17.5703125" style="898" customWidth="1"/>
    <col min="6679" max="6679" width="37.85546875" style="898" customWidth="1"/>
    <col min="6680" max="6913" width="9.140625" style="898"/>
    <col min="6914" max="6914" width="10.42578125" style="898" customWidth="1"/>
    <col min="6915" max="6915" width="51.28515625" style="898" customWidth="1"/>
    <col min="6916" max="6916" width="9.140625" style="898"/>
    <col min="6917" max="6917" width="8.140625" style="898" customWidth="1"/>
    <col min="6918" max="6918" width="9.42578125" style="898" customWidth="1"/>
    <col min="6919" max="6920" width="9.7109375" style="898" customWidth="1"/>
    <col min="6921" max="6922" width="10" style="898" customWidth="1"/>
    <col min="6923" max="6923" width="10.7109375" style="898" customWidth="1"/>
    <col min="6924" max="6924" width="10.140625" style="898" customWidth="1"/>
    <col min="6925" max="6932" width="9.140625" style="898" customWidth="1"/>
    <col min="6933" max="6933" width="9.28515625" style="898" customWidth="1"/>
    <col min="6934" max="6934" width="17.5703125" style="898" customWidth="1"/>
    <col min="6935" max="6935" width="37.85546875" style="898" customWidth="1"/>
    <col min="6936" max="7169" width="9.140625" style="898"/>
    <col min="7170" max="7170" width="10.42578125" style="898" customWidth="1"/>
    <col min="7171" max="7171" width="51.28515625" style="898" customWidth="1"/>
    <col min="7172" max="7172" width="9.140625" style="898"/>
    <col min="7173" max="7173" width="8.140625" style="898" customWidth="1"/>
    <col min="7174" max="7174" width="9.42578125" style="898" customWidth="1"/>
    <col min="7175" max="7176" width="9.7109375" style="898" customWidth="1"/>
    <col min="7177" max="7178" width="10" style="898" customWidth="1"/>
    <col min="7179" max="7179" width="10.7109375" style="898" customWidth="1"/>
    <col min="7180" max="7180" width="10.140625" style="898" customWidth="1"/>
    <col min="7181" max="7188" width="9.140625" style="898" customWidth="1"/>
    <col min="7189" max="7189" width="9.28515625" style="898" customWidth="1"/>
    <col min="7190" max="7190" width="17.5703125" style="898" customWidth="1"/>
    <col min="7191" max="7191" width="37.85546875" style="898" customWidth="1"/>
    <col min="7192" max="7425" width="9.140625" style="898"/>
    <col min="7426" max="7426" width="10.42578125" style="898" customWidth="1"/>
    <col min="7427" max="7427" width="51.28515625" style="898" customWidth="1"/>
    <col min="7428" max="7428" width="9.140625" style="898"/>
    <col min="7429" max="7429" width="8.140625" style="898" customWidth="1"/>
    <col min="7430" max="7430" width="9.42578125" style="898" customWidth="1"/>
    <col min="7431" max="7432" width="9.7109375" style="898" customWidth="1"/>
    <col min="7433" max="7434" width="10" style="898" customWidth="1"/>
    <col min="7435" max="7435" width="10.7109375" style="898" customWidth="1"/>
    <col min="7436" max="7436" width="10.140625" style="898" customWidth="1"/>
    <col min="7437" max="7444" width="9.140625" style="898" customWidth="1"/>
    <col min="7445" max="7445" width="9.28515625" style="898" customWidth="1"/>
    <col min="7446" max="7446" width="17.5703125" style="898" customWidth="1"/>
    <col min="7447" max="7447" width="37.85546875" style="898" customWidth="1"/>
    <col min="7448" max="7681" width="9.140625" style="898"/>
    <col min="7682" max="7682" width="10.42578125" style="898" customWidth="1"/>
    <col min="7683" max="7683" width="51.28515625" style="898" customWidth="1"/>
    <col min="7684" max="7684" width="9.140625" style="898"/>
    <col min="7685" max="7685" width="8.140625" style="898" customWidth="1"/>
    <col min="7686" max="7686" width="9.42578125" style="898" customWidth="1"/>
    <col min="7687" max="7688" width="9.7109375" style="898" customWidth="1"/>
    <col min="7689" max="7690" width="10" style="898" customWidth="1"/>
    <col min="7691" max="7691" width="10.7109375" style="898" customWidth="1"/>
    <col min="7692" max="7692" width="10.140625" style="898" customWidth="1"/>
    <col min="7693" max="7700" width="9.140625" style="898" customWidth="1"/>
    <col min="7701" max="7701" width="9.28515625" style="898" customWidth="1"/>
    <col min="7702" max="7702" width="17.5703125" style="898" customWidth="1"/>
    <col min="7703" max="7703" width="37.85546875" style="898" customWidth="1"/>
    <col min="7704" max="7937" width="9.140625" style="898"/>
    <col min="7938" max="7938" width="10.42578125" style="898" customWidth="1"/>
    <col min="7939" max="7939" width="51.28515625" style="898" customWidth="1"/>
    <col min="7940" max="7940" width="9.140625" style="898"/>
    <col min="7941" max="7941" width="8.140625" style="898" customWidth="1"/>
    <col min="7942" max="7942" width="9.42578125" style="898" customWidth="1"/>
    <col min="7943" max="7944" width="9.7109375" style="898" customWidth="1"/>
    <col min="7945" max="7946" width="10" style="898" customWidth="1"/>
    <col min="7947" max="7947" width="10.7109375" style="898" customWidth="1"/>
    <col min="7948" max="7948" width="10.140625" style="898" customWidth="1"/>
    <col min="7949" max="7956" width="9.140625" style="898" customWidth="1"/>
    <col min="7957" max="7957" width="9.28515625" style="898" customWidth="1"/>
    <col min="7958" max="7958" width="17.5703125" style="898" customWidth="1"/>
    <col min="7959" max="7959" width="37.85546875" style="898" customWidth="1"/>
    <col min="7960" max="8193" width="9.140625" style="898"/>
    <col min="8194" max="8194" width="10.42578125" style="898" customWidth="1"/>
    <col min="8195" max="8195" width="51.28515625" style="898" customWidth="1"/>
    <col min="8196" max="8196" width="9.140625" style="898"/>
    <col min="8197" max="8197" width="8.140625" style="898" customWidth="1"/>
    <col min="8198" max="8198" width="9.42578125" style="898" customWidth="1"/>
    <col min="8199" max="8200" width="9.7109375" style="898" customWidth="1"/>
    <col min="8201" max="8202" width="10" style="898" customWidth="1"/>
    <col min="8203" max="8203" width="10.7109375" style="898" customWidth="1"/>
    <col min="8204" max="8204" width="10.140625" style="898" customWidth="1"/>
    <col min="8205" max="8212" width="9.140625" style="898" customWidth="1"/>
    <col min="8213" max="8213" width="9.28515625" style="898" customWidth="1"/>
    <col min="8214" max="8214" width="17.5703125" style="898" customWidth="1"/>
    <col min="8215" max="8215" width="37.85546875" style="898" customWidth="1"/>
    <col min="8216" max="8449" width="9.140625" style="898"/>
    <col min="8450" max="8450" width="10.42578125" style="898" customWidth="1"/>
    <col min="8451" max="8451" width="51.28515625" style="898" customWidth="1"/>
    <col min="8452" max="8452" width="9.140625" style="898"/>
    <col min="8453" max="8453" width="8.140625" style="898" customWidth="1"/>
    <col min="8454" max="8454" width="9.42578125" style="898" customWidth="1"/>
    <col min="8455" max="8456" width="9.7109375" style="898" customWidth="1"/>
    <col min="8457" max="8458" width="10" style="898" customWidth="1"/>
    <col min="8459" max="8459" width="10.7109375" style="898" customWidth="1"/>
    <col min="8460" max="8460" width="10.140625" style="898" customWidth="1"/>
    <col min="8461" max="8468" width="9.140625" style="898" customWidth="1"/>
    <col min="8469" max="8469" width="9.28515625" style="898" customWidth="1"/>
    <col min="8470" max="8470" width="17.5703125" style="898" customWidth="1"/>
    <col min="8471" max="8471" width="37.85546875" style="898" customWidth="1"/>
    <col min="8472" max="8705" width="9.140625" style="898"/>
    <col min="8706" max="8706" width="10.42578125" style="898" customWidth="1"/>
    <col min="8707" max="8707" width="51.28515625" style="898" customWidth="1"/>
    <col min="8708" max="8708" width="9.140625" style="898"/>
    <col min="8709" max="8709" width="8.140625" style="898" customWidth="1"/>
    <col min="8710" max="8710" width="9.42578125" style="898" customWidth="1"/>
    <col min="8711" max="8712" width="9.7109375" style="898" customWidth="1"/>
    <col min="8713" max="8714" width="10" style="898" customWidth="1"/>
    <col min="8715" max="8715" width="10.7109375" style="898" customWidth="1"/>
    <col min="8716" max="8716" width="10.140625" style="898" customWidth="1"/>
    <col min="8717" max="8724" width="9.140625" style="898" customWidth="1"/>
    <col min="8725" max="8725" width="9.28515625" style="898" customWidth="1"/>
    <col min="8726" max="8726" width="17.5703125" style="898" customWidth="1"/>
    <col min="8727" max="8727" width="37.85546875" style="898" customWidth="1"/>
    <col min="8728" max="8961" width="9.140625" style="898"/>
    <col min="8962" max="8962" width="10.42578125" style="898" customWidth="1"/>
    <col min="8963" max="8963" width="51.28515625" style="898" customWidth="1"/>
    <col min="8964" max="8964" width="9.140625" style="898"/>
    <col min="8965" max="8965" width="8.140625" style="898" customWidth="1"/>
    <col min="8966" max="8966" width="9.42578125" style="898" customWidth="1"/>
    <col min="8967" max="8968" width="9.7109375" style="898" customWidth="1"/>
    <col min="8969" max="8970" width="10" style="898" customWidth="1"/>
    <col min="8971" max="8971" width="10.7109375" style="898" customWidth="1"/>
    <col min="8972" max="8972" width="10.140625" style="898" customWidth="1"/>
    <col min="8973" max="8980" width="9.140625" style="898" customWidth="1"/>
    <col min="8981" max="8981" width="9.28515625" style="898" customWidth="1"/>
    <col min="8982" max="8982" width="17.5703125" style="898" customWidth="1"/>
    <col min="8983" max="8983" width="37.85546875" style="898" customWidth="1"/>
    <col min="8984" max="9217" width="9.140625" style="898"/>
    <col min="9218" max="9218" width="10.42578125" style="898" customWidth="1"/>
    <col min="9219" max="9219" width="51.28515625" style="898" customWidth="1"/>
    <col min="9220" max="9220" width="9.140625" style="898"/>
    <col min="9221" max="9221" width="8.140625" style="898" customWidth="1"/>
    <col min="9222" max="9222" width="9.42578125" style="898" customWidth="1"/>
    <col min="9223" max="9224" width="9.7109375" style="898" customWidth="1"/>
    <col min="9225" max="9226" width="10" style="898" customWidth="1"/>
    <col min="9227" max="9227" width="10.7109375" style="898" customWidth="1"/>
    <col min="9228" max="9228" width="10.140625" style="898" customWidth="1"/>
    <col min="9229" max="9236" width="9.140625" style="898" customWidth="1"/>
    <col min="9237" max="9237" width="9.28515625" style="898" customWidth="1"/>
    <col min="9238" max="9238" width="17.5703125" style="898" customWidth="1"/>
    <col min="9239" max="9239" width="37.85546875" style="898" customWidth="1"/>
    <col min="9240" max="9473" width="9.140625" style="898"/>
    <col min="9474" max="9474" width="10.42578125" style="898" customWidth="1"/>
    <col min="9475" max="9475" width="51.28515625" style="898" customWidth="1"/>
    <col min="9476" max="9476" width="9.140625" style="898"/>
    <col min="9477" max="9477" width="8.140625" style="898" customWidth="1"/>
    <col min="9478" max="9478" width="9.42578125" style="898" customWidth="1"/>
    <col min="9479" max="9480" width="9.7109375" style="898" customWidth="1"/>
    <col min="9481" max="9482" width="10" style="898" customWidth="1"/>
    <col min="9483" max="9483" width="10.7109375" style="898" customWidth="1"/>
    <col min="9484" max="9484" width="10.140625" style="898" customWidth="1"/>
    <col min="9485" max="9492" width="9.140625" style="898" customWidth="1"/>
    <col min="9493" max="9493" width="9.28515625" style="898" customWidth="1"/>
    <col min="9494" max="9494" width="17.5703125" style="898" customWidth="1"/>
    <col min="9495" max="9495" width="37.85546875" style="898" customWidth="1"/>
    <col min="9496" max="9729" width="9.140625" style="898"/>
    <col min="9730" max="9730" width="10.42578125" style="898" customWidth="1"/>
    <col min="9731" max="9731" width="51.28515625" style="898" customWidth="1"/>
    <col min="9732" max="9732" width="9.140625" style="898"/>
    <col min="9733" max="9733" width="8.140625" style="898" customWidth="1"/>
    <col min="9734" max="9734" width="9.42578125" style="898" customWidth="1"/>
    <col min="9735" max="9736" width="9.7109375" style="898" customWidth="1"/>
    <col min="9737" max="9738" width="10" style="898" customWidth="1"/>
    <col min="9739" max="9739" width="10.7109375" style="898" customWidth="1"/>
    <col min="9740" max="9740" width="10.140625" style="898" customWidth="1"/>
    <col min="9741" max="9748" width="9.140625" style="898" customWidth="1"/>
    <col min="9749" max="9749" width="9.28515625" style="898" customWidth="1"/>
    <col min="9750" max="9750" width="17.5703125" style="898" customWidth="1"/>
    <col min="9751" max="9751" width="37.85546875" style="898" customWidth="1"/>
    <col min="9752" max="9985" width="9.140625" style="898"/>
    <col min="9986" max="9986" width="10.42578125" style="898" customWidth="1"/>
    <col min="9987" max="9987" width="51.28515625" style="898" customWidth="1"/>
    <col min="9988" max="9988" width="9.140625" style="898"/>
    <col min="9989" max="9989" width="8.140625" style="898" customWidth="1"/>
    <col min="9990" max="9990" width="9.42578125" style="898" customWidth="1"/>
    <col min="9991" max="9992" width="9.7109375" style="898" customWidth="1"/>
    <col min="9993" max="9994" width="10" style="898" customWidth="1"/>
    <col min="9995" max="9995" width="10.7109375" style="898" customWidth="1"/>
    <col min="9996" max="9996" width="10.140625" style="898" customWidth="1"/>
    <col min="9997" max="10004" width="9.140625" style="898" customWidth="1"/>
    <col min="10005" max="10005" width="9.28515625" style="898" customWidth="1"/>
    <col min="10006" max="10006" width="17.5703125" style="898" customWidth="1"/>
    <col min="10007" max="10007" width="37.85546875" style="898" customWidth="1"/>
    <col min="10008" max="10241" width="9.140625" style="898"/>
    <col min="10242" max="10242" width="10.42578125" style="898" customWidth="1"/>
    <col min="10243" max="10243" width="51.28515625" style="898" customWidth="1"/>
    <col min="10244" max="10244" width="9.140625" style="898"/>
    <col min="10245" max="10245" width="8.140625" style="898" customWidth="1"/>
    <col min="10246" max="10246" width="9.42578125" style="898" customWidth="1"/>
    <col min="10247" max="10248" width="9.7109375" style="898" customWidth="1"/>
    <col min="10249" max="10250" width="10" style="898" customWidth="1"/>
    <col min="10251" max="10251" width="10.7109375" style="898" customWidth="1"/>
    <col min="10252" max="10252" width="10.140625" style="898" customWidth="1"/>
    <col min="10253" max="10260" width="9.140625" style="898" customWidth="1"/>
    <col min="10261" max="10261" width="9.28515625" style="898" customWidth="1"/>
    <col min="10262" max="10262" width="17.5703125" style="898" customWidth="1"/>
    <col min="10263" max="10263" width="37.85546875" style="898" customWidth="1"/>
    <col min="10264" max="10497" width="9.140625" style="898"/>
    <col min="10498" max="10498" width="10.42578125" style="898" customWidth="1"/>
    <col min="10499" max="10499" width="51.28515625" style="898" customWidth="1"/>
    <col min="10500" max="10500" width="9.140625" style="898"/>
    <col min="10501" max="10501" width="8.140625" style="898" customWidth="1"/>
    <col min="10502" max="10502" width="9.42578125" style="898" customWidth="1"/>
    <col min="10503" max="10504" width="9.7109375" style="898" customWidth="1"/>
    <col min="10505" max="10506" width="10" style="898" customWidth="1"/>
    <col min="10507" max="10507" width="10.7109375" style="898" customWidth="1"/>
    <col min="10508" max="10508" width="10.140625" style="898" customWidth="1"/>
    <col min="10509" max="10516" width="9.140625" style="898" customWidth="1"/>
    <col min="10517" max="10517" width="9.28515625" style="898" customWidth="1"/>
    <col min="10518" max="10518" width="17.5703125" style="898" customWidth="1"/>
    <col min="10519" max="10519" width="37.85546875" style="898" customWidth="1"/>
    <col min="10520" max="10753" width="9.140625" style="898"/>
    <col min="10754" max="10754" width="10.42578125" style="898" customWidth="1"/>
    <col min="10755" max="10755" width="51.28515625" style="898" customWidth="1"/>
    <col min="10756" max="10756" width="9.140625" style="898"/>
    <col min="10757" max="10757" width="8.140625" style="898" customWidth="1"/>
    <col min="10758" max="10758" width="9.42578125" style="898" customWidth="1"/>
    <col min="10759" max="10760" width="9.7109375" style="898" customWidth="1"/>
    <col min="10761" max="10762" width="10" style="898" customWidth="1"/>
    <col min="10763" max="10763" width="10.7109375" style="898" customWidth="1"/>
    <col min="10764" max="10764" width="10.140625" style="898" customWidth="1"/>
    <col min="10765" max="10772" width="9.140625" style="898" customWidth="1"/>
    <col min="10773" max="10773" width="9.28515625" style="898" customWidth="1"/>
    <col min="10774" max="10774" width="17.5703125" style="898" customWidth="1"/>
    <col min="10775" max="10775" width="37.85546875" style="898" customWidth="1"/>
    <col min="10776" max="11009" width="9.140625" style="898"/>
    <col min="11010" max="11010" width="10.42578125" style="898" customWidth="1"/>
    <col min="11011" max="11011" width="51.28515625" style="898" customWidth="1"/>
    <col min="11012" max="11012" width="9.140625" style="898"/>
    <col min="11013" max="11013" width="8.140625" style="898" customWidth="1"/>
    <col min="11014" max="11014" width="9.42578125" style="898" customWidth="1"/>
    <col min="11015" max="11016" width="9.7109375" style="898" customWidth="1"/>
    <col min="11017" max="11018" width="10" style="898" customWidth="1"/>
    <col min="11019" max="11019" width="10.7109375" style="898" customWidth="1"/>
    <col min="11020" max="11020" width="10.140625" style="898" customWidth="1"/>
    <col min="11021" max="11028" width="9.140625" style="898" customWidth="1"/>
    <col min="11029" max="11029" width="9.28515625" style="898" customWidth="1"/>
    <col min="11030" max="11030" width="17.5703125" style="898" customWidth="1"/>
    <col min="11031" max="11031" width="37.85546875" style="898" customWidth="1"/>
    <col min="11032" max="11265" width="9.140625" style="898"/>
    <col min="11266" max="11266" width="10.42578125" style="898" customWidth="1"/>
    <col min="11267" max="11267" width="51.28515625" style="898" customWidth="1"/>
    <col min="11268" max="11268" width="9.140625" style="898"/>
    <col min="11269" max="11269" width="8.140625" style="898" customWidth="1"/>
    <col min="11270" max="11270" width="9.42578125" style="898" customWidth="1"/>
    <col min="11271" max="11272" width="9.7109375" style="898" customWidth="1"/>
    <col min="11273" max="11274" width="10" style="898" customWidth="1"/>
    <col min="11275" max="11275" width="10.7109375" style="898" customWidth="1"/>
    <col min="11276" max="11276" width="10.140625" style="898" customWidth="1"/>
    <col min="11277" max="11284" width="9.140625" style="898" customWidth="1"/>
    <col min="11285" max="11285" width="9.28515625" style="898" customWidth="1"/>
    <col min="11286" max="11286" width="17.5703125" style="898" customWidth="1"/>
    <col min="11287" max="11287" width="37.85546875" style="898" customWidth="1"/>
    <col min="11288" max="11521" width="9.140625" style="898"/>
    <col min="11522" max="11522" width="10.42578125" style="898" customWidth="1"/>
    <col min="11523" max="11523" width="51.28515625" style="898" customWidth="1"/>
    <col min="11524" max="11524" width="9.140625" style="898"/>
    <col min="11525" max="11525" width="8.140625" style="898" customWidth="1"/>
    <col min="11526" max="11526" width="9.42578125" style="898" customWidth="1"/>
    <col min="11527" max="11528" width="9.7109375" style="898" customWidth="1"/>
    <col min="11529" max="11530" width="10" style="898" customWidth="1"/>
    <col min="11531" max="11531" width="10.7109375" style="898" customWidth="1"/>
    <col min="11532" max="11532" width="10.140625" style="898" customWidth="1"/>
    <col min="11533" max="11540" width="9.140625" style="898" customWidth="1"/>
    <col min="11541" max="11541" width="9.28515625" style="898" customWidth="1"/>
    <col min="11542" max="11542" width="17.5703125" style="898" customWidth="1"/>
    <col min="11543" max="11543" width="37.85546875" style="898" customWidth="1"/>
    <col min="11544" max="11777" width="9.140625" style="898"/>
    <col min="11778" max="11778" width="10.42578125" style="898" customWidth="1"/>
    <col min="11779" max="11779" width="51.28515625" style="898" customWidth="1"/>
    <col min="11780" max="11780" width="9.140625" style="898"/>
    <col min="11781" max="11781" width="8.140625" style="898" customWidth="1"/>
    <col min="11782" max="11782" width="9.42578125" style="898" customWidth="1"/>
    <col min="11783" max="11784" width="9.7109375" style="898" customWidth="1"/>
    <col min="11785" max="11786" width="10" style="898" customWidth="1"/>
    <col min="11787" max="11787" width="10.7109375" style="898" customWidth="1"/>
    <col min="11788" max="11788" width="10.140625" style="898" customWidth="1"/>
    <col min="11789" max="11796" width="9.140625" style="898" customWidth="1"/>
    <col min="11797" max="11797" width="9.28515625" style="898" customWidth="1"/>
    <col min="11798" max="11798" width="17.5703125" style="898" customWidth="1"/>
    <col min="11799" max="11799" width="37.85546875" style="898" customWidth="1"/>
    <col min="11800" max="12033" width="9.140625" style="898"/>
    <col min="12034" max="12034" width="10.42578125" style="898" customWidth="1"/>
    <col min="12035" max="12035" width="51.28515625" style="898" customWidth="1"/>
    <col min="12036" max="12036" width="9.140625" style="898"/>
    <col min="12037" max="12037" width="8.140625" style="898" customWidth="1"/>
    <col min="12038" max="12038" width="9.42578125" style="898" customWidth="1"/>
    <col min="12039" max="12040" width="9.7109375" style="898" customWidth="1"/>
    <col min="12041" max="12042" width="10" style="898" customWidth="1"/>
    <col min="12043" max="12043" width="10.7109375" style="898" customWidth="1"/>
    <col min="12044" max="12044" width="10.140625" style="898" customWidth="1"/>
    <col min="12045" max="12052" width="9.140625" style="898" customWidth="1"/>
    <col min="12053" max="12053" width="9.28515625" style="898" customWidth="1"/>
    <col min="12054" max="12054" width="17.5703125" style="898" customWidth="1"/>
    <col min="12055" max="12055" width="37.85546875" style="898" customWidth="1"/>
    <col min="12056" max="12289" width="9.140625" style="898"/>
    <col min="12290" max="12290" width="10.42578125" style="898" customWidth="1"/>
    <col min="12291" max="12291" width="51.28515625" style="898" customWidth="1"/>
    <col min="12292" max="12292" width="9.140625" style="898"/>
    <col min="12293" max="12293" width="8.140625" style="898" customWidth="1"/>
    <col min="12294" max="12294" width="9.42578125" style="898" customWidth="1"/>
    <col min="12295" max="12296" width="9.7109375" style="898" customWidth="1"/>
    <col min="12297" max="12298" width="10" style="898" customWidth="1"/>
    <col min="12299" max="12299" width="10.7109375" style="898" customWidth="1"/>
    <col min="12300" max="12300" width="10.140625" style="898" customWidth="1"/>
    <col min="12301" max="12308" width="9.140625" style="898" customWidth="1"/>
    <col min="12309" max="12309" width="9.28515625" style="898" customWidth="1"/>
    <col min="12310" max="12310" width="17.5703125" style="898" customWidth="1"/>
    <col min="12311" max="12311" width="37.85546875" style="898" customWidth="1"/>
    <col min="12312" max="12545" width="9.140625" style="898"/>
    <col min="12546" max="12546" width="10.42578125" style="898" customWidth="1"/>
    <col min="12547" max="12547" width="51.28515625" style="898" customWidth="1"/>
    <col min="12548" max="12548" width="9.140625" style="898"/>
    <col min="12549" max="12549" width="8.140625" style="898" customWidth="1"/>
    <col min="12550" max="12550" width="9.42578125" style="898" customWidth="1"/>
    <col min="12551" max="12552" width="9.7109375" style="898" customWidth="1"/>
    <col min="12553" max="12554" width="10" style="898" customWidth="1"/>
    <col min="12555" max="12555" width="10.7109375" style="898" customWidth="1"/>
    <col min="12556" max="12556" width="10.140625" style="898" customWidth="1"/>
    <col min="12557" max="12564" width="9.140625" style="898" customWidth="1"/>
    <col min="12565" max="12565" width="9.28515625" style="898" customWidth="1"/>
    <col min="12566" max="12566" width="17.5703125" style="898" customWidth="1"/>
    <col min="12567" max="12567" width="37.85546875" style="898" customWidth="1"/>
    <col min="12568" max="12801" width="9.140625" style="898"/>
    <col min="12802" max="12802" width="10.42578125" style="898" customWidth="1"/>
    <col min="12803" max="12803" width="51.28515625" style="898" customWidth="1"/>
    <col min="12804" max="12804" width="9.140625" style="898"/>
    <col min="12805" max="12805" width="8.140625" style="898" customWidth="1"/>
    <col min="12806" max="12806" width="9.42578125" style="898" customWidth="1"/>
    <col min="12807" max="12808" width="9.7109375" style="898" customWidth="1"/>
    <col min="12809" max="12810" width="10" style="898" customWidth="1"/>
    <col min="12811" max="12811" width="10.7109375" style="898" customWidth="1"/>
    <col min="12812" max="12812" width="10.140625" style="898" customWidth="1"/>
    <col min="12813" max="12820" width="9.140625" style="898" customWidth="1"/>
    <col min="12821" max="12821" width="9.28515625" style="898" customWidth="1"/>
    <col min="12822" max="12822" width="17.5703125" style="898" customWidth="1"/>
    <col min="12823" max="12823" width="37.85546875" style="898" customWidth="1"/>
    <col min="12824" max="13057" width="9.140625" style="898"/>
    <col min="13058" max="13058" width="10.42578125" style="898" customWidth="1"/>
    <col min="13059" max="13059" width="51.28515625" style="898" customWidth="1"/>
    <col min="13060" max="13060" width="9.140625" style="898"/>
    <col min="13061" max="13061" width="8.140625" style="898" customWidth="1"/>
    <col min="13062" max="13062" width="9.42578125" style="898" customWidth="1"/>
    <col min="13063" max="13064" width="9.7109375" style="898" customWidth="1"/>
    <col min="13065" max="13066" width="10" style="898" customWidth="1"/>
    <col min="13067" max="13067" width="10.7109375" style="898" customWidth="1"/>
    <col min="13068" max="13068" width="10.140625" style="898" customWidth="1"/>
    <col min="13069" max="13076" width="9.140625" style="898" customWidth="1"/>
    <col min="13077" max="13077" width="9.28515625" style="898" customWidth="1"/>
    <col min="13078" max="13078" width="17.5703125" style="898" customWidth="1"/>
    <col min="13079" max="13079" width="37.85546875" style="898" customWidth="1"/>
    <col min="13080" max="13313" width="9.140625" style="898"/>
    <col min="13314" max="13314" width="10.42578125" style="898" customWidth="1"/>
    <col min="13315" max="13315" width="51.28515625" style="898" customWidth="1"/>
    <col min="13316" max="13316" width="9.140625" style="898"/>
    <col min="13317" max="13317" width="8.140625" style="898" customWidth="1"/>
    <col min="13318" max="13318" width="9.42578125" style="898" customWidth="1"/>
    <col min="13319" max="13320" width="9.7109375" style="898" customWidth="1"/>
    <col min="13321" max="13322" width="10" style="898" customWidth="1"/>
    <col min="13323" max="13323" width="10.7109375" style="898" customWidth="1"/>
    <col min="13324" max="13324" width="10.140625" style="898" customWidth="1"/>
    <col min="13325" max="13332" width="9.140625" style="898" customWidth="1"/>
    <col min="13333" max="13333" width="9.28515625" style="898" customWidth="1"/>
    <col min="13334" max="13334" width="17.5703125" style="898" customWidth="1"/>
    <col min="13335" max="13335" width="37.85546875" style="898" customWidth="1"/>
    <col min="13336" max="13569" width="9.140625" style="898"/>
    <col min="13570" max="13570" width="10.42578125" style="898" customWidth="1"/>
    <col min="13571" max="13571" width="51.28515625" style="898" customWidth="1"/>
    <col min="13572" max="13572" width="9.140625" style="898"/>
    <col min="13573" max="13573" width="8.140625" style="898" customWidth="1"/>
    <col min="13574" max="13574" width="9.42578125" style="898" customWidth="1"/>
    <col min="13575" max="13576" width="9.7109375" style="898" customWidth="1"/>
    <col min="13577" max="13578" width="10" style="898" customWidth="1"/>
    <col min="13579" max="13579" width="10.7109375" style="898" customWidth="1"/>
    <col min="13580" max="13580" width="10.140625" style="898" customWidth="1"/>
    <col min="13581" max="13588" width="9.140625" style="898" customWidth="1"/>
    <col min="13589" max="13589" width="9.28515625" style="898" customWidth="1"/>
    <col min="13590" max="13590" width="17.5703125" style="898" customWidth="1"/>
    <col min="13591" max="13591" width="37.85546875" style="898" customWidth="1"/>
    <col min="13592" max="13825" width="9.140625" style="898"/>
    <col min="13826" max="13826" width="10.42578125" style="898" customWidth="1"/>
    <col min="13827" max="13827" width="51.28515625" style="898" customWidth="1"/>
    <col min="13828" max="13828" width="9.140625" style="898"/>
    <col min="13829" max="13829" width="8.140625" style="898" customWidth="1"/>
    <col min="13830" max="13830" width="9.42578125" style="898" customWidth="1"/>
    <col min="13831" max="13832" width="9.7109375" style="898" customWidth="1"/>
    <col min="13833" max="13834" width="10" style="898" customWidth="1"/>
    <col min="13835" max="13835" width="10.7109375" style="898" customWidth="1"/>
    <col min="13836" max="13836" width="10.140625" style="898" customWidth="1"/>
    <col min="13837" max="13844" width="9.140625" style="898" customWidth="1"/>
    <col min="13845" max="13845" width="9.28515625" style="898" customWidth="1"/>
    <col min="13846" max="13846" width="17.5703125" style="898" customWidth="1"/>
    <col min="13847" max="13847" width="37.85546875" style="898" customWidth="1"/>
    <col min="13848" max="14081" width="9.140625" style="898"/>
    <col min="14082" max="14082" width="10.42578125" style="898" customWidth="1"/>
    <col min="14083" max="14083" width="51.28515625" style="898" customWidth="1"/>
    <col min="14084" max="14084" width="9.140625" style="898"/>
    <col min="14085" max="14085" width="8.140625" style="898" customWidth="1"/>
    <col min="14086" max="14086" width="9.42578125" style="898" customWidth="1"/>
    <col min="14087" max="14088" width="9.7109375" style="898" customWidth="1"/>
    <col min="14089" max="14090" width="10" style="898" customWidth="1"/>
    <col min="14091" max="14091" width="10.7109375" style="898" customWidth="1"/>
    <col min="14092" max="14092" width="10.140625" style="898" customWidth="1"/>
    <col min="14093" max="14100" width="9.140625" style="898" customWidth="1"/>
    <col min="14101" max="14101" width="9.28515625" style="898" customWidth="1"/>
    <col min="14102" max="14102" width="17.5703125" style="898" customWidth="1"/>
    <col min="14103" max="14103" width="37.85546875" style="898" customWidth="1"/>
    <col min="14104" max="14337" width="9.140625" style="898"/>
    <col min="14338" max="14338" width="10.42578125" style="898" customWidth="1"/>
    <col min="14339" max="14339" width="51.28515625" style="898" customWidth="1"/>
    <col min="14340" max="14340" width="9.140625" style="898"/>
    <col min="14341" max="14341" width="8.140625" style="898" customWidth="1"/>
    <col min="14342" max="14342" width="9.42578125" style="898" customWidth="1"/>
    <col min="14343" max="14344" width="9.7109375" style="898" customWidth="1"/>
    <col min="14345" max="14346" width="10" style="898" customWidth="1"/>
    <col min="14347" max="14347" width="10.7109375" style="898" customWidth="1"/>
    <col min="14348" max="14348" width="10.140625" style="898" customWidth="1"/>
    <col min="14349" max="14356" width="9.140625" style="898" customWidth="1"/>
    <col min="14357" max="14357" width="9.28515625" style="898" customWidth="1"/>
    <col min="14358" max="14358" width="17.5703125" style="898" customWidth="1"/>
    <col min="14359" max="14359" width="37.85546875" style="898" customWidth="1"/>
    <col min="14360" max="14593" width="9.140625" style="898"/>
    <col min="14594" max="14594" width="10.42578125" style="898" customWidth="1"/>
    <col min="14595" max="14595" width="51.28515625" style="898" customWidth="1"/>
    <col min="14596" max="14596" width="9.140625" style="898"/>
    <col min="14597" max="14597" width="8.140625" style="898" customWidth="1"/>
    <col min="14598" max="14598" width="9.42578125" style="898" customWidth="1"/>
    <col min="14599" max="14600" width="9.7109375" style="898" customWidth="1"/>
    <col min="14601" max="14602" width="10" style="898" customWidth="1"/>
    <col min="14603" max="14603" width="10.7109375" style="898" customWidth="1"/>
    <col min="14604" max="14604" width="10.140625" style="898" customWidth="1"/>
    <col min="14605" max="14612" width="9.140625" style="898" customWidth="1"/>
    <col min="14613" max="14613" width="9.28515625" style="898" customWidth="1"/>
    <col min="14614" max="14614" width="17.5703125" style="898" customWidth="1"/>
    <col min="14615" max="14615" width="37.85546875" style="898" customWidth="1"/>
    <col min="14616" max="14849" width="9.140625" style="898"/>
    <col min="14850" max="14850" width="10.42578125" style="898" customWidth="1"/>
    <col min="14851" max="14851" width="51.28515625" style="898" customWidth="1"/>
    <col min="14852" max="14852" width="9.140625" style="898"/>
    <col min="14853" max="14853" width="8.140625" style="898" customWidth="1"/>
    <col min="14854" max="14854" width="9.42578125" style="898" customWidth="1"/>
    <col min="14855" max="14856" width="9.7109375" style="898" customWidth="1"/>
    <col min="14857" max="14858" width="10" style="898" customWidth="1"/>
    <col min="14859" max="14859" width="10.7109375" style="898" customWidth="1"/>
    <col min="14860" max="14860" width="10.140625" style="898" customWidth="1"/>
    <col min="14861" max="14868" width="9.140625" style="898" customWidth="1"/>
    <col min="14869" max="14869" width="9.28515625" style="898" customWidth="1"/>
    <col min="14870" max="14870" width="17.5703125" style="898" customWidth="1"/>
    <col min="14871" max="14871" width="37.85546875" style="898" customWidth="1"/>
    <col min="14872" max="15105" width="9.140625" style="898"/>
    <col min="15106" max="15106" width="10.42578125" style="898" customWidth="1"/>
    <col min="15107" max="15107" width="51.28515625" style="898" customWidth="1"/>
    <col min="15108" max="15108" width="9.140625" style="898"/>
    <col min="15109" max="15109" width="8.140625" style="898" customWidth="1"/>
    <col min="15110" max="15110" width="9.42578125" style="898" customWidth="1"/>
    <col min="15111" max="15112" width="9.7109375" style="898" customWidth="1"/>
    <col min="15113" max="15114" width="10" style="898" customWidth="1"/>
    <col min="15115" max="15115" width="10.7109375" style="898" customWidth="1"/>
    <col min="15116" max="15116" width="10.140625" style="898" customWidth="1"/>
    <col min="15117" max="15124" width="9.140625" style="898" customWidth="1"/>
    <col min="15125" max="15125" width="9.28515625" style="898" customWidth="1"/>
    <col min="15126" max="15126" width="17.5703125" style="898" customWidth="1"/>
    <col min="15127" max="15127" width="37.85546875" style="898" customWidth="1"/>
    <col min="15128" max="15361" width="9.140625" style="898"/>
    <col min="15362" max="15362" width="10.42578125" style="898" customWidth="1"/>
    <col min="15363" max="15363" width="51.28515625" style="898" customWidth="1"/>
    <col min="15364" max="15364" width="9.140625" style="898"/>
    <col min="15365" max="15365" width="8.140625" style="898" customWidth="1"/>
    <col min="15366" max="15366" width="9.42578125" style="898" customWidth="1"/>
    <col min="15367" max="15368" width="9.7109375" style="898" customWidth="1"/>
    <col min="15369" max="15370" width="10" style="898" customWidth="1"/>
    <col min="15371" max="15371" width="10.7109375" style="898" customWidth="1"/>
    <col min="15372" max="15372" width="10.140625" style="898" customWidth="1"/>
    <col min="15373" max="15380" width="9.140625" style="898" customWidth="1"/>
    <col min="15381" max="15381" width="9.28515625" style="898" customWidth="1"/>
    <col min="15382" max="15382" width="17.5703125" style="898" customWidth="1"/>
    <col min="15383" max="15383" width="37.85546875" style="898" customWidth="1"/>
    <col min="15384" max="15617" width="9.140625" style="898"/>
    <col min="15618" max="15618" width="10.42578125" style="898" customWidth="1"/>
    <col min="15619" max="15619" width="51.28515625" style="898" customWidth="1"/>
    <col min="15620" max="15620" width="9.140625" style="898"/>
    <col min="15621" max="15621" width="8.140625" style="898" customWidth="1"/>
    <col min="15622" max="15622" width="9.42578125" style="898" customWidth="1"/>
    <col min="15623" max="15624" width="9.7109375" style="898" customWidth="1"/>
    <col min="15625" max="15626" width="10" style="898" customWidth="1"/>
    <col min="15627" max="15627" width="10.7109375" style="898" customWidth="1"/>
    <col min="15628" max="15628" width="10.140625" style="898" customWidth="1"/>
    <col min="15629" max="15636" width="9.140625" style="898" customWidth="1"/>
    <col min="15637" max="15637" width="9.28515625" style="898" customWidth="1"/>
    <col min="15638" max="15638" width="17.5703125" style="898" customWidth="1"/>
    <col min="15639" max="15639" width="37.85546875" style="898" customWidth="1"/>
    <col min="15640" max="15873" width="9.140625" style="898"/>
    <col min="15874" max="15874" width="10.42578125" style="898" customWidth="1"/>
    <col min="15875" max="15875" width="51.28515625" style="898" customWidth="1"/>
    <col min="15876" max="15876" width="9.140625" style="898"/>
    <col min="15877" max="15877" width="8.140625" style="898" customWidth="1"/>
    <col min="15878" max="15878" width="9.42578125" style="898" customWidth="1"/>
    <col min="15879" max="15880" width="9.7109375" style="898" customWidth="1"/>
    <col min="15881" max="15882" width="10" style="898" customWidth="1"/>
    <col min="15883" max="15883" width="10.7109375" style="898" customWidth="1"/>
    <col min="15884" max="15884" width="10.140625" style="898" customWidth="1"/>
    <col min="15885" max="15892" width="9.140625" style="898" customWidth="1"/>
    <col min="15893" max="15893" width="9.28515625" style="898" customWidth="1"/>
    <col min="15894" max="15894" width="17.5703125" style="898" customWidth="1"/>
    <col min="15895" max="15895" width="37.85546875" style="898" customWidth="1"/>
    <col min="15896" max="16129" width="9.140625" style="898"/>
    <col min="16130" max="16130" width="10.42578125" style="898" customWidth="1"/>
    <col min="16131" max="16131" width="51.28515625" style="898" customWidth="1"/>
    <col min="16132" max="16132" width="9.140625" style="898"/>
    <col min="16133" max="16133" width="8.140625" style="898" customWidth="1"/>
    <col min="16134" max="16134" width="9.42578125" style="898" customWidth="1"/>
    <col min="16135" max="16136" width="9.7109375" style="898" customWidth="1"/>
    <col min="16137" max="16138" width="10" style="898" customWidth="1"/>
    <col min="16139" max="16139" width="10.7109375" style="898" customWidth="1"/>
    <col min="16140" max="16140" width="10.140625" style="898" customWidth="1"/>
    <col min="16141" max="16148" width="9.140625" style="898" customWidth="1"/>
    <col min="16149" max="16149" width="9.28515625" style="898" customWidth="1"/>
    <col min="16150" max="16150" width="17.5703125" style="898" customWidth="1"/>
    <col min="16151" max="16151" width="37.85546875" style="898" customWidth="1"/>
    <col min="16152" max="16384" width="9.140625" style="898"/>
  </cols>
  <sheetData>
    <row r="1" spans="1:23">
      <c r="A1" s="1307" t="s">
        <v>183</v>
      </c>
      <c r="B1" s="1307"/>
      <c r="C1" s="1307"/>
      <c r="D1" s="1307"/>
      <c r="E1" s="1307"/>
      <c r="F1" s="1307"/>
      <c r="G1" s="1307"/>
      <c r="H1" s="1307"/>
      <c r="I1" s="1307"/>
      <c r="J1" s="1307"/>
      <c r="K1" s="1307"/>
      <c r="L1" s="1307"/>
      <c r="M1" s="1307"/>
      <c r="N1" s="1307"/>
      <c r="O1" s="1307"/>
      <c r="P1" s="1307"/>
      <c r="Q1" s="1307"/>
      <c r="R1" s="1307"/>
      <c r="S1" s="1307"/>
      <c r="T1" s="1307"/>
      <c r="U1" s="1307"/>
      <c r="V1" s="1262"/>
    </row>
    <row r="2" spans="1:23" s="899" customFormat="1" ht="24" customHeight="1">
      <c r="A2" s="1263" t="s">
        <v>783</v>
      </c>
      <c r="B2" s="1263"/>
      <c r="C2" s="1263"/>
      <c r="D2" s="1263"/>
      <c r="E2" s="1263"/>
      <c r="F2" s="1263"/>
      <c r="G2" s="1263"/>
      <c r="H2" s="1263"/>
      <c r="I2" s="1263"/>
      <c r="J2" s="1263"/>
      <c r="K2" s="1263"/>
      <c r="L2" s="1263"/>
      <c r="M2" s="1263"/>
      <c r="N2" s="1263"/>
      <c r="O2" s="1263"/>
      <c r="P2" s="1263"/>
      <c r="Q2" s="1263"/>
      <c r="R2" s="1263"/>
      <c r="S2" s="1263"/>
      <c r="T2" s="1263"/>
      <c r="U2" s="1263"/>
      <c r="V2" s="1263"/>
      <c r="W2" s="1263"/>
    </row>
    <row r="3" spans="1:23">
      <c r="A3" s="1264" t="s">
        <v>0</v>
      </c>
      <c r="B3" s="1264"/>
      <c r="C3" s="1264"/>
      <c r="D3" s="1264"/>
      <c r="E3" s="1264"/>
      <c r="F3" s="1264"/>
      <c r="G3" s="1264"/>
      <c r="H3" s="1264"/>
      <c r="I3" s="1264"/>
      <c r="J3" s="1264"/>
      <c r="K3" s="1264"/>
      <c r="L3" s="1264"/>
      <c r="M3" s="1264"/>
      <c r="N3" s="1264"/>
      <c r="O3" s="1264"/>
      <c r="P3" s="1264"/>
      <c r="Q3" s="1264"/>
      <c r="R3" s="1264"/>
      <c r="S3" s="1264"/>
      <c r="T3" s="1264"/>
      <c r="U3" s="1264"/>
      <c r="V3" s="1264"/>
      <c r="W3" s="1264"/>
    </row>
    <row r="4" spans="1:23" s="900" customFormat="1" ht="15" customHeight="1">
      <c r="A4" s="1308" t="s">
        <v>1</v>
      </c>
      <c r="B4" s="1309" t="s">
        <v>132</v>
      </c>
      <c r="C4" s="1310" t="s">
        <v>3</v>
      </c>
      <c r="D4" s="1310" t="s">
        <v>361</v>
      </c>
      <c r="E4" s="1310" t="s">
        <v>311</v>
      </c>
      <c r="F4" s="1311" t="s">
        <v>182</v>
      </c>
      <c r="G4" s="1310" t="s">
        <v>133</v>
      </c>
      <c r="H4" s="1310"/>
      <c r="I4" s="1310"/>
      <c r="J4" s="1310"/>
      <c r="K4" s="1310"/>
      <c r="L4" s="1310"/>
      <c r="M4" s="1310"/>
      <c r="N4" s="1310"/>
      <c r="O4" s="1310"/>
      <c r="P4" s="1310"/>
      <c r="Q4" s="1310"/>
      <c r="R4" s="1310"/>
      <c r="S4" s="1310"/>
      <c r="T4" s="1310"/>
      <c r="U4" s="1310"/>
      <c r="V4" s="1316" t="s">
        <v>310</v>
      </c>
      <c r="W4" s="1287" t="s">
        <v>309</v>
      </c>
    </row>
    <row r="5" spans="1:23" s="900" customFormat="1" ht="15" customHeight="1">
      <c r="A5" s="1308"/>
      <c r="B5" s="1309"/>
      <c r="C5" s="1310"/>
      <c r="D5" s="1310"/>
      <c r="E5" s="1310"/>
      <c r="F5" s="1311"/>
      <c r="G5" s="1310"/>
      <c r="H5" s="1310"/>
      <c r="I5" s="1310"/>
      <c r="J5" s="1310"/>
      <c r="K5" s="1310"/>
      <c r="L5" s="1310"/>
      <c r="M5" s="1310"/>
      <c r="N5" s="1310"/>
      <c r="O5" s="1310"/>
      <c r="P5" s="1310"/>
      <c r="Q5" s="1310"/>
      <c r="R5" s="1310"/>
      <c r="S5" s="1310"/>
      <c r="T5" s="1310"/>
      <c r="U5" s="1310"/>
      <c r="V5" s="1316"/>
      <c r="W5" s="1287"/>
    </row>
    <row r="6" spans="1:23" s="900" customFormat="1" ht="15" customHeight="1">
      <c r="A6" s="1308"/>
      <c r="B6" s="1309"/>
      <c r="C6" s="1310"/>
      <c r="D6" s="1310"/>
      <c r="E6" s="1310"/>
      <c r="F6" s="1311"/>
      <c r="G6" s="1310"/>
      <c r="H6" s="1310"/>
      <c r="I6" s="1310"/>
      <c r="J6" s="1310"/>
      <c r="K6" s="1310"/>
      <c r="L6" s="1310"/>
      <c r="M6" s="1310"/>
      <c r="N6" s="1310"/>
      <c r="O6" s="1310"/>
      <c r="P6" s="1310"/>
      <c r="Q6" s="1310"/>
      <c r="R6" s="1310"/>
      <c r="S6" s="1310"/>
      <c r="T6" s="1310"/>
      <c r="U6" s="1310"/>
      <c r="V6" s="1316"/>
      <c r="W6" s="1287"/>
    </row>
    <row r="7" spans="1:23" s="900" customFormat="1" ht="42.75">
      <c r="A7" s="1308"/>
      <c r="B7" s="1309"/>
      <c r="C7" s="1310"/>
      <c r="D7" s="1310"/>
      <c r="E7" s="1310"/>
      <c r="F7" s="1311"/>
      <c r="G7" s="938" t="s">
        <v>308</v>
      </c>
      <c r="H7" s="938"/>
      <c r="I7" s="938"/>
      <c r="J7" s="1310" t="s">
        <v>134</v>
      </c>
      <c r="K7" s="1310"/>
      <c r="L7" s="1310"/>
      <c r="M7" s="1310"/>
      <c r="N7" s="1310"/>
      <c r="O7" s="1310"/>
      <c r="P7" s="1310"/>
      <c r="Q7" s="1310"/>
      <c r="R7" s="1310"/>
      <c r="S7" s="1310"/>
      <c r="T7" s="1310"/>
      <c r="U7" s="1310"/>
      <c r="V7" s="1316"/>
      <c r="W7" s="1287"/>
    </row>
    <row r="8" spans="1:23" s="902" customFormat="1" ht="30">
      <c r="A8" s="901">
        <v>-1</v>
      </c>
      <c r="B8" s="901">
        <v>-2</v>
      </c>
      <c r="C8" s="901">
        <v>-3</v>
      </c>
      <c r="D8" s="901">
        <v>-3</v>
      </c>
      <c r="E8" s="901" t="s">
        <v>359</v>
      </c>
      <c r="F8" s="931">
        <v>-5</v>
      </c>
      <c r="G8" s="901" t="s">
        <v>360</v>
      </c>
      <c r="H8" s="901">
        <v>-7</v>
      </c>
      <c r="I8" s="901"/>
      <c r="J8" s="901">
        <v>-8</v>
      </c>
      <c r="K8" s="901">
        <v>-9</v>
      </c>
      <c r="L8" s="901">
        <v>-10</v>
      </c>
      <c r="M8" s="901">
        <v>-11</v>
      </c>
      <c r="N8" s="901">
        <v>-12</v>
      </c>
      <c r="O8" s="901">
        <v>-13</v>
      </c>
      <c r="P8" s="901">
        <v>-14</v>
      </c>
      <c r="Q8" s="901">
        <v>-15</v>
      </c>
      <c r="R8" s="901">
        <v>-16</v>
      </c>
      <c r="S8" s="901">
        <v>-17</v>
      </c>
      <c r="T8" s="901">
        <v>-18</v>
      </c>
      <c r="U8" s="901">
        <v>-19</v>
      </c>
      <c r="V8" s="901">
        <v>-20</v>
      </c>
      <c r="W8" s="932"/>
    </row>
    <row r="9" spans="1:23">
      <c r="A9" s="868"/>
      <c r="B9" s="869"/>
      <c r="C9" s="870"/>
      <c r="D9" s="870"/>
      <c r="E9" s="871"/>
      <c r="F9" s="903"/>
      <c r="G9" s="871"/>
      <c r="H9" s="938" t="s">
        <v>9</v>
      </c>
      <c r="I9" s="938" t="s">
        <v>11</v>
      </c>
      <c r="J9" s="904" t="s">
        <v>13</v>
      </c>
      <c r="K9" s="904" t="s">
        <v>15</v>
      </c>
      <c r="L9" s="904" t="s">
        <v>19</v>
      </c>
      <c r="M9" s="904" t="s">
        <v>21</v>
      </c>
      <c r="N9" s="904" t="s">
        <v>17</v>
      </c>
      <c r="O9" s="904" t="s">
        <v>23</v>
      </c>
      <c r="P9" s="904" t="s">
        <v>192</v>
      </c>
      <c r="Q9" s="904" t="s">
        <v>193</v>
      </c>
      <c r="R9" s="904" t="s">
        <v>57</v>
      </c>
      <c r="S9" s="904" t="s">
        <v>55</v>
      </c>
      <c r="T9" s="904" t="s">
        <v>53</v>
      </c>
      <c r="U9" s="904" t="s">
        <v>80</v>
      </c>
      <c r="V9" s="872"/>
      <c r="W9" s="939"/>
    </row>
    <row r="10" spans="1:23" ht="28.5">
      <c r="A10" s="873">
        <v>1</v>
      </c>
      <c r="B10" s="877" t="s">
        <v>307</v>
      </c>
      <c r="C10" s="875"/>
      <c r="D10" s="875"/>
      <c r="E10" s="878"/>
      <c r="F10" s="905"/>
      <c r="G10" s="878"/>
      <c r="H10" s="878"/>
      <c r="I10" s="878"/>
      <c r="J10" s="878"/>
      <c r="K10" s="878"/>
      <c r="L10" s="878"/>
      <c r="M10" s="878"/>
      <c r="N10" s="878"/>
      <c r="O10" s="878"/>
      <c r="P10" s="878"/>
      <c r="Q10" s="878"/>
      <c r="R10" s="878"/>
      <c r="S10" s="878"/>
      <c r="T10" s="878"/>
      <c r="U10" s="878"/>
      <c r="V10" s="876"/>
      <c r="W10" s="936"/>
    </row>
    <row r="11" spans="1:23" ht="28.5">
      <c r="A11" s="873" t="s">
        <v>139</v>
      </c>
      <c r="B11" s="877" t="s">
        <v>184</v>
      </c>
      <c r="C11" s="874"/>
      <c r="D11" s="874"/>
      <c r="E11" s="878"/>
      <c r="F11" s="905"/>
      <c r="G11" s="878"/>
      <c r="H11" s="878"/>
      <c r="I11" s="878"/>
      <c r="J11" s="878"/>
      <c r="K11" s="878"/>
      <c r="L11" s="878"/>
      <c r="M11" s="878"/>
      <c r="N11" s="878"/>
      <c r="O11" s="878"/>
      <c r="P11" s="878"/>
      <c r="Q11" s="878"/>
      <c r="R11" s="878"/>
      <c r="S11" s="878"/>
      <c r="T11" s="878"/>
      <c r="U11" s="878"/>
      <c r="V11" s="876"/>
      <c r="W11" s="936"/>
    </row>
    <row r="12" spans="1:23" ht="42.75">
      <c r="A12" s="873" t="s">
        <v>140</v>
      </c>
      <c r="B12" s="877" t="s">
        <v>278</v>
      </c>
      <c r="C12" s="875"/>
      <c r="D12" s="875"/>
      <c r="E12" s="879"/>
      <c r="F12" s="905"/>
      <c r="G12" s="907"/>
      <c r="H12" s="907"/>
      <c r="I12" s="907"/>
      <c r="J12" s="878" t="s">
        <v>202</v>
      </c>
      <c r="K12" s="878"/>
      <c r="L12" s="878"/>
      <c r="M12" s="878"/>
      <c r="N12" s="878"/>
      <c r="O12" s="878"/>
      <c r="P12" s="878"/>
      <c r="Q12" s="878"/>
      <c r="R12" s="878"/>
      <c r="S12" s="878"/>
      <c r="T12" s="878"/>
      <c r="U12" s="878"/>
      <c r="V12" s="876"/>
      <c r="W12" s="936"/>
    </row>
    <row r="13" spans="1:23" ht="60">
      <c r="A13" s="881" t="s">
        <v>185</v>
      </c>
      <c r="B13" s="882" t="s">
        <v>203</v>
      </c>
      <c r="C13" s="875"/>
      <c r="D13" s="875"/>
      <c r="E13" s="879"/>
      <c r="F13" s="905"/>
      <c r="G13" s="907"/>
      <c r="H13" s="907"/>
      <c r="I13" s="907"/>
      <c r="J13" s="878"/>
      <c r="K13" s="878"/>
      <c r="L13" s="878"/>
      <c r="M13" s="878"/>
      <c r="N13" s="878"/>
      <c r="O13" s="878"/>
      <c r="P13" s="878"/>
      <c r="Q13" s="878"/>
      <c r="R13" s="878"/>
      <c r="S13" s="878"/>
      <c r="T13" s="878"/>
      <c r="U13" s="878"/>
      <c r="V13" s="876"/>
      <c r="W13" s="936"/>
    </row>
    <row r="14" spans="1:23" ht="60">
      <c r="A14" s="881" t="s">
        <v>186</v>
      </c>
      <c r="B14" s="882" t="s">
        <v>187</v>
      </c>
      <c r="C14" s="875"/>
      <c r="D14" s="875"/>
      <c r="E14" s="879"/>
      <c r="F14" s="905"/>
      <c r="G14" s="907"/>
      <c r="H14" s="907"/>
      <c r="I14" s="907"/>
      <c r="J14" s="878"/>
      <c r="K14" s="878"/>
      <c r="L14" s="878"/>
      <c r="M14" s="878"/>
      <c r="N14" s="878"/>
      <c r="O14" s="878"/>
      <c r="P14" s="878"/>
      <c r="Q14" s="878"/>
      <c r="R14" s="878"/>
      <c r="S14" s="878"/>
      <c r="T14" s="878"/>
      <c r="U14" s="878"/>
      <c r="V14" s="876"/>
      <c r="W14" s="936"/>
    </row>
    <row r="15" spans="1:23">
      <c r="A15" s="873">
        <v>2</v>
      </c>
      <c r="B15" s="877" t="s">
        <v>305</v>
      </c>
      <c r="C15" s="875"/>
      <c r="D15" s="937"/>
      <c r="E15" s="879"/>
      <c r="F15" s="905"/>
      <c r="G15" s="907"/>
      <c r="H15" s="907"/>
      <c r="I15" s="907"/>
      <c r="J15" s="878"/>
      <c r="K15" s="878"/>
      <c r="L15" s="878"/>
      <c r="M15" s="878"/>
      <c r="N15" s="878"/>
      <c r="O15" s="878"/>
      <c r="P15" s="878"/>
      <c r="Q15" s="878"/>
      <c r="R15" s="878"/>
      <c r="S15" s="878"/>
      <c r="T15" s="878"/>
      <c r="U15" s="878"/>
      <c r="V15" s="876"/>
      <c r="W15" s="936"/>
    </row>
    <row r="16" spans="1:23" ht="57">
      <c r="A16" s="873" t="s">
        <v>148</v>
      </c>
      <c r="B16" s="877" t="s">
        <v>188</v>
      </c>
      <c r="C16" s="875"/>
      <c r="D16" s="937"/>
      <c r="E16" s="879"/>
      <c r="F16" s="905"/>
      <c r="G16" s="907"/>
      <c r="H16" s="907"/>
      <c r="I16" s="907"/>
      <c r="J16" s="878"/>
      <c r="K16" s="878"/>
      <c r="L16" s="878"/>
      <c r="M16" s="878"/>
      <c r="N16" s="878"/>
      <c r="O16" s="878"/>
      <c r="P16" s="878"/>
      <c r="Q16" s="878"/>
      <c r="R16" s="878"/>
      <c r="S16" s="878"/>
      <c r="T16" s="878"/>
      <c r="U16" s="878"/>
      <c r="V16" s="876"/>
      <c r="W16" s="936"/>
    </row>
    <row r="17" spans="1:23" ht="45">
      <c r="A17" s="881" t="s">
        <v>276</v>
      </c>
      <c r="B17" s="882" t="s">
        <v>456</v>
      </c>
      <c r="C17" s="875"/>
      <c r="D17" s="937"/>
      <c r="E17" s="879"/>
      <c r="F17" s="905"/>
      <c r="G17" s="907"/>
      <c r="H17" s="907"/>
      <c r="I17" s="907"/>
      <c r="J17" s="878"/>
      <c r="K17" s="878"/>
      <c r="L17" s="878"/>
      <c r="M17" s="878"/>
      <c r="N17" s="878"/>
      <c r="O17" s="878"/>
      <c r="P17" s="878"/>
      <c r="Q17" s="878"/>
      <c r="R17" s="878"/>
      <c r="S17" s="878"/>
      <c r="T17" s="878"/>
      <c r="U17" s="878"/>
      <c r="V17" s="876"/>
      <c r="W17" s="936"/>
    </row>
    <row r="18" spans="1:23" s="917" customFormat="1" ht="30">
      <c r="A18" s="887" t="s">
        <v>277</v>
      </c>
      <c r="B18" s="888" t="s">
        <v>366</v>
      </c>
      <c r="C18" s="889"/>
      <c r="D18" s="889"/>
      <c r="E18" s="879"/>
      <c r="F18" s="914"/>
      <c r="G18" s="907"/>
      <c r="H18" s="915"/>
      <c r="I18" s="915"/>
      <c r="J18" s="915"/>
      <c r="K18" s="916"/>
      <c r="L18" s="916"/>
      <c r="M18" s="916"/>
      <c r="N18" s="916"/>
      <c r="O18" s="916"/>
      <c r="P18" s="916"/>
      <c r="Q18" s="916"/>
      <c r="R18" s="916"/>
      <c r="S18" s="916"/>
      <c r="T18" s="916"/>
      <c r="U18" s="916"/>
      <c r="V18" s="890"/>
      <c r="W18" s="887"/>
    </row>
    <row r="19" spans="1:23" ht="65.25" customHeight="1">
      <c r="A19" s="933">
        <v>2</v>
      </c>
      <c r="B19" s="934" t="s">
        <v>368</v>
      </c>
      <c r="C19" s="875" t="s">
        <v>45</v>
      </c>
      <c r="D19" s="875" t="s">
        <v>196</v>
      </c>
      <c r="E19" s="879">
        <f t="shared" ref="E19:E50" si="0">F19+G19</f>
        <v>0.24</v>
      </c>
      <c r="F19" s="910">
        <v>0.24</v>
      </c>
      <c r="G19" s="907">
        <f t="shared" ref="G19:G50" si="1">H19+SUM(J19:U19)</f>
        <v>0</v>
      </c>
      <c r="H19" s="907"/>
      <c r="I19" s="907"/>
      <c r="J19" s="907"/>
      <c r="K19" s="871"/>
      <c r="L19" s="871"/>
      <c r="M19" s="871"/>
      <c r="N19" s="871"/>
      <c r="O19" s="871"/>
      <c r="P19" s="871"/>
      <c r="Q19" s="871"/>
      <c r="R19" s="871"/>
      <c r="S19" s="871"/>
      <c r="T19" s="871"/>
      <c r="U19" s="871"/>
      <c r="V19" s="883" t="s">
        <v>191</v>
      </c>
      <c r="W19" s="933"/>
    </row>
    <row r="20" spans="1:23" ht="45">
      <c r="A20" s="933">
        <v>3</v>
      </c>
      <c r="B20" s="934" t="s">
        <v>369</v>
      </c>
      <c r="C20" s="875" t="s">
        <v>45</v>
      </c>
      <c r="D20" s="875" t="s">
        <v>196</v>
      </c>
      <c r="E20" s="879">
        <f t="shared" si="0"/>
        <v>0.35</v>
      </c>
      <c r="F20" s="910">
        <v>0.35</v>
      </c>
      <c r="G20" s="907">
        <f t="shared" si="1"/>
        <v>0</v>
      </c>
      <c r="H20" s="907"/>
      <c r="I20" s="907"/>
      <c r="J20" s="907"/>
      <c r="K20" s="871"/>
      <c r="L20" s="871"/>
      <c r="M20" s="871"/>
      <c r="N20" s="871"/>
      <c r="O20" s="871"/>
      <c r="P20" s="871"/>
      <c r="Q20" s="871"/>
      <c r="R20" s="871"/>
      <c r="S20" s="871"/>
      <c r="T20" s="871"/>
      <c r="U20" s="871"/>
      <c r="V20" s="883" t="s">
        <v>191</v>
      </c>
      <c r="W20" s="933"/>
    </row>
    <row r="21" spans="1:23" ht="60">
      <c r="A21" s="933">
        <v>4</v>
      </c>
      <c r="B21" s="934" t="s">
        <v>370</v>
      </c>
      <c r="C21" s="875" t="s">
        <v>45</v>
      </c>
      <c r="D21" s="875" t="s">
        <v>196</v>
      </c>
      <c r="E21" s="879">
        <f t="shared" si="0"/>
        <v>0.36</v>
      </c>
      <c r="F21" s="910">
        <v>0.36</v>
      </c>
      <c r="G21" s="907">
        <f t="shared" si="1"/>
        <v>0</v>
      </c>
      <c r="H21" s="907"/>
      <c r="I21" s="907"/>
      <c r="J21" s="907"/>
      <c r="K21" s="871"/>
      <c r="L21" s="871"/>
      <c r="M21" s="871"/>
      <c r="N21" s="871"/>
      <c r="O21" s="871"/>
      <c r="P21" s="871"/>
      <c r="Q21" s="871"/>
      <c r="R21" s="871"/>
      <c r="S21" s="871"/>
      <c r="T21" s="871"/>
      <c r="U21" s="871"/>
      <c r="V21" s="883" t="s">
        <v>197</v>
      </c>
      <c r="W21" s="933"/>
    </row>
    <row r="22" spans="1:23" ht="60">
      <c r="A22" s="933">
        <v>5</v>
      </c>
      <c r="B22" s="934" t="s">
        <v>371</v>
      </c>
      <c r="C22" s="875" t="s">
        <v>45</v>
      </c>
      <c r="D22" s="875" t="s">
        <v>196</v>
      </c>
      <c r="E22" s="879">
        <f t="shared" si="0"/>
        <v>0.3</v>
      </c>
      <c r="F22" s="910">
        <v>0.3</v>
      </c>
      <c r="G22" s="907">
        <f t="shared" si="1"/>
        <v>0</v>
      </c>
      <c r="H22" s="907"/>
      <c r="I22" s="907"/>
      <c r="J22" s="907"/>
      <c r="K22" s="871"/>
      <c r="L22" s="871"/>
      <c r="M22" s="871"/>
      <c r="N22" s="871"/>
      <c r="O22" s="871"/>
      <c r="P22" s="871"/>
      <c r="Q22" s="871"/>
      <c r="R22" s="871"/>
      <c r="S22" s="871"/>
      <c r="T22" s="871"/>
      <c r="U22" s="871"/>
      <c r="V22" s="883" t="s">
        <v>197</v>
      </c>
      <c r="W22" s="933"/>
    </row>
    <row r="23" spans="1:23" ht="45">
      <c r="A23" s="933">
        <v>6</v>
      </c>
      <c r="B23" s="934" t="s">
        <v>372</v>
      </c>
      <c r="C23" s="875" t="s">
        <v>45</v>
      </c>
      <c r="D23" s="875" t="s">
        <v>196</v>
      </c>
      <c r="E23" s="879">
        <f t="shared" si="0"/>
        <v>0.65</v>
      </c>
      <c r="F23" s="910">
        <v>0.65</v>
      </c>
      <c r="G23" s="907">
        <f t="shared" si="1"/>
        <v>0</v>
      </c>
      <c r="H23" s="907"/>
      <c r="I23" s="907"/>
      <c r="J23" s="907"/>
      <c r="K23" s="871"/>
      <c r="L23" s="871"/>
      <c r="M23" s="871"/>
      <c r="N23" s="871"/>
      <c r="O23" s="871"/>
      <c r="P23" s="871"/>
      <c r="Q23" s="871"/>
      <c r="R23" s="871"/>
      <c r="S23" s="871"/>
      <c r="T23" s="871"/>
      <c r="U23" s="871"/>
      <c r="V23" s="883" t="s">
        <v>171</v>
      </c>
      <c r="W23" s="933"/>
    </row>
    <row r="24" spans="1:23" ht="45">
      <c r="A24" s="933">
        <v>7</v>
      </c>
      <c r="B24" s="934" t="s">
        <v>373</v>
      </c>
      <c r="C24" s="875" t="s">
        <v>45</v>
      </c>
      <c r="D24" s="875" t="s">
        <v>196</v>
      </c>
      <c r="E24" s="879">
        <f t="shared" si="0"/>
        <v>0.35</v>
      </c>
      <c r="F24" s="910">
        <v>0.35</v>
      </c>
      <c r="G24" s="907">
        <f t="shared" si="1"/>
        <v>0</v>
      </c>
      <c r="H24" s="907"/>
      <c r="I24" s="907"/>
      <c r="J24" s="907"/>
      <c r="K24" s="871"/>
      <c r="L24" s="871"/>
      <c r="M24" s="871"/>
      <c r="N24" s="871"/>
      <c r="O24" s="871"/>
      <c r="P24" s="871"/>
      <c r="Q24" s="871"/>
      <c r="R24" s="871"/>
      <c r="S24" s="871"/>
      <c r="T24" s="871"/>
      <c r="U24" s="871"/>
      <c r="V24" s="883" t="s">
        <v>173</v>
      </c>
      <c r="W24" s="933"/>
    </row>
    <row r="25" spans="1:23" ht="45">
      <c r="A25" s="933">
        <v>8</v>
      </c>
      <c r="B25" s="934" t="s">
        <v>374</v>
      </c>
      <c r="C25" s="875" t="s">
        <v>45</v>
      </c>
      <c r="D25" s="875" t="s">
        <v>196</v>
      </c>
      <c r="E25" s="879">
        <f t="shared" si="0"/>
        <v>0.16</v>
      </c>
      <c r="F25" s="910">
        <v>0.16</v>
      </c>
      <c r="G25" s="907">
        <f t="shared" si="1"/>
        <v>0</v>
      </c>
      <c r="H25" s="907"/>
      <c r="I25" s="907"/>
      <c r="J25" s="907"/>
      <c r="K25" s="871"/>
      <c r="L25" s="871"/>
      <c r="M25" s="871"/>
      <c r="N25" s="871"/>
      <c r="O25" s="871"/>
      <c r="P25" s="871"/>
      <c r="Q25" s="871"/>
      <c r="R25" s="871"/>
      <c r="S25" s="871"/>
      <c r="T25" s="871"/>
      <c r="U25" s="871"/>
      <c r="V25" s="883" t="s">
        <v>173</v>
      </c>
      <c r="W25" s="933"/>
    </row>
    <row r="26" spans="1:23" ht="60">
      <c r="A26" s="933">
        <v>9</v>
      </c>
      <c r="B26" s="934" t="s">
        <v>375</v>
      </c>
      <c r="C26" s="875" t="s">
        <v>45</v>
      </c>
      <c r="D26" s="875" t="s">
        <v>196</v>
      </c>
      <c r="E26" s="879">
        <f t="shared" si="0"/>
        <v>0.32</v>
      </c>
      <c r="F26" s="910">
        <v>0.32</v>
      </c>
      <c r="G26" s="907">
        <f t="shared" si="1"/>
        <v>0</v>
      </c>
      <c r="H26" s="907"/>
      <c r="I26" s="907"/>
      <c r="J26" s="907"/>
      <c r="K26" s="871"/>
      <c r="L26" s="871"/>
      <c r="M26" s="871"/>
      <c r="N26" s="871"/>
      <c r="O26" s="871"/>
      <c r="P26" s="871"/>
      <c r="Q26" s="871"/>
      <c r="R26" s="871"/>
      <c r="S26" s="871"/>
      <c r="T26" s="871"/>
      <c r="U26" s="871"/>
      <c r="V26" s="883" t="s">
        <v>174</v>
      </c>
      <c r="W26" s="933"/>
    </row>
    <row r="27" spans="1:23" ht="45">
      <c r="A27" s="933">
        <v>10</v>
      </c>
      <c r="B27" s="934" t="s">
        <v>376</v>
      </c>
      <c r="C27" s="875" t="s">
        <v>45</v>
      </c>
      <c r="D27" s="875" t="s">
        <v>196</v>
      </c>
      <c r="E27" s="879">
        <f t="shared" si="0"/>
        <v>0.1</v>
      </c>
      <c r="F27" s="910">
        <v>0.1</v>
      </c>
      <c r="G27" s="907">
        <f t="shared" si="1"/>
        <v>0</v>
      </c>
      <c r="H27" s="907"/>
      <c r="I27" s="907"/>
      <c r="J27" s="907"/>
      <c r="K27" s="871"/>
      <c r="L27" s="871"/>
      <c r="M27" s="871"/>
      <c r="N27" s="871"/>
      <c r="O27" s="871"/>
      <c r="P27" s="871"/>
      <c r="Q27" s="871"/>
      <c r="R27" s="871"/>
      <c r="S27" s="871"/>
      <c r="T27" s="871"/>
      <c r="U27" s="871"/>
      <c r="V27" s="883" t="s">
        <v>174</v>
      </c>
      <c r="W27" s="933"/>
    </row>
    <row r="28" spans="1:23" ht="45">
      <c r="A28" s="933">
        <v>11</v>
      </c>
      <c r="B28" s="934" t="s">
        <v>377</v>
      </c>
      <c r="C28" s="875" t="s">
        <v>45</v>
      </c>
      <c r="D28" s="875" t="s">
        <v>196</v>
      </c>
      <c r="E28" s="879">
        <f t="shared" si="0"/>
        <v>0.26</v>
      </c>
      <c r="F28" s="910">
        <v>0.26</v>
      </c>
      <c r="G28" s="907">
        <f t="shared" si="1"/>
        <v>0</v>
      </c>
      <c r="H28" s="907"/>
      <c r="I28" s="907"/>
      <c r="J28" s="907"/>
      <c r="K28" s="871"/>
      <c r="L28" s="871"/>
      <c r="M28" s="871"/>
      <c r="N28" s="871"/>
      <c r="O28" s="871"/>
      <c r="P28" s="871"/>
      <c r="Q28" s="871"/>
      <c r="R28" s="871"/>
      <c r="S28" s="871"/>
      <c r="T28" s="871"/>
      <c r="U28" s="871"/>
      <c r="V28" s="883" t="s">
        <v>174</v>
      </c>
      <c r="W28" s="933"/>
    </row>
    <row r="29" spans="1:23" ht="60">
      <c r="A29" s="933">
        <v>12</v>
      </c>
      <c r="B29" s="934" t="s">
        <v>378</v>
      </c>
      <c r="C29" s="875" t="s">
        <v>45</v>
      </c>
      <c r="D29" s="875" t="s">
        <v>196</v>
      </c>
      <c r="E29" s="879">
        <f t="shared" si="0"/>
        <v>0.37</v>
      </c>
      <c r="F29" s="910">
        <v>0.37</v>
      </c>
      <c r="G29" s="907">
        <f t="shared" si="1"/>
        <v>0</v>
      </c>
      <c r="H29" s="907"/>
      <c r="I29" s="907"/>
      <c r="J29" s="907"/>
      <c r="K29" s="871"/>
      <c r="L29" s="871"/>
      <c r="M29" s="871"/>
      <c r="N29" s="871"/>
      <c r="O29" s="871"/>
      <c r="P29" s="871"/>
      <c r="Q29" s="871"/>
      <c r="R29" s="871"/>
      <c r="S29" s="871"/>
      <c r="T29" s="871"/>
      <c r="U29" s="871"/>
      <c r="V29" s="883" t="s">
        <v>169</v>
      </c>
      <c r="W29" s="933"/>
    </row>
    <row r="30" spans="1:23" ht="45">
      <c r="A30" s="933">
        <v>13</v>
      </c>
      <c r="B30" s="934" t="s">
        <v>379</v>
      </c>
      <c r="C30" s="875" t="s">
        <v>45</v>
      </c>
      <c r="D30" s="875" t="s">
        <v>196</v>
      </c>
      <c r="E30" s="879">
        <f t="shared" si="0"/>
        <v>0.17</v>
      </c>
      <c r="F30" s="910">
        <v>0.17</v>
      </c>
      <c r="G30" s="907">
        <f t="shared" si="1"/>
        <v>0</v>
      </c>
      <c r="H30" s="907"/>
      <c r="I30" s="907"/>
      <c r="J30" s="907"/>
      <c r="K30" s="871"/>
      <c r="L30" s="871"/>
      <c r="M30" s="871"/>
      <c r="N30" s="871"/>
      <c r="O30" s="871"/>
      <c r="P30" s="871"/>
      <c r="Q30" s="871"/>
      <c r="R30" s="871"/>
      <c r="S30" s="871"/>
      <c r="T30" s="871"/>
      <c r="U30" s="871"/>
      <c r="V30" s="883" t="s">
        <v>169</v>
      </c>
      <c r="W30" s="933"/>
    </row>
    <row r="31" spans="1:23" ht="60">
      <c r="A31" s="933">
        <v>14</v>
      </c>
      <c r="B31" s="934" t="s">
        <v>380</v>
      </c>
      <c r="C31" s="875" t="s">
        <v>45</v>
      </c>
      <c r="D31" s="875" t="s">
        <v>196</v>
      </c>
      <c r="E31" s="879">
        <f t="shared" si="0"/>
        <v>0.17</v>
      </c>
      <c r="F31" s="910">
        <v>0.17</v>
      </c>
      <c r="G31" s="907">
        <f t="shared" si="1"/>
        <v>0</v>
      </c>
      <c r="H31" s="907"/>
      <c r="I31" s="907"/>
      <c r="J31" s="907"/>
      <c r="K31" s="871"/>
      <c r="L31" s="871"/>
      <c r="M31" s="871"/>
      <c r="N31" s="871"/>
      <c r="O31" s="871"/>
      <c r="P31" s="871"/>
      <c r="Q31" s="871"/>
      <c r="R31" s="871"/>
      <c r="S31" s="871"/>
      <c r="T31" s="871"/>
      <c r="U31" s="871"/>
      <c r="V31" s="883" t="s">
        <v>170</v>
      </c>
      <c r="W31" s="933"/>
    </row>
    <row r="32" spans="1:23" ht="45">
      <c r="A32" s="933">
        <v>15</v>
      </c>
      <c r="B32" s="934" t="s">
        <v>381</v>
      </c>
      <c r="C32" s="875" t="s">
        <v>45</v>
      </c>
      <c r="D32" s="875" t="s">
        <v>196</v>
      </c>
      <c r="E32" s="879">
        <f t="shared" si="0"/>
        <v>0.12</v>
      </c>
      <c r="F32" s="910">
        <v>0.12</v>
      </c>
      <c r="G32" s="907">
        <f t="shared" si="1"/>
        <v>0</v>
      </c>
      <c r="H32" s="907"/>
      <c r="I32" s="907"/>
      <c r="J32" s="907"/>
      <c r="K32" s="871"/>
      <c r="L32" s="871"/>
      <c r="M32" s="871"/>
      <c r="N32" s="871"/>
      <c r="O32" s="871"/>
      <c r="P32" s="871"/>
      <c r="Q32" s="871"/>
      <c r="R32" s="871"/>
      <c r="S32" s="871"/>
      <c r="T32" s="871"/>
      <c r="U32" s="871"/>
      <c r="V32" s="883" t="s">
        <v>170</v>
      </c>
      <c r="W32" s="933"/>
    </row>
    <row r="33" spans="1:23" ht="60">
      <c r="A33" s="933">
        <v>16</v>
      </c>
      <c r="B33" s="934" t="s">
        <v>382</v>
      </c>
      <c r="C33" s="875" t="s">
        <v>45</v>
      </c>
      <c r="D33" s="875" t="s">
        <v>196</v>
      </c>
      <c r="E33" s="879">
        <f t="shared" si="0"/>
        <v>0.28000000000000003</v>
      </c>
      <c r="F33" s="910">
        <v>0.28000000000000003</v>
      </c>
      <c r="G33" s="907">
        <f t="shared" si="1"/>
        <v>0</v>
      </c>
      <c r="H33" s="907"/>
      <c r="I33" s="907"/>
      <c r="J33" s="907"/>
      <c r="K33" s="871"/>
      <c r="L33" s="871"/>
      <c r="M33" s="871"/>
      <c r="N33" s="871"/>
      <c r="O33" s="871"/>
      <c r="P33" s="871"/>
      <c r="Q33" s="871"/>
      <c r="R33" s="871"/>
      <c r="S33" s="871"/>
      <c r="T33" s="871"/>
      <c r="U33" s="871"/>
      <c r="V33" s="883" t="s">
        <v>170</v>
      </c>
      <c r="W33" s="933"/>
    </row>
    <row r="34" spans="1:23" ht="60">
      <c r="A34" s="933">
        <v>17</v>
      </c>
      <c r="B34" s="934" t="s">
        <v>383</v>
      </c>
      <c r="C34" s="875" t="s">
        <v>45</v>
      </c>
      <c r="D34" s="875" t="s">
        <v>196</v>
      </c>
      <c r="E34" s="879">
        <f t="shared" si="0"/>
        <v>0.16</v>
      </c>
      <c r="F34" s="910">
        <v>0.16</v>
      </c>
      <c r="G34" s="907">
        <f t="shared" si="1"/>
        <v>0</v>
      </c>
      <c r="H34" s="907"/>
      <c r="I34" s="907"/>
      <c r="J34" s="907"/>
      <c r="K34" s="871"/>
      <c r="L34" s="871"/>
      <c r="M34" s="871"/>
      <c r="N34" s="871"/>
      <c r="O34" s="871"/>
      <c r="P34" s="871"/>
      <c r="Q34" s="871"/>
      <c r="R34" s="871"/>
      <c r="S34" s="871"/>
      <c r="T34" s="871"/>
      <c r="U34" s="871"/>
      <c r="V34" s="883" t="s">
        <v>191</v>
      </c>
      <c r="W34" s="933"/>
    </row>
    <row r="35" spans="1:23" ht="60">
      <c r="A35" s="933">
        <v>20</v>
      </c>
      <c r="B35" s="934" t="s">
        <v>385</v>
      </c>
      <c r="C35" s="875" t="s">
        <v>45</v>
      </c>
      <c r="D35" s="875" t="s">
        <v>192</v>
      </c>
      <c r="E35" s="879">
        <f t="shared" si="0"/>
        <v>2.2999999999999998</v>
      </c>
      <c r="F35" s="910">
        <v>2.2999999999999998</v>
      </c>
      <c r="G35" s="907">
        <f t="shared" si="1"/>
        <v>0</v>
      </c>
      <c r="H35" s="907"/>
      <c r="I35" s="907"/>
      <c r="J35" s="907"/>
      <c r="K35" s="871"/>
      <c r="L35" s="871"/>
      <c r="M35" s="871"/>
      <c r="N35" s="871"/>
      <c r="O35" s="871"/>
      <c r="P35" s="871"/>
      <c r="Q35" s="871"/>
      <c r="R35" s="871"/>
      <c r="S35" s="871"/>
      <c r="T35" s="871"/>
      <c r="U35" s="871"/>
      <c r="V35" s="883" t="s">
        <v>169</v>
      </c>
      <c r="W35" s="933"/>
    </row>
    <row r="36" spans="1:23" ht="60">
      <c r="A36" s="933">
        <v>21</v>
      </c>
      <c r="B36" s="934" t="s">
        <v>387</v>
      </c>
      <c r="C36" s="875" t="s">
        <v>45</v>
      </c>
      <c r="D36" s="875" t="s">
        <v>196</v>
      </c>
      <c r="E36" s="879">
        <f t="shared" si="0"/>
        <v>0.4</v>
      </c>
      <c r="F36" s="910">
        <v>0.4</v>
      </c>
      <c r="G36" s="907">
        <f t="shared" si="1"/>
        <v>0</v>
      </c>
      <c r="H36" s="907"/>
      <c r="I36" s="907"/>
      <c r="J36" s="907"/>
      <c r="K36" s="871"/>
      <c r="L36" s="871"/>
      <c r="M36" s="871"/>
      <c r="N36" s="871"/>
      <c r="O36" s="871"/>
      <c r="P36" s="871"/>
      <c r="Q36" s="871"/>
      <c r="R36" s="871"/>
      <c r="S36" s="871"/>
      <c r="T36" s="871"/>
      <c r="U36" s="871"/>
      <c r="V36" s="883" t="s">
        <v>170</v>
      </c>
      <c r="W36" s="933"/>
    </row>
    <row r="37" spans="1:23" ht="45">
      <c r="A37" s="933">
        <v>22</v>
      </c>
      <c r="B37" s="934" t="s">
        <v>388</v>
      </c>
      <c r="C37" s="875" t="s">
        <v>45</v>
      </c>
      <c r="D37" s="875" t="s">
        <v>196</v>
      </c>
      <c r="E37" s="879">
        <f t="shared" si="0"/>
        <v>0.4</v>
      </c>
      <c r="F37" s="910">
        <v>0.4</v>
      </c>
      <c r="G37" s="907">
        <f t="shared" si="1"/>
        <v>0</v>
      </c>
      <c r="H37" s="907"/>
      <c r="I37" s="907"/>
      <c r="J37" s="907"/>
      <c r="K37" s="871"/>
      <c r="L37" s="871"/>
      <c r="M37" s="871"/>
      <c r="N37" s="871"/>
      <c r="O37" s="871"/>
      <c r="P37" s="871"/>
      <c r="Q37" s="871"/>
      <c r="R37" s="871"/>
      <c r="S37" s="871"/>
      <c r="T37" s="871"/>
      <c r="U37" s="871"/>
      <c r="V37" s="883" t="s">
        <v>170</v>
      </c>
      <c r="W37" s="933"/>
    </row>
    <row r="38" spans="1:23" ht="45">
      <c r="A38" s="933">
        <v>23</v>
      </c>
      <c r="B38" s="934" t="s">
        <v>393</v>
      </c>
      <c r="C38" s="875" t="s">
        <v>45</v>
      </c>
      <c r="D38" s="875" t="s">
        <v>196</v>
      </c>
      <c r="E38" s="879">
        <f t="shared" si="0"/>
        <v>0.5</v>
      </c>
      <c r="F38" s="910">
        <v>0.5</v>
      </c>
      <c r="G38" s="907">
        <f t="shared" si="1"/>
        <v>0</v>
      </c>
      <c r="H38" s="907"/>
      <c r="I38" s="907"/>
      <c r="J38" s="907"/>
      <c r="K38" s="871"/>
      <c r="L38" s="871"/>
      <c r="M38" s="871"/>
      <c r="N38" s="871"/>
      <c r="O38" s="871"/>
      <c r="P38" s="871"/>
      <c r="Q38" s="871"/>
      <c r="R38" s="871"/>
      <c r="S38" s="871"/>
      <c r="T38" s="871"/>
      <c r="U38" s="871"/>
      <c r="V38" s="883" t="s">
        <v>173</v>
      </c>
      <c r="W38" s="933"/>
    </row>
    <row r="39" spans="1:23" ht="45">
      <c r="A39" s="933">
        <v>24</v>
      </c>
      <c r="B39" s="934" t="s">
        <v>395</v>
      </c>
      <c r="C39" s="875" t="s">
        <v>45</v>
      </c>
      <c r="D39" s="875" t="s">
        <v>196</v>
      </c>
      <c r="E39" s="879">
        <f t="shared" si="0"/>
        <v>0.7</v>
      </c>
      <c r="F39" s="910">
        <v>0.7</v>
      </c>
      <c r="G39" s="907">
        <f t="shared" si="1"/>
        <v>0</v>
      </c>
      <c r="H39" s="907"/>
      <c r="I39" s="907"/>
      <c r="J39" s="907"/>
      <c r="K39" s="871"/>
      <c r="L39" s="871"/>
      <c r="M39" s="871"/>
      <c r="N39" s="871"/>
      <c r="O39" s="871"/>
      <c r="P39" s="871"/>
      <c r="Q39" s="871"/>
      <c r="R39" s="871"/>
      <c r="S39" s="871"/>
      <c r="T39" s="871"/>
      <c r="U39" s="871"/>
      <c r="V39" s="883" t="s">
        <v>173</v>
      </c>
      <c r="W39" s="933"/>
    </row>
    <row r="40" spans="1:23" ht="30">
      <c r="A40" s="933">
        <v>25</v>
      </c>
      <c r="B40" s="934" t="s">
        <v>396</v>
      </c>
      <c r="C40" s="875" t="s">
        <v>45</v>
      </c>
      <c r="D40" s="875" t="s">
        <v>196</v>
      </c>
      <c r="E40" s="879">
        <f t="shared" si="0"/>
        <v>0.5</v>
      </c>
      <c r="F40" s="910">
        <v>0.5</v>
      </c>
      <c r="G40" s="907">
        <f t="shared" si="1"/>
        <v>0</v>
      </c>
      <c r="H40" s="907"/>
      <c r="I40" s="907"/>
      <c r="J40" s="907"/>
      <c r="K40" s="871"/>
      <c r="L40" s="871"/>
      <c r="M40" s="871"/>
      <c r="N40" s="871"/>
      <c r="O40" s="871"/>
      <c r="P40" s="871"/>
      <c r="Q40" s="871"/>
      <c r="R40" s="871"/>
      <c r="S40" s="871"/>
      <c r="T40" s="871"/>
      <c r="U40" s="871"/>
      <c r="V40" s="883" t="s">
        <v>173</v>
      </c>
      <c r="W40" s="933"/>
    </row>
    <row r="41" spans="1:23" ht="45">
      <c r="A41" s="933">
        <v>26</v>
      </c>
      <c r="B41" s="934" t="s">
        <v>398</v>
      </c>
      <c r="C41" s="875" t="s">
        <v>45</v>
      </c>
      <c r="D41" s="875" t="s">
        <v>196</v>
      </c>
      <c r="E41" s="879">
        <f t="shared" si="0"/>
        <v>1</v>
      </c>
      <c r="F41" s="910">
        <v>1</v>
      </c>
      <c r="G41" s="907">
        <f t="shared" si="1"/>
        <v>0</v>
      </c>
      <c r="H41" s="907"/>
      <c r="I41" s="907"/>
      <c r="J41" s="907"/>
      <c r="K41" s="871"/>
      <c r="L41" s="871"/>
      <c r="M41" s="871"/>
      <c r="N41" s="871"/>
      <c r="O41" s="871"/>
      <c r="P41" s="871"/>
      <c r="Q41" s="871"/>
      <c r="R41" s="871"/>
      <c r="S41" s="871"/>
      <c r="T41" s="871"/>
      <c r="U41" s="871"/>
      <c r="V41" s="883" t="s">
        <v>174</v>
      </c>
      <c r="W41" s="933"/>
    </row>
    <row r="42" spans="1:23" ht="45">
      <c r="A42" s="933">
        <v>27</v>
      </c>
      <c r="B42" s="934" t="s">
        <v>399</v>
      </c>
      <c r="C42" s="875" t="s">
        <v>45</v>
      </c>
      <c r="D42" s="875" t="s">
        <v>196</v>
      </c>
      <c r="E42" s="879">
        <f t="shared" si="0"/>
        <v>1</v>
      </c>
      <c r="F42" s="910">
        <v>1</v>
      </c>
      <c r="G42" s="907">
        <f t="shared" si="1"/>
        <v>0</v>
      </c>
      <c r="H42" s="907"/>
      <c r="I42" s="907"/>
      <c r="J42" s="907"/>
      <c r="K42" s="871"/>
      <c r="L42" s="871"/>
      <c r="M42" s="871"/>
      <c r="N42" s="871"/>
      <c r="O42" s="871"/>
      <c r="P42" s="871"/>
      <c r="Q42" s="871"/>
      <c r="R42" s="871"/>
      <c r="S42" s="871"/>
      <c r="T42" s="871"/>
      <c r="U42" s="871"/>
      <c r="V42" s="883" t="s">
        <v>174</v>
      </c>
      <c r="W42" s="933"/>
    </row>
    <row r="43" spans="1:23" ht="76.5" customHeight="1">
      <c r="A43" s="933">
        <v>28</v>
      </c>
      <c r="B43" s="934" t="s">
        <v>400</v>
      </c>
      <c r="C43" s="875" t="s">
        <v>45</v>
      </c>
      <c r="D43" s="875" t="s">
        <v>192</v>
      </c>
      <c r="E43" s="879">
        <f t="shared" si="0"/>
        <v>1.8</v>
      </c>
      <c r="F43" s="910">
        <v>1.8</v>
      </c>
      <c r="G43" s="907">
        <f t="shared" si="1"/>
        <v>0</v>
      </c>
      <c r="H43" s="907"/>
      <c r="I43" s="907"/>
      <c r="J43" s="907"/>
      <c r="K43" s="871"/>
      <c r="L43" s="871"/>
      <c r="M43" s="871"/>
      <c r="N43" s="871"/>
      <c r="O43" s="871"/>
      <c r="P43" s="871"/>
      <c r="Q43" s="871"/>
      <c r="R43" s="871"/>
      <c r="S43" s="871"/>
      <c r="T43" s="871"/>
      <c r="U43" s="871"/>
      <c r="V43" s="883" t="s">
        <v>189</v>
      </c>
      <c r="W43" s="933"/>
    </row>
    <row r="44" spans="1:23" ht="45">
      <c r="A44" s="933">
        <v>49</v>
      </c>
      <c r="B44" s="885" t="s">
        <v>417</v>
      </c>
      <c r="C44" s="875" t="s">
        <v>45</v>
      </c>
      <c r="D44" s="875" t="s">
        <v>196</v>
      </c>
      <c r="E44" s="879">
        <f t="shared" si="0"/>
        <v>0.6</v>
      </c>
      <c r="F44" s="910">
        <v>0.6</v>
      </c>
      <c r="G44" s="907">
        <f t="shared" si="1"/>
        <v>0</v>
      </c>
      <c r="H44" s="907"/>
      <c r="I44" s="907"/>
      <c r="J44" s="907"/>
      <c r="K44" s="871"/>
      <c r="L44" s="871"/>
      <c r="M44" s="871"/>
      <c r="N44" s="871"/>
      <c r="O44" s="871"/>
      <c r="P44" s="871"/>
      <c r="Q44" s="871"/>
      <c r="R44" s="871"/>
      <c r="S44" s="871"/>
      <c r="T44" s="871"/>
      <c r="U44" s="871"/>
      <c r="V44" s="883" t="s">
        <v>169</v>
      </c>
      <c r="W44" s="933" t="s">
        <v>415</v>
      </c>
    </row>
    <row r="45" spans="1:23" ht="60">
      <c r="A45" s="933">
        <v>50</v>
      </c>
      <c r="B45" s="885" t="s">
        <v>418</v>
      </c>
      <c r="C45" s="875" t="s">
        <v>45</v>
      </c>
      <c r="D45" s="875" t="s">
        <v>196</v>
      </c>
      <c r="E45" s="879">
        <f t="shared" si="0"/>
        <v>0.22</v>
      </c>
      <c r="F45" s="910">
        <v>0.22</v>
      </c>
      <c r="G45" s="907">
        <f t="shared" si="1"/>
        <v>0</v>
      </c>
      <c r="H45" s="907"/>
      <c r="I45" s="907"/>
      <c r="J45" s="907"/>
      <c r="K45" s="871"/>
      <c r="L45" s="871"/>
      <c r="M45" s="871"/>
      <c r="N45" s="871"/>
      <c r="O45" s="871"/>
      <c r="P45" s="871"/>
      <c r="Q45" s="871"/>
      <c r="R45" s="871"/>
      <c r="S45" s="871"/>
      <c r="T45" s="871"/>
      <c r="U45" s="871"/>
      <c r="V45" s="883" t="s">
        <v>169</v>
      </c>
      <c r="W45" s="933" t="s">
        <v>416</v>
      </c>
    </row>
    <row r="46" spans="1:23" ht="60">
      <c r="A46" s="933">
        <v>51</v>
      </c>
      <c r="B46" s="885" t="s">
        <v>419</v>
      </c>
      <c r="C46" s="875" t="s">
        <v>45</v>
      </c>
      <c r="D46" s="875" t="s">
        <v>196</v>
      </c>
      <c r="E46" s="879">
        <f t="shared" si="0"/>
        <v>0.25</v>
      </c>
      <c r="F46" s="910">
        <v>0.25</v>
      </c>
      <c r="G46" s="907">
        <f t="shared" si="1"/>
        <v>0</v>
      </c>
      <c r="H46" s="907"/>
      <c r="I46" s="907"/>
      <c r="J46" s="907"/>
      <c r="K46" s="871"/>
      <c r="L46" s="871"/>
      <c r="M46" s="871"/>
      <c r="N46" s="871"/>
      <c r="O46" s="871"/>
      <c r="P46" s="871"/>
      <c r="Q46" s="871"/>
      <c r="R46" s="871"/>
      <c r="S46" s="871"/>
      <c r="T46" s="871"/>
      <c r="U46" s="871"/>
      <c r="V46" s="883" t="s">
        <v>169</v>
      </c>
      <c r="W46" s="933"/>
    </row>
    <row r="47" spans="1:23" ht="30">
      <c r="A47" s="933">
        <v>52</v>
      </c>
      <c r="B47" s="885" t="s">
        <v>420</v>
      </c>
      <c r="C47" s="875" t="s">
        <v>45</v>
      </c>
      <c r="D47" s="875" t="s">
        <v>196</v>
      </c>
      <c r="E47" s="879">
        <f t="shared" si="0"/>
        <v>0.24</v>
      </c>
      <c r="F47" s="910">
        <v>0.24</v>
      </c>
      <c r="G47" s="907">
        <f t="shared" si="1"/>
        <v>0</v>
      </c>
      <c r="H47" s="907"/>
      <c r="I47" s="907"/>
      <c r="J47" s="907"/>
      <c r="K47" s="871"/>
      <c r="L47" s="871"/>
      <c r="M47" s="871"/>
      <c r="N47" s="871"/>
      <c r="O47" s="871"/>
      <c r="P47" s="871"/>
      <c r="Q47" s="871"/>
      <c r="R47" s="871"/>
      <c r="S47" s="871"/>
      <c r="T47" s="871"/>
      <c r="U47" s="871"/>
      <c r="V47" s="883" t="s">
        <v>169</v>
      </c>
      <c r="W47" s="933"/>
    </row>
    <row r="48" spans="1:23" ht="30">
      <c r="A48" s="933">
        <v>53</v>
      </c>
      <c r="B48" s="867" t="s">
        <v>421</v>
      </c>
      <c r="C48" s="875" t="s">
        <v>45</v>
      </c>
      <c r="D48" s="875" t="s">
        <v>196</v>
      </c>
      <c r="E48" s="879">
        <f t="shared" si="0"/>
        <v>1.95E-2</v>
      </c>
      <c r="F48" s="910">
        <v>1.95E-2</v>
      </c>
      <c r="G48" s="907">
        <f t="shared" si="1"/>
        <v>0</v>
      </c>
      <c r="H48" s="907"/>
      <c r="I48" s="907"/>
      <c r="J48" s="907"/>
      <c r="K48" s="871"/>
      <c r="L48" s="871"/>
      <c r="M48" s="871"/>
      <c r="N48" s="871"/>
      <c r="O48" s="871"/>
      <c r="P48" s="871"/>
      <c r="Q48" s="871"/>
      <c r="R48" s="871"/>
      <c r="S48" s="871"/>
      <c r="T48" s="871"/>
      <c r="U48" s="871"/>
      <c r="V48" s="883" t="s">
        <v>169</v>
      </c>
      <c r="W48" s="933"/>
    </row>
    <row r="49" spans="1:23" ht="30">
      <c r="A49" s="933">
        <v>54</v>
      </c>
      <c r="B49" s="867" t="s">
        <v>422</v>
      </c>
      <c r="C49" s="875" t="s">
        <v>45</v>
      </c>
      <c r="D49" s="875" t="s">
        <v>196</v>
      </c>
      <c r="E49" s="879">
        <f t="shared" si="0"/>
        <v>0.04</v>
      </c>
      <c r="F49" s="910">
        <v>0.04</v>
      </c>
      <c r="G49" s="907">
        <f t="shared" si="1"/>
        <v>0</v>
      </c>
      <c r="H49" s="907"/>
      <c r="I49" s="907"/>
      <c r="J49" s="907"/>
      <c r="K49" s="871"/>
      <c r="L49" s="871"/>
      <c r="M49" s="871"/>
      <c r="N49" s="871"/>
      <c r="O49" s="871"/>
      <c r="P49" s="871"/>
      <c r="Q49" s="871"/>
      <c r="R49" s="871"/>
      <c r="S49" s="871"/>
      <c r="T49" s="871"/>
      <c r="U49" s="871"/>
      <c r="V49" s="883" t="s">
        <v>169</v>
      </c>
      <c r="W49" s="933"/>
    </row>
    <row r="50" spans="1:23" ht="30">
      <c r="A50" s="933">
        <v>55</v>
      </c>
      <c r="B50" s="885" t="s">
        <v>423</v>
      </c>
      <c r="C50" s="875" t="s">
        <v>45</v>
      </c>
      <c r="D50" s="875" t="s">
        <v>196</v>
      </c>
      <c r="E50" s="879">
        <f t="shared" si="0"/>
        <v>0.5</v>
      </c>
      <c r="F50" s="910">
        <v>0.5</v>
      </c>
      <c r="G50" s="907">
        <f t="shared" si="1"/>
        <v>0</v>
      </c>
      <c r="H50" s="907"/>
      <c r="I50" s="907"/>
      <c r="J50" s="907"/>
      <c r="K50" s="871"/>
      <c r="L50" s="871"/>
      <c r="M50" s="871"/>
      <c r="N50" s="871"/>
      <c r="O50" s="871"/>
      <c r="P50" s="871"/>
      <c r="Q50" s="871"/>
      <c r="R50" s="871"/>
      <c r="S50" s="871"/>
      <c r="T50" s="871"/>
      <c r="U50" s="871"/>
      <c r="V50" s="883" t="s">
        <v>169</v>
      </c>
      <c r="W50" s="933"/>
    </row>
    <row r="51" spans="1:23" ht="30">
      <c r="A51" s="933">
        <v>56</v>
      </c>
      <c r="B51" s="885" t="s">
        <v>424</v>
      </c>
      <c r="C51" s="875" t="s">
        <v>45</v>
      </c>
      <c r="D51" s="875" t="s">
        <v>195</v>
      </c>
      <c r="E51" s="879">
        <f t="shared" ref="E51:E78" si="2">F51+G51</f>
        <v>0.02</v>
      </c>
      <c r="F51" s="910">
        <v>0.02</v>
      </c>
      <c r="G51" s="907">
        <f t="shared" ref="G51:G78" si="3">H51+SUM(J51:U51)</f>
        <v>0</v>
      </c>
      <c r="H51" s="907"/>
      <c r="I51" s="907"/>
      <c r="J51" s="907"/>
      <c r="K51" s="871"/>
      <c r="L51" s="871"/>
      <c r="M51" s="871"/>
      <c r="N51" s="871"/>
      <c r="O51" s="871"/>
      <c r="P51" s="871"/>
      <c r="Q51" s="871"/>
      <c r="R51" s="871"/>
      <c r="S51" s="871"/>
      <c r="T51" s="871"/>
      <c r="U51" s="871"/>
      <c r="V51" s="883" t="s">
        <v>169</v>
      </c>
      <c r="W51" s="933"/>
    </row>
    <row r="52" spans="1:23" ht="45">
      <c r="A52" s="933">
        <v>57</v>
      </c>
      <c r="B52" s="867" t="s">
        <v>425</v>
      </c>
      <c r="C52" s="875" t="s">
        <v>45</v>
      </c>
      <c r="D52" s="875" t="s">
        <v>196</v>
      </c>
      <c r="E52" s="879">
        <f t="shared" si="2"/>
        <v>7.0000000000000007E-2</v>
      </c>
      <c r="F52" s="910">
        <v>7.0000000000000007E-2</v>
      </c>
      <c r="G52" s="907">
        <f t="shared" si="3"/>
        <v>0</v>
      </c>
      <c r="H52" s="907"/>
      <c r="I52" s="907"/>
      <c r="J52" s="907"/>
      <c r="K52" s="871"/>
      <c r="L52" s="871"/>
      <c r="M52" s="871"/>
      <c r="N52" s="871"/>
      <c r="O52" s="871"/>
      <c r="P52" s="871"/>
      <c r="Q52" s="871"/>
      <c r="R52" s="871"/>
      <c r="S52" s="871"/>
      <c r="T52" s="871"/>
      <c r="U52" s="871"/>
      <c r="V52" s="883" t="s">
        <v>169</v>
      </c>
      <c r="W52" s="933"/>
    </row>
    <row r="53" spans="1:23" ht="30">
      <c r="A53" s="933">
        <v>58</v>
      </c>
      <c r="B53" s="867" t="s">
        <v>426</v>
      </c>
      <c r="C53" s="875" t="s">
        <v>45</v>
      </c>
      <c r="D53" s="875" t="s">
        <v>196</v>
      </c>
      <c r="E53" s="879">
        <f t="shared" si="2"/>
        <v>0.05</v>
      </c>
      <c r="F53" s="910">
        <v>0.05</v>
      </c>
      <c r="G53" s="907">
        <f t="shared" si="3"/>
        <v>0</v>
      </c>
      <c r="H53" s="907"/>
      <c r="I53" s="907"/>
      <c r="J53" s="907"/>
      <c r="K53" s="871"/>
      <c r="L53" s="871"/>
      <c r="M53" s="871"/>
      <c r="N53" s="871"/>
      <c r="O53" s="871"/>
      <c r="P53" s="871"/>
      <c r="Q53" s="871"/>
      <c r="R53" s="871"/>
      <c r="S53" s="871"/>
      <c r="T53" s="871"/>
      <c r="U53" s="871"/>
      <c r="V53" s="883" t="s">
        <v>169</v>
      </c>
      <c r="W53" s="933"/>
    </row>
    <row r="54" spans="1:23" ht="45">
      <c r="A54" s="933">
        <v>59</v>
      </c>
      <c r="B54" s="885" t="s">
        <v>427</v>
      </c>
      <c r="C54" s="875" t="s">
        <v>45</v>
      </c>
      <c r="D54" s="875" t="s">
        <v>196</v>
      </c>
      <c r="E54" s="879">
        <f t="shared" si="2"/>
        <v>0.95</v>
      </c>
      <c r="F54" s="910">
        <v>0.95</v>
      </c>
      <c r="G54" s="907">
        <f t="shared" si="3"/>
        <v>0</v>
      </c>
      <c r="H54" s="907"/>
      <c r="I54" s="907"/>
      <c r="J54" s="907"/>
      <c r="K54" s="871"/>
      <c r="L54" s="871"/>
      <c r="M54" s="871"/>
      <c r="N54" s="871"/>
      <c r="O54" s="871"/>
      <c r="P54" s="871"/>
      <c r="Q54" s="871"/>
      <c r="R54" s="871"/>
      <c r="S54" s="871"/>
      <c r="T54" s="871"/>
      <c r="U54" s="871"/>
      <c r="V54" s="883" t="s">
        <v>169</v>
      </c>
      <c r="W54" s="933"/>
    </row>
    <row r="55" spans="1:23" ht="30">
      <c r="A55" s="933">
        <v>60</v>
      </c>
      <c r="B55" s="885" t="s">
        <v>428</v>
      </c>
      <c r="C55" s="875" t="s">
        <v>45</v>
      </c>
      <c r="D55" s="875" t="s">
        <v>64</v>
      </c>
      <c r="E55" s="879">
        <f t="shared" si="2"/>
        <v>1</v>
      </c>
      <c r="F55" s="910">
        <v>1</v>
      </c>
      <c r="G55" s="907">
        <f t="shared" si="3"/>
        <v>0</v>
      </c>
      <c r="H55" s="907"/>
      <c r="I55" s="907"/>
      <c r="J55" s="907"/>
      <c r="K55" s="871"/>
      <c r="L55" s="871"/>
      <c r="M55" s="871"/>
      <c r="N55" s="871"/>
      <c r="O55" s="871"/>
      <c r="P55" s="871"/>
      <c r="Q55" s="871"/>
      <c r="R55" s="871"/>
      <c r="S55" s="871"/>
      <c r="T55" s="871"/>
      <c r="U55" s="871"/>
      <c r="V55" s="883" t="s">
        <v>169</v>
      </c>
      <c r="W55" s="933"/>
    </row>
    <row r="56" spans="1:23" ht="30">
      <c r="A56" s="933">
        <v>61</v>
      </c>
      <c r="B56" s="885" t="s">
        <v>429</v>
      </c>
      <c r="C56" s="875" t="s">
        <v>45</v>
      </c>
      <c r="D56" s="875" t="s">
        <v>196</v>
      </c>
      <c r="E56" s="879">
        <f t="shared" si="2"/>
        <v>0.25</v>
      </c>
      <c r="F56" s="910">
        <v>0.25</v>
      </c>
      <c r="G56" s="907">
        <f t="shared" si="3"/>
        <v>0</v>
      </c>
      <c r="H56" s="907"/>
      <c r="I56" s="907"/>
      <c r="J56" s="907"/>
      <c r="K56" s="871"/>
      <c r="L56" s="871"/>
      <c r="M56" s="871"/>
      <c r="N56" s="871"/>
      <c r="O56" s="871"/>
      <c r="P56" s="871"/>
      <c r="Q56" s="871"/>
      <c r="R56" s="871"/>
      <c r="S56" s="871"/>
      <c r="T56" s="871"/>
      <c r="U56" s="871"/>
      <c r="V56" s="883" t="s">
        <v>169</v>
      </c>
      <c r="W56" s="933"/>
    </row>
    <row r="57" spans="1:23" ht="60">
      <c r="A57" s="933">
        <v>62</v>
      </c>
      <c r="B57" s="885" t="s">
        <v>430</v>
      </c>
      <c r="C57" s="875" t="s">
        <v>45</v>
      </c>
      <c r="D57" s="875" t="s">
        <v>196</v>
      </c>
      <c r="E57" s="879">
        <f t="shared" si="2"/>
        <v>0.1</v>
      </c>
      <c r="F57" s="910">
        <v>0.1</v>
      </c>
      <c r="G57" s="907">
        <f t="shared" si="3"/>
        <v>0</v>
      </c>
      <c r="H57" s="907"/>
      <c r="I57" s="907"/>
      <c r="J57" s="907"/>
      <c r="K57" s="871"/>
      <c r="L57" s="871"/>
      <c r="M57" s="871"/>
      <c r="N57" s="871"/>
      <c r="O57" s="871"/>
      <c r="P57" s="871"/>
      <c r="Q57" s="871"/>
      <c r="R57" s="871"/>
      <c r="S57" s="871"/>
      <c r="T57" s="871"/>
      <c r="U57" s="871"/>
      <c r="V57" s="883" t="s">
        <v>169</v>
      </c>
      <c r="W57" s="933"/>
    </row>
    <row r="58" spans="1:23" ht="60">
      <c r="A58" s="933">
        <v>63</v>
      </c>
      <c r="B58" s="885" t="s">
        <v>431</v>
      </c>
      <c r="C58" s="875" t="s">
        <v>45</v>
      </c>
      <c r="D58" s="875" t="s">
        <v>196</v>
      </c>
      <c r="E58" s="879">
        <f t="shared" si="2"/>
        <v>0.09</v>
      </c>
      <c r="F58" s="910">
        <v>0.09</v>
      </c>
      <c r="G58" s="907">
        <f t="shared" si="3"/>
        <v>0</v>
      </c>
      <c r="H58" s="907"/>
      <c r="I58" s="907"/>
      <c r="J58" s="907"/>
      <c r="K58" s="871"/>
      <c r="L58" s="871"/>
      <c r="M58" s="871"/>
      <c r="N58" s="871"/>
      <c r="O58" s="871"/>
      <c r="P58" s="871"/>
      <c r="Q58" s="871"/>
      <c r="R58" s="871"/>
      <c r="S58" s="871"/>
      <c r="T58" s="871"/>
      <c r="U58" s="871"/>
      <c r="V58" s="883" t="s">
        <v>169</v>
      </c>
      <c r="W58" s="933"/>
    </row>
    <row r="59" spans="1:23" ht="60">
      <c r="A59" s="933">
        <v>64</v>
      </c>
      <c r="B59" s="885" t="s">
        <v>432</v>
      </c>
      <c r="C59" s="875" t="s">
        <v>45</v>
      </c>
      <c r="D59" s="875" t="s">
        <v>196</v>
      </c>
      <c r="E59" s="879">
        <f t="shared" si="2"/>
        <v>0.56999999999999995</v>
      </c>
      <c r="F59" s="910">
        <v>0.56999999999999995</v>
      </c>
      <c r="G59" s="907">
        <f t="shared" si="3"/>
        <v>0</v>
      </c>
      <c r="H59" s="907"/>
      <c r="I59" s="907"/>
      <c r="J59" s="907"/>
      <c r="K59" s="871"/>
      <c r="L59" s="871"/>
      <c r="M59" s="871"/>
      <c r="N59" s="871"/>
      <c r="O59" s="871"/>
      <c r="P59" s="871"/>
      <c r="Q59" s="871"/>
      <c r="R59" s="871"/>
      <c r="S59" s="871"/>
      <c r="T59" s="871"/>
      <c r="U59" s="871"/>
      <c r="V59" s="883" t="s">
        <v>169</v>
      </c>
      <c r="W59" s="933"/>
    </row>
    <row r="60" spans="1:23" ht="60">
      <c r="A60" s="933">
        <v>65</v>
      </c>
      <c r="B60" s="885" t="s">
        <v>433</v>
      </c>
      <c r="C60" s="875" t="s">
        <v>45</v>
      </c>
      <c r="D60" s="875" t="s">
        <v>196</v>
      </c>
      <c r="E60" s="879">
        <f t="shared" si="2"/>
        <v>0.31</v>
      </c>
      <c r="F60" s="910">
        <v>0.31</v>
      </c>
      <c r="G60" s="907">
        <f t="shared" si="3"/>
        <v>0</v>
      </c>
      <c r="H60" s="907"/>
      <c r="I60" s="907"/>
      <c r="J60" s="907"/>
      <c r="K60" s="871"/>
      <c r="L60" s="871"/>
      <c r="M60" s="871"/>
      <c r="N60" s="871"/>
      <c r="O60" s="871"/>
      <c r="P60" s="871"/>
      <c r="Q60" s="871"/>
      <c r="R60" s="871"/>
      <c r="S60" s="871"/>
      <c r="T60" s="871"/>
      <c r="U60" s="871"/>
      <c r="V60" s="883" t="s">
        <v>169</v>
      </c>
      <c r="W60" s="933"/>
    </row>
    <row r="61" spans="1:23" ht="60">
      <c r="A61" s="933">
        <v>66</v>
      </c>
      <c r="B61" s="867" t="s">
        <v>434</v>
      </c>
      <c r="C61" s="875" t="s">
        <v>45</v>
      </c>
      <c r="D61" s="875" t="s">
        <v>196</v>
      </c>
      <c r="E61" s="879">
        <f t="shared" si="2"/>
        <v>7.0000000000000007E-2</v>
      </c>
      <c r="F61" s="910">
        <v>7.0000000000000007E-2</v>
      </c>
      <c r="G61" s="907">
        <f t="shared" si="3"/>
        <v>0</v>
      </c>
      <c r="H61" s="907"/>
      <c r="I61" s="907"/>
      <c r="J61" s="907"/>
      <c r="K61" s="871"/>
      <c r="L61" s="871"/>
      <c r="M61" s="871"/>
      <c r="N61" s="871"/>
      <c r="O61" s="871"/>
      <c r="P61" s="871"/>
      <c r="Q61" s="871"/>
      <c r="R61" s="871"/>
      <c r="S61" s="871"/>
      <c r="T61" s="871"/>
      <c r="U61" s="871"/>
      <c r="V61" s="883" t="s">
        <v>169</v>
      </c>
      <c r="W61" s="933"/>
    </row>
    <row r="62" spans="1:23" ht="60">
      <c r="A62" s="933">
        <v>67</v>
      </c>
      <c r="B62" s="867" t="s">
        <v>437</v>
      </c>
      <c r="C62" s="875" t="s">
        <v>45</v>
      </c>
      <c r="D62" s="875" t="s">
        <v>193</v>
      </c>
      <c r="E62" s="879">
        <f t="shared" si="2"/>
        <v>0.03</v>
      </c>
      <c r="F62" s="910">
        <v>0.03</v>
      </c>
      <c r="G62" s="907">
        <f t="shared" si="3"/>
        <v>0</v>
      </c>
      <c r="H62" s="907"/>
      <c r="I62" s="907"/>
      <c r="J62" s="907"/>
      <c r="K62" s="871"/>
      <c r="L62" s="871"/>
      <c r="M62" s="871"/>
      <c r="N62" s="871"/>
      <c r="O62" s="871"/>
      <c r="P62" s="871"/>
      <c r="Q62" s="871"/>
      <c r="R62" s="871"/>
      <c r="S62" s="871"/>
      <c r="T62" s="871"/>
      <c r="U62" s="871"/>
      <c r="V62" s="883" t="s">
        <v>169</v>
      </c>
      <c r="W62" s="933"/>
    </row>
    <row r="63" spans="1:23" ht="30">
      <c r="A63" s="933">
        <v>68</v>
      </c>
      <c r="B63" s="885" t="s">
        <v>438</v>
      </c>
      <c r="C63" s="875" t="s">
        <v>45</v>
      </c>
      <c r="D63" s="875" t="s">
        <v>196</v>
      </c>
      <c r="E63" s="879">
        <f t="shared" si="2"/>
        <v>0.39</v>
      </c>
      <c r="F63" s="910">
        <v>0.39</v>
      </c>
      <c r="G63" s="907">
        <f t="shared" si="3"/>
        <v>0</v>
      </c>
      <c r="H63" s="907"/>
      <c r="I63" s="907"/>
      <c r="J63" s="907"/>
      <c r="K63" s="871"/>
      <c r="L63" s="871"/>
      <c r="M63" s="871"/>
      <c r="N63" s="871"/>
      <c r="O63" s="871"/>
      <c r="P63" s="871"/>
      <c r="Q63" s="871"/>
      <c r="R63" s="871"/>
      <c r="S63" s="871"/>
      <c r="T63" s="871"/>
      <c r="U63" s="871"/>
      <c r="V63" s="883" t="s">
        <v>169</v>
      </c>
      <c r="W63" s="933"/>
    </row>
    <row r="64" spans="1:23" ht="45">
      <c r="A64" s="933">
        <v>69</v>
      </c>
      <c r="B64" s="867" t="s">
        <v>439</v>
      </c>
      <c r="C64" s="875" t="s">
        <v>45</v>
      </c>
      <c r="D64" s="875" t="s">
        <v>193</v>
      </c>
      <c r="E64" s="879">
        <f t="shared" si="2"/>
        <v>0.02</v>
      </c>
      <c r="F64" s="910">
        <v>0.02</v>
      </c>
      <c r="G64" s="907">
        <f t="shared" si="3"/>
        <v>0</v>
      </c>
      <c r="H64" s="907"/>
      <c r="I64" s="907"/>
      <c r="J64" s="907"/>
      <c r="K64" s="871"/>
      <c r="L64" s="871"/>
      <c r="M64" s="871"/>
      <c r="N64" s="871"/>
      <c r="O64" s="871"/>
      <c r="P64" s="871"/>
      <c r="Q64" s="871"/>
      <c r="R64" s="871"/>
      <c r="S64" s="871"/>
      <c r="T64" s="871"/>
      <c r="U64" s="871"/>
      <c r="V64" s="883" t="s">
        <v>169</v>
      </c>
      <c r="W64" s="933"/>
    </row>
    <row r="65" spans="1:23" ht="30">
      <c r="A65" s="933">
        <v>70</v>
      </c>
      <c r="B65" s="867" t="s">
        <v>440</v>
      </c>
      <c r="C65" s="875" t="s">
        <v>45</v>
      </c>
      <c r="D65" s="875" t="s">
        <v>192</v>
      </c>
      <c r="E65" s="879">
        <f t="shared" si="2"/>
        <v>0.01</v>
      </c>
      <c r="F65" s="910">
        <v>0.01</v>
      </c>
      <c r="G65" s="907">
        <f t="shared" si="3"/>
        <v>0</v>
      </c>
      <c r="H65" s="907"/>
      <c r="I65" s="907"/>
      <c r="J65" s="907"/>
      <c r="K65" s="871"/>
      <c r="L65" s="871"/>
      <c r="M65" s="871"/>
      <c r="N65" s="871"/>
      <c r="O65" s="871"/>
      <c r="P65" s="871"/>
      <c r="Q65" s="871"/>
      <c r="R65" s="871"/>
      <c r="S65" s="871"/>
      <c r="T65" s="871"/>
      <c r="U65" s="871"/>
      <c r="V65" s="883" t="s">
        <v>169</v>
      </c>
      <c r="W65" s="933"/>
    </row>
    <row r="66" spans="1:23" ht="30">
      <c r="A66" s="933">
        <v>71</v>
      </c>
      <c r="B66" s="867" t="s">
        <v>441</v>
      </c>
      <c r="C66" s="875" t="s">
        <v>45</v>
      </c>
      <c r="D66" s="875" t="s">
        <v>192</v>
      </c>
      <c r="E66" s="879">
        <f t="shared" si="2"/>
        <v>0.02</v>
      </c>
      <c r="F66" s="910">
        <v>0.02</v>
      </c>
      <c r="G66" s="907">
        <f t="shared" si="3"/>
        <v>0</v>
      </c>
      <c r="H66" s="907"/>
      <c r="I66" s="907"/>
      <c r="J66" s="907"/>
      <c r="K66" s="871"/>
      <c r="L66" s="871"/>
      <c r="M66" s="871"/>
      <c r="N66" s="871"/>
      <c r="O66" s="871"/>
      <c r="P66" s="871"/>
      <c r="Q66" s="871"/>
      <c r="R66" s="871"/>
      <c r="S66" s="871"/>
      <c r="T66" s="871"/>
      <c r="U66" s="871"/>
      <c r="V66" s="883" t="s">
        <v>169</v>
      </c>
      <c r="W66" s="933"/>
    </row>
    <row r="67" spans="1:23">
      <c r="A67" s="933">
        <v>72</v>
      </c>
      <c r="B67" s="934" t="s">
        <v>443</v>
      </c>
      <c r="C67" s="875" t="s">
        <v>68</v>
      </c>
      <c r="D67" s="875" t="s">
        <v>68</v>
      </c>
      <c r="E67" s="879">
        <f t="shared" si="2"/>
        <v>0.02</v>
      </c>
      <c r="F67" s="910">
        <v>0.02</v>
      </c>
      <c r="G67" s="907">
        <f t="shared" si="3"/>
        <v>0</v>
      </c>
      <c r="H67" s="907"/>
      <c r="I67" s="907"/>
      <c r="J67" s="907"/>
      <c r="K67" s="871"/>
      <c r="L67" s="871"/>
      <c r="M67" s="871"/>
      <c r="N67" s="871"/>
      <c r="O67" s="871"/>
      <c r="P67" s="871"/>
      <c r="Q67" s="871"/>
      <c r="R67" s="871"/>
      <c r="S67" s="871"/>
      <c r="T67" s="871"/>
      <c r="U67" s="871"/>
      <c r="V67" s="883" t="s">
        <v>170</v>
      </c>
      <c r="W67" s="933"/>
    </row>
    <row r="68" spans="1:23">
      <c r="A68" s="933">
        <v>73</v>
      </c>
      <c r="B68" s="934" t="s">
        <v>444</v>
      </c>
      <c r="C68" s="875" t="s">
        <v>45</v>
      </c>
      <c r="D68" s="875" t="s">
        <v>220</v>
      </c>
      <c r="E68" s="879">
        <f t="shared" si="2"/>
        <v>0.3</v>
      </c>
      <c r="F68" s="910">
        <v>0.3</v>
      </c>
      <c r="G68" s="907">
        <f t="shared" si="3"/>
        <v>0</v>
      </c>
      <c r="H68" s="907"/>
      <c r="I68" s="907"/>
      <c r="J68" s="907"/>
      <c r="K68" s="871"/>
      <c r="L68" s="871"/>
      <c r="M68" s="871"/>
      <c r="N68" s="871"/>
      <c r="O68" s="871"/>
      <c r="P68" s="871"/>
      <c r="Q68" s="871"/>
      <c r="R68" s="871"/>
      <c r="S68" s="871"/>
      <c r="T68" s="871"/>
      <c r="U68" s="871"/>
      <c r="V68" s="883" t="s">
        <v>170</v>
      </c>
      <c r="W68" s="933"/>
    </row>
    <row r="69" spans="1:23">
      <c r="A69" s="933">
        <v>74</v>
      </c>
      <c r="B69" s="934" t="s">
        <v>445</v>
      </c>
      <c r="C69" s="875" t="s">
        <v>45</v>
      </c>
      <c r="D69" s="875" t="s">
        <v>204</v>
      </c>
      <c r="E69" s="879">
        <f t="shared" si="2"/>
        <v>0.4</v>
      </c>
      <c r="F69" s="910">
        <v>0.4</v>
      </c>
      <c r="G69" s="907">
        <f t="shared" si="3"/>
        <v>0</v>
      </c>
      <c r="H69" s="907"/>
      <c r="I69" s="907"/>
      <c r="J69" s="907"/>
      <c r="K69" s="871"/>
      <c r="L69" s="871"/>
      <c r="M69" s="871"/>
      <c r="N69" s="871"/>
      <c r="O69" s="871"/>
      <c r="P69" s="871"/>
      <c r="Q69" s="871"/>
      <c r="R69" s="871"/>
      <c r="S69" s="871"/>
      <c r="T69" s="871"/>
      <c r="U69" s="871"/>
      <c r="V69" s="883" t="s">
        <v>170</v>
      </c>
      <c r="W69" s="933"/>
    </row>
    <row r="70" spans="1:23" ht="30">
      <c r="A70" s="933"/>
      <c r="B70" s="885" t="s">
        <v>787</v>
      </c>
      <c r="C70" s="875" t="s">
        <v>45</v>
      </c>
      <c r="D70" s="875" t="s">
        <v>194</v>
      </c>
      <c r="E70" s="879">
        <f t="shared" si="2"/>
        <v>0.01</v>
      </c>
      <c r="F70" s="912">
        <v>0.01</v>
      </c>
      <c r="G70" s="907">
        <f t="shared" si="3"/>
        <v>0</v>
      </c>
      <c r="H70" s="907"/>
      <c r="I70" s="907"/>
      <c r="J70" s="907"/>
      <c r="K70" s="871"/>
      <c r="L70" s="871"/>
      <c r="M70" s="871"/>
      <c r="N70" s="871"/>
      <c r="O70" s="871"/>
      <c r="P70" s="871"/>
      <c r="Q70" s="871"/>
      <c r="R70" s="871"/>
      <c r="S70" s="871"/>
      <c r="T70" s="871"/>
      <c r="U70" s="871"/>
      <c r="V70" s="883" t="s">
        <v>168</v>
      </c>
      <c r="W70" s="1313" t="s">
        <v>796</v>
      </c>
    </row>
    <row r="71" spans="1:23" ht="60">
      <c r="A71" s="933"/>
      <c r="B71" s="885" t="s">
        <v>788</v>
      </c>
      <c r="C71" s="875" t="s">
        <v>45</v>
      </c>
      <c r="D71" s="875" t="s">
        <v>196</v>
      </c>
      <c r="E71" s="879">
        <f t="shared" si="2"/>
        <v>0.17</v>
      </c>
      <c r="F71" s="912">
        <v>0.17</v>
      </c>
      <c r="G71" s="907">
        <f t="shared" si="3"/>
        <v>0</v>
      </c>
      <c r="H71" s="907"/>
      <c r="I71" s="907"/>
      <c r="J71" s="907"/>
      <c r="K71" s="871"/>
      <c r="L71" s="871"/>
      <c r="M71" s="871"/>
      <c r="N71" s="871"/>
      <c r="O71" s="871"/>
      <c r="P71" s="871"/>
      <c r="Q71" s="871"/>
      <c r="R71" s="871"/>
      <c r="S71" s="871"/>
      <c r="T71" s="871"/>
      <c r="U71" s="871"/>
      <c r="V71" s="883" t="s">
        <v>168</v>
      </c>
      <c r="W71" s="1314"/>
    </row>
    <row r="72" spans="1:23" ht="30">
      <c r="A72" s="933"/>
      <c r="B72" s="885" t="s">
        <v>789</v>
      </c>
      <c r="C72" s="875" t="s">
        <v>45</v>
      </c>
      <c r="D72" s="875" t="s">
        <v>196</v>
      </c>
      <c r="E72" s="879">
        <f t="shared" si="2"/>
        <v>0.13</v>
      </c>
      <c r="F72" s="912">
        <v>0.13</v>
      </c>
      <c r="G72" s="907">
        <f t="shared" si="3"/>
        <v>0</v>
      </c>
      <c r="H72" s="907"/>
      <c r="I72" s="907"/>
      <c r="J72" s="907"/>
      <c r="K72" s="871"/>
      <c r="L72" s="871"/>
      <c r="M72" s="871"/>
      <c r="N72" s="871"/>
      <c r="O72" s="871"/>
      <c r="P72" s="871"/>
      <c r="Q72" s="871"/>
      <c r="R72" s="871"/>
      <c r="S72" s="871"/>
      <c r="T72" s="871"/>
      <c r="U72" s="871"/>
      <c r="V72" s="883" t="s">
        <v>168</v>
      </c>
      <c r="W72" s="1314"/>
    </row>
    <row r="73" spans="1:23" ht="45">
      <c r="A73" s="933"/>
      <c r="B73" s="885" t="s">
        <v>790</v>
      </c>
      <c r="C73" s="875" t="s">
        <v>45</v>
      </c>
      <c r="D73" s="875" t="s">
        <v>196</v>
      </c>
      <c r="E73" s="879">
        <f t="shared" si="2"/>
        <v>0.1</v>
      </c>
      <c r="F73" s="912">
        <v>0.1</v>
      </c>
      <c r="G73" s="907">
        <f t="shared" si="3"/>
        <v>0</v>
      </c>
      <c r="H73" s="907"/>
      <c r="I73" s="907"/>
      <c r="J73" s="907"/>
      <c r="K73" s="871"/>
      <c r="L73" s="871"/>
      <c r="M73" s="871"/>
      <c r="N73" s="871"/>
      <c r="O73" s="871"/>
      <c r="P73" s="871"/>
      <c r="Q73" s="871"/>
      <c r="R73" s="871"/>
      <c r="S73" s="871"/>
      <c r="T73" s="871"/>
      <c r="U73" s="871"/>
      <c r="V73" s="883" t="s">
        <v>168</v>
      </c>
      <c r="W73" s="1314"/>
    </row>
    <row r="74" spans="1:23" ht="30">
      <c r="A74" s="933"/>
      <c r="B74" s="885" t="s">
        <v>791</v>
      </c>
      <c r="C74" s="875" t="s">
        <v>45</v>
      </c>
      <c r="D74" s="875" t="s">
        <v>196</v>
      </c>
      <c r="E74" s="879">
        <f t="shared" si="2"/>
        <v>0.13</v>
      </c>
      <c r="F74" s="910">
        <v>0.13</v>
      </c>
      <c r="G74" s="907">
        <f t="shared" si="3"/>
        <v>0</v>
      </c>
      <c r="H74" s="907"/>
      <c r="I74" s="907"/>
      <c r="J74" s="907"/>
      <c r="K74" s="871" t="s">
        <v>202</v>
      </c>
      <c r="L74" s="871"/>
      <c r="M74" s="871"/>
      <c r="N74" s="871"/>
      <c r="O74" s="871"/>
      <c r="P74" s="871"/>
      <c r="Q74" s="871"/>
      <c r="R74" s="871"/>
      <c r="S74" s="871"/>
      <c r="T74" s="871"/>
      <c r="U74" s="871"/>
      <c r="V74" s="883" t="s">
        <v>168</v>
      </c>
      <c r="W74" s="1314"/>
    </row>
    <row r="75" spans="1:23" ht="45">
      <c r="A75" s="933"/>
      <c r="B75" s="885" t="s">
        <v>792</v>
      </c>
      <c r="C75" s="875" t="s">
        <v>45</v>
      </c>
      <c r="D75" s="875" t="s">
        <v>192</v>
      </c>
      <c r="E75" s="879">
        <f t="shared" si="2"/>
        <v>0.01</v>
      </c>
      <c r="F75" s="912">
        <v>0.01</v>
      </c>
      <c r="G75" s="907">
        <f t="shared" si="3"/>
        <v>0</v>
      </c>
      <c r="H75" s="907"/>
      <c r="I75" s="907"/>
      <c r="J75" s="907"/>
      <c r="K75" s="871"/>
      <c r="L75" s="871"/>
      <c r="M75" s="871"/>
      <c r="N75" s="871"/>
      <c r="O75" s="871"/>
      <c r="P75" s="871"/>
      <c r="Q75" s="871"/>
      <c r="R75" s="871"/>
      <c r="S75" s="871"/>
      <c r="T75" s="871"/>
      <c r="U75" s="871"/>
      <c r="V75" s="883" t="s">
        <v>168</v>
      </c>
      <c r="W75" s="1314"/>
    </row>
    <row r="76" spans="1:23" ht="45">
      <c r="A76" s="933"/>
      <c r="B76" s="885" t="s">
        <v>793</v>
      </c>
      <c r="C76" s="875" t="s">
        <v>45</v>
      </c>
      <c r="D76" s="875" t="s">
        <v>196</v>
      </c>
      <c r="E76" s="879">
        <f t="shared" si="2"/>
        <v>0.1</v>
      </c>
      <c r="F76" s="912">
        <v>0.1</v>
      </c>
      <c r="G76" s="907">
        <f t="shared" si="3"/>
        <v>0</v>
      </c>
      <c r="H76" s="907"/>
      <c r="I76" s="907"/>
      <c r="J76" s="907"/>
      <c r="K76" s="871"/>
      <c r="L76" s="871"/>
      <c r="M76" s="871"/>
      <c r="N76" s="871"/>
      <c r="O76" s="871"/>
      <c r="P76" s="871"/>
      <c r="Q76" s="871"/>
      <c r="R76" s="871"/>
      <c r="S76" s="871"/>
      <c r="T76" s="871"/>
      <c r="U76" s="871"/>
      <c r="V76" s="883" t="s">
        <v>168</v>
      </c>
      <c r="W76" s="1314"/>
    </row>
    <row r="77" spans="1:23" ht="30">
      <c r="A77" s="933"/>
      <c r="B77" s="885" t="s">
        <v>794</v>
      </c>
      <c r="C77" s="875" t="s">
        <v>45</v>
      </c>
      <c r="D77" s="875" t="s">
        <v>196</v>
      </c>
      <c r="E77" s="879">
        <f t="shared" si="2"/>
        <v>0.11</v>
      </c>
      <c r="F77" s="912">
        <v>0.11</v>
      </c>
      <c r="G77" s="907">
        <f t="shared" si="3"/>
        <v>0</v>
      </c>
      <c r="H77" s="907"/>
      <c r="I77" s="907"/>
      <c r="J77" s="907"/>
      <c r="K77" s="871"/>
      <c r="L77" s="871"/>
      <c r="M77" s="871"/>
      <c r="N77" s="871"/>
      <c r="O77" s="871"/>
      <c r="P77" s="871"/>
      <c r="Q77" s="871"/>
      <c r="R77" s="871"/>
      <c r="S77" s="871"/>
      <c r="T77" s="871"/>
      <c r="U77" s="871"/>
      <c r="V77" s="883" t="s">
        <v>168</v>
      </c>
      <c r="W77" s="1314"/>
    </row>
    <row r="78" spans="1:23" ht="45">
      <c r="A78" s="933"/>
      <c r="B78" s="885" t="s">
        <v>795</v>
      </c>
      <c r="C78" s="875" t="s">
        <v>45</v>
      </c>
      <c r="D78" s="875" t="s">
        <v>196</v>
      </c>
      <c r="E78" s="879">
        <f t="shared" si="2"/>
        <v>0.1</v>
      </c>
      <c r="F78" s="910">
        <v>0.1</v>
      </c>
      <c r="G78" s="907">
        <f t="shared" si="3"/>
        <v>0</v>
      </c>
      <c r="H78" s="907"/>
      <c r="I78" s="907"/>
      <c r="J78" s="907"/>
      <c r="K78" s="871"/>
      <c r="L78" s="871"/>
      <c r="M78" s="871"/>
      <c r="N78" s="871"/>
      <c r="O78" s="871"/>
      <c r="P78" s="871"/>
      <c r="Q78" s="871"/>
      <c r="R78" s="871"/>
      <c r="S78" s="871"/>
      <c r="T78" s="871"/>
      <c r="U78" s="871"/>
      <c r="V78" s="883" t="s">
        <v>168</v>
      </c>
      <c r="W78" s="1315"/>
    </row>
    <row r="79" spans="1:23" ht="28.5">
      <c r="A79" s="873" t="s">
        <v>138</v>
      </c>
      <c r="B79" s="877" t="s">
        <v>275</v>
      </c>
      <c r="C79" s="875"/>
      <c r="D79" s="875"/>
      <c r="E79" s="879"/>
      <c r="F79" s="906"/>
      <c r="G79" s="907"/>
      <c r="H79" s="907"/>
      <c r="I79" s="907"/>
      <c r="J79" s="878"/>
      <c r="K79" s="878"/>
      <c r="L79" s="878"/>
      <c r="M79" s="878"/>
      <c r="N79" s="878"/>
      <c r="O79" s="878"/>
      <c r="P79" s="878"/>
      <c r="Q79" s="878"/>
      <c r="R79" s="878"/>
      <c r="S79" s="878"/>
      <c r="T79" s="878"/>
      <c r="U79" s="878"/>
      <c r="V79" s="876"/>
      <c r="W79" s="936" t="s">
        <v>797</v>
      </c>
    </row>
    <row r="80" spans="1:23">
      <c r="A80" s="1312" t="s">
        <v>281</v>
      </c>
      <c r="B80" s="1312"/>
      <c r="C80" s="937"/>
      <c r="D80" s="937"/>
      <c r="E80" s="895">
        <f t="shared" ref="E80:U80" si="4">SUM(E12:E79)</f>
        <v>20.359500000000008</v>
      </c>
      <c r="F80" s="919">
        <f t="shared" si="4"/>
        <v>20.359500000000008</v>
      </c>
      <c r="G80" s="895">
        <f t="shared" si="4"/>
        <v>0</v>
      </c>
      <c r="H80" s="895">
        <f t="shared" si="4"/>
        <v>0</v>
      </c>
      <c r="I80" s="895">
        <f t="shared" si="4"/>
        <v>0</v>
      </c>
      <c r="J80" s="895">
        <f t="shared" si="4"/>
        <v>0</v>
      </c>
      <c r="K80" s="895">
        <f t="shared" si="4"/>
        <v>0</v>
      </c>
      <c r="L80" s="895">
        <f t="shared" si="4"/>
        <v>0</v>
      </c>
      <c r="M80" s="895">
        <f t="shared" si="4"/>
        <v>0</v>
      </c>
      <c r="N80" s="895">
        <f t="shared" si="4"/>
        <v>0</v>
      </c>
      <c r="O80" s="895">
        <f t="shared" si="4"/>
        <v>0</v>
      </c>
      <c r="P80" s="895">
        <f t="shared" si="4"/>
        <v>0</v>
      </c>
      <c r="Q80" s="895">
        <f t="shared" si="4"/>
        <v>0</v>
      </c>
      <c r="R80" s="895">
        <f t="shared" si="4"/>
        <v>0</v>
      </c>
      <c r="S80" s="895">
        <f t="shared" si="4"/>
        <v>0</v>
      </c>
      <c r="T80" s="895">
        <f t="shared" si="4"/>
        <v>0</v>
      </c>
      <c r="U80" s="895">
        <f t="shared" si="4"/>
        <v>0</v>
      </c>
      <c r="V80" s="896"/>
      <c r="W80" s="936"/>
    </row>
    <row r="81" spans="1:23">
      <c r="A81" s="920"/>
      <c r="J81" s="921" t="s">
        <v>280</v>
      </c>
    </row>
    <row r="82" spans="1:23">
      <c r="A82" s="924"/>
    </row>
    <row r="83" spans="1:23">
      <c r="A83" s="924"/>
      <c r="B83" s="925"/>
      <c r="C83" s="926"/>
      <c r="G83" s="927"/>
    </row>
    <row r="84" spans="1:23">
      <c r="A84" s="924"/>
      <c r="B84" s="925"/>
      <c r="G84" s="927"/>
      <c r="H84" s="927"/>
      <c r="I84" s="927"/>
    </row>
    <row r="85" spans="1:23">
      <c r="A85" s="924"/>
      <c r="G85" s="928"/>
      <c r="H85" s="928"/>
      <c r="I85" s="928"/>
    </row>
    <row r="86" spans="1:23" s="921" customFormat="1">
      <c r="A86" s="924"/>
      <c r="B86" s="899"/>
      <c r="C86" s="900"/>
      <c r="D86" s="900"/>
      <c r="F86" s="922"/>
      <c r="G86" s="928"/>
      <c r="H86" s="928"/>
      <c r="I86" s="928"/>
      <c r="L86" s="921">
        <f>0.53+0.97+0.41+0.41</f>
        <v>2.3199999999999998</v>
      </c>
      <c r="N86" s="927"/>
      <c r="O86" s="927"/>
      <c r="V86" s="923"/>
      <c r="W86" s="897"/>
    </row>
    <row r="87" spans="1:23" s="921" customFormat="1">
      <c r="A87" s="924"/>
      <c r="B87" s="899"/>
      <c r="C87" s="900"/>
      <c r="D87" s="900"/>
      <c r="F87" s="922"/>
      <c r="G87" s="928"/>
      <c r="H87" s="928"/>
      <c r="I87" s="928"/>
      <c r="N87" s="927"/>
      <c r="O87" s="927"/>
      <c r="S87" s="927"/>
      <c r="V87" s="923"/>
      <c r="W87" s="897"/>
    </row>
    <row r="88" spans="1:23" s="921" customFormat="1">
      <c r="A88" s="924"/>
      <c r="B88" s="899"/>
      <c r="C88" s="900"/>
      <c r="D88" s="900"/>
      <c r="F88" s="922"/>
      <c r="G88" s="928"/>
      <c r="H88" s="928"/>
      <c r="I88" s="928"/>
      <c r="V88" s="923"/>
      <c r="W88" s="897"/>
    </row>
    <row r="89" spans="1:23" s="921" customFormat="1">
      <c r="A89" s="924"/>
      <c r="B89" s="929"/>
      <c r="C89" s="900"/>
      <c r="D89" s="900"/>
      <c r="F89" s="922"/>
      <c r="G89" s="928"/>
      <c r="H89" s="928"/>
      <c r="I89" s="928"/>
      <c r="V89" s="923"/>
      <c r="W89" s="897"/>
    </row>
    <row r="90" spans="1:23" s="921" customFormat="1">
      <c r="A90" s="924"/>
      <c r="B90" s="899"/>
      <c r="C90" s="900"/>
      <c r="D90" s="900"/>
      <c r="F90" s="922"/>
      <c r="G90" s="928"/>
      <c r="H90" s="928"/>
      <c r="I90" s="928"/>
      <c r="V90" s="923"/>
      <c r="W90" s="897"/>
    </row>
    <row r="91" spans="1:23" s="921" customFormat="1">
      <c r="A91" s="924"/>
      <c r="B91" s="899"/>
      <c r="C91" s="900"/>
      <c r="D91" s="900"/>
      <c r="F91" s="922"/>
      <c r="G91" s="928"/>
      <c r="H91" s="928"/>
      <c r="I91" s="928"/>
      <c r="V91" s="923"/>
      <c r="W91" s="897"/>
    </row>
    <row r="92" spans="1:23" s="921" customFormat="1">
      <c r="A92" s="924"/>
      <c r="B92" s="899"/>
      <c r="C92" s="900"/>
      <c r="D92" s="900"/>
      <c r="F92" s="922"/>
      <c r="G92" s="928"/>
      <c r="H92" s="928"/>
      <c r="I92" s="928"/>
      <c r="V92" s="923"/>
      <c r="W92" s="897"/>
    </row>
    <row r="93" spans="1:23" s="921" customFormat="1">
      <c r="A93" s="924"/>
      <c r="B93" s="899"/>
      <c r="C93" s="900"/>
      <c r="D93" s="900"/>
      <c r="F93" s="922"/>
      <c r="G93" s="928"/>
      <c r="H93" s="928"/>
      <c r="I93" s="928"/>
      <c r="V93" s="923"/>
      <c r="W93" s="897"/>
    </row>
    <row r="94" spans="1:23" s="921" customFormat="1">
      <c r="A94" s="924"/>
      <c r="B94" s="899"/>
      <c r="C94" s="900"/>
      <c r="D94" s="900"/>
      <c r="F94" s="922"/>
      <c r="G94" s="928"/>
      <c r="H94" s="928"/>
      <c r="I94" s="928"/>
      <c r="V94" s="923"/>
      <c r="W94" s="897"/>
    </row>
    <row r="95" spans="1:23" s="921" customFormat="1">
      <c r="A95" s="924"/>
      <c r="B95" s="899"/>
      <c r="C95" s="900"/>
      <c r="D95" s="900"/>
      <c r="F95" s="922"/>
      <c r="G95" s="928"/>
      <c r="H95" s="928"/>
      <c r="I95" s="928"/>
      <c r="V95" s="923"/>
      <c r="W95" s="897"/>
    </row>
    <row r="96" spans="1:23" s="921" customFormat="1">
      <c r="A96" s="924"/>
      <c r="B96" s="899"/>
      <c r="C96" s="900"/>
      <c r="D96" s="900"/>
      <c r="F96" s="922"/>
      <c r="G96" s="928"/>
      <c r="H96" s="928"/>
      <c r="I96" s="928"/>
      <c r="V96" s="923"/>
      <c r="W96" s="897"/>
    </row>
    <row r="97" spans="1:23" s="921" customFormat="1">
      <c r="A97" s="924"/>
      <c r="B97" s="899"/>
      <c r="C97" s="900"/>
      <c r="D97" s="900"/>
      <c r="F97" s="922"/>
      <c r="G97" s="928"/>
      <c r="H97" s="928"/>
      <c r="I97" s="928"/>
      <c r="V97" s="923"/>
      <c r="W97" s="897"/>
    </row>
    <row r="98" spans="1:23" s="921" customFormat="1">
      <c r="A98" s="924"/>
      <c r="B98" s="899"/>
      <c r="C98" s="900"/>
      <c r="D98" s="900"/>
      <c r="F98" s="922"/>
      <c r="G98" s="928"/>
      <c r="H98" s="928"/>
      <c r="I98" s="928"/>
      <c r="V98" s="923"/>
      <c r="W98" s="897"/>
    </row>
    <row r="99" spans="1:23" s="921" customFormat="1">
      <c r="A99" s="924"/>
      <c r="B99" s="899"/>
      <c r="C99" s="900"/>
      <c r="D99" s="900"/>
      <c r="F99" s="922"/>
      <c r="G99" s="928"/>
      <c r="H99" s="928"/>
      <c r="I99" s="928"/>
      <c r="V99" s="923"/>
      <c r="W99" s="897"/>
    </row>
    <row r="100" spans="1:23" s="921" customFormat="1">
      <c r="A100" s="924"/>
      <c r="B100" s="899"/>
      <c r="C100" s="900"/>
      <c r="D100" s="900"/>
      <c r="F100" s="922"/>
      <c r="G100" s="928"/>
      <c r="H100" s="928"/>
      <c r="I100" s="928"/>
      <c r="V100" s="923"/>
      <c r="W100" s="897"/>
    </row>
    <row r="101" spans="1:23" s="921" customFormat="1">
      <c r="A101" s="924"/>
      <c r="B101" s="899"/>
      <c r="C101" s="900"/>
      <c r="D101" s="900"/>
      <c r="F101" s="922"/>
      <c r="G101" s="928"/>
      <c r="H101" s="928"/>
      <c r="I101" s="928"/>
      <c r="V101" s="923"/>
      <c r="W101" s="897"/>
    </row>
    <row r="102" spans="1:23" s="921" customFormat="1">
      <c r="A102" s="924"/>
      <c r="B102" s="899"/>
      <c r="C102" s="900"/>
      <c r="D102" s="900"/>
      <c r="F102" s="922"/>
      <c r="G102" s="930"/>
      <c r="H102" s="930"/>
      <c r="I102" s="930"/>
      <c r="V102" s="923"/>
      <c r="W102" s="897"/>
    </row>
    <row r="103" spans="1:23" s="921" customFormat="1">
      <c r="A103" s="924"/>
      <c r="B103" s="899"/>
      <c r="C103" s="900"/>
      <c r="D103" s="900"/>
      <c r="F103" s="922"/>
      <c r="V103" s="923"/>
      <c r="W103" s="897"/>
    </row>
    <row r="104" spans="1:23" s="921" customFormat="1">
      <c r="A104" s="924"/>
      <c r="B104" s="899"/>
      <c r="C104" s="900"/>
      <c r="D104" s="900"/>
      <c r="F104" s="922"/>
      <c r="V104" s="923"/>
      <c r="W104" s="897"/>
    </row>
    <row r="105" spans="1:23" s="921" customFormat="1">
      <c r="A105" s="924"/>
      <c r="B105" s="899"/>
      <c r="C105" s="900"/>
      <c r="D105" s="900"/>
      <c r="F105" s="922"/>
      <c r="V105" s="923"/>
      <c r="W105" s="897"/>
    </row>
    <row r="106" spans="1:23" s="921" customFormat="1">
      <c r="A106" s="924"/>
      <c r="B106" s="899"/>
      <c r="C106" s="900"/>
      <c r="D106" s="900"/>
      <c r="F106" s="922"/>
      <c r="V106" s="923"/>
      <c r="W106" s="897"/>
    </row>
    <row r="107" spans="1:23" s="921" customFormat="1">
      <c r="A107" s="924"/>
      <c r="B107" s="899"/>
      <c r="C107" s="900"/>
      <c r="D107" s="900"/>
      <c r="F107" s="922"/>
      <c r="V107" s="923"/>
      <c r="W107" s="897"/>
    </row>
    <row r="108" spans="1:23" s="921" customFormat="1">
      <c r="A108" s="924"/>
      <c r="B108" s="899"/>
      <c r="C108" s="900"/>
      <c r="D108" s="900"/>
      <c r="F108" s="922"/>
      <c r="V108" s="923"/>
      <c r="W108" s="897"/>
    </row>
    <row r="109" spans="1:23" s="921" customFormat="1">
      <c r="A109" s="924"/>
      <c r="B109" s="899"/>
      <c r="C109" s="900"/>
      <c r="D109" s="900"/>
      <c r="F109" s="922"/>
      <c r="V109" s="923"/>
      <c r="W109" s="897"/>
    </row>
  </sheetData>
  <autoFilter ref="A9:W81"/>
  <mergeCells count="15">
    <mergeCell ref="A80:B80"/>
    <mergeCell ref="W70:W78"/>
    <mergeCell ref="V4:V7"/>
    <mergeCell ref="W4:W7"/>
    <mergeCell ref="J7:U7"/>
    <mergeCell ref="A1:V1"/>
    <mergeCell ref="A2:W2"/>
    <mergeCell ref="A3:W3"/>
    <mergeCell ref="A4:A7"/>
    <mergeCell ref="B4:B7"/>
    <mergeCell ref="C4:C7"/>
    <mergeCell ref="D4:D7"/>
    <mergeCell ref="E4:E7"/>
    <mergeCell ref="F4:F7"/>
    <mergeCell ref="G4:U6"/>
  </mergeCells>
  <pageMargins left="0.65" right="0.196850393700787" top="0.56999999999999995" bottom="7.8740157480315001E-2" header="0" footer="0.31496062992126"/>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topLeftCell="A9" zoomScale="80" zoomScaleNormal="80" workbookViewId="0">
      <pane ySplit="1" topLeftCell="A100" activePane="bottomLeft" state="frozen"/>
      <selection activeCell="A9" sqref="A9"/>
      <selection pane="bottomLeft" activeCell="X12" sqref="X12"/>
    </sheetView>
  </sheetViews>
  <sheetFormatPr defaultRowHeight="15"/>
  <cols>
    <col min="1" max="1" width="8" style="925" customWidth="1"/>
    <col min="2" max="2" width="8" style="925" hidden="1" customWidth="1"/>
    <col min="3" max="3" width="35.28515625" style="981" customWidth="1"/>
    <col min="4" max="4" width="9.42578125" style="921" customWidth="1"/>
    <col min="5" max="5" width="9.7109375" style="927" customWidth="1"/>
    <col min="6" max="6" width="10" style="921" customWidth="1"/>
    <col min="7" max="7" width="6.140625" style="921" customWidth="1"/>
    <col min="8" max="8" width="7" style="921" customWidth="1"/>
    <col min="9" max="9" width="11.7109375" style="922" bestFit="1" customWidth="1"/>
    <col min="10" max="10" width="8.85546875" style="921" customWidth="1"/>
    <col min="11" max="11" width="7.140625" style="921" customWidth="1"/>
    <col min="12" max="12" width="7.42578125" style="921" customWidth="1"/>
    <col min="13" max="14" width="6.42578125" style="921" customWidth="1"/>
    <col min="15" max="18" width="6.28515625" style="921" customWidth="1"/>
    <col min="19" max="19" width="6.140625" style="921" customWidth="1"/>
    <col min="20" max="20" width="6.28515625" style="921" customWidth="1"/>
    <col min="21" max="21" width="6.7109375" style="921" customWidth="1"/>
    <col min="22" max="22" width="7.7109375" style="921" customWidth="1"/>
    <col min="23" max="23" width="17.5703125" style="923" customWidth="1"/>
    <col min="24" max="24" width="31.5703125" style="897" customWidth="1"/>
    <col min="25" max="25" width="93" style="897" hidden="1" customWidth="1"/>
    <col min="26" max="257" width="9.140625" style="898"/>
    <col min="258" max="258" width="10.42578125" style="898" customWidth="1"/>
    <col min="259" max="259" width="51.28515625" style="898" customWidth="1"/>
    <col min="260" max="260" width="9.140625" style="898"/>
    <col min="261" max="261" width="8.140625" style="898" customWidth="1"/>
    <col min="262" max="262" width="9.42578125" style="898" customWidth="1"/>
    <col min="263" max="264" width="9.7109375" style="898" customWidth="1"/>
    <col min="265" max="266" width="10" style="898" customWidth="1"/>
    <col min="267" max="267" width="10.7109375" style="898" customWidth="1"/>
    <col min="268" max="268" width="10.140625" style="898" customWidth="1"/>
    <col min="269" max="276" width="9.140625" style="898" customWidth="1"/>
    <col min="277" max="277" width="9.28515625" style="898" customWidth="1"/>
    <col min="278" max="278" width="17.5703125" style="898" customWidth="1"/>
    <col min="279" max="279" width="37.85546875" style="898" customWidth="1"/>
    <col min="280" max="513" width="9.140625" style="898"/>
    <col min="514" max="514" width="10.42578125" style="898" customWidth="1"/>
    <col min="515" max="515" width="51.28515625" style="898" customWidth="1"/>
    <col min="516" max="516" width="9.140625" style="898"/>
    <col min="517" max="517" width="8.140625" style="898" customWidth="1"/>
    <col min="518" max="518" width="9.42578125" style="898" customWidth="1"/>
    <col min="519" max="520" width="9.7109375" style="898" customWidth="1"/>
    <col min="521" max="522" width="10" style="898" customWidth="1"/>
    <col min="523" max="523" width="10.7109375" style="898" customWidth="1"/>
    <col min="524" max="524" width="10.140625" style="898" customWidth="1"/>
    <col min="525" max="532" width="9.140625" style="898" customWidth="1"/>
    <col min="533" max="533" width="9.28515625" style="898" customWidth="1"/>
    <col min="534" max="534" width="17.5703125" style="898" customWidth="1"/>
    <col min="535" max="535" width="37.85546875" style="898" customWidth="1"/>
    <col min="536" max="769" width="9.140625" style="898"/>
    <col min="770" max="770" width="10.42578125" style="898" customWidth="1"/>
    <col min="771" max="771" width="51.28515625" style="898" customWidth="1"/>
    <col min="772" max="772" width="9.140625" style="898"/>
    <col min="773" max="773" width="8.140625" style="898" customWidth="1"/>
    <col min="774" max="774" width="9.42578125" style="898" customWidth="1"/>
    <col min="775" max="776" width="9.7109375" style="898" customWidth="1"/>
    <col min="777" max="778" width="10" style="898" customWidth="1"/>
    <col min="779" max="779" width="10.7109375" style="898" customWidth="1"/>
    <col min="780" max="780" width="10.140625" style="898" customWidth="1"/>
    <col min="781" max="788" width="9.140625" style="898" customWidth="1"/>
    <col min="789" max="789" width="9.28515625" style="898" customWidth="1"/>
    <col min="790" max="790" width="17.5703125" style="898" customWidth="1"/>
    <col min="791" max="791" width="37.85546875" style="898" customWidth="1"/>
    <col min="792" max="1025" width="9.140625" style="898"/>
    <col min="1026" max="1026" width="10.42578125" style="898" customWidth="1"/>
    <col min="1027" max="1027" width="51.28515625" style="898" customWidth="1"/>
    <col min="1028" max="1028" width="9.140625" style="898"/>
    <col min="1029" max="1029" width="8.140625" style="898" customWidth="1"/>
    <col min="1030" max="1030" width="9.42578125" style="898" customWidth="1"/>
    <col min="1031" max="1032" width="9.7109375" style="898" customWidth="1"/>
    <col min="1033" max="1034" width="10" style="898" customWidth="1"/>
    <col min="1035" max="1035" width="10.7109375" style="898" customWidth="1"/>
    <col min="1036" max="1036" width="10.140625" style="898" customWidth="1"/>
    <col min="1037" max="1044" width="9.140625" style="898" customWidth="1"/>
    <col min="1045" max="1045" width="9.28515625" style="898" customWidth="1"/>
    <col min="1046" max="1046" width="17.5703125" style="898" customWidth="1"/>
    <col min="1047" max="1047" width="37.85546875" style="898" customWidth="1"/>
    <col min="1048" max="1281" width="9.140625" style="898"/>
    <col min="1282" max="1282" width="10.42578125" style="898" customWidth="1"/>
    <col min="1283" max="1283" width="51.28515625" style="898" customWidth="1"/>
    <col min="1284" max="1284" width="9.140625" style="898"/>
    <col min="1285" max="1285" width="8.140625" style="898" customWidth="1"/>
    <col min="1286" max="1286" width="9.42578125" style="898" customWidth="1"/>
    <col min="1287" max="1288" width="9.7109375" style="898" customWidth="1"/>
    <col min="1289" max="1290" width="10" style="898" customWidth="1"/>
    <col min="1291" max="1291" width="10.7109375" style="898" customWidth="1"/>
    <col min="1292" max="1292" width="10.140625" style="898" customWidth="1"/>
    <col min="1293" max="1300" width="9.140625" style="898" customWidth="1"/>
    <col min="1301" max="1301" width="9.28515625" style="898" customWidth="1"/>
    <col min="1302" max="1302" width="17.5703125" style="898" customWidth="1"/>
    <col min="1303" max="1303" width="37.85546875" style="898" customWidth="1"/>
    <col min="1304" max="1537" width="9.140625" style="898"/>
    <col min="1538" max="1538" width="10.42578125" style="898" customWidth="1"/>
    <col min="1539" max="1539" width="51.28515625" style="898" customWidth="1"/>
    <col min="1540" max="1540" width="9.140625" style="898"/>
    <col min="1541" max="1541" width="8.140625" style="898" customWidth="1"/>
    <col min="1542" max="1542" width="9.42578125" style="898" customWidth="1"/>
    <col min="1543" max="1544" width="9.7109375" style="898" customWidth="1"/>
    <col min="1545" max="1546" width="10" style="898" customWidth="1"/>
    <col min="1547" max="1547" width="10.7109375" style="898" customWidth="1"/>
    <col min="1548" max="1548" width="10.140625" style="898" customWidth="1"/>
    <col min="1549" max="1556" width="9.140625" style="898" customWidth="1"/>
    <col min="1557" max="1557" width="9.28515625" style="898" customWidth="1"/>
    <col min="1558" max="1558" width="17.5703125" style="898" customWidth="1"/>
    <col min="1559" max="1559" width="37.85546875" style="898" customWidth="1"/>
    <col min="1560" max="1793" width="9.140625" style="898"/>
    <col min="1794" max="1794" width="10.42578125" style="898" customWidth="1"/>
    <col min="1795" max="1795" width="51.28515625" style="898" customWidth="1"/>
    <col min="1796" max="1796" width="9.140625" style="898"/>
    <col min="1797" max="1797" width="8.140625" style="898" customWidth="1"/>
    <col min="1798" max="1798" width="9.42578125" style="898" customWidth="1"/>
    <col min="1799" max="1800" width="9.7109375" style="898" customWidth="1"/>
    <col min="1801" max="1802" width="10" style="898" customWidth="1"/>
    <col min="1803" max="1803" width="10.7109375" style="898" customWidth="1"/>
    <col min="1804" max="1804" width="10.140625" style="898" customWidth="1"/>
    <col min="1805" max="1812" width="9.140625" style="898" customWidth="1"/>
    <col min="1813" max="1813" width="9.28515625" style="898" customWidth="1"/>
    <col min="1814" max="1814" width="17.5703125" style="898" customWidth="1"/>
    <col min="1815" max="1815" width="37.85546875" style="898" customWidth="1"/>
    <col min="1816" max="2049" width="9.140625" style="898"/>
    <col min="2050" max="2050" width="10.42578125" style="898" customWidth="1"/>
    <col min="2051" max="2051" width="51.28515625" style="898" customWidth="1"/>
    <col min="2052" max="2052" width="9.140625" style="898"/>
    <col min="2053" max="2053" width="8.140625" style="898" customWidth="1"/>
    <col min="2054" max="2054" width="9.42578125" style="898" customWidth="1"/>
    <col min="2055" max="2056" width="9.7109375" style="898" customWidth="1"/>
    <col min="2057" max="2058" width="10" style="898" customWidth="1"/>
    <col min="2059" max="2059" width="10.7109375" style="898" customWidth="1"/>
    <col min="2060" max="2060" width="10.140625" style="898" customWidth="1"/>
    <col min="2061" max="2068" width="9.140625" style="898" customWidth="1"/>
    <col min="2069" max="2069" width="9.28515625" style="898" customWidth="1"/>
    <col min="2070" max="2070" width="17.5703125" style="898" customWidth="1"/>
    <col min="2071" max="2071" width="37.85546875" style="898" customWidth="1"/>
    <col min="2072" max="2305" width="9.140625" style="898"/>
    <col min="2306" max="2306" width="10.42578125" style="898" customWidth="1"/>
    <col min="2307" max="2307" width="51.28515625" style="898" customWidth="1"/>
    <col min="2308" max="2308" width="9.140625" style="898"/>
    <col min="2309" max="2309" width="8.140625" style="898" customWidth="1"/>
    <col min="2310" max="2310" width="9.42578125" style="898" customWidth="1"/>
    <col min="2311" max="2312" width="9.7109375" style="898" customWidth="1"/>
    <col min="2313" max="2314" width="10" style="898" customWidth="1"/>
    <col min="2315" max="2315" width="10.7109375" style="898" customWidth="1"/>
    <col min="2316" max="2316" width="10.140625" style="898" customWidth="1"/>
    <col min="2317" max="2324" width="9.140625" style="898" customWidth="1"/>
    <col min="2325" max="2325" width="9.28515625" style="898" customWidth="1"/>
    <col min="2326" max="2326" width="17.5703125" style="898" customWidth="1"/>
    <col min="2327" max="2327" width="37.85546875" style="898" customWidth="1"/>
    <col min="2328" max="2561" width="9.140625" style="898"/>
    <col min="2562" max="2562" width="10.42578125" style="898" customWidth="1"/>
    <col min="2563" max="2563" width="51.28515625" style="898" customWidth="1"/>
    <col min="2564" max="2564" width="9.140625" style="898"/>
    <col min="2565" max="2565" width="8.140625" style="898" customWidth="1"/>
    <col min="2566" max="2566" width="9.42578125" style="898" customWidth="1"/>
    <col min="2567" max="2568" width="9.7109375" style="898" customWidth="1"/>
    <col min="2569" max="2570" width="10" style="898" customWidth="1"/>
    <col min="2571" max="2571" width="10.7109375" style="898" customWidth="1"/>
    <col min="2572" max="2572" width="10.140625" style="898" customWidth="1"/>
    <col min="2573" max="2580" width="9.140625" style="898" customWidth="1"/>
    <col min="2581" max="2581" width="9.28515625" style="898" customWidth="1"/>
    <col min="2582" max="2582" width="17.5703125" style="898" customWidth="1"/>
    <col min="2583" max="2583" width="37.85546875" style="898" customWidth="1"/>
    <col min="2584" max="2817" width="9.140625" style="898"/>
    <col min="2818" max="2818" width="10.42578125" style="898" customWidth="1"/>
    <col min="2819" max="2819" width="51.28515625" style="898" customWidth="1"/>
    <col min="2820" max="2820" width="9.140625" style="898"/>
    <col min="2821" max="2821" width="8.140625" style="898" customWidth="1"/>
    <col min="2822" max="2822" width="9.42578125" style="898" customWidth="1"/>
    <col min="2823" max="2824" width="9.7109375" style="898" customWidth="1"/>
    <col min="2825" max="2826" width="10" style="898" customWidth="1"/>
    <col min="2827" max="2827" width="10.7109375" style="898" customWidth="1"/>
    <col min="2828" max="2828" width="10.140625" style="898" customWidth="1"/>
    <col min="2829" max="2836" width="9.140625" style="898" customWidth="1"/>
    <col min="2837" max="2837" width="9.28515625" style="898" customWidth="1"/>
    <col min="2838" max="2838" width="17.5703125" style="898" customWidth="1"/>
    <col min="2839" max="2839" width="37.85546875" style="898" customWidth="1"/>
    <col min="2840" max="3073" width="9.140625" style="898"/>
    <col min="3074" max="3074" width="10.42578125" style="898" customWidth="1"/>
    <col min="3075" max="3075" width="51.28515625" style="898" customWidth="1"/>
    <col min="3076" max="3076" width="9.140625" style="898"/>
    <col min="3077" max="3077" width="8.140625" style="898" customWidth="1"/>
    <col min="3078" max="3078" width="9.42578125" style="898" customWidth="1"/>
    <col min="3079" max="3080" width="9.7109375" style="898" customWidth="1"/>
    <col min="3081" max="3082" width="10" style="898" customWidth="1"/>
    <col min="3083" max="3083" width="10.7109375" style="898" customWidth="1"/>
    <col min="3084" max="3084" width="10.140625" style="898" customWidth="1"/>
    <col min="3085" max="3092" width="9.140625" style="898" customWidth="1"/>
    <col min="3093" max="3093" width="9.28515625" style="898" customWidth="1"/>
    <col min="3094" max="3094" width="17.5703125" style="898" customWidth="1"/>
    <col min="3095" max="3095" width="37.85546875" style="898" customWidth="1"/>
    <col min="3096" max="3329" width="9.140625" style="898"/>
    <col min="3330" max="3330" width="10.42578125" style="898" customWidth="1"/>
    <col min="3331" max="3331" width="51.28515625" style="898" customWidth="1"/>
    <col min="3332" max="3332" width="9.140625" style="898"/>
    <col min="3333" max="3333" width="8.140625" style="898" customWidth="1"/>
    <col min="3334" max="3334" width="9.42578125" style="898" customWidth="1"/>
    <col min="3335" max="3336" width="9.7109375" style="898" customWidth="1"/>
    <col min="3337" max="3338" width="10" style="898" customWidth="1"/>
    <col min="3339" max="3339" width="10.7109375" style="898" customWidth="1"/>
    <col min="3340" max="3340" width="10.140625" style="898" customWidth="1"/>
    <col min="3341" max="3348" width="9.140625" style="898" customWidth="1"/>
    <col min="3349" max="3349" width="9.28515625" style="898" customWidth="1"/>
    <col min="3350" max="3350" width="17.5703125" style="898" customWidth="1"/>
    <col min="3351" max="3351" width="37.85546875" style="898" customWidth="1"/>
    <col min="3352" max="3585" width="9.140625" style="898"/>
    <col min="3586" max="3586" width="10.42578125" style="898" customWidth="1"/>
    <col min="3587" max="3587" width="51.28515625" style="898" customWidth="1"/>
    <col min="3588" max="3588" width="9.140625" style="898"/>
    <col min="3589" max="3589" width="8.140625" style="898" customWidth="1"/>
    <col min="3590" max="3590" width="9.42578125" style="898" customWidth="1"/>
    <col min="3591" max="3592" width="9.7109375" style="898" customWidth="1"/>
    <col min="3593" max="3594" width="10" style="898" customWidth="1"/>
    <col min="3595" max="3595" width="10.7109375" style="898" customWidth="1"/>
    <col min="3596" max="3596" width="10.140625" style="898" customWidth="1"/>
    <col min="3597" max="3604" width="9.140625" style="898" customWidth="1"/>
    <col min="3605" max="3605" width="9.28515625" style="898" customWidth="1"/>
    <col min="3606" max="3606" width="17.5703125" style="898" customWidth="1"/>
    <col min="3607" max="3607" width="37.85546875" style="898" customWidth="1"/>
    <col min="3608" max="3841" width="9.140625" style="898"/>
    <col min="3842" max="3842" width="10.42578125" style="898" customWidth="1"/>
    <col min="3843" max="3843" width="51.28515625" style="898" customWidth="1"/>
    <col min="3844" max="3844" width="9.140625" style="898"/>
    <col min="3845" max="3845" width="8.140625" style="898" customWidth="1"/>
    <col min="3846" max="3846" width="9.42578125" style="898" customWidth="1"/>
    <col min="3847" max="3848" width="9.7109375" style="898" customWidth="1"/>
    <col min="3849" max="3850" width="10" style="898" customWidth="1"/>
    <col min="3851" max="3851" width="10.7109375" style="898" customWidth="1"/>
    <col min="3852" max="3852" width="10.140625" style="898" customWidth="1"/>
    <col min="3853" max="3860" width="9.140625" style="898" customWidth="1"/>
    <col min="3861" max="3861" width="9.28515625" style="898" customWidth="1"/>
    <col min="3862" max="3862" width="17.5703125" style="898" customWidth="1"/>
    <col min="3863" max="3863" width="37.85546875" style="898" customWidth="1"/>
    <col min="3864" max="4097" width="9.140625" style="898"/>
    <col min="4098" max="4098" width="10.42578125" style="898" customWidth="1"/>
    <col min="4099" max="4099" width="51.28515625" style="898" customWidth="1"/>
    <col min="4100" max="4100" width="9.140625" style="898"/>
    <col min="4101" max="4101" width="8.140625" style="898" customWidth="1"/>
    <col min="4102" max="4102" width="9.42578125" style="898" customWidth="1"/>
    <col min="4103" max="4104" width="9.7109375" style="898" customWidth="1"/>
    <col min="4105" max="4106" width="10" style="898" customWidth="1"/>
    <col min="4107" max="4107" width="10.7109375" style="898" customWidth="1"/>
    <col min="4108" max="4108" width="10.140625" style="898" customWidth="1"/>
    <col min="4109" max="4116" width="9.140625" style="898" customWidth="1"/>
    <col min="4117" max="4117" width="9.28515625" style="898" customWidth="1"/>
    <col min="4118" max="4118" width="17.5703125" style="898" customWidth="1"/>
    <col min="4119" max="4119" width="37.85546875" style="898" customWidth="1"/>
    <col min="4120" max="4353" width="9.140625" style="898"/>
    <col min="4354" max="4354" width="10.42578125" style="898" customWidth="1"/>
    <col min="4355" max="4355" width="51.28515625" style="898" customWidth="1"/>
    <col min="4356" max="4356" width="9.140625" style="898"/>
    <col min="4357" max="4357" width="8.140625" style="898" customWidth="1"/>
    <col min="4358" max="4358" width="9.42578125" style="898" customWidth="1"/>
    <col min="4359" max="4360" width="9.7109375" style="898" customWidth="1"/>
    <col min="4361" max="4362" width="10" style="898" customWidth="1"/>
    <col min="4363" max="4363" width="10.7109375" style="898" customWidth="1"/>
    <col min="4364" max="4364" width="10.140625" style="898" customWidth="1"/>
    <col min="4365" max="4372" width="9.140625" style="898" customWidth="1"/>
    <col min="4373" max="4373" width="9.28515625" style="898" customWidth="1"/>
    <col min="4374" max="4374" width="17.5703125" style="898" customWidth="1"/>
    <col min="4375" max="4375" width="37.85546875" style="898" customWidth="1"/>
    <col min="4376" max="4609" width="9.140625" style="898"/>
    <col min="4610" max="4610" width="10.42578125" style="898" customWidth="1"/>
    <col min="4611" max="4611" width="51.28515625" style="898" customWidth="1"/>
    <col min="4612" max="4612" width="9.140625" style="898"/>
    <col min="4613" max="4613" width="8.140625" style="898" customWidth="1"/>
    <col min="4614" max="4614" width="9.42578125" style="898" customWidth="1"/>
    <col min="4615" max="4616" width="9.7109375" style="898" customWidth="1"/>
    <col min="4617" max="4618" width="10" style="898" customWidth="1"/>
    <col min="4619" max="4619" width="10.7109375" style="898" customWidth="1"/>
    <col min="4620" max="4620" width="10.140625" style="898" customWidth="1"/>
    <col min="4621" max="4628" width="9.140625" style="898" customWidth="1"/>
    <col min="4629" max="4629" width="9.28515625" style="898" customWidth="1"/>
    <col min="4630" max="4630" width="17.5703125" style="898" customWidth="1"/>
    <col min="4631" max="4631" width="37.85546875" style="898" customWidth="1"/>
    <col min="4632" max="4865" width="9.140625" style="898"/>
    <col min="4866" max="4866" width="10.42578125" style="898" customWidth="1"/>
    <col min="4867" max="4867" width="51.28515625" style="898" customWidth="1"/>
    <col min="4868" max="4868" width="9.140625" style="898"/>
    <col min="4869" max="4869" width="8.140625" style="898" customWidth="1"/>
    <col min="4870" max="4870" width="9.42578125" style="898" customWidth="1"/>
    <col min="4871" max="4872" width="9.7109375" style="898" customWidth="1"/>
    <col min="4873" max="4874" width="10" style="898" customWidth="1"/>
    <col min="4875" max="4875" width="10.7109375" style="898" customWidth="1"/>
    <col min="4876" max="4876" width="10.140625" style="898" customWidth="1"/>
    <col min="4877" max="4884" width="9.140625" style="898" customWidth="1"/>
    <col min="4885" max="4885" width="9.28515625" style="898" customWidth="1"/>
    <col min="4886" max="4886" width="17.5703125" style="898" customWidth="1"/>
    <col min="4887" max="4887" width="37.85546875" style="898" customWidth="1"/>
    <col min="4888" max="5121" width="9.140625" style="898"/>
    <col min="5122" max="5122" width="10.42578125" style="898" customWidth="1"/>
    <col min="5123" max="5123" width="51.28515625" style="898" customWidth="1"/>
    <col min="5124" max="5124" width="9.140625" style="898"/>
    <col min="5125" max="5125" width="8.140625" style="898" customWidth="1"/>
    <col min="5126" max="5126" width="9.42578125" style="898" customWidth="1"/>
    <col min="5127" max="5128" width="9.7109375" style="898" customWidth="1"/>
    <col min="5129" max="5130" width="10" style="898" customWidth="1"/>
    <col min="5131" max="5131" width="10.7109375" style="898" customWidth="1"/>
    <col min="5132" max="5132" width="10.140625" style="898" customWidth="1"/>
    <col min="5133" max="5140" width="9.140625" style="898" customWidth="1"/>
    <col min="5141" max="5141" width="9.28515625" style="898" customWidth="1"/>
    <col min="5142" max="5142" width="17.5703125" style="898" customWidth="1"/>
    <col min="5143" max="5143" width="37.85546875" style="898" customWidth="1"/>
    <col min="5144" max="5377" width="9.140625" style="898"/>
    <col min="5378" max="5378" width="10.42578125" style="898" customWidth="1"/>
    <col min="5379" max="5379" width="51.28515625" style="898" customWidth="1"/>
    <col min="5380" max="5380" width="9.140625" style="898"/>
    <col min="5381" max="5381" width="8.140625" style="898" customWidth="1"/>
    <col min="5382" max="5382" width="9.42578125" style="898" customWidth="1"/>
    <col min="5383" max="5384" width="9.7109375" style="898" customWidth="1"/>
    <col min="5385" max="5386" width="10" style="898" customWidth="1"/>
    <col min="5387" max="5387" width="10.7109375" style="898" customWidth="1"/>
    <col min="5388" max="5388" width="10.140625" style="898" customWidth="1"/>
    <col min="5389" max="5396" width="9.140625" style="898" customWidth="1"/>
    <col min="5397" max="5397" width="9.28515625" style="898" customWidth="1"/>
    <col min="5398" max="5398" width="17.5703125" style="898" customWidth="1"/>
    <col min="5399" max="5399" width="37.85546875" style="898" customWidth="1"/>
    <col min="5400" max="5633" width="9.140625" style="898"/>
    <col min="5634" max="5634" width="10.42578125" style="898" customWidth="1"/>
    <col min="5635" max="5635" width="51.28515625" style="898" customWidth="1"/>
    <col min="5636" max="5636" width="9.140625" style="898"/>
    <col min="5637" max="5637" width="8.140625" style="898" customWidth="1"/>
    <col min="5638" max="5638" width="9.42578125" style="898" customWidth="1"/>
    <col min="5639" max="5640" width="9.7109375" style="898" customWidth="1"/>
    <col min="5641" max="5642" width="10" style="898" customWidth="1"/>
    <col min="5643" max="5643" width="10.7109375" style="898" customWidth="1"/>
    <col min="5644" max="5644" width="10.140625" style="898" customWidth="1"/>
    <col min="5645" max="5652" width="9.140625" style="898" customWidth="1"/>
    <col min="5653" max="5653" width="9.28515625" style="898" customWidth="1"/>
    <col min="5654" max="5654" width="17.5703125" style="898" customWidth="1"/>
    <col min="5655" max="5655" width="37.85546875" style="898" customWidth="1"/>
    <col min="5656" max="5889" width="9.140625" style="898"/>
    <col min="5890" max="5890" width="10.42578125" style="898" customWidth="1"/>
    <col min="5891" max="5891" width="51.28515625" style="898" customWidth="1"/>
    <col min="5892" max="5892" width="9.140625" style="898"/>
    <col min="5893" max="5893" width="8.140625" style="898" customWidth="1"/>
    <col min="5894" max="5894" width="9.42578125" style="898" customWidth="1"/>
    <col min="5895" max="5896" width="9.7109375" style="898" customWidth="1"/>
    <col min="5897" max="5898" width="10" style="898" customWidth="1"/>
    <col min="5899" max="5899" width="10.7109375" style="898" customWidth="1"/>
    <col min="5900" max="5900" width="10.140625" style="898" customWidth="1"/>
    <col min="5901" max="5908" width="9.140625" style="898" customWidth="1"/>
    <col min="5909" max="5909" width="9.28515625" style="898" customWidth="1"/>
    <col min="5910" max="5910" width="17.5703125" style="898" customWidth="1"/>
    <col min="5911" max="5911" width="37.85546875" style="898" customWidth="1"/>
    <col min="5912" max="6145" width="9.140625" style="898"/>
    <col min="6146" max="6146" width="10.42578125" style="898" customWidth="1"/>
    <col min="6147" max="6147" width="51.28515625" style="898" customWidth="1"/>
    <col min="6148" max="6148" width="9.140625" style="898"/>
    <col min="6149" max="6149" width="8.140625" style="898" customWidth="1"/>
    <col min="6150" max="6150" width="9.42578125" style="898" customWidth="1"/>
    <col min="6151" max="6152" width="9.7109375" style="898" customWidth="1"/>
    <col min="6153" max="6154" width="10" style="898" customWidth="1"/>
    <col min="6155" max="6155" width="10.7109375" style="898" customWidth="1"/>
    <col min="6156" max="6156" width="10.140625" style="898" customWidth="1"/>
    <col min="6157" max="6164" width="9.140625" style="898" customWidth="1"/>
    <col min="6165" max="6165" width="9.28515625" style="898" customWidth="1"/>
    <col min="6166" max="6166" width="17.5703125" style="898" customWidth="1"/>
    <col min="6167" max="6167" width="37.85546875" style="898" customWidth="1"/>
    <col min="6168" max="6401" width="9.140625" style="898"/>
    <col min="6402" max="6402" width="10.42578125" style="898" customWidth="1"/>
    <col min="6403" max="6403" width="51.28515625" style="898" customWidth="1"/>
    <col min="6404" max="6404" width="9.140625" style="898"/>
    <col min="6405" max="6405" width="8.140625" style="898" customWidth="1"/>
    <col min="6406" max="6406" width="9.42578125" style="898" customWidth="1"/>
    <col min="6407" max="6408" width="9.7109375" style="898" customWidth="1"/>
    <col min="6409" max="6410" width="10" style="898" customWidth="1"/>
    <col min="6411" max="6411" width="10.7109375" style="898" customWidth="1"/>
    <col min="6412" max="6412" width="10.140625" style="898" customWidth="1"/>
    <col min="6413" max="6420" width="9.140625" style="898" customWidth="1"/>
    <col min="6421" max="6421" width="9.28515625" style="898" customWidth="1"/>
    <col min="6422" max="6422" width="17.5703125" style="898" customWidth="1"/>
    <col min="6423" max="6423" width="37.85546875" style="898" customWidth="1"/>
    <col min="6424" max="6657" width="9.140625" style="898"/>
    <col min="6658" max="6658" width="10.42578125" style="898" customWidth="1"/>
    <col min="6659" max="6659" width="51.28515625" style="898" customWidth="1"/>
    <col min="6660" max="6660" width="9.140625" style="898"/>
    <col min="6661" max="6661" width="8.140625" style="898" customWidth="1"/>
    <col min="6662" max="6662" width="9.42578125" style="898" customWidth="1"/>
    <col min="6663" max="6664" width="9.7109375" style="898" customWidth="1"/>
    <col min="6665" max="6666" width="10" style="898" customWidth="1"/>
    <col min="6667" max="6667" width="10.7109375" style="898" customWidth="1"/>
    <col min="6668" max="6668" width="10.140625" style="898" customWidth="1"/>
    <col min="6669" max="6676" width="9.140625" style="898" customWidth="1"/>
    <col min="6677" max="6677" width="9.28515625" style="898" customWidth="1"/>
    <col min="6678" max="6678" width="17.5703125" style="898" customWidth="1"/>
    <col min="6679" max="6679" width="37.85546875" style="898" customWidth="1"/>
    <col min="6680" max="6913" width="9.140625" style="898"/>
    <col min="6914" max="6914" width="10.42578125" style="898" customWidth="1"/>
    <col min="6915" max="6915" width="51.28515625" style="898" customWidth="1"/>
    <col min="6916" max="6916" width="9.140625" style="898"/>
    <col min="6917" max="6917" width="8.140625" style="898" customWidth="1"/>
    <col min="6918" max="6918" width="9.42578125" style="898" customWidth="1"/>
    <col min="6919" max="6920" width="9.7109375" style="898" customWidth="1"/>
    <col min="6921" max="6922" width="10" style="898" customWidth="1"/>
    <col min="6923" max="6923" width="10.7109375" style="898" customWidth="1"/>
    <col min="6924" max="6924" width="10.140625" style="898" customWidth="1"/>
    <col min="6925" max="6932" width="9.140625" style="898" customWidth="1"/>
    <col min="6933" max="6933" width="9.28515625" style="898" customWidth="1"/>
    <col min="6934" max="6934" width="17.5703125" style="898" customWidth="1"/>
    <col min="6935" max="6935" width="37.85546875" style="898" customWidth="1"/>
    <col min="6936" max="7169" width="9.140625" style="898"/>
    <col min="7170" max="7170" width="10.42578125" style="898" customWidth="1"/>
    <col min="7171" max="7171" width="51.28515625" style="898" customWidth="1"/>
    <col min="7172" max="7172" width="9.140625" style="898"/>
    <col min="7173" max="7173" width="8.140625" style="898" customWidth="1"/>
    <col min="7174" max="7174" width="9.42578125" style="898" customWidth="1"/>
    <col min="7175" max="7176" width="9.7109375" style="898" customWidth="1"/>
    <col min="7177" max="7178" width="10" style="898" customWidth="1"/>
    <col min="7179" max="7179" width="10.7109375" style="898" customWidth="1"/>
    <col min="7180" max="7180" width="10.140625" style="898" customWidth="1"/>
    <col min="7181" max="7188" width="9.140625" style="898" customWidth="1"/>
    <col min="7189" max="7189" width="9.28515625" style="898" customWidth="1"/>
    <col min="7190" max="7190" width="17.5703125" style="898" customWidth="1"/>
    <col min="7191" max="7191" width="37.85546875" style="898" customWidth="1"/>
    <col min="7192" max="7425" width="9.140625" style="898"/>
    <col min="7426" max="7426" width="10.42578125" style="898" customWidth="1"/>
    <col min="7427" max="7427" width="51.28515625" style="898" customWidth="1"/>
    <col min="7428" max="7428" width="9.140625" style="898"/>
    <col min="7429" max="7429" width="8.140625" style="898" customWidth="1"/>
    <col min="7430" max="7430" width="9.42578125" style="898" customWidth="1"/>
    <col min="7431" max="7432" width="9.7109375" style="898" customWidth="1"/>
    <col min="7433" max="7434" width="10" style="898" customWidth="1"/>
    <col min="7435" max="7435" width="10.7109375" style="898" customWidth="1"/>
    <col min="7436" max="7436" width="10.140625" style="898" customWidth="1"/>
    <col min="7437" max="7444" width="9.140625" style="898" customWidth="1"/>
    <col min="7445" max="7445" width="9.28515625" style="898" customWidth="1"/>
    <col min="7446" max="7446" width="17.5703125" style="898" customWidth="1"/>
    <col min="7447" max="7447" width="37.85546875" style="898" customWidth="1"/>
    <col min="7448" max="7681" width="9.140625" style="898"/>
    <col min="7682" max="7682" width="10.42578125" style="898" customWidth="1"/>
    <col min="7683" max="7683" width="51.28515625" style="898" customWidth="1"/>
    <col min="7684" max="7684" width="9.140625" style="898"/>
    <col min="7685" max="7685" width="8.140625" style="898" customWidth="1"/>
    <col min="7686" max="7686" width="9.42578125" style="898" customWidth="1"/>
    <col min="7687" max="7688" width="9.7109375" style="898" customWidth="1"/>
    <col min="7689" max="7690" width="10" style="898" customWidth="1"/>
    <col min="7691" max="7691" width="10.7109375" style="898" customWidth="1"/>
    <col min="7692" max="7692" width="10.140625" style="898" customWidth="1"/>
    <col min="7693" max="7700" width="9.140625" style="898" customWidth="1"/>
    <col min="7701" max="7701" width="9.28515625" style="898" customWidth="1"/>
    <col min="7702" max="7702" width="17.5703125" style="898" customWidth="1"/>
    <col min="7703" max="7703" width="37.85546875" style="898" customWidth="1"/>
    <col min="7704" max="7937" width="9.140625" style="898"/>
    <col min="7938" max="7938" width="10.42578125" style="898" customWidth="1"/>
    <col min="7939" max="7939" width="51.28515625" style="898" customWidth="1"/>
    <col min="7940" max="7940" width="9.140625" style="898"/>
    <col min="7941" max="7941" width="8.140625" style="898" customWidth="1"/>
    <col min="7942" max="7942" width="9.42578125" style="898" customWidth="1"/>
    <col min="7943" max="7944" width="9.7109375" style="898" customWidth="1"/>
    <col min="7945" max="7946" width="10" style="898" customWidth="1"/>
    <col min="7947" max="7947" width="10.7109375" style="898" customWidth="1"/>
    <col min="7948" max="7948" width="10.140625" style="898" customWidth="1"/>
    <col min="7949" max="7956" width="9.140625" style="898" customWidth="1"/>
    <col min="7957" max="7957" width="9.28515625" style="898" customWidth="1"/>
    <col min="7958" max="7958" width="17.5703125" style="898" customWidth="1"/>
    <col min="7959" max="7959" width="37.85546875" style="898" customWidth="1"/>
    <col min="7960" max="8193" width="9.140625" style="898"/>
    <col min="8194" max="8194" width="10.42578125" style="898" customWidth="1"/>
    <col min="8195" max="8195" width="51.28515625" style="898" customWidth="1"/>
    <col min="8196" max="8196" width="9.140625" style="898"/>
    <col min="8197" max="8197" width="8.140625" style="898" customWidth="1"/>
    <col min="8198" max="8198" width="9.42578125" style="898" customWidth="1"/>
    <col min="8199" max="8200" width="9.7109375" style="898" customWidth="1"/>
    <col min="8201" max="8202" width="10" style="898" customWidth="1"/>
    <col min="8203" max="8203" width="10.7109375" style="898" customWidth="1"/>
    <col min="8204" max="8204" width="10.140625" style="898" customWidth="1"/>
    <col min="8205" max="8212" width="9.140625" style="898" customWidth="1"/>
    <col min="8213" max="8213" width="9.28515625" style="898" customWidth="1"/>
    <col min="8214" max="8214" width="17.5703125" style="898" customWidth="1"/>
    <col min="8215" max="8215" width="37.85546875" style="898" customWidth="1"/>
    <col min="8216" max="8449" width="9.140625" style="898"/>
    <col min="8450" max="8450" width="10.42578125" style="898" customWidth="1"/>
    <col min="8451" max="8451" width="51.28515625" style="898" customWidth="1"/>
    <col min="8452" max="8452" width="9.140625" style="898"/>
    <col min="8453" max="8453" width="8.140625" style="898" customWidth="1"/>
    <col min="8454" max="8454" width="9.42578125" style="898" customWidth="1"/>
    <col min="8455" max="8456" width="9.7109375" style="898" customWidth="1"/>
    <col min="8457" max="8458" width="10" style="898" customWidth="1"/>
    <col min="8459" max="8459" width="10.7109375" style="898" customWidth="1"/>
    <col min="8460" max="8460" width="10.140625" style="898" customWidth="1"/>
    <col min="8461" max="8468" width="9.140625" style="898" customWidth="1"/>
    <col min="8469" max="8469" width="9.28515625" style="898" customWidth="1"/>
    <col min="8470" max="8470" width="17.5703125" style="898" customWidth="1"/>
    <col min="8471" max="8471" width="37.85546875" style="898" customWidth="1"/>
    <col min="8472" max="8705" width="9.140625" style="898"/>
    <col min="8706" max="8706" width="10.42578125" style="898" customWidth="1"/>
    <col min="8707" max="8707" width="51.28515625" style="898" customWidth="1"/>
    <col min="8708" max="8708" width="9.140625" style="898"/>
    <col min="8709" max="8709" width="8.140625" style="898" customWidth="1"/>
    <col min="8710" max="8710" width="9.42578125" style="898" customWidth="1"/>
    <col min="8711" max="8712" width="9.7109375" style="898" customWidth="1"/>
    <col min="8713" max="8714" width="10" style="898" customWidth="1"/>
    <col min="8715" max="8715" width="10.7109375" style="898" customWidth="1"/>
    <col min="8716" max="8716" width="10.140625" style="898" customWidth="1"/>
    <col min="8717" max="8724" width="9.140625" style="898" customWidth="1"/>
    <col min="8725" max="8725" width="9.28515625" style="898" customWidth="1"/>
    <col min="8726" max="8726" width="17.5703125" style="898" customWidth="1"/>
    <col min="8727" max="8727" width="37.85546875" style="898" customWidth="1"/>
    <col min="8728" max="8961" width="9.140625" style="898"/>
    <col min="8962" max="8962" width="10.42578125" style="898" customWidth="1"/>
    <col min="8963" max="8963" width="51.28515625" style="898" customWidth="1"/>
    <col min="8964" max="8964" width="9.140625" style="898"/>
    <col min="8965" max="8965" width="8.140625" style="898" customWidth="1"/>
    <col min="8966" max="8966" width="9.42578125" style="898" customWidth="1"/>
    <col min="8967" max="8968" width="9.7109375" style="898" customWidth="1"/>
    <col min="8969" max="8970" width="10" style="898" customWidth="1"/>
    <col min="8971" max="8971" width="10.7109375" style="898" customWidth="1"/>
    <col min="8972" max="8972" width="10.140625" style="898" customWidth="1"/>
    <col min="8973" max="8980" width="9.140625" style="898" customWidth="1"/>
    <col min="8981" max="8981" width="9.28515625" style="898" customWidth="1"/>
    <col min="8982" max="8982" width="17.5703125" style="898" customWidth="1"/>
    <col min="8983" max="8983" width="37.85546875" style="898" customWidth="1"/>
    <col min="8984" max="9217" width="9.140625" style="898"/>
    <col min="9218" max="9218" width="10.42578125" style="898" customWidth="1"/>
    <col min="9219" max="9219" width="51.28515625" style="898" customWidth="1"/>
    <col min="9220" max="9220" width="9.140625" style="898"/>
    <col min="9221" max="9221" width="8.140625" style="898" customWidth="1"/>
    <col min="9222" max="9222" width="9.42578125" style="898" customWidth="1"/>
    <col min="9223" max="9224" width="9.7109375" style="898" customWidth="1"/>
    <col min="9225" max="9226" width="10" style="898" customWidth="1"/>
    <col min="9227" max="9227" width="10.7109375" style="898" customWidth="1"/>
    <col min="9228" max="9228" width="10.140625" style="898" customWidth="1"/>
    <col min="9229" max="9236" width="9.140625" style="898" customWidth="1"/>
    <col min="9237" max="9237" width="9.28515625" style="898" customWidth="1"/>
    <col min="9238" max="9238" width="17.5703125" style="898" customWidth="1"/>
    <col min="9239" max="9239" width="37.85546875" style="898" customWidth="1"/>
    <col min="9240" max="9473" width="9.140625" style="898"/>
    <col min="9474" max="9474" width="10.42578125" style="898" customWidth="1"/>
    <col min="9475" max="9475" width="51.28515625" style="898" customWidth="1"/>
    <col min="9476" max="9476" width="9.140625" style="898"/>
    <col min="9477" max="9477" width="8.140625" style="898" customWidth="1"/>
    <col min="9478" max="9478" width="9.42578125" style="898" customWidth="1"/>
    <col min="9479" max="9480" width="9.7109375" style="898" customWidth="1"/>
    <col min="9481" max="9482" width="10" style="898" customWidth="1"/>
    <col min="9483" max="9483" width="10.7109375" style="898" customWidth="1"/>
    <col min="9484" max="9484" width="10.140625" style="898" customWidth="1"/>
    <col min="9485" max="9492" width="9.140625" style="898" customWidth="1"/>
    <col min="9493" max="9493" width="9.28515625" style="898" customWidth="1"/>
    <col min="9494" max="9494" width="17.5703125" style="898" customWidth="1"/>
    <col min="9495" max="9495" width="37.85546875" style="898" customWidth="1"/>
    <col min="9496" max="9729" width="9.140625" style="898"/>
    <col min="9730" max="9730" width="10.42578125" style="898" customWidth="1"/>
    <col min="9731" max="9731" width="51.28515625" style="898" customWidth="1"/>
    <col min="9732" max="9732" width="9.140625" style="898"/>
    <col min="9733" max="9733" width="8.140625" style="898" customWidth="1"/>
    <col min="9734" max="9734" width="9.42578125" style="898" customWidth="1"/>
    <col min="9735" max="9736" width="9.7109375" style="898" customWidth="1"/>
    <col min="9737" max="9738" width="10" style="898" customWidth="1"/>
    <col min="9739" max="9739" width="10.7109375" style="898" customWidth="1"/>
    <col min="9740" max="9740" width="10.140625" style="898" customWidth="1"/>
    <col min="9741" max="9748" width="9.140625" style="898" customWidth="1"/>
    <col min="9749" max="9749" width="9.28515625" style="898" customWidth="1"/>
    <col min="9750" max="9750" width="17.5703125" style="898" customWidth="1"/>
    <col min="9751" max="9751" width="37.85546875" style="898" customWidth="1"/>
    <col min="9752" max="9985" width="9.140625" style="898"/>
    <col min="9986" max="9986" width="10.42578125" style="898" customWidth="1"/>
    <col min="9987" max="9987" width="51.28515625" style="898" customWidth="1"/>
    <col min="9988" max="9988" width="9.140625" style="898"/>
    <col min="9989" max="9989" width="8.140625" style="898" customWidth="1"/>
    <col min="9990" max="9990" width="9.42578125" style="898" customWidth="1"/>
    <col min="9991" max="9992" width="9.7109375" style="898" customWidth="1"/>
    <col min="9993" max="9994" width="10" style="898" customWidth="1"/>
    <col min="9995" max="9995" width="10.7109375" style="898" customWidth="1"/>
    <col min="9996" max="9996" width="10.140625" style="898" customWidth="1"/>
    <col min="9997" max="10004" width="9.140625" style="898" customWidth="1"/>
    <col min="10005" max="10005" width="9.28515625" style="898" customWidth="1"/>
    <col min="10006" max="10006" width="17.5703125" style="898" customWidth="1"/>
    <col min="10007" max="10007" width="37.85546875" style="898" customWidth="1"/>
    <col min="10008" max="10241" width="9.140625" style="898"/>
    <col min="10242" max="10242" width="10.42578125" style="898" customWidth="1"/>
    <col min="10243" max="10243" width="51.28515625" style="898" customWidth="1"/>
    <col min="10244" max="10244" width="9.140625" style="898"/>
    <col min="10245" max="10245" width="8.140625" style="898" customWidth="1"/>
    <col min="10246" max="10246" width="9.42578125" style="898" customWidth="1"/>
    <col min="10247" max="10248" width="9.7109375" style="898" customWidth="1"/>
    <col min="10249" max="10250" width="10" style="898" customWidth="1"/>
    <col min="10251" max="10251" width="10.7109375" style="898" customWidth="1"/>
    <col min="10252" max="10252" width="10.140625" style="898" customWidth="1"/>
    <col min="10253" max="10260" width="9.140625" style="898" customWidth="1"/>
    <col min="10261" max="10261" width="9.28515625" style="898" customWidth="1"/>
    <col min="10262" max="10262" width="17.5703125" style="898" customWidth="1"/>
    <col min="10263" max="10263" width="37.85546875" style="898" customWidth="1"/>
    <col min="10264" max="10497" width="9.140625" style="898"/>
    <col min="10498" max="10498" width="10.42578125" style="898" customWidth="1"/>
    <col min="10499" max="10499" width="51.28515625" style="898" customWidth="1"/>
    <col min="10500" max="10500" width="9.140625" style="898"/>
    <col min="10501" max="10501" width="8.140625" style="898" customWidth="1"/>
    <col min="10502" max="10502" width="9.42578125" style="898" customWidth="1"/>
    <col min="10503" max="10504" width="9.7109375" style="898" customWidth="1"/>
    <col min="10505" max="10506" width="10" style="898" customWidth="1"/>
    <col min="10507" max="10507" width="10.7109375" style="898" customWidth="1"/>
    <col min="10508" max="10508" width="10.140625" style="898" customWidth="1"/>
    <col min="10509" max="10516" width="9.140625" style="898" customWidth="1"/>
    <col min="10517" max="10517" width="9.28515625" style="898" customWidth="1"/>
    <col min="10518" max="10518" width="17.5703125" style="898" customWidth="1"/>
    <col min="10519" max="10519" width="37.85546875" style="898" customWidth="1"/>
    <col min="10520" max="10753" width="9.140625" style="898"/>
    <col min="10754" max="10754" width="10.42578125" style="898" customWidth="1"/>
    <col min="10755" max="10755" width="51.28515625" style="898" customWidth="1"/>
    <col min="10756" max="10756" width="9.140625" style="898"/>
    <col min="10757" max="10757" width="8.140625" style="898" customWidth="1"/>
    <col min="10758" max="10758" width="9.42578125" style="898" customWidth="1"/>
    <col min="10759" max="10760" width="9.7109375" style="898" customWidth="1"/>
    <col min="10761" max="10762" width="10" style="898" customWidth="1"/>
    <col min="10763" max="10763" width="10.7109375" style="898" customWidth="1"/>
    <col min="10764" max="10764" width="10.140625" style="898" customWidth="1"/>
    <col min="10765" max="10772" width="9.140625" style="898" customWidth="1"/>
    <col min="10773" max="10773" width="9.28515625" style="898" customWidth="1"/>
    <col min="10774" max="10774" width="17.5703125" style="898" customWidth="1"/>
    <col min="10775" max="10775" width="37.85546875" style="898" customWidth="1"/>
    <col min="10776" max="11009" width="9.140625" style="898"/>
    <col min="11010" max="11010" width="10.42578125" style="898" customWidth="1"/>
    <col min="11011" max="11011" width="51.28515625" style="898" customWidth="1"/>
    <col min="11012" max="11012" width="9.140625" style="898"/>
    <col min="11013" max="11013" width="8.140625" style="898" customWidth="1"/>
    <col min="11014" max="11014" width="9.42578125" style="898" customWidth="1"/>
    <col min="11015" max="11016" width="9.7109375" style="898" customWidth="1"/>
    <col min="11017" max="11018" width="10" style="898" customWidth="1"/>
    <col min="11019" max="11019" width="10.7109375" style="898" customWidth="1"/>
    <col min="11020" max="11020" width="10.140625" style="898" customWidth="1"/>
    <col min="11021" max="11028" width="9.140625" style="898" customWidth="1"/>
    <col min="11029" max="11029" width="9.28515625" style="898" customWidth="1"/>
    <col min="11030" max="11030" width="17.5703125" style="898" customWidth="1"/>
    <col min="11031" max="11031" width="37.85546875" style="898" customWidth="1"/>
    <col min="11032" max="11265" width="9.140625" style="898"/>
    <col min="11266" max="11266" width="10.42578125" style="898" customWidth="1"/>
    <col min="11267" max="11267" width="51.28515625" style="898" customWidth="1"/>
    <col min="11268" max="11268" width="9.140625" style="898"/>
    <col min="11269" max="11269" width="8.140625" style="898" customWidth="1"/>
    <col min="11270" max="11270" width="9.42578125" style="898" customWidth="1"/>
    <col min="11271" max="11272" width="9.7109375" style="898" customWidth="1"/>
    <col min="11273" max="11274" width="10" style="898" customWidth="1"/>
    <col min="11275" max="11275" width="10.7109375" style="898" customWidth="1"/>
    <col min="11276" max="11276" width="10.140625" style="898" customWidth="1"/>
    <col min="11277" max="11284" width="9.140625" style="898" customWidth="1"/>
    <col min="11285" max="11285" width="9.28515625" style="898" customWidth="1"/>
    <col min="11286" max="11286" width="17.5703125" style="898" customWidth="1"/>
    <col min="11287" max="11287" width="37.85546875" style="898" customWidth="1"/>
    <col min="11288" max="11521" width="9.140625" style="898"/>
    <col min="11522" max="11522" width="10.42578125" style="898" customWidth="1"/>
    <col min="11523" max="11523" width="51.28515625" style="898" customWidth="1"/>
    <col min="11524" max="11524" width="9.140625" style="898"/>
    <col min="11525" max="11525" width="8.140625" style="898" customWidth="1"/>
    <col min="11526" max="11526" width="9.42578125" style="898" customWidth="1"/>
    <col min="11527" max="11528" width="9.7109375" style="898" customWidth="1"/>
    <col min="11529" max="11530" width="10" style="898" customWidth="1"/>
    <col min="11531" max="11531" width="10.7109375" style="898" customWidth="1"/>
    <col min="11532" max="11532" width="10.140625" style="898" customWidth="1"/>
    <col min="11533" max="11540" width="9.140625" style="898" customWidth="1"/>
    <col min="11541" max="11541" width="9.28515625" style="898" customWidth="1"/>
    <col min="11542" max="11542" width="17.5703125" style="898" customWidth="1"/>
    <col min="11543" max="11543" width="37.85546875" style="898" customWidth="1"/>
    <col min="11544" max="11777" width="9.140625" style="898"/>
    <col min="11778" max="11778" width="10.42578125" style="898" customWidth="1"/>
    <col min="11779" max="11779" width="51.28515625" style="898" customWidth="1"/>
    <col min="11780" max="11780" width="9.140625" style="898"/>
    <col min="11781" max="11781" width="8.140625" style="898" customWidth="1"/>
    <col min="11782" max="11782" width="9.42578125" style="898" customWidth="1"/>
    <col min="11783" max="11784" width="9.7109375" style="898" customWidth="1"/>
    <col min="11785" max="11786" width="10" style="898" customWidth="1"/>
    <col min="11787" max="11787" width="10.7109375" style="898" customWidth="1"/>
    <col min="11788" max="11788" width="10.140625" style="898" customWidth="1"/>
    <col min="11789" max="11796" width="9.140625" style="898" customWidth="1"/>
    <col min="11797" max="11797" width="9.28515625" style="898" customWidth="1"/>
    <col min="11798" max="11798" width="17.5703125" style="898" customWidth="1"/>
    <col min="11799" max="11799" width="37.85546875" style="898" customWidth="1"/>
    <col min="11800" max="12033" width="9.140625" style="898"/>
    <col min="12034" max="12034" width="10.42578125" style="898" customWidth="1"/>
    <col min="12035" max="12035" width="51.28515625" style="898" customWidth="1"/>
    <col min="12036" max="12036" width="9.140625" style="898"/>
    <col min="12037" max="12037" width="8.140625" style="898" customWidth="1"/>
    <col min="12038" max="12038" width="9.42578125" style="898" customWidth="1"/>
    <col min="12039" max="12040" width="9.7109375" style="898" customWidth="1"/>
    <col min="12041" max="12042" width="10" style="898" customWidth="1"/>
    <col min="12043" max="12043" width="10.7109375" style="898" customWidth="1"/>
    <col min="12044" max="12044" width="10.140625" style="898" customWidth="1"/>
    <col min="12045" max="12052" width="9.140625" style="898" customWidth="1"/>
    <col min="12053" max="12053" width="9.28515625" style="898" customWidth="1"/>
    <col min="12054" max="12054" width="17.5703125" style="898" customWidth="1"/>
    <col min="12055" max="12055" width="37.85546875" style="898" customWidth="1"/>
    <col min="12056" max="12289" width="9.140625" style="898"/>
    <col min="12290" max="12290" width="10.42578125" style="898" customWidth="1"/>
    <col min="12291" max="12291" width="51.28515625" style="898" customWidth="1"/>
    <col min="12292" max="12292" width="9.140625" style="898"/>
    <col min="12293" max="12293" width="8.140625" style="898" customWidth="1"/>
    <col min="12294" max="12294" width="9.42578125" style="898" customWidth="1"/>
    <col min="12295" max="12296" width="9.7109375" style="898" customWidth="1"/>
    <col min="12297" max="12298" width="10" style="898" customWidth="1"/>
    <col min="12299" max="12299" width="10.7109375" style="898" customWidth="1"/>
    <col min="12300" max="12300" width="10.140625" style="898" customWidth="1"/>
    <col min="12301" max="12308" width="9.140625" style="898" customWidth="1"/>
    <col min="12309" max="12309" width="9.28515625" style="898" customWidth="1"/>
    <col min="12310" max="12310" width="17.5703125" style="898" customWidth="1"/>
    <col min="12311" max="12311" width="37.85546875" style="898" customWidth="1"/>
    <col min="12312" max="12545" width="9.140625" style="898"/>
    <col min="12546" max="12546" width="10.42578125" style="898" customWidth="1"/>
    <col min="12547" max="12547" width="51.28515625" style="898" customWidth="1"/>
    <col min="12548" max="12548" width="9.140625" style="898"/>
    <col min="12549" max="12549" width="8.140625" style="898" customWidth="1"/>
    <col min="12550" max="12550" width="9.42578125" style="898" customWidth="1"/>
    <col min="12551" max="12552" width="9.7109375" style="898" customWidth="1"/>
    <col min="12553" max="12554" width="10" style="898" customWidth="1"/>
    <col min="12555" max="12555" width="10.7109375" style="898" customWidth="1"/>
    <col min="12556" max="12556" width="10.140625" style="898" customWidth="1"/>
    <col min="12557" max="12564" width="9.140625" style="898" customWidth="1"/>
    <col min="12565" max="12565" width="9.28515625" style="898" customWidth="1"/>
    <col min="12566" max="12566" width="17.5703125" style="898" customWidth="1"/>
    <col min="12567" max="12567" width="37.85546875" style="898" customWidth="1"/>
    <col min="12568" max="12801" width="9.140625" style="898"/>
    <col min="12802" max="12802" width="10.42578125" style="898" customWidth="1"/>
    <col min="12803" max="12803" width="51.28515625" style="898" customWidth="1"/>
    <col min="12804" max="12804" width="9.140625" style="898"/>
    <col min="12805" max="12805" width="8.140625" style="898" customWidth="1"/>
    <col min="12806" max="12806" width="9.42578125" style="898" customWidth="1"/>
    <col min="12807" max="12808" width="9.7109375" style="898" customWidth="1"/>
    <col min="12809" max="12810" width="10" style="898" customWidth="1"/>
    <col min="12811" max="12811" width="10.7109375" style="898" customWidth="1"/>
    <col min="12812" max="12812" width="10.140625" style="898" customWidth="1"/>
    <col min="12813" max="12820" width="9.140625" style="898" customWidth="1"/>
    <col min="12821" max="12821" width="9.28515625" style="898" customWidth="1"/>
    <col min="12822" max="12822" width="17.5703125" style="898" customWidth="1"/>
    <col min="12823" max="12823" width="37.85546875" style="898" customWidth="1"/>
    <col min="12824" max="13057" width="9.140625" style="898"/>
    <col min="13058" max="13058" width="10.42578125" style="898" customWidth="1"/>
    <col min="13059" max="13059" width="51.28515625" style="898" customWidth="1"/>
    <col min="13060" max="13060" width="9.140625" style="898"/>
    <col min="13061" max="13061" width="8.140625" style="898" customWidth="1"/>
    <col min="13062" max="13062" width="9.42578125" style="898" customWidth="1"/>
    <col min="13063" max="13064" width="9.7109375" style="898" customWidth="1"/>
    <col min="13065" max="13066" width="10" style="898" customWidth="1"/>
    <col min="13067" max="13067" width="10.7109375" style="898" customWidth="1"/>
    <col min="13068" max="13068" width="10.140625" style="898" customWidth="1"/>
    <col min="13069" max="13076" width="9.140625" style="898" customWidth="1"/>
    <col min="13077" max="13077" width="9.28515625" style="898" customWidth="1"/>
    <col min="13078" max="13078" width="17.5703125" style="898" customWidth="1"/>
    <col min="13079" max="13079" width="37.85546875" style="898" customWidth="1"/>
    <col min="13080" max="13313" width="9.140625" style="898"/>
    <col min="13314" max="13314" width="10.42578125" style="898" customWidth="1"/>
    <col min="13315" max="13315" width="51.28515625" style="898" customWidth="1"/>
    <col min="13316" max="13316" width="9.140625" style="898"/>
    <col min="13317" max="13317" width="8.140625" style="898" customWidth="1"/>
    <col min="13318" max="13318" width="9.42578125" style="898" customWidth="1"/>
    <col min="13319" max="13320" width="9.7109375" style="898" customWidth="1"/>
    <col min="13321" max="13322" width="10" style="898" customWidth="1"/>
    <col min="13323" max="13323" width="10.7109375" style="898" customWidth="1"/>
    <col min="13324" max="13324" width="10.140625" style="898" customWidth="1"/>
    <col min="13325" max="13332" width="9.140625" style="898" customWidth="1"/>
    <col min="13333" max="13333" width="9.28515625" style="898" customWidth="1"/>
    <col min="13334" max="13334" width="17.5703125" style="898" customWidth="1"/>
    <col min="13335" max="13335" width="37.85546875" style="898" customWidth="1"/>
    <col min="13336" max="13569" width="9.140625" style="898"/>
    <col min="13570" max="13570" width="10.42578125" style="898" customWidth="1"/>
    <col min="13571" max="13571" width="51.28515625" style="898" customWidth="1"/>
    <col min="13572" max="13572" width="9.140625" style="898"/>
    <col min="13573" max="13573" width="8.140625" style="898" customWidth="1"/>
    <col min="13574" max="13574" width="9.42578125" style="898" customWidth="1"/>
    <col min="13575" max="13576" width="9.7109375" style="898" customWidth="1"/>
    <col min="13577" max="13578" width="10" style="898" customWidth="1"/>
    <col min="13579" max="13579" width="10.7109375" style="898" customWidth="1"/>
    <col min="13580" max="13580" width="10.140625" style="898" customWidth="1"/>
    <col min="13581" max="13588" width="9.140625" style="898" customWidth="1"/>
    <col min="13589" max="13589" width="9.28515625" style="898" customWidth="1"/>
    <col min="13590" max="13590" width="17.5703125" style="898" customWidth="1"/>
    <col min="13591" max="13591" width="37.85546875" style="898" customWidth="1"/>
    <col min="13592" max="13825" width="9.140625" style="898"/>
    <col min="13826" max="13826" width="10.42578125" style="898" customWidth="1"/>
    <col min="13827" max="13827" width="51.28515625" style="898" customWidth="1"/>
    <col min="13828" max="13828" width="9.140625" style="898"/>
    <col min="13829" max="13829" width="8.140625" style="898" customWidth="1"/>
    <col min="13830" max="13830" width="9.42578125" style="898" customWidth="1"/>
    <col min="13831" max="13832" width="9.7109375" style="898" customWidth="1"/>
    <col min="13833" max="13834" width="10" style="898" customWidth="1"/>
    <col min="13835" max="13835" width="10.7109375" style="898" customWidth="1"/>
    <col min="13836" max="13836" width="10.140625" style="898" customWidth="1"/>
    <col min="13837" max="13844" width="9.140625" style="898" customWidth="1"/>
    <col min="13845" max="13845" width="9.28515625" style="898" customWidth="1"/>
    <col min="13846" max="13846" width="17.5703125" style="898" customWidth="1"/>
    <col min="13847" max="13847" width="37.85546875" style="898" customWidth="1"/>
    <col min="13848" max="14081" width="9.140625" style="898"/>
    <col min="14082" max="14082" width="10.42578125" style="898" customWidth="1"/>
    <col min="14083" max="14083" width="51.28515625" style="898" customWidth="1"/>
    <col min="14084" max="14084" width="9.140625" style="898"/>
    <col min="14085" max="14085" width="8.140625" style="898" customWidth="1"/>
    <col min="14086" max="14086" width="9.42578125" style="898" customWidth="1"/>
    <col min="14087" max="14088" width="9.7109375" style="898" customWidth="1"/>
    <col min="14089" max="14090" width="10" style="898" customWidth="1"/>
    <col min="14091" max="14091" width="10.7109375" style="898" customWidth="1"/>
    <col min="14092" max="14092" width="10.140625" style="898" customWidth="1"/>
    <col min="14093" max="14100" width="9.140625" style="898" customWidth="1"/>
    <col min="14101" max="14101" width="9.28515625" style="898" customWidth="1"/>
    <col min="14102" max="14102" width="17.5703125" style="898" customWidth="1"/>
    <col min="14103" max="14103" width="37.85546875" style="898" customWidth="1"/>
    <col min="14104" max="14337" width="9.140625" style="898"/>
    <col min="14338" max="14338" width="10.42578125" style="898" customWidth="1"/>
    <col min="14339" max="14339" width="51.28515625" style="898" customWidth="1"/>
    <col min="14340" max="14340" width="9.140625" style="898"/>
    <col min="14341" max="14341" width="8.140625" style="898" customWidth="1"/>
    <col min="14342" max="14342" width="9.42578125" style="898" customWidth="1"/>
    <col min="14343" max="14344" width="9.7109375" style="898" customWidth="1"/>
    <col min="14345" max="14346" width="10" style="898" customWidth="1"/>
    <col min="14347" max="14347" width="10.7109375" style="898" customWidth="1"/>
    <col min="14348" max="14348" width="10.140625" style="898" customWidth="1"/>
    <col min="14349" max="14356" width="9.140625" style="898" customWidth="1"/>
    <col min="14357" max="14357" width="9.28515625" style="898" customWidth="1"/>
    <col min="14358" max="14358" width="17.5703125" style="898" customWidth="1"/>
    <col min="14359" max="14359" width="37.85546875" style="898" customWidth="1"/>
    <col min="14360" max="14593" width="9.140625" style="898"/>
    <col min="14594" max="14594" width="10.42578125" style="898" customWidth="1"/>
    <col min="14595" max="14595" width="51.28515625" style="898" customWidth="1"/>
    <col min="14596" max="14596" width="9.140625" style="898"/>
    <col min="14597" max="14597" width="8.140625" style="898" customWidth="1"/>
    <col min="14598" max="14598" width="9.42578125" style="898" customWidth="1"/>
    <col min="14599" max="14600" width="9.7109375" style="898" customWidth="1"/>
    <col min="14601" max="14602" width="10" style="898" customWidth="1"/>
    <col min="14603" max="14603" width="10.7109375" style="898" customWidth="1"/>
    <col min="14604" max="14604" width="10.140625" style="898" customWidth="1"/>
    <col min="14605" max="14612" width="9.140625" style="898" customWidth="1"/>
    <col min="14613" max="14613" width="9.28515625" style="898" customWidth="1"/>
    <col min="14614" max="14614" width="17.5703125" style="898" customWidth="1"/>
    <col min="14615" max="14615" width="37.85546875" style="898" customWidth="1"/>
    <col min="14616" max="14849" width="9.140625" style="898"/>
    <col min="14850" max="14850" width="10.42578125" style="898" customWidth="1"/>
    <col min="14851" max="14851" width="51.28515625" style="898" customWidth="1"/>
    <col min="14852" max="14852" width="9.140625" style="898"/>
    <col min="14853" max="14853" width="8.140625" style="898" customWidth="1"/>
    <col min="14854" max="14854" width="9.42578125" style="898" customWidth="1"/>
    <col min="14855" max="14856" width="9.7109375" style="898" customWidth="1"/>
    <col min="14857" max="14858" width="10" style="898" customWidth="1"/>
    <col min="14859" max="14859" width="10.7109375" style="898" customWidth="1"/>
    <col min="14860" max="14860" width="10.140625" style="898" customWidth="1"/>
    <col min="14861" max="14868" width="9.140625" style="898" customWidth="1"/>
    <col min="14869" max="14869" width="9.28515625" style="898" customWidth="1"/>
    <col min="14870" max="14870" width="17.5703125" style="898" customWidth="1"/>
    <col min="14871" max="14871" width="37.85546875" style="898" customWidth="1"/>
    <col min="14872" max="15105" width="9.140625" style="898"/>
    <col min="15106" max="15106" width="10.42578125" style="898" customWidth="1"/>
    <col min="15107" max="15107" width="51.28515625" style="898" customWidth="1"/>
    <col min="15108" max="15108" width="9.140625" style="898"/>
    <col min="15109" max="15109" width="8.140625" style="898" customWidth="1"/>
    <col min="15110" max="15110" width="9.42578125" style="898" customWidth="1"/>
    <col min="15111" max="15112" width="9.7109375" style="898" customWidth="1"/>
    <col min="15113" max="15114" width="10" style="898" customWidth="1"/>
    <col min="15115" max="15115" width="10.7109375" style="898" customWidth="1"/>
    <col min="15116" max="15116" width="10.140625" style="898" customWidth="1"/>
    <col min="15117" max="15124" width="9.140625" style="898" customWidth="1"/>
    <col min="15125" max="15125" width="9.28515625" style="898" customWidth="1"/>
    <col min="15126" max="15126" width="17.5703125" style="898" customWidth="1"/>
    <col min="15127" max="15127" width="37.85546875" style="898" customWidth="1"/>
    <col min="15128" max="15361" width="9.140625" style="898"/>
    <col min="15362" max="15362" width="10.42578125" style="898" customWidth="1"/>
    <col min="15363" max="15363" width="51.28515625" style="898" customWidth="1"/>
    <col min="15364" max="15364" width="9.140625" style="898"/>
    <col min="15365" max="15365" width="8.140625" style="898" customWidth="1"/>
    <col min="15366" max="15366" width="9.42578125" style="898" customWidth="1"/>
    <col min="15367" max="15368" width="9.7109375" style="898" customWidth="1"/>
    <col min="15369" max="15370" width="10" style="898" customWidth="1"/>
    <col min="15371" max="15371" width="10.7109375" style="898" customWidth="1"/>
    <col min="15372" max="15372" width="10.140625" style="898" customWidth="1"/>
    <col min="15373" max="15380" width="9.140625" style="898" customWidth="1"/>
    <col min="15381" max="15381" width="9.28515625" style="898" customWidth="1"/>
    <col min="15382" max="15382" width="17.5703125" style="898" customWidth="1"/>
    <col min="15383" max="15383" width="37.85546875" style="898" customWidth="1"/>
    <col min="15384" max="15617" width="9.140625" style="898"/>
    <col min="15618" max="15618" width="10.42578125" style="898" customWidth="1"/>
    <col min="15619" max="15619" width="51.28515625" style="898" customWidth="1"/>
    <col min="15620" max="15620" width="9.140625" style="898"/>
    <col min="15621" max="15621" width="8.140625" style="898" customWidth="1"/>
    <col min="15622" max="15622" width="9.42578125" style="898" customWidth="1"/>
    <col min="15623" max="15624" width="9.7109375" style="898" customWidth="1"/>
    <col min="15625" max="15626" width="10" style="898" customWidth="1"/>
    <col min="15627" max="15627" width="10.7109375" style="898" customWidth="1"/>
    <col min="15628" max="15628" width="10.140625" style="898" customWidth="1"/>
    <col min="15629" max="15636" width="9.140625" style="898" customWidth="1"/>
    <col min="15637" max="15637" width="9.28515625" style="898" customWidth="1"/>
    <col min="15638" max="15638" width="17.5703125" style="898" customWidth="1"/>
    <col min="15639" max="15639" width="37.85546875" style="898" customWidth="1"/>
    <col min="15640" max="15873" width="9.140625" style="898"/>
    <col min="15874" max="15874" width="10.42578125" style="898" customWidth="1"/>
    <col min="15875" max="15875" width="51.28515625" style="898" customWidth="1"/>
    <col min="15876" max="15876" width="9.140625" style="898"/>
    <col min="15877" max="15877" width="8.140625" style="898" customWidth="1"/>
    <col min="15878" max="15878" width="9.42578125" style="898" customWidth="1"/>
    <col min="15879" max="15880" width="9.7109375" style="898" customWidth="1"/>
    <col min="15881" max="15882" width="10" style="898" customWidth="1"/>
    <col min="15883" max="15883" width="10.7109375" style="898" customWidth="1"/>
    <col min="15884" max="15884" width="10.140625" style="898" customWidth="1"/>
    <col min="15885" max="15892" width="9.140625" style="898" customWidth="1"/>
    <col min="15893" max="15893" width="9.28515625" style="898" customWidth="1"/>
    <col min="15894" max="15894" width="17.5703125" style="898" customWidth="1"/>
    <col min="15895" max="15895" width="37.85546875" style="898" customWidth="1"/>
    <col min="15896" max="16129" width="9.140625" style="898"/>
    <col min="16130" max="16130" width="10.42578125" style="898" customWidth="1"/>
    <col min="16131" max="16131" width="51.28515625" style="898" customWidth="1"/>
    <col min="16132" max="16132" width="9.140625" style="898"/>
    <col min="16133" max="16133" width="8.140625" style="898" customWidth="1"/>
    <col min="16134" max="16134" width="9.42578125" style="898" customWidth="1"/>
    <col min="16135" max="16136" width="9.7109375" style="898" customWidth="1"/>
    <col min="16137" max="16138" width="10" style="898" customWidth="1"/>
    <col min="16139" max="16139" width="10.7109375" style="898" customWidth="1"/>
    <col min="16140" max="16140" width="10.140625" style="898" customWidth="1"/>
    <col min="16141" max="16148" width="9.140625" style="898" customWidth="1"/>
    <col min="16149" max="16149" width="9.28515625" style="898" customWidth="1"/>
    <col min="16150" max="16150" width="17.5703125" style="898" customWidth="1"/>
    <col min="16151" max="16151" width="37.85546875" style="898" customWidth="1"/>
    <col min="16152" max="16384" width="9.140625" style="898"/>
  </cols>
  <sheetData>
    <row r="1" spans="1:25" ht="15" customHeight="1">
      <c r="A1" s="1262" t="s">
        <v>183</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5" s="899" customFormat="1" ht="24" customHeight="1">
      <c r="A2" s="1263" t="s">
        <v>980</v>
      </c>
      <c r="B2" s="1263"/>
      <c r="C2" s="1263"/>
      <c r="D2" s="1263"/>
      <c r="E2" s="1263"/>
      <c r="F2" s="1263"/>
      <c r="G2" s="1263"/>
      <c r="H2" s="1263"/>
      <c r="I2" s="1263"/>
      <c r="J2" s="1263"/>
      <c r="K2" s="1263"/>
      <c r="L2" s="1263"/>
      <c r="M2" s="1263"/>
      <c r="N2" s="1263"/>
      <c r="O2" s="1263"/>
      <c r="P2" s="1263"/>
      <c r="Q2" s="1263"/>
      <c r="R2" s="1263"/>
      <c r="S2" s="1263"/>
      <c r="T2" s="1263"/>
      <c r="U2" s="1263"/>
      <c r="V2" s="1263"/>
      <c r="W2" s="1263"/>
      <c r="X2" s="1263"/>
      <c r="Y2" s="897"/>
    </row>
    <row r="3" spans="1:25" ht="15" customHeight="1">
      <c r="A3" s="1264" t="s">
        <v>0</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row>
    <row r="4" spans="1:25" s="900" customFormat="1" ht="14.25" customHeight="1">
      <c r="A4" s="1265" t="s">
        <v>1</v>
      </c>
      <c r="B4" s="1100"/>
      <c r="C4" s="1268" t="s">
        <v>132</v>
      </c>
      <c r="D4" s="1271" t="s">
        <v>311</v>
      </c>
      <c r="E4" s="1271" t="s">
        <v>182</v>
      </c>
      <c r="F4" s="1277" t="s">
        <v>133</v>
      </c>
      <c r="G4" s="1278"/>
      <c r="H4" s="1278"/>
      <c r="I4" s="1278"/>
      <c r="J4" s="1278"/>
      <c r="K4" s="1278"/>
      <c r="L4" s="1278"/>
      <c r="M4" s="1278"/>
      <c r="N4" s="1278"/>
      <c r="O4" s="1278"/>
      <c r="P4" s="1278"/>
      <c r="Q4" s="1278"/>
      <c r="R4" s="1278"/>
      <c r="S4" s="1278"/>
      <c r="T4" s="1278"/>
      <c r="U4" s="1278"/>
      <c r="V4" s="1279"/>
      <c r="W4" s="1271" t="s">
        <v>310</v>
      </c>
      <c r="X4" s="1288" t="s">
        <v>309</v>
      </c>
      <c r="Y4" s="1287" t="s">
        <v>798</v>
      </c>
    </row>
    <row r="5" spans="1:25" s="900" customFormat="1" ht="15" hidden="1" customHeight="1">
      <c r="A5" s="1266"/>
      <c r="B5" s="1101"/>
      <c r="C5" s="1269"/>
      <c r="D5" s="1272"/>
      <c r="E5" s="1272"/>
      <c r="F5" s="1280"/>
      <c r="G5" s="1263"/>
      <c r="H5" s="1263"/>
      <c r="I5" s="1263"/>
      <c r="J5" s="1263"/>
      <c r="K5" s="1263"/>
      <c r="L5" s="1263"/>
      <c r="M5" s="1263"/>
      <c r="N5" s="1263"/>
      <c r="O5" s="1263"/>
      <c r="P5" s="1263"/>
      <c r="Q5" s="1263"/>
      <c r="R5" s="1263"/>
      <c r="S5" s="1263"/>
      <c r="T5" s="1263"/>
      <c r="U5" s="1263"/>
      <c r="V5" s="1281"/>
      <c r="W5" s="1272"/>
      <c r="X5" s="1289"/>
      <c r="Y5" s="1287"/>
    </row>
    <row r="6" spans="1:25" s="900" customFormat="1" ht="15" customHeight="1">
      <c r="A6" s="1266"/>
      <c r="B6" s="1101"/>
      <c r="C6" s="1269"/>
      <c r="D6" s="1272"/>
      <c r="E6" s="1272"/>
      <c r="F6" s="1282"/>
      <c r="G6" s="1283"/>
      <c r="H6" s="1283"/>
      <c r="I6" s="1283"/>
      <c r="J6" s="1283"/>
      <c r="K6" s="1283"/>
      <c r="L6" s="1283"/>
      <c r="M6" s="1283"/>
      <c r="N6" s="1283"/>
      <c r="O6" s="1283"/>
      <c r="P6" s="1283"/>
      <c r="Q6" s="1283"/>
      <c r="R6" s="1283"/>
      <c r="S6" s="1283"/>
      <c r="T6" s="1283"/>
      <c r="U6" s="1283"/>
      <c r="V6" s="1284"/>
      <c r="W6" s="1272"/>
      <c r="X6" s="1289"/>
      <c r="Y6" s="1287"/>
    </row>
    <row r="7" spans="1:25" s="900" customFormat="1" ht="42.75">
      <c r="A7" s="1267"/>
      <c r="B7" s="1102"/>
      <c r="C7" s="1270"/>
      <c r="D7" s="1273"/>
      <c r="E7" s="1273"/>
      <c r="F7" s="1104" t="s">
        <v>308</v>
      </c>
      <c r="G7" s="1104"/>
      <c r="H7" s="1104"/>
      <c r="I7" s="1113" t="s">
        <v>134</v>
      </c>
      <c r="J7" s="1044"/>
      <c r="K7" s="1044"/>
      <c r="L7" s="1044"/>
      <c r="M7" s="1044"/>
      <c r="N7" s="1044"/>
      <c r="O7" s="1044"/>
      <c r="P7" s="1044"/>
      <c r="Q7" s="1044"/>
      <c r="R7" s="1044"/>
      <c r="S7" s="1044"/>
      <c r="T7" s="1044"/>
      <c r="U7" s="1044"/>
      <c r="V7" s="1045"/>
      <c r="W7" s="1273"/>
      <c r="X7" s="1290"/>
      <c r="Y7" s="1287"/>
    </row>
    <row r="8" spans="1:25" s="902" customFormat="1" ht="30">
      <c r="A8" s="901">
        <v>-1</v>
      </c>
      <c r="B8" s="901"/>
      <c r="C8" s="995">
        <v>-2</v>
      </c>
      <c r="D8" s="901" t="s">
        <v>359</v>
      </c>
      <c r="E8" s="870">
        <v>-5</v>
      </c>
      <c r="F8" s="901" t="s">
        <v>360</v>
      </c>
      <c r="G8" s="901">
        <v>-7</v>
      </c>
      <c r="H8" s="901"/>
      <c r="I8" s="1114">
        <v>-8</v>
      </c>
      <c r="J8" s="901">
        <v>-9</v>
      </c>
      <c r="K8" s="901">
        <v>-11</v>
      </c>
      <c r="L8" s="901">
        <v>-12</v>
      </c>
      <c r="M8" s="901">
        <v>-13</v>
      </c>
      <c r="N8" s="901"/>
      <c r="O8" s="901">
        <v>-14</v>
      </c>
      <c r="P8" s="901">
        <v>-15</v>
      </c>
      <c r="Q8" s="901"/>
      <c r="R8" s="901"/>
      <c r="S8" s="901">
        <v>-16</v>
      </c>
      <c r="T8" s="901">
        <v>-17</v>
      </c>
      <c r="U8" s="901">
        <v>-18</v>
      </c>
      <c r="V8" s="901">
        <v>-19</v>
      </c>
      <c r="W8" s="901">
        <v>-20</v>
      </c>
      <c r="X8" s="932"/>
      <c r="Y8" s="954"/>
    </row>
    <row r="9" spans="1:25">
      <c r="A9" s="868"/>
      <c r="B9" s="868"/>
      <c r="C9" s="872"/>
      <c r="D9" s="871" t="s">
        <v>202</v>
      </c>
      <c r="E9" s="871"/>
      <c r="F9" s="871"/>
      <c r="G9" s="1104" t="s">
        <v>9</v>
      </c>
      <c r="H9" s="1104" t="s">
        <v>11</v>
      </c>
      <c r="I9" s="904" t="s">
        <v>13</v>
      </c>
      <c r="J9" s="904" t="s">
        <v>15</v>
      </c>
      <c r="K9" s="904" t="s">
        <v>21</v>
      </c>
      <c r="L9" s="904" t="s">
        <v>17</v>
      </c>
      <c r="M9" s="904" t="s">
        <v>23</v>
      </c>
      <c r="N9" s="904" t="s">
        <v>204</v>
      </c>
      <c r="O9" s="904" t="s">
        <v>192</v>
      </c>
      <c r="P9" s="904" t="s">
        <v>193</v>
      </c>
      <c r="Q9" s="904" t="s">
        <v>64</v>
      </c>
      <c r="R9" s="904" t="s">
        <v>70</v>
      </c>
      <c r="S9" s="904" t="s">
        <v>57</v>
      </c>
      <c r="T9" s="904" t="s">
        <v>55</v>
      </c>
      <c r="U9" s="904" t="s">
        <v>53</v>
      </c>
      <c r="V9" s="904" t="s">
        <v>80</v>
      </c>
      <c r="W9" s="872"/>
      <c r="X9" s="1103"/>
      <c r="Y9" s="1108"/>
    </row>
    <row r="10" spans="1:25" ht="28.5">
      <c r="A10" s="873">
        <v>1</v>
      </c>
      <c r="B10" s="873"/>
      <c r="C10" s="876" t="s">
        <v>307</v>
      </c>
      <c r="D10" s="878"/>
      <c r="E10" s="878"/>
      <c r="F10" s="878"/>
      <c r="G10" s="878"/>
      <c r="H10" s="878"/>
      <c r="I10" s="905"/>
      <c r="J10" s="878"/>
      <c r="K10" s="878"/>
      <c r="L10" s="878"/>
      <c r="M10" s="878"/>
      <c r="N10" s="878"/>
      <c r="O10" s="878"/>
      <c r="P10" s="878"/>
      <c r="Q10" s="878"/>
      <c r="R10" s="878"/>
      <c r="S10" s="878"/>
      <c r="T10" s="878"/>
      <c r="U10" s="878"/>
      <c r="V10" s="878"/>
      <c r="W10" s="876"/>
      <c r="X10" s="1108"/>
      <c r="Y10" s="1108"/>
    </row>
    <row r="11" spans="1:25" ht="28.5">
      <c r="A11" s="873" t="s">
        <v>139</v>
      </c>
      <c r="B11" s="873"/>
      <c r="C11" s="876" t="s">
        <v>184</v>
      </c>
      <c r="D11" s="878"/>
      <c r="E11" s="878"/>
      <c r="F11" s="878"/>
      <c r="G11" s="878"/>
      <c r="H11" s="878"/>
      <c r="I11" s="905"/>
      <c r="J11" s="878"/>
      <c r="K11" s="878"/>
      <c r="L11" s="878"/>
      <c r="M11" s="878"/>
      <c r="N11" s="878"/>
      <c r="O11" s="878"/>
      <c r="P11" s="878"/>
      <c r="Q11" s="878"/>
      <c r="R11" s="878"/>
      <c r="S11" s="878"/>
      <c r="T11" s="878"/>
      <c r="U11" s="878"/>
      <c r="V11" s="878"/>
      <c r="W11" s="876"/>
      <c r="X11" s="1108"/>
      <c r="Y11" s="1108"/>
    </row>
    <row r="12" spans="1:25" ht="90">
      <c r="A12" s="946">
        <v>1</v>
      </c>
      <c r="B12" s="946" t="s">
        <v>919</v>
      </c>
      <c r="C12" s="880" t="s">
        <v>328</v>
      </c>
      <c r="D12" s="879">
        <f t="shared" ref="D12:D28" si="0">E12+F12</f>
        <v>2</v>
      </c>
      <c r="E12" s="907"/>
      <c r="F12" s="907">
        <f t="shared" ref="F12:F47" si="1">G12+SUM(I12:V12)</f>
        <v>2</v>
      </c>
      <c r="G12" s="907"/>
      <c r="H12" s="907"/>
      <c r="I12" s="907">
        <v>2</v>
      </c>
      <c r="J12" s="907"/>
      <c r="K12" s="907"/>
      <c r="L12" s="907"/>
      <c r="M12" s="907"/>
      <c r="N12" s="907"/>
      <c r="O12" s="907"/>
      <c r="P12" s="907"/>
      <c r="Q12" s="907"/>
      <c r="R12" s="907"/>
      <c r="S12" s="907"/>
      <c r="T12" s="907"/>
      <c r="U12" s="907"/>
      <c r="V12" s="907"/>
      <c r="W12" s="880" t="s">
        <v>169</v>
      </c>
      <c r="X12" s="1108" t="s">
        <v>351</v>
      </c>
      <c r="Y12" s="1108" t="s">
        <v>841</v>
      </c>
    </row>
    <row r="13" spans="1:25">
      <c r="A13" s="946">
        <v>2</v>
      </c>
      <c r="B13" s="946"/>
      <c r="C13" s="880" t="s">
        <v>442</v>
      </c>
      <c r="D13" s="879">
        <f t="shared" si="0"/>
        <v>2</v>
      </c>
      <c r="E13" s="907"/>
      <c r="F13" s="907">
        <f t="shared" si="1"/>
        <v>2</v>
      </c>
      <c r="G13" s="907"/>
      <c r="H13" s="907"/>
      <c r="I13" s="907">
        <v>2</v>
      </c>
      <c r="J13" s="907"/>
      <c r="K13" s="907"/>
      <c r="L13" s="907"/>
      <c r="M13" s="907"/>
      <c r="N13" s="907"/>
      <c r="O13" s="907"/>
      <c r="P13" s="907"/>
      <c r="Q13" s="907"/>
      <c r="R13" s="907"/>
      <c r="S13" s="907"/>
      <c r="T13" s="907"/>
      <c r="U13" s="907"/>
      <c r="V13" s="907"/>
      <c r="W13" s="880" t="s">
        <v>170</v>
      </c>
      <c r="X13" s="1108"/>
      <c r="Y13" s="1108" t="s">
        <v>842</v>
      </c>
    </row>
    <row r="14" spans="1:25" ht="240">
      <c r="A14" s="946">
        <v>3</v>
      </c>
      <c r="B14" s="946"/>
      <c r="C14" s="880" t="s">
        <v>957</v>
      </c>
      <c r="D14" s="879">
        <f t="shared" si="0"/>
        <v>3.7199999999999998</v>
      </c>
      <c r="E14" s="907">
        <v>2.33</v>
      </c>
      <c r="F14" s="907">
        <f t="shared" si="1"/>
        <v>1.39</v>
      </c>
      <c r="G14" s="907"/>
      <c r="H14" s="907"/>
      <c r="I14" s="907">
        <v>1.39</v>
      </c>
      <c r="J14" s="907"/>
      <c r="K14" s="907"/>
      <c r="L14" s="907"/>
      <c r="M14" s="907"/>
      <c r="N14" s="907"/>
      <c r="O14" s="907"/>
      <c r="P14" s="907"/>
      <c r="Q14" s="907"/>
      <c r="R14" s="907"/>
      <c r="S14" s="907"/>
      <c r="T14" s="907"/>
      <c r="U14" s="907"/>
      <c r="V14" s="907"/>
      <c r="W14" s="880" t="s">
        <v>168</v>
      </c>
      <c r="X14" s="1105" t="s">
        <v>988</v>
      </c>
      <c r="Y14" s="1108"/>
    </row>
    <row r="15" spans="1:25" ht="60">
      <c r="A15" s="946">
        <v>4</v>
      </c>
      <c r="B15" s="946"/>
      <c r="C15" s="880" t="s">
        <v>1012</v>
      </c>
      <c r="D15" s="879">
        <f>E15+F15</f>
        <v>0.01</v>
      </c>
      <c r="E15" s="907"/>
      <c r="F15" s="907">
        <f>G15+SUM(I15:V15)</f>
        <v>0.01</v>
      </c>
      <c r="G15" s="907"/>
      <c r="H15" s="907"/>
      <c r="I15" s="906"/>
      <c r="J15" s="907"/>
      <c r="K15" s="907"/>
      <c r="L15" s="907"/>
      <c r="M15" s="907"/>
      <c r="N15" s="907"/>
      <c r="O15" s="907"/>
      <c r="P15" s="907"/>
      <c r="Q15" s="907"/>
      <c r="R15" s="907"/>
      <c r="S15" s="907">
        <v>0.01</v>
      </c>
      <c r="T15" s="907"/>
      <c r="U15" s="907"/>
      <c r="V15" s="907"/>
      <c r="W15" s="880" t="s">
        <v>191</v>
      </c>
      <c r="X15" s="1108" t="s">
        <v>954</v>
      </c>
      <c r="Y15" s="1108"/>
    </row>
    <row r="16" spans="1:25">
      <c r="A16" s="946">
        <v>5</v>
      </c>
      <c r="B16" s="946"/>
      <c r="C16" s="880" t="s">
        <v>470</v>
      </c>
      <c r="D16" s="879">
        <f t="shared" si="0"/>
        <v>0.2</v>
      </c>
      <c r="E16" s="907">
        <v>0.2</v>
      </c>
      <c r="F16" s="907">
        <f t="shared" si="1"/>
        <v>0</v>
      </c>
      <c r="G16" s="907"/>
      <c r="H16" s="907"/>
      <c r="I16" s="906"/>
      <c r="J16" s="907"/>
      <c r="K16" s="907"/>
      <c r="L16" s="907"/>
      <c r="M16" s="907"/>
      <c r="N16" s="907"/>
      <c r="O16" s="907"/>
      <c r="P16" s="907"/>
      <c r="Q16" s="907"/>
      <c r="R16" s="907"/>
      <c r="S16" s="907"/>
      <c r="T16" s="907"/>
      <c r="U16" s="907"/>
      <c r="V16" s="907"/>
      <c r="W16" s="880" t="s">
        <v>168</v>
      </c>
      <c r="X16" s="1313" t="s">
        <v>907</v>
      </c>
      <c r="Y16" s="1108"/>
    </row>
    <row r="17" spans="1:26">
      <c r="A17" s="946">
        <v>6</v>
      </c>
      <c r="B17" s="946"/>
      <c r="C17" s="880" t="s">
        <v>471</v>
      </c>
      <c r="D17" s="879">
        <f t="shared" si="0"/>
        <v>0.15</v>
      </c>
      <c r="E17" s="907"/>
      <c r="F17" s="907">
        <f t="shared" si="1"/>
        <v>0.15</v>
      </c>
      <c r="G17" s="907"/>
      <c r="H17" s="907"/>
      <c r="I17" s="906"/>
      <c r="J17" s="907"/>
      <c r="K17" s="907"/>
      <c r="L17" s="907"/>
      <c r="M17" s="907"/>
      <c r="N17" s="907"/>
      <c r="O17" s="907"/>
      <c r="P17" s="907"/>
      <c r="Q17" s="907"/>
      <c r="R17" s="907"/>
      <c r="S17" s="907">
        <v>0.15</v>
      </c>
      <c r="T17" s="907"/>
      <c r="U17" s="907"/>
      <c r="V17" s="907"/>
      <c r="W17" s="880" t="s">
        <v>174</v>
      </c>
      <c r="X17" s="1314"/>
      <c r="Y17" s="1108"/>
    </row>
    <row r="18" spans="1:26">
      <c r="A18" s="946">
        <v>7</v>
      </c>
      <c r="B18" s="946"/>
      <c r="C18" s="880" t="s">
        <v>472</v>
      </c>
      <c r="D18" s="879">
        <f t="shared" si="0"/>
        <v>0.1</v>
      </c>
      <c r="E18" s="907"/>
      <c r="F18" s="907">
        <f t="shared" si="1"/>
        <v>0.1</v>
      </c>
      <c r="G18" s="907"/>
      <c r="H18" s="907"/>
      <c r="I18" s="906"/>
      <c r="J18" s="907"/>
      <c r="K18" s="907"/>
      <c r="L18" s="907"/>
      <c r="M18" s="907"/>
      <c r="N18" s="907"/>
      <c r="O18" s="907"/>
      <c r="P18" s="907"/>
      <c r="Q18" s="907"/>
      <c r="R18" s="907"/>
      <c r="S18" s="907">
        <v>0.1</v>
      </c>
      <c r="T18" s="907"/>
      <c r="U18" s="907"/>
      <c r="V18" s="907"/>
      <c r="W18" s="880" t="s">
        <v>189</v>
      </c>
      <c r="X18" s="1314"/>
      <c r="Y18" s="1108"/>
    </row>
    <row r="19" spans="1:26">
      <c r="A19" s="946">
        <v>8</v>
      </c>
      <c r="B19" s="946"/>
      <c r="C19" s="880" t="s">
        <v>329</v>
      </c>
      <c r="D19" s="879">
        <f t="shared" si="0"/>
        <v>0.06</v>
      </c>
      <c r="E19" s="907"/>
      <c r="F19" s="907">
        <f t="shared" si="1"/>
        <v>0.06</v>
      </c>
      <c r="G19" s="907"/>
      <c r="H19" s="907"/>
      <c r="I19" s="906"/>
      <c r="J19" s="907"/>
      <c r="K19" s="907"/>
      <c r="L19" s="907"/>
      <c r="M19" s="907"/>
      <c r="N19" s="907"/>
      <c r="O19" s="907">
        <v>0.06</v>
      </c>
      <c r="P19" s="907"/>
      <c r="Q19" s="907"/>
      <c r="R19" s="907"/>
      <c r="S19" s="907"/>
      <c r="T19" s="907"/>
      <c r="U19" s="907"/>
      <c r="V19" s="907"/>
      <c r="W19" s="880" t="s">
        <v>190</v>
      </c>
      <c r="X19" s="1314"/>
      <c r="Y19" s="1108" t="s">
        <v>843</v>
      </c>
    </row>
    <row r="20" spans="1:26">
      <c r="A20" s="946">
        <v>9</v>
      </c>
      <c r="B20" s="946"/>
      <c r="C20" s="880" t="s">
        <v>473</v>
      </c>
      <c r="D20" s="879">
        <f t="shared" si="0"/>
        <v>0.09</v>
      </c>
      <c r="E20" s="907"/>
      <c r="F20" s="907">
        <f t="shared" si="1"/>
        <v>0.09</v>
      </c>
      <c r="G20" s="907"/>
      <c r="H20" s="907"/>
      <c r="I20" s="906"/>
      <c r="J20" s="907"/>
      <c r="K20" s="907"/>
      <c r="L20" s="907"/>
      <c r="M20" s="907"/>
      <c r="N20" s="907">
        <v>0.09</v>
      </c>
      <c r="O20" s="907"/>
      <c r="P20" s="907"/>
      <c r="Q20" s="907"/>
      <c r="R20" s="907"/>
      <c r="S20" s="907"/>
      <c r="T20" s="907"/>
      <c r="U20" s="907"/>
      <c r="V20" s="907"/>
      <c r="W20" s="880" t="s">
        <v>172</v>
      </c>
      <c r="X20" s="1314"/>
      <c r="Y20" s="1108"/>
      <c r="Z20" s="898" t="s">
        <v>958</v>
      </c>
    </row>
    <row r="21" spans="1:26">
      <c r="A21" s="946">
        <v>10</v>
      </c>
      <c r="B21" s="946"/>
      <c r="C21" s="880" t="s">
        <v>343</v>
      </c>
      <c r="D21" s="879">
        <f t="shared" si="0"/>
        <v>0.12</v>
      </c>
      <c r="E21" s="907"/>
      <c r="F21" s="907">
        <f t="shared" si="1"/>
        <v>0.12</v>
      </c>
      <c r="G21" s="907"/>
      <c r="H21" s="907"/>
      <c r="I21" s="907">
        <v>0.12</v>
      </c>
      <c r="J21" s="907"/>
      <c r="K21" s="907"/>
      <c r="L21" s="907"/>
      <c r="M21" s="907"/>
      <c r="N21" s="907"/>
      <c r="O21" s="907"/>
      <c r="P21" s="907"/>
      <c r="Q21" s="907"/>
      <c r="R21" s="907"/>
      <c r="S21" s="907"/>
      <c r="T21" s="907"/>
      <c r="U21" s="907"/>
      <c r="V21" s="907"/>
      <c r="W21" s="880" t="s">
        <v>170</v>
      </c>
      <c r="X21" s="1314"/>
      <c r="Y21" s="1108" t="s">
        <v>844</v>
      </c>
    </row>
    <row r="22" spans="1:26">
      <c r="A22" s="946">
        <v>11</v>
      </c>
      <c r="B22" s="946"/>
      <c r="C22" s="880" t="s">
        <v>344</v>
      </c>
      <c r="D22" s="879">
        <f t="shared" si="0"/>
        <v>0.1</v>
      </c>
      <c r="E22" s="907"/>
      <c r="F22" s="907">
        <f t="shared" si="1"/>
        <v>0.1</v>
      </c>
      <c r="G22" s="907"/>
      <c r="H22" s="907"/>
      <c r="I22" s="906"/>
      <c r="J22" s="907"/>
      <c r="K22" s="907"/>
      <c r="L22" s="907"/>
      <c r="M22" s="907"/>
      <c r="N22" s="907"/>
      <c r="O22" s="907"/>
      <c r="P22" s="907"/>
      <c r="Q22" s="907"/>
      <c r="R22" s="907"/>
      <c r="S22" s="907">
        <v>0.1</v>
      </c>
      <c r="T22" s="907"/>
      <c r="U22" s="907"/>
      <c r="V22" s="907"/>
      <c r="W22" s="880" t="s">
        <v>169</v>
      </c>
      <c r="X22" s="1314"/>
      <c r="Y22" s="1108" t="s">
        <v>845</v>
      </c>
    </row>
    <row r="23" spans="1:26">
      <c r="A23" s="946">
        <v>12</v>
      </c>
      <c r="B23" s="946"/>
      <c r="C23" s="880" t="s">
        <v>474</v>
      </c>
      <c r="D23" s="879">
        <f t="shared" si="0"/>
        <v>0.1</v>
      </c>
      <c r="E23" s="907"/>
      <c r="F23" s="907">
        <f t="shared" si="1"/>
        <v>0.1</v>
      </c>
      <c r="G23" s="907"/>
      <c r="H23" s="907"/>
      <c r="I23" s="906"/>
      <c r="J23" s="907">
        <v>0.08</v>
      </c>
      <c r="K23" s="907"/>
      <c r="L23" s="907"/>
      <c r="M23" s="907"/>
      <c r="N23" s="907"/>
      <c r="O23" s="907"/>
      <c r="P23" s="907"/>
      <c r="Q23" s="907"/>
      <c r="R23" s="907"/>
      <c r="S23" s="907"/>
      <c r="T23" s="907"/>
      <c r="U23" s="907">
        <v>0.02</v>
      </c>
      <c r="V23" s="907"/>
      <c r="W23" s="880" t="s">
        <v>197</v>
      </c>
      <c r="X23" s="1314"/>
      <c r="Y23" s="1108"/>
    </row>
    <row r="24" spans="1:26">
      <c r="A24" s="946">
        <v>13</v>
      </c>
      <c r="B24" s="946"/>
      <c r="C24" s="880" t="s">
        <v>475</v>
      </c>
      <c r="D24" s="879">
        <f t="shared" si="0"/>
        <v>0.1</v>
      </c>
      <c r="E24" s="907"/>
      <c r="F24" s="907">
        <f t="shared" si="1"/>
        <v>0.1</v>
      </c>
      <c r="G24" s="907"/>
      <c r="H24" s="907"/>
      <c r="I24" s="906"/>
      <c r="J24" s="907">
        <v>0.1</v>
      </c>
      <c r="K24" s="907"/>
      <c r="L24" s="907"/>
      <c r="M24" s="907"/>
      <c r="N24" s="907"/>
      <c r="O24" s="907"/>
      <c r="P24" s="907"/>
      <c r="Q24" s="907"/>
      <c r="R24" s="907"/>
      <c r="S24" s="907"/>
      <c r="T24" s="907"/>
      <c r="U24" s="907"/>
      <c r="V24" s="907"/>
      <c r="W24" s="880" t="s">
        <v>191</v>
      </c>
      <c r="X24" s="1314"/>
      <c r="Y24" s="1108"/>
    </row>
    <row r="25" spans="1:26">
      <c r="A25" s="946">
        <v>14</v>
      </c>
      <c r="B25" s="946"/>
      <c r="C25" s="880" t="s">
        <v>476</v>
      </c>
      <c r="D25" s="879">
        <f t="shared" si="0"/>
        <v>0.08</v>
      </c>
      <c r="E25" s="907"/>
      <c r="F25" s="907">
        <f t="shared" si="1"/>
        <v>0.08</v>
      </c>
      <c r="G25" s="907"/>
      <c r="H25" s="907"/>
      <c r="I25" s="907">
        <v>0.08</v>
      </c>
      <c r="J25" s="907"/>
      <c r="K25" s="907"/>
      <c r="L25" s="907"/>
      <c r="M25" s="907"/>
      <c r="N25" s="907"/>
      <c r="O25" s="907"/>
      <c r="P25" s="907"/>
      <c r="Q25" s="907"/>
      <c r="R25" s="907"/>
      <c r="S25" s="907"/>
      <c r="T25" s="907"/>
      <c r="U25" s="907"/>
      <c r="V25" s="907"/>
      <c r="W25" s="880" t="s">
        <v>173</v>
      </c>
      <c r="X25" s="1314"/>
      <c r="Y25" s="1108"/>
    </row>
    <row r="26" spans="1:26">
      <c r="A26" s="946">
        <v>15</v>
      </c>
      <c r="B26" s="946"/>
      <c r="C26" s="880" t="s">
        <v>477</v>
      </c>
      <c r="D26" s="879">
        <f t="shared" si="0"/>
        <v>0.1</v>
      </c>
      <c r="E26" s="907"/>
      <c r="F26" s="907">
        <f t="shared" si="1"/>
        <v>0.1</v>
      </c>
      <c r="G26" s="907"/>
      <c r="H26" s="907"/>
      <c r="I26" s="906"/>
      <c r="J26" s="907">
        <v>0.1</v>
      </c>
      <c r="K26" s="907"/>
      <c r="L26" s="907"/>
      <c r="M26" s="907"/>
      <c r="N26" s="907"/>
      <c r="O26" s="907"/>
      <c r="P26" s="907"/>
      <c r="Q26" s="907"/>
      <c r="R26" s="907"/>
      <c r="S26" s="907"/>
      <c r="T26" s="907"/>
      <c r="U26" s="907"/>
      <c r="V26" s="907"/>
      <c r="W26" s="880" t="s">
        <v>171</v>
      </c>
      <c r="X26" s="1314"/>
      <c r="Y26" s="1108"/>
    </row>
    <row r="27" spans="1:26" ht="30">
      <c r="A27" s="946">
        <v>16</v>
      </c>
      <c r="B27" s="946"/>
      <c r="C27" s="942" t="s">
        <v>832</v>
      </c>
      <c r="D27" s="879">
        <f t="shared" si="0"/>
        <v>0.69</v>
      </c>
      <c r="E27" s="907">
        <v>0.69</v>
      </c>
      <c r="F27" s="907">
        <f t="shared" si="1"/>
        <v>0</v>
      </c>
      <c r="G27" s="907"/>
      <c r="H27" s="907"/>
      <c r="I27" s="1115"/>
      <c r="J27" s="908"/>
      <c r="K27" s="908"/>
      <c r="L27" s="908"/>
      <c r="M27" s="908"/>
      <c r="N27" s="908"/>
      <c r="O27" s="908"/>
      <c r="P27" s="908"/>
      <c r="Q27" s="908"/>
      <c r="R27" s="908"/>
      <c r="S27" s="908"/>
      <c r="T27" s="908"/>
      <c r="U27" s="908"/>
      <c r="V27" s="908"/>
      <c r="W27" s="884" t="s">
        <v>168</v>
      </c>
      <c r="X27" s="1315"/>
      <c r="Y27" s="1108"/>
    </row>
    <row r="28" spans="1:26" ht="45">
      <c r="A28" s="946">
        <v>17</v>
      </c>
      <c r="B28" s="946" t="s">
        <v>919</v>
      </c>
      <c r="C28" s="942" t="s">
        <v>356</v>
      </c>
      <c r="D28" s="879">
        <f t="shared" si="0"/>
        <v>2.2999999999999998</v>
      </c>
      <c r="E28" s="907"/>
      <c r="F28" s="907">
        <f t="shared" si="1"/>
        <v>2.2999999999999998</v>
      </c>
      <c r="G28" s="907"/>
      <c r="H28" s="907"/>
      <c r="I28" s="908">
        <v>1</v>
      </c>
      <c r="J28" s="908">
        <v>1.3</v>
      </c>
      <c r="K28" s="908"/>
      <c r="L28" s="908"/>
      <c r="M28" s="908"/>
      <c r="N28" s="908"/>
      <c r="O28" s="908"/>
      <c r="P28" s="908"/>
      <c r="Q28" s="908"/>
      <c r="R28" s="908"/>
      <c r="S28" s="908"/>
      <c r="T28" s="908"/>
      <c r="U28" s="908"/>
      <c r="V28" s="908"/>
      <c r="W28" s="884" t="s">
        <v>168</v>
      </c>
      <c r="X28" s="945" t="s">
        <v>352</v>
      </c>
      <c r="Y28" s="1108" t="s">
        <v>846</v>
      </c>
    </row>
    <row r="29" spans="1:26" ht="42.75">
      <c r="A29" s="873" t="s">
        <v>140</v>
      </c>
      <c r="B29" s="873"/>
      <c r="C29" s="876" t="s">
        <v>278</v>
      </c>
      <c r="D29" s="879"/>
      <c r="E29" s="878"/>
      <c r="F29" s="907"/>
      <c r="G29" s="907"/>
      <c r="H29" s="907"/>
      <c r="I29" s="905" t="s">
        <v>202</v>
      </c>
      <c r="J29" s="878"/>
      <c r="K29" s="878"/>
      <c r="L29" s="878"/>
      <c r="M29" s="878"/>
      <c r="N29" s="878"/>
      <c r="O29" s="878"/>
      <c r="P29" s="878"/>
      <c r="Q29" s="878"/>
      <c r="R29" s="878"/>
      <c r="S29" s="878"/>
      <c r="T29" s="878"/>
      <c r="U29" s="878"/>
      <c r="V29" s="878"/>
      <c r="W29" s="876"/>
      <c r="X29" s="1108"/>
      <c r="Y29" s="1108"/>
    </row>
    <row r="30" spans="1:26" ht="45">
      <c r="A30" s="881" t="s">
        <v>185</v>
      </c>
      <c r="B30" s="881"/>
      <c r="C30" s="979" t="s">
        <v>203</v>
      </c>
      <c r="D30" s="879"/>
      <c r="E30" s="878"/>
      <c r="F30" s="907"/>
      <c r="G30" s="907"/>
      <c r="H30" s="907"/>
      <c r="I30" s="905"/>
      <c r="J30" s="878"/>
      <c r="K30" s="878"/>
      <c r="L30" s="878"/>
      <c r="M30" s="878"/>
      <c r="N30" s="878"/>
      <c r="O30" s="878"/>
      <c r="P30" s="878"/>
      <c r="Q30" s="878"/>
      <c r="R30" s="878"/>
      <c r="S30" s="878"/>
      <c r="T30" s="878"/>
      <c r="U30" s="878"/>
      <c r="V30" s="878"/>
      <c r="W30" s="876"/>
      <c r="X30" s="1108"/>
      <c r="Y30" s="1108"/>
    </row>
    <row r="31" spans="1:26" ht="45">
      <c r="A31" s="881" t="s">
        <v>186</v>
      </c>
      <c r="B31" s="881"/>
      <c r="C31" s="979" t="s">
        <v>187</v>
      </c>
      <c r="D31" s="879"/>
      <c r="E31" s="878"/>
      <c r="F31" s="907"/>
      <c r="G31" s="907"/>
      <c r="H31" s="907"/>
      <c r="I31" s="905"/>
      <c r="J31" s="878"/>
      <c r="K31" s="878"/>
      <c r="L31" s="878"/>
      <c r="M31" s="878"/>
      <c r="N31" s="878"/>
      <c r="O31" s="878"/>
      <c r="P31" s="878"/>
      <c r="Q31" s="878"/>
      <c r="R31" s="878"/>
      <c r="S31" s="878"/>
      <c r="T31" s="878"/>
      <c r="U31" s="878"/>
      <c r="V31" s="878"/>
      <c r="W31" s="876"/>
      <c r="X31" s="1108"/>
      <c r="Y31" s="1108"/>
    </row>
    <row r="32" spans="1:26" ht="75">
      <c r="A32" s="1108">
        <v>1</v>
      </c>
      <c r="B32" s="1108"/>
      <c r="C32" s="891" t="s">
        <v>459</v>
      </c>
      <c r="D32" s="879">
        <f>E32+F32</f>
        <v>33.96</v>
      </c>
      <c r="E32" s="907">
        <f>12.2+0.52</f>
        <v>12.719999999999999</v>
      </c>
      <c r="F32" s="907">
        <f t="shared" si="1"/>
        <v>21.240000000000002</v>
      </c>
      <c r="G32" s="907">
        <v>1.5</v>
      </c>
      <c r="H32" s="907"/>
      <c r="I32" s="1115"/>
      <c r="J32" s="908"/>
      <c r="K32" s="908"/>
      <c r="L32" s="908">
        <f>20.26-0.52</f>
        <v>19.740000000000002</v>
      </c>
      <c r="M32" s="908"/>
      <c r="N32" s="908"/>
      <c r="O32" s="908"/>
      <c r="P32" s="908"/>
      <c r="Q32" s="908"/>
      <c r="R32" s="908"/>
      <c r="S32" s="908"/>
      <c r="T32" s="908"/>
      <c r="U32" s="908"/>
      <c r="V32" s="908"/>
      <c r="W32" s="909" t="s">
        <v>174</v>
      </c>
      <c r="X32" s="1108" t="s">
        <v>306</v>
      </c>
      <c r="Y32" s="1108" t="s">
        <v>842</v>
      </c>
    </row>
    <row r="33" spans="1:25">
      <c r="A33" s="873">
        <v>2</v>
      </c>
      <c r="B33" s="873"/>
      <c r="C33" s="876" t="s">
        <v>305</v>
      </c>
      <c r="D33" s="879"/>
      <c r="E33" s="878"/>
      <c r="F33" s="907"/>
      <c r="G33" s="907"/>
      <c r="H33" s="907"/>
      <c r="I33" s="905"/>
      <c r="J33" s="878"/>
      <c r="K33" s="878"/>
      <c r="L33" s="878"/>
      <c r="M33" s="878"/>
      <c r="N33" s="878"/>
      <c r="O33" s="878"/>
      <c r="P33" s="878"/>
      <c r="Q33" s="878"/>
      <c r="R33" s="878"/>
      <c r="S33" s="878"/>
      <c r="T33" s="878"/>
      <c r="U33" s="878"/>
      <c r="V33" s="878"/>
      <c r="W33" s="876"/>
      <c r="X33" s="1108"/>
      <c r="Y33" s="1108"/>
    </row>
    <row r="34" spans="1:25" ht="42.75">
      <c r="A34" s="873" t="s">
        <v>148</v>
      </c>
      <c r="B34" s="873"/>
      <c r="C34" s="876" t="s">
        <v>188</v>
      </c>
      <c r="D34" s="879"/>
      <c r="E34" s="878"/>
      <c r="F34" s="907"/>
      <c r="G34" s="907"/>
      <c r="H34" s="907"/>
      <c r="I34" s="905"/>
      <c r="J34" s="878"/>
      <c r="K34" s="878"/>
      <c r="L34" s="878"/>
      <c r="M34" s="878"/>
      <c r="N34" s="878"/>
      <c r="O34" s="878"/>
      <c r="P34" s="878"/>
      <c r="Q34" s="878"/>
      <c r="R34" s="878"/>
      <c r="S34" s="878"/>
      <c r="T34" s="878"/>
      <c r="U34" s="878"/>
      <c r="V34" s="878"/>
      <c r="W34" s="876"/>
      <c r="X34" s="1108"/>
      <c r="Y34" s="1108"/>
    </row>
    <row r="35" spans="1:25" ht="45">
      <c r="A35" s="881" t="s">
        <v>276</v>
      </c>
      <c r="B35" s="881"/>
      <c r="C35" s="979" t="s">
        <v>917</v>
      </c>
      <c r="D35" s="879"/>
      <c r="E35" s="878"/>
      <c r="F35" s="907"/>
      <c r="G35" s="907"/>
      <c r="H35" s="907"/>
      <c r="I35" s="907"/>
      <c r="J35" s="907"/>
      <c r="K35" s="907"/>
      <c r="L35" s="907"/>
      <c r="M35" s="907"/>
      <c r="N35" s="907"/>
      <c r="O35" s="907"/>
      <c r="P35" s="907"/>
      <c r="Q35" s="907"/>
      <c r="R35" s="907"/>
      <c r="S35" s="907"/>
      <c r="T35" s="907"/>
      <c r="U35" s="907"/>
      <c r="V35" s="907"/>
      <c r="W35" s="876"/>
      <c r="X35" s="1108"/>
      <c r="Y35" s="1108"/>
    </row>
    <row r="36" spans="1:25" ht="147" customHeight="1">
      <c r="A36" s="1117">
        <v>1</v>
      </c>
      <c r="B36" s="1117"/>
      <c r="C36" s="1135" t="s">
        <v>242</v>
      </c>
      <c r="D36" s="879">
        <f t="shared" ref="D36:D43" si="2">E36+F36</f>
        <v>67</v>
      </c>
      <c r="E36" s="907">
        <v>11.33</v>
      </c>
      <c r="F36" s="907">
        <f t="shared" si="1"/>
        <v>55.669999999999995</v>
      </c>
      <c r="G36" s="907">
        <v>0.8</v>
      </c>
      <c r="H36" s="907">
        <v>0.8</v>
      </c>
      <c r="I36" s="908">
        <v>8.1</v>
      </c>
      <c r="J36" s="908">
        <v>7.4399999999999995</v>
      </c>
      <c r="K36" s="908">
        <v>19</v>
      </c>
      <c r="L36" s="908">
        <v>16</v>
      </c>
      <c r="M36" s="908">
        <v>0.19</v>
      </c>
      <c r="N36" s="908">
        <v>0</v>
      </c>
      <c r="O36" s="908">
        <v>0.11</v>
      </c>
      <c r="P36" s="908">
        <v>0</v>
      </c>
      <c r="Q36" s="908">
        <v>0</v>
      </c>
      <c r="R36" s="908">
        <v>0.03</v>
      </c>
      <c r="S36" s="908">
        <v>1.5</v>
      </c>
      <c r="T36" s="908">
        <v>2</v>
      </c>
      <c r="U36" s="908">
        <v>0.5</v>
      </c>
      <c r="V36" s="908">
        <v>0</v>
      </c>
      <c r="W36" s="909" t="s">
        <v>913</v>
      </c>
      <c r="X36" s="1105" t="s">
        <v>942</v>
      </c>
      <c r="Y36" s="1105" t="s">
        <v>856</v>
      </c>
    </row>
    <row r="37" spans="1:25" ht="83.25" customHeight="1">
      <c r="A37" s="1105">
        <v>2</v>
      </c>
      <c r="B37" s="1105"/>
      <c r="C37" s="1127" t="s">
        <v>349</v>
      </c>
      <c r="D37" s="879">
        <f t="shared" si="2"/>
        <v>233.67999999999998</v>
      </c>
      <c r="E37" s="912">
        <v>228.48</v>
      </c>
      <c r="F37" s="907">
        <f t="shared" si="1"/>
        <v>5.2</v>
      </c>
      <c r="G37" s="907"/>
      <c r="H37" s="907"/>
      <c r="I37" s="907">
        <v>5.2</v>
      </c>
      <c r="J37" s="871"/>
      <c r="K37" s="871"/>
      <c r="L37" s="871"/>
      <c r="M37" s="871"/>
      <c r="N37" s="871"/>
      <c r="O37" s="871"/>
      <c r="P37" s="871"/>
      <c r="Q37" s="871"/>
      <c r="R37" s="871"/>
      <c r="S37" s="871"/>
      <c r="T37" s="871"/>
      <c r="U37" s="871"/>
      <c r="V37" s="871"/>
      <c r="W37" s="883" t="s">
        <v>1013</v>
      </c>
      <c r="X37" s="1105" t="s">
        <v>350</v>
      </c>
      <c r="Y37" s="1105" t="s">
        <v>842</v>
      </c>
    </row>
    <row r="38" spans="1:25" ht="135" customHeight="1">
      <c r="A38" s="1105">
        <v>3</v>
      </c>
      <c r="B38" s="1105"/>
      <c r="C38" s="1127" t="s">
        <v>786</v>
      </c>
      <c r="D38" s="879">
        <f t="shared" si="2"/>
        <v>7.0699999999999994</v>
      </c>
      <c r="E38" s="907">
        <v>6.6</v>
      </c>
      <c r="F38" s="907">
        <f t="shared" si="1"/>
        <v>0.47</v>
      </c>
      <c r="G38" s="907"/>
      <c r="H38" s="907"/>
      <c r="I38" s="907">
        <v>0.09</v>
      </c>
      <c r="J38" s="871">
        <v>0.36</v>
      </c>
      <c r="K38" s="871"/>
      <c r="L38" s="871"/>
      <c r="M38" s="871"/>
      <c r="N38" s="871"/>
      <c r="O38" s="871"/>
      <c r="P38" s="871"/>
      <c r="Q38" s="871"/>
      <c r="R38" s="871"/>
      <c r="S38" s="871"/>
      <c r="T38" s="871"/>
      <c r="U38" s="871">
        <v>0.02</v>
      </c>
      <c r="V38" s="871"/>
      <c r="W38" s="911" t="s">
        <v>914</v>
      </c>
      <c r="X38" s="1105" t="s">
        <v>800</v>
      </c>
      <c r="Y38" s="1105" t="s">
        <v>855</v>
      </c>
    </row>
    <row r="39" spans="1:25" ht="135">
      <c r="A39" s="1108">
        <v>4</v>
      </c>
      <c r="B39" s="1108" t="s">
        <v>919</v>
      </c>
      <c r="C39" s="883" t="s">
        <v>348</v>
      </c>
      <c r="D39" s="879">
        <f t="shared" si="2"/>
        <v>7</v>
      </c>
      <c r="E39" s="907">
        <v>1.03</v>
      </c>
      <c r="F39" s="907">
        <f t="shared" si="1"/>
        <v>5.97</v>
      </c>
      <c r="G39" s="907"/>
      <c r="H39" s="907"/>
      <c r="I39" s="907">
        <v>2.09</v>
      </c>
      <c r="J39" s="871">
        <f>1.19+0.77</f>
        <v>1.96</v>
      </c>
      <c r="K39" s="871">
        <v>1.86</v>
      </c>
      <c r="L39" s="871"/>
      <c r="M39" s="871"/>
      <c r="N39" s="871"/>
      <c r="O39" s="871"/>
      <c r="P39" s="871">
        <v>0.06</v>
      </c>
      <c r="Q39" s="871"/>
      <c r="R39" s="871"/>
      <c r="S39" s="871"/>
      <c r="T39" s="871"/>
      <c r="U39" s="871"/>
      <c r="V39" s="871"/>
      <c r="W39" s="883" t="s">
        <v>189</v>
      </c>
      <c r="X39" s="1108" t="s">
        <v>801</v>
      </c>
      <c r="Y39" s="1108" t="s">
        <v>849</v>
      </c>
    </row>
    <row r="40" spans="1:25" ht="45">
      <c r="A40" s="1108">
        <v>5</v>
      </c>
      <c r="B40" s="1108" t="s">
        <v>919</v>
      </c>
      <c r="C40" s="883" t="s">
        <v>825</v>
      </c>
      <c r="D40" s="879">
        <f t="shared" si="2"/>
        <v>40</v>
      </c>
      <c r="E40" s="907">
        <v>10</v>
      </c>
      <c r="F40" s="907">
        <f t="shared" si="1"/>
        <v>30</v>
      </c>
      <c r="G40" s="907">
        <v>0.5</v>
      </c>
      <c r="H40" s="907">
        <v>0.5</v>
      </c>
      <c r="I40" s="907">
        <f>12-0.5</f>
        <v>11.5</v>
      </c>
      <c r="J40" s="871">
        <v>18</v>
      </c>
      <c r="K40" s="871"/>
      <c r="L40" s="871"/>
      <c r="M40" s="871"/>
      <c r="N40" s="871"/>
      <c r="O40" s="871"/>
      <c r="P40" s="871"/>
      <c r="Q40" s="871"/>
      <c r="R40" s="871"/>
      <c r="S40" s="871"/>
      <c r="T40" s="871"/>
      <c r="U40" s="871"/>
      <c r="V40" s="871"/>
      <c r="W40" s="883" t="s">
        <v>170</v>
      </c>
      <c r="X40" s="1108" t="s">
        <v>324</v>
      </c>
      <c r="Y40" s="1108" t="s">
        <v>850</v>
      </c>
    </row>
    <row r="41" spans="1:25" ht="53.25" customHeight="1">
      <c r="A41" s="1105">
        <v>6</v>
      </c>
      <c r="B41" s="1105" t="s">
        <v>919</v>
      </c>
      <c r="C41" s="1127" t="s">
        <v>825</v>
      </c>
      <c r="D41" s="879">
        <f t="shared" si="2"/>
        <v>10</v>
      </c>
      <c r="E41" s="907">
        <v>4</v>
      </c>
      <c r="F41" s="907">
        <f t="shared" si="1"/>
        <v>6</v>
      </c>
      <c r="G41" s="907"/>
      <c r="H41" s="907"/>
      <c r="I41" s="907">
        <v>3</v>
      </c>
      <c r="J41" s="871">
        <v>3</v>
      </c>
      <c r="K41" s="871"/>
      <c r="L41" s="871"/>
      <c r="M41" s="871"/>
      <c r="N41" s="871"/>
      <c r="O41" s="871"/>
      <c r="P41" s="871"/>
      <c r="Q41" s="871"/>
      <c r="R41" s="871"/>
      <c r="S41" s="871"/>
      <c r="T41" s="871"/>
      <c r="U41" s="871"/>
      <c r="V41" s="871"/>
      <c r="W41" s="883" t="s">
        <v>197</v>
      </c>
      <c r="X41" s="1105" t="s">
        <v>324</v>
      </c>
      <c r="Y41" s="1105" t="s">
        <v>851</v>
      </c>
    </row>
    <row r="42" spans="1:25" s="913" customFormat="1" ht="120">
      <c r="A42" s="1105">
        <v>7</v>
      </c>
      <c r="B42" s="1105"/>
      <c r="C42" s="1136" t="s">
        <v>458</v>
      </c>
      <c r="D42" s="879">
        <f t="shared" si="2"/>
        <v>73.000000000000014</v>
      </c>
      <c r="E42" s="912">
        <v>7.12</v>
      </c>
      <c r="F42" s="907">
        <f t="shared" si="1"/>
        <v>65.88000000000001</v>
      </c>
      <c r="G42" s="907"/>
      <c r="H42" s="907"/>
      <c r="I42" s="908">
        <v>33.020000000000003</v>
      </c>
      <c r="J42" s="908">
        <v>30.89</v>
      </c>
      <c r="K42" s="908"/>
      <c r="L42" s="908"/>
      <c r="M42" s="908">
        <v>0.24</v>
      </c>
      <c r="N42" s="908"/>
      <c r="O42" s="908"/>
      <c r="P42" s="908"/>
      <c r="Q42" s="908">
        <v>1.47</v>
      </c>
      <c r="R42" s="908"/>
      <c r="S42" s="908"/>
      <c r="T42" s="908"/>
      <c r="U42" s="908">
        <v>0.26</v>
      </c>
      <c r="V42" s="908"/>
      <c r="W42" s="886" t="s">
        <v>169</v>
      </c>
      <c r="X42" s="1137" t="s">
        <v>799</v>
      </c>
      <c r="Y42" s="1138" t="s">
        <v>854</v>
      </c>
    </row>
    <row r="43" spans="1:25" ht="135">
      <c r="A43" s="1108">
        <v>8</v>
      </c>
      <c r="B43" s="1108" t="s">
        <v>919</v>
      </c>
      <c r="C43" s="883" t="s">
        <v>785</v>
      </c>
      <c r="D43" s="879">
        <f t="shared" si="2"/>
        <v>5</v>
      </c>
      <c r="E43" s="912"/>
      <c r="F43" s="907">
        <f t="shared" si="1"/>
        <v>5</v>
      </c>
      <c r="G43" s="907"/>
      <c r="H43" s="907"/>
      <c r="I43" s="907">
        <v>3</v>
      </c>
      <c r="J43" s="871">
        <v>2</v>
      </c>
      <c r="K43" s="871"/>
      <c r="L43" s="871"/>
      <c r="M43" s="871"/>
      <c r="N43" s="871"/>
      <c r="O43" s="871"/>
      <c r="P43" s="871"/>
      <c r="Q43" s="871"/>
      <c r="R43" s="871"/>
      <c r="S43" s="871"/>
      <c r="T43" s="871"/>
      <c r="U43" s="871"/>
      <c r="V43" s="871"/>
      <c r="W43" s="883" t="s">
        <v>190</v>
      </c>
      <c r="X43" s="953" t="s">
        <v>837</v>
      </c>
      <c r="Y43" s="1108" t="s">
        <v>857</v>
      </c>
    </row>
    <row r="44" spans="1:25" s="917" customFormat="1" ht="30">
      <c r="A44" s="887" t="s">
        <v>277</v>
      </c>
      <c r="B44" s="887"/>
      <c r="C44" s="890" t="s">
        <v>918</v>
      </c>
      <c r="D44" s="879"/>
      <c r="E44" s="912"/>
      <c r="F44" s="907">
        <f t="shared" si="1"/>
        <v>0</v>
      </c>
      <c r="G44" s="915"/>
      <c r="H44" s="915"/>
      <c r="I44" s="1116"/>
      <c r="J44" s="916"/>
      <c r="K44" s="916"/>
      <c r="L44" s="916"/>
      <c r="M44" s="916"/>
      <c r="N44" s="916"/>
      <c r="O44" s="916"/>
      <c r="P44" s="916"/>
      <c r="Q44" s="916"/>
      <c r="R44" s="916"/>
      <c r="S44" s="916"/>
      <c r="T44" s="916"/>
      <c r="U44" s="916"/>
      <c r="V44" s="916"/>
      <c r="W44" s="890"/>
      <c r="X44" s="887"/>
      <c r="Y44" s="887"/>
    </row>
    <row r="45" spans="1:25" ht="30" customHeight="1">
      <c r="A45" s="1108">
        <v>1</v>
      </c>
      <c r="B45" s="1108" t="s">
        <v>919</v>
      </c>
      <c r="C45" s="883" t="s">
        <v>922</v>
      </c>
      <c r="D45" s="879">
        <v>4</v>
      </c>
      <c r="E45" s="912"/>
      <c r="F45" s="907">
        <f t="shared" si="1"/>
        <v>4</v>
      </c>
      <c r="G45" s="907"/>
      <c r="H45" s="907"/>
      <c r="I45" s="907">
        <v>2.5</v>
      </c>
      <c r="J45" s="871">
        <v>1.5</v>
      </c>
      <c r="K45" s="871"/>
      <c r="L45" s="871"/>
      <c r="M45" s="871"/>
      <c r="N45" s="871"/>
      <c r="O45" s="871"/>
      <c r="P45" s="871"/>
      <c r="Q45" s="871"/>
      <c r="R45" s="871"/>
      <c r="S45" s="871"/>
      <c r="T45" s="871"/>
      <c r="U45" s="871"/>
      <c r="V45" s="871"/>
      <c r="W45" s="883" t="s">
        <v>169</v>
      </c>
      <c r="X45" s="953" t="s">
        <v>936</v>
      </c>
      <c r="Y45" s="1108"/>
    </row>
    <row r="46" spans="1:25" ht="90">
      <c r="A46" s="1108">
        <v>2</v>
      </c>
      <c r="B46" s="1108"/>
      <c r="C46" s="883" t="s">
        <v>949</v>
      </c>
      <c r="D46" s="879">
        <f>E46+F46</f>
        <v>1.1399999999999999</v>
      </c>
      <c r="E46" s="912"/>
      <c r="F46" s="907">
        <f t="shared" si="1"/>
        <v>1.1399999999999999</v>
      </c>
      <c r="G46" s="907"/>
      <c r="H46" s="907"/>
      <c r="I46" s="907">
        <v>1.1399999999999999</v>
      </c>
      <c r="J46" s="871"/>
      <c r="K46" s="871"/>
      <c r="L46" s="871"/>
      <c r="M46" s="871"/>
      <c r="N46" s="871"/>
      <c r="O46" s="871"/>
      <c r="P46" s="871"/>
      <c r="Q46" s="871"/>
      <c r="R46" s="871"/>
      <c r="S46" s="871"/>
      <c r="T46" s="871"/>
      <c r="U46" s="871"/>
      <c r="V46" s="871"/>
      <c r="W46" s="883" t="s">
        <v>173</v>
      </c>
      <c r="X46" s="1107" t="s">
        <v>969</v>
      </c>
      <c r="Y46" s="1108"/>
    </row>
    <row r="47" spans="1:25" ht="90">
      <c r="A47" s="1108">
        <v>3</v>
      </c>
      <c r="B47" s="1108"/>
      <c r="C47" s="883" t="s">
        <v>1009</v>
      </c>
      <c r="D47" s="879">
        <f>E47+F47</f>
        <v>4</v>
      </c>
      <c r="E47" s="912">
        <v>2</v>
      </c>
      <c r="F47" s="907">
        <f t="shared" si="1"/>
        <v>2</v>
      </c>
      <c r="G47" s="907"/>
      <c r="H47" s="907"/>
      <c r="I47" s="907">
        <v>0.3</v>
      </c>
      <c r="J47" s="871">
        <v>1.5</v>
      </c>
      <c r="K47" s="871"/>
      <c r="L47" s="871"/>
      <c r="M47" s="871"/>
      <c r="N47" s="871"/>
      <c r="O47" s="871"/>
      <c r="P47" s="871"/>
      <c r="Q47" s="871"/>
      <c r="R47" s="871"/>
      <c r="S47" s="871"/>
      <c r="T47" s="871"/>
      <c r="U47" s="871">
        <v>0.2</v>
      </c>
      <c r="V47" s="871"/>
      <c r="W47" s="880" t="s">
        <v>173</v>
      </c>
      <c r="X47" s="1107" t="s">
        <v>1010</v>
      </c>
      <c r="Y47" s="1108"/>
    </row>
    <row r="48" spans="1:25" ht="28.5">
      <c r="A48" s="873" t="s">
        <v>138</v>
      </c>
      <c r="B48" s="873"/>
      <c r="C48" s="876" t="s">
        <v>275</v>
      </c>
      <c r="D48" s="879"/>
      <c r="E48" s="907"/>
      <c r="F48" s="907"/>
      <c r="G48" s="907"/>
      <c r="H48" s="907"/>
      <c r="I48" s="905"/>
      <c r="J48" s="878"/>
      <c r="K48" s="878"/>
      <c r="L48" s="878"/>
      <c r="M48" s="878"/>
      <c r="N48" s="878"/>
      <c r="O48" s="878"/>
      <c r="P48" s="878"/>
      <c r="Q48" s="878"/>
      <c r="R48" s="878"/>
      <c r="S48" s="878"/>
      <c r="T48" s="878"/>
      <c r="U48" s="878"/>
      <c r="V48" s="878"/>
      <c r="W48" s="876"/>
      <c r="X48" s="1108" t="s">
        <v>797</v>
      </c>
      <c r="Y48" s="1108"/>
    </row>
    <row r="49" spans="1:25" ht="75">
      <c r="A49" s="945">
        <v>1</v>
      </c>
      <c r="B49" s="945"/>
      <c r="C49" s="883" t="s">
        <v>304</v>
      </c>
      <c r="D49" s="879">
        <f t="shared" ref="D49:D64" si="3">E49+F49</f>
        <v>3</v>
      </c>
      <c r="E49" s="912"/>
      <c r="F49" s="907">
        <f t="shared" ref="F49:F88" si="4">G49+SUM(I49:V49)</f>
        <v>3</v>
      </c>
      <c r="G49" s="907"/>
      <c r="H49" s="907"/>
      <c r="I49" s="907">
        <v>3</v>
      </c>
      <c r="J49" s="871"/>
      <c r="K49" s="871"/>
      <c r="L49" s="871"/>
      <c r="M49" s="871"/>
      <c r="N49" s="871"/>
      <c r="O49" s="871"/>
      <c r="P49" s="871"/>
      <c r="Q49" s="871"/>
      <c r="R49" s="871"/>
      <c r="S49" s="871"/>
      <c r="T49" s="871"/>
      <c r="U49" s="871"/>
      <c r="V49" s="871"/>
      <c r="W49" s="883" t="s">
        <v>169</v>
      </c>
      <c r="X49" s="1108" t="s">
        <v>303</v>
      </c>
      <c r="Y49" s="1108" t="s">
        <v>847</v>
      </c>
    </row>
    <row r="50" spans="1:25" ht="66.75" customHeight="1">
      <c r="A50" s="1117">
        <v>2</v>
      </c>
      <c r="B50" s="1117"/>
      <c r="C50" s="1118" t="s">
        <v>325</v>
      </c>
      <c r="D50" s="879">
        <f t="shared" si="3"/>
        <v>24.53</v>
      </c>
      <c r="E50" s="907">
        <v>19.350000000000001</v>
      </c>
      <c r="F50" s="907">
        <f t="shared" si="4"/>
        <v>5.18</v>
      </c>
      <c r="G50" s="907"/>
      <c r="H50" s="907"/>
      <c r="I50" s="906"/>
      <c r="J50" s="907">
        <v>5.18</v>
      </c>
      <c r="K50" s="907"/>
      <c r="L50" s="907"/>
      <c r="M50" s="907"/>
      <c r="N50" s="907"/>
      <c r="O50" s="907"/>
      <c r="P50" s="907"/>
      <c r="Q50" s="907"/>
      <c r="R50" s="907"/>
      <c r="S50" s="907"/>
      <c r="T50" s="907"/>
      <c r="U50" s="907"/>
      <c r="V50" s="907"/>
      <c r="W50" s="880" t="s">
        <v>190</v>
      </c>
      <c r="X50" s="1105" t="s">
        <v>338</v>
      </c>
      <c r="Y50" s="1105" t="s">
        <v>893</v>
      </c>
    </row>
    <row r="51" spans="1:25" ht="60">
      <c r="A51" s="946">
        <v>3</v>
      </c>
      <c r="B51" s="946"/>
      <c r="C51" s="880" t="s">
        <v>358</v>
      </c>
      <c r="D51" s="879">
        <f t="shared" si="3"/>
        <v>15.54</v>
      </c>
      <c r="E51" s="907">
        <v>11.67</v>
      </c>
      <c r="F51" s="907">
        <f t="shared" si="4"/>
        <v>3.87</v>
      </c>
      <c r="G51" s="907"/>
      <c r="H51" s="907"/>
      <c r="I51" s="907">
        <v>1.4</v>
      </c>
      <c r="J51" s="907">
        <v>2.4700000000000002</v>
      </c>
      <c r="K51" s="907"/>
      <c r="L51" s="907"/>
      <c r="M51" s="907"/>
      <c r="N51" s="907"/>
      <c r="O51" s="907"/>
      <c r="P51" s="907"/>
      <c r="Q51" s="907"/>
      <c r="R51" s="907"/>
      <c r="S51" s="907"/>
      <c r="T51" s="907"/>
      <c r="U51" s="907"/>
      <c r="V51" s="907"/>
      <c r="W51" s="880" t="s">
        <v>190</v>
      </c>
      <c r="X51" s="1105" t="s">
        <v>357</v>
      </c>
      <c r="Y51" s="1105" t="s">
        <v>894</v>
      </c>
    </row>
    <row r="52" spans="1:25" ht="105">
      <c r="A52" s="946">
        <v>4</v>
      </c>
      <c r="B52" s="946"/>
      <c r="C52" s="880" t="s">
        <v>965</v>
      </c>
      <c r="D52" s="879">
        <f t="shared" si="3"/>
        <v>1.73</v>
      </c>
      <c r="E52" s="907"/>
      <c r="F52" s="907">
        <f t="shared" si="4"/>
        <v>1.73</v>
      </c>
      <c r="G52" s="907"/>
      <c r="H52" s="907"/>
      <c r="I52" s="907">
        <v>0.7</v>
      </c>
      <c r="J52" s="907"/>
      <c r="K52" s="907"/>
      <c r="L52" s="907"/>
      <c r="M52" s="907"/>
      <c r="N52" s="907"/>
      <c r="O52" s="907"/>
      <c r="P52" s="907"/>
      <c r="Q52" s="907"/>
      <c r="R52" s="907"/>
      <c r="S52" s="907"/>
      <c r="T52" s="907"/>
      <c r="U52" s="907"/>
      <c r="V52" s="907">
        <v>1.03</v>
      </c>
      <c r="W52" s="880" t="s">
        <v>172</v>
      </c>
      <c r="X52" s="1106" t="s">
        <v>964</v>
      </c>
      <c r="Y52" s="1107"/>
    </row>
    <row r="53" spans="1:25" ht="75">
      <c r="A53" s="946">
        <v>5</v>
      </c>
      <c r="B53" s="946"/>
      <c r="C53" s="980" t="s">
        <v>365</v>
      </c>
      <c r="D53" s="879">
        <f t="shared" si="3"/>
        <v>0.8</v>
      </c>
      <c r="E53" s="871">
        <v>0.8</v>
      </c>
      <c r="F53" s="907">
        <f t="shared" si="4"/>
        <v>0</v>
      </c>
      <c r="G53" s="907"/>
      <c r="H53" s="907"/>
      <c r="I53" s="903"/>
      <c r="J53" s="871"/>
      <c r="K53" s="871"/>
      <c r="L53" s="871"/>
      <c r="M53" s="871"/>
      <c r="N53" s="871"/>
      <c r="O53" s="871"/>
      <c r="P53" s="871"/>
      <c r="Q53" s="871"/>
      <c r="R53" s="871"/>
      <c r="S53" s="871"/>
      <c r="T53" s="871"/>
      <c r="U53" s="871"/>
      <c r="V53" s="871"/>
      <c r="W53" s="891" t="s">
        <v>169</v>
      </c>
      <c r="X53" s="999" t="s">
        <v>966</v>
      </c>
      <c r="Y53" s="1108" t="s">
        <v>896</v>
      </c>
    </row>
    <row r="54" spans="1:25" ht="90">
      <c r="A54" s="946">
        <v>6</v>
      </c>
      <c r="B54" s="946"/>
      <c r="C54" s="980" t="s">
        <v>968</v>
      </c>
      <c r="D54" s="879">
        <f t="shared" si="3"/>
        <v>1.46</v>
      </c>
      <c r="E54" s="871"/>
      <c r="F54" s="907">
        <f t="shared" si="4"/>
        <v>1.46</v>
      </c>
      <c r="G54" s="907"/>
      <c r="H54" s="907"/>
      <c r="I54" s="871">
        <v>1.46</v>
      </c>
      <c r="J54" s="871"/>
      <c r="K54" s="871"/>
      <c r="L54" s="871"/>
      <c r="M54" s="871"/>
      <c r="N54" s="871"/>
      <c r="O54" s="871"/>
      <c r="P54" s="871"/>
      <c r="Q54" s="871"/>
      <c r="R54" s="871"/>
      <c r="S54" s="871"/>
      <c r="T54" s="871"/>
      <c r="U54" s="871"/>
      <c r="V54" s="871"/>
      <c r="W54" s="891" t="s">
        <v>170</v>
      </c>
      <c r="X54" s="999" t="s">
        <v>967</v>
      </c>
      <c r="Y54" s="1108"/>
    </row>
    <row r="55" spans="1:25" ht="105">
      <c r="A55" s="946">
        <v>7</v>
      </c>
      <c r="B55" s="946"/>
      <c r="C55" s="980" t="s">
        <v>991</v>
      </c>
      <c r="D55" s="879">
        <f t="shared" si="3"/>
        <v>1</v>
      </c>
      <c r="E55" s="871"/>
      <c r="F55" s="907">
        <f t="shared" si="4"/>
        <v>1</v>
      </c>
      <c r="G55" s="907"/>
      <c r="H55" s="907"/>
      <c r="I55" s="903"/>
      <c r="J55" s="871">
        <v>1</v>
      </c>
      <c r="K55" s="871"/>
      <c r="L55" s="871"/>
      <c r="M55" s="871"/>
      <c r="N55" s="871"/>
      <c r="O55" s="871"/>
      <c r="P55" s="871"/>
      <c r="Q55" s="871"/>
      <c r="R55" s="871"/>
      <c r="S55" s="871"/>
      <c r="T55" s="871"/>
      <c r="U55" s="871"/>
      <c r="V55" s="871"/>
      <c r="W55" s="891" t="s">
        <v>170</v>
      </c>
      <c r="X55" s="999" t="s">
        <v>992</v>
      </c>
      <c r="Y55" s="1108"/>
    </row>
    <row r="56" spans="1:25" ht="30">
      <c r="A56" s="946">
        <v>8</v>
      </c>
      <c r="B56" s="946"/>
      <c r="C56" s="983" t="s">
        <v>803</v>
      </c>
      <c r="D56" s="879">
        <f t="shared" si="3"/>
        <v>7.0000000000000007E-2</v>
      </c>
      <c r="E56" s="912"/>
      <c r="F56" s="907">
        <f t="shared" si="4"/>
        <v>7.0000000000000007E-2</v>
      </c>
      <c r="G56" s="907"/>
      <c r="H56" s="907"/>
      <c r="I56" s="908">
        <v>7.0000000000000007E-2</v>
      </c>
      <c r="J56" s="908"/>
      <c r="K56" s="908"/>
      <c r="L56" s="908"/>
      <c r="M56" s="908"/>
      <c r="N56" s="908"/>
      <c r="O56" s="908"/>
      <c r="P56" s="908"/>
      <c r="Q56" s="908"/>
      <c r="R56" s="908"/>
      <c r="S56" s="908"/>
      <c r="T56" s="908"/>
      <c r="U56" s="908"/>
      <c r="V56" s="908"/>
      <c r="W56" s="884" t="s">
        <v>190</v>
      </c>
      <c r="X56" s="945" t="s">
        <v>283</v>
      </c>
      <c r="Y56" s="1108"/>
    </row>
    <row r="57" spans="1:25" ht="31.5">
      <c r="A57" s="946">
        <v>9</v>
      </c>
      <c r="B57" s="946"/>
      <c r="C57" s="983" t="s">
        <v>975</v>
      </c>
      <c r="D57" s="879">
        <f t="shared" si="3"/>
        <v>0.04</v>
      </c>
      <c r="E57" s="912"/>
      <c r="F57" s="907">
        <f t="shared" si="4"/>
        <v>0.04</v>
      </c>
      <c r="G57" s="907"/>
      <c r="H57" s="907"/>
      <c r="I57" s="1115"/>
      <c r="J57" s="908"/>
      <c r="K57" s="908"/>
      <c r="L57" s="908"/>
      <c r="M57" s="908"/>
      <c r="N57" s="908"/>
      <c r="O57" s="908"/>
      <c r="P57" s="908"/>
      <c r="Q57" s="908"/>
      <c r="R57" s="908"/>
      <c r="S57" s="908"/>
      <c r="T57" s="908"/>
      <c r="U57" s="908">
        <v>0.04</v>
      </c>
      <c r="V57" s="908"/>
      <c r="W57" s="884" t="s">
        <v>197</v>
      </c>
      <c r="X57" s="945" t="s">
        <v>283</v>
      </c>
      <c r="Y57" s="1108"/>
    </row>
    <row r="58" spans="1:25" ht="31.5">
      <c r="A58" s="946">
        <v>10</v>
      </c>
      <c r="B58" s="946"/>
      <c r="C58" s="983" t="s">
        <v>996</v>
      </c>
      <c r="D58" s="879">
        <f t="shared" si="3"/>
        <v>0.2</v>
      </c>
      <c r="E58" s="912"/>
      <c r="F58" s="907">
        <f t="shared" si="4"/>
        <v>0.2</v>
      </c>
      <c r="G58" s="907"/>
      <c r="H58" s="907"/>
      <c r="I58" s="1115"/>
      <c r="J58" s="908"/>
      <c r="K58" s="908"/>
      <c r="L58" s="908"/>
      <c r="M58" s="908"/>
      <c r="N58" s="908"/>
      <c r="O58" s="908"/>
      <c r="P58" s="908"/>
      <c r="Q58" s="908"/>
      <c r="R58" s="908"/>
      <c r="S58" s="908"/>
      <c r="T58" s="908"/>
      <c r="U58" s="908">
        <v>0.2</v>
      </c>
      <c r="V58" s="908"/>
      <c r="W58" s="884" t="s">
        <v>173</v>
      </c>
      <c r="X58" s="945" t="s">
        <v>283</v>
      </c>
      <c r="Y58" s="1108"/>
    </row>
    <row r="59" spans="1:25" ht="31.5">
      <c r="A59" s="946">
        <v>11</v>
      </c>
      <c r="B59" s="946"/>
      <c r="C59" s="983" t="s">
        <v>1014</v>
      </c>
      <c r="D59" s="879">
        <v>7.0000000000000007E-2</v>
      </c>
      <c r="E59" s="912"/>
      <c r="F59" s="907">
        <v>7.0000000000000007E-2</v>
      </c>
      <c r="G59" s="907"/>
      <c r="H59" s="907"/>
      <c r="I59" s="908">
        <v>7.0000000000000007E-2</v>
      </c>
      <c r="J59" s="908"/>
      <c r="K59" s="908"/>
      <c r="L59" s="908"/>
      <c r="M59" s="908"/>
      <c r="N59" s="908"/>
      <c r="O59" s="908"/>
      <c r="P59" s="908"/>
      <c r="Q59" s="908"/>
      <c r="R59" s="908"/>
      <c r="S59" s="908"/>
      <c r="T59" s="908"/>
      <c r="U59" s="908"/>
      <c r="V59" s="908"/>
      <c r="W59" s="884" t="s">
        <v>173</v>
      </c>
      <c r="X59" s="945" t="s">
        <v>283</v>
      </c>
      <c r="Y59" s="1108" t="s">
        <v>283</v>
      </c>
    </row>
    <row r="60" spans="1:25" ht="31.5">
      <c r="A60" s="946">
        <v>12</v>
      </c>
      <c r="B60" s="946"/>
      <c r="C60" s="983" t="s">
        <v>1014</v>
      </c>
      <c r="D60" s="879">
        <v>0.08</v>
      </c>
      <c r="E60" s="912"/>
      <c r="F60" s="907">
        <v>0.08</v>
      </c>
      <c r="G60" s="907"/>
      <c r="H60" s="907"/>
      <c r="I60" s="908">
        <v>0.08</v>
      </c>
      <c r="J60" s="908"/>
      <c r="K60" s="908"/>
      <c r="L60" s="908"/>
      <c r="M60" s="908"/>
      <c r="N60" s="908"/>
      <c r="O60" s="908"/>
      <c r="P60" s="908"/>
      <c r="Q60" s="908"/>
      <c r="R60" s="908"/>
      <c r="S60" s="908"/>
      <c r="T60" s="908"/>
      <c r="U60" s="908"/>
      <c r="V60" s="908"/>
      <c r="W60" s="884" t="s">
        <v>189</v>
      </c>
      <c r="X60" s="945" t="s">
        <v>283</v>
      </c>
      <c r="Y60" s="1108" t="s">
        <v>283</v>
      </c>
    </row>
    <row r="61" spans="1:25" ht="31.5">
      <c r="A61" s="946">
        <v>13</v>
      </c>
      <c r="B61" s="946"/>
      <c r="C61" s="983" t="s">
        <v>990</v>
      </c>
      <c r="D61" s="879">
        <f t="shared" si="3"/>
        <v>0.01</v>
      </c>
      <c r="E61" s="912"/>
      <c r="F61" s="907">
        <f t="shared" si="4"/>
        <v>0.01</v>
      </c>
      <c r="G61" s="907"/>
      <c r="H61" s="907"/>
      <c r="I61" s="908">
        <v>0.01</v>
      </c>
      <c r="J61" s="908"/>
      <c r="K61" s="908"/>
      <c r="L61" s="908"/>
      <c r="M61" s="908"/>
      <c r="N61" s="908"/>
      <c r="O61" s="908"/>
      <c r="P61" s="908"/>
      <c r="Q61" s="908"/>
      <c r="R61" s="908"/>
      <c r="S61" s="908"/>
      <c r="T61" s="908"/>
      <c r="U61" s="908"/>
      <c r="V61" s="908"/>
      <c r="W61" s="884" t="s">
        <v>172</v>
      </c>
      <c r="X61" s="945" t="s">
        <v>283</v>
      </c>
      <c r="Y61" s="1108"/>
    </row>
    <row r="62" spans="1:25" ht="31.5">
      <c r="A62" s="946">
        <v>14</v>
      </c>
      <c r="B62" s="946"/>
      <c r="C62" s="983" t="s">
        <v>990</v>
      </c>
      <c r="D62" s="879">
        <f t="shared" si="3"/>
        <v>0.1</v>
      </c>
      <c r="E62" s="912"/>
      <c r="F62" s="907">
        <f t="shared" ref="F62" si="5">G62+SUM(I62:V62)</f>
        <v>0.1</v>
      </c>
      <c r="G62" s="907"/>
      <c r="H62" s="907"/>
      <c r="I62" s="908">
        <v>0.1</v>
      </c>
      <c r="J62" s="908"/>
      <c r="K62" s="908"/>
      <c r="L62" s="908"/>
      <c r="M62" s="908"/>
      <c r="N62" s="908"/>
      <c r="O62" s="908"/>
      <c r="P62" s="908"/>
      <c r="Q62" s="908"/>
      <c r="R62" s="908"/>
      <c r="S62" s="908"/>
      <c r="T62" s="908"/>
      <c r="U62" s="908"/>
      <c r="V62" s="908"/>
      <c r="W62" s="884" t="s">
        <v>170</v>
      </c>
      <c r="X62" s="945" t="s">
        <v>283</v>
      </c>
      <c r="Y62" s="1108"/>
    </row>
    <row r="63" spans="1:25" ht="31.5">
      <c r="A63" s="946">
        <v>15</v>
      </c>
      <c r="B63" s="946"/>
      <c r="C63" s="983" t="s">
        <v>1011</v>
      </c>
      <c r="D63" s="879">
        <f t="shared" si="3"/>
        <v>0.61</v>
      </c>
      <c r="E63" s="912"/>
      <c r="F63" s="907">
        <f t="shared" ref="F63:F64" si="6">G63+SUM(I63:V63)</f>
        <v>0.61</v>
      </c>
      <c r="G63" s="907"/>
      <c r="H63" s="907"/>
      <c r="I63" s="908">
        <v>0.35</v>
      </c>
      <c r="J63" s="908">
        <v>0.26</v>
      </c>
      <c r="K63" s="908"/>
      <c r="L63" s="908"/>
      <c r="M63" s="908"/>
      <c r="N63" s="908"/>
      <c r="O63" s="908"/>
      <c r="P63" s="908"/>
      <c r="Q63" s="908"/>
      <c r="R63" s="908"/>
      <c r="S63" s="908"/>
      <c r="T63" s="908"/>
      <c r="U63" s="908"/>
      <c r="V63" s="908"/>
      <c r="W63" s="884" t="s">
        <v>191</v>
      </c>
      <c r="X63" s="945" t="s">
        <v>283</v>
      </c>
      <c r="Y63" s="1108"/>
    </row>
    <row r="64" spans="1:25" ht="31.5">
      <c r="A64" s="946">
        <v>16</v>
      </c>
      <c r="B64" s="946"/>
      <c r="C64" s="983" t="s">
        <v>1022</v>
      </c>
      <c r="D64" s="879">
        <f t="shared" si="3"/>
        <v>16.46</v>
      </c>
      <c r="E64" s="912"/>
      <c r="F64" s="907">
        <f t="shared" si="6"/>
        <v>16.46</v>
      </c>
      <c r="G64" s="907"/>
      <c r="H64" s="907"/>
      <c r="I64" s="908">
        <v>2.31</v>
      </c>
      <c r="J64" s="908">
        <v>14.15</v>
      </c>
      <c r="K64" s="908"/>
      <c r="L64" s="908"/>
      <c r="M64" s="908"/>
      <c r="N64" s="908"/>
      <c r="O64" s="908"/>
      <c r="P64" s="908"/>
      <c r="Q64" s="908"/>
      <c r="R64" s="908"/>
      <c r="S64" s="908"/>
      <c r="T64" s="908"/>
      <c r="U64" s="908"/>
      <c r="V64" s="908"/>
      <c r="W64" s="884" t="s">
        <v>170</v>
      </c>
      <c r="X64" s="945" t="s">
        <v>283</v>
      </c>
      <c r="Y64" s="945" t="s">
        <v>283</v>
      </c>
    </row>
    <row r="65" spans="1:25" ht="31.5">
      <c r="A65" s="946">
        <v>17</v>
      </c>
      <c r="B65" s="946"/>
      <c r="C65" s="983" t="s">
        <v>1015</v>
      </c>
      <c r="D65" s="879">
        <v>1.01</v>
      </c>
      <c r="E65" s="912"/>
      <c r="F65" s="907">
        <v>1.01</v>
      </c>
      <c r="G65" s="907"/>
      <c r="H65" s="907"/>
      <c r="I65" s="908">
        <v>1.01</v>
      </c>
      <c r="J65" s="908"/>
      <c r="K65" s="908"/>
      <c r="L65" s="908"/>
      <c r="M65" s="908"/>
      <c r="N65" s="908"/>
      <c r="O65" s="908"/>
      <c r="P65" s="908"/>
      <c r="Q65" s="908"/>
      <c r="R65" s="908"/>
      <c r="S65" s="908"/>
      <c r="T65" s="908"/>
      <c r="U65" s="908"/>
      <c r="V65" s="908"/>
      <c r="W65" s="884" t="s">
        <v>197</v>
      </c>
      <c r="X65" s="945" t="s">
        <v>283</v>
      </c>
      <c r="Y65" s="1108" t="s">
        <v>283</v>
      </c>
    </row>
    <row r="66" spans="1:25" ht="45">
      <c r="A66" s="868"/>
      <c r="B66" s="868"/>
      <c r="C66" s="890" t="s">
        <v>298</v>
      </c>
      <c r="D66" s="879"/>
      <c r="E66" s="1119"/>
      <c r="F66" s="907">
        <f t="shared" si="4"/>
        <v>0</v>
      </c>
      <c r="G66" s="907"/>
      <c r="H66" s="907"/>
      <c r="I66" s="903"/>
      <c r="J66" s="871"/>
      <c r="K66" s="871"/>
      <c r="L66" s="871"/>
      <c r="M66" s="871"/>
      <c r="N66" s="871"/>
      <c r="O66" s="871"/>
      <c r="P66" s="871"/>
      <c r="Q66" s="871"/>
      <c r="R66" s="871"/>
      <c r="S66" s="871"/>
      <c r="T66" s="871"/>
      <c r="U66" s="871"/>
      <c r="V66" s="871"/>
      <c r="W66" s="893"/>
      <c r="X66" s="1108"/>
      <c r="Y66" s="1108"/>
    </row>
    <row r="67" spans="1:25" ht="30">
      <c r="A67" s="868">
        <v>1</v>
      </c>
      <c r="B67" s="868"/>
      <c r="C67" s="883" t="s">
        <v>295</v>
      </c>
      <c r="D67" s="879">
        <f t="shared" ref="D67:D108" si="7">E67+F67</f>
        <v>3.37</v>
      </c>
      <c r="E67" s="1119"/>
      <c r="F67" s="907">
        <f t="shared" si="4"/>
        <v>3.37</v>
      </c>
      <c r="G67" s="907"/>
      <c r="H67" s="907"/>
      <c r="I67" s="871">
        <v>2.0299999999999998</v>
      </c>
      <c r="J67" s="871">
        <v>1.34</v>
      </c>
      <c r="K67" s="871"/>
      <c r="L67" s="871"/>
      <c r="M67" s="871"/>
      <c r="N67" s="871"/>
      <c r="O67" s="871"/>
      <c r="P67" s="871"/>
      <c r="Q67" s="871"/>
      <c r="R67" s="871"/>
      <c r="S67" s="871"/>
      <c r="T67" s="871"/>
      <c r="U67" s="871"/>
      <c r="V67" s="871"/>
      <c r="W67" s="893" t="s">
        <v>169</v>
      </c>
      <c r="X67" s="894" t="s">
        <v>283</v>
      </c>
      <c r="Y67" s="1108"/>
    </row>
    <row r="68" spans="1:25" ht="30">
      <c r="A68" s="868">
        <v>2</v>
      </c>
      <c r="B68" s="868"/>
      <c r="C68" s="883" t="s">
        <v>295</v>
      </c>
      <c r="D68" s="879">
        <f t="shared" si="7"/>
        <v>5.07</v>
      </c>
      <c r="E68" s="1119"/>
      <c r="F68" s="907">
        <f t="shared" si="4"/>
        <v>5.07</v>
      </c>
      <c r="G68" s="907"/>
      <c r="H68" s="907"/>
      <c r="I68" s="871">
        <f>2.91+0.06</f>
        <v>2.97</v>
      </c>
      <c r="J68" s="871">
        <v>2.1</v>
      </c>
      <c r="K68" s="871"/>
      <c r="L68" s="871"/>
      <c r="M68" s="871"/>
      <c r="N68" s="871"/>
      <c r="O68" s="871"/>
      <c r="P68" s="871"/>
      <c r="Q68" s="871"/>
      <c r="R68" s="871"/>
      <c r="S68" s="871"/>
      <c r="T68" s="871"/>
      <c r="U68" s="871"/>
      <c r="V68" s="871"/>
      <c r="W68" s="893" t="s">
        <v>168</v>
      </c>
      <c r="X68" s="894" t="s">
        <v>283</v>
      </c>
      <c r="Y68" s="1108"/>
    </row>
    <row r="69" spans="1:25" ht="30">
      <c r="A69" s="868">
        <v>3</v>
      </c>
      <c r="B69" s="868"/>
      <c r="C69" s="883" t="s">
        <v>295</v>
      </c>
      <c r="D69" s="879">
        <f t="shared" si="7"/>
        <v>2</v>
      </c>
      <c r="E69" s="1119"/>
      <c r="F69" s="907">
        <f t="shared" si="4"/>
        <v>2</v>
      </c>
      <c r="G69" s="907"/>
      <c r="H69" s="907"/>
      <c r="I69" s="871">
        <v>1.01</v>
      </c>
      <c r="J69" s="871">
        <v>0.99</v>
      </c>
      <c r="K69" s="871"/>
      <c r="L69" s="871"/>
      <c r="M69" s="871"/>
      <c r="N69" s="871"/>
      <c r="O69" s="871"/>
      <c r="P69" s="871"/>
      <c r="Q69" s="871"/>
      <c r="R69" s="871"/>
      <c r="S69" s="871"/>
      <c r="T69" s="871"/>
      <c r="U69" s="871"/>
      <c r="V69" s="871"/>
      <c r="W69" s="893" t="s">
        <v>171</v>
      </c>
      <c r="X69" s="894" t="s">
        <v>283</v>
      </c>
      <c r="Y69" s="1108"/>
    </row>
    <row r="70" spans="1:25" ht="30">
      <c r="A70" s="868">
        <v>4</v>
      </c>
      <c r="B70" s="868"/>
      <c r="C70" s="883" t="s">
        <v>295</v>
      </c>
      <c r="D70" s="879">
        <f t="shared" si="7"/>
        <v>2.38</v>
      </c>
      <c r="E70" s="1119"/>
      <c r="F70" s="907">
        <f t="shared" si="4"/>
        <v>2.38</v>
      </c>
      <c r="G70" s="907"/>
      <c r="H70" s="907"/>
      <c r="I70" s="871">
        <v>1.62</v>
      </c>
      <c r="J70" s="871">
        <v>0.76</v>
      </c>
      <c r="K70" s="871"/>
      <c r="L70" s="871"/>
      <c r="M70" s="871"/>
      <c r="N70" s="871"/>
      <c r="O70" s="871"/>
      <c r="P70" s="871"/>
      <c r="Q70" s="871"/>
      <c r="R70" s="871"/>
      <c r="S70" s="871"/>
      <c r="T70" s="871"/>
      <c r="U70" s="871"/>
      <c r="V70" s="871"/>
      <c r="W70" s="893" t="s">
        <v>172</v>
      </c>
      <c r="X70" s="894" t="s">
        <v>283</v>
      </c>
      <c r="Y70" s="1108"/>
    </row>
    <row r="71" spans="1:25" ht="30">
      <c r="A71" s="868">
        <v>5</v>
      </c>
      <c r="B71" s="868"/>
      <c r="C71" s="883" t="s">
        <v>295</v>
      </c>
      <c r="D71" s="879">
        <f t="shared" si="7"/>
        <v>0.69000000000000006</v>
      </c>
      <c r="E71" s="1119"/>
      <c r="F71" s="907">
        <f t="shared" si="4"/>
        <v>0.69000000000000006</v>
      </c>
      <c r="G71" s="907"/>
      <c r="H71" s="907"/>
      <c r="I71" s="871">
        <v>0.65</v>
      </c>
      <c r="J71" s="871">
        <v>0.04</v>
      </c>
      <c r="K71" s="871"/>
      <c r="L71" s="871"/>
      <c r="M71" s="871"/>
      <c r="N71" s="871"/>
      <c r="O71" s="871"/>
      <c r="P71" s="871"/>
      <c r="Q71" s="871"/>
      <c r="R71" s="871"/>
      <c r="S71" s="871"/>
      <c r="T71" s="871"/>
      <c r="U71" s="871"/>
      <c r="V71" s="871"/>
      <c r="W71" s="893" t="s">
        <v>190</v>
      </c>
      <c r="X71" s="894" t="s">
        <v>283</v>
      </c>
      <c r="Y71" s="1108"/>
    </row>
    <row r="72" spans="1:25" ht="30">
      <c r="A72" s="868">
        <v>6</v>
      </c>
      <c r="B72" s="868"/>
      <c r="C72" s="883" t="s">
        <v>297</v>
      </c>
      <c r="D72" s="879">
        <f t="shared" si="7"/>
        <v>2</v>
      </c>
      <c r="E72" s="1119">
        <v>2</v>
      </c>
      <c r="F72" s="907">
        <f t="shared" si="4"/>
        <v>0</v>
      </c>
      <c r="G72" s="907"/>
      <c r="H72" s="907"/>
      <c r="I72" s="903"/>
      <c r="J72" s="871"/>
      <c r="K72" s="871"/>
      <c r="L72" s="871"/>
      <c r="M72" s="871"/>
      <c r="N72" s="871"/>
      <c r="O72" s="871"/>
      <c r="P72" s="871"/>
      <c r="Q72" s="871"/>
      <c r="R72" s="871"/>
      <c r="S72" s="871"/>
      <c r="T72" s="871"/>
      <c r="U72" s="871"/>
      <c r="V72" s="871"/>
      <c r="W72" s="893" t="s">
        <v>190</v>
      </c>
      <c r="X72" s="894" t="s">
        <v>283</v>
      </c>
      <c r="Y72" s="1108"/>
    </row>
    <row r="73" spans="1:25" ht="30">
      <c r="A73" s="868">
        <v>7</v>
      </c>
      <c r="B73" s="868"/>
      <c r="C73" s="883" t="s">
        <v>296</v>
      </c>
      <c r="D73" s="879">
        <f t="shared" si="7"/>
        <v>2</v>
      </c>
      <c r="E73" s="1119">
        <v>2</v>
      </c>
      <c r="F73" s="907">
        <f t="shared" si="4"/>
        <v>0</v>
      </c>
      <c r="G73" s="907"/>
      <c r="H73" s="907"/>
      <c r="I73" s="903"/>
      <c r="J73" s="871"/>
      <c r="K73" s="871"/>
      <c r="L73" s="871"/>
      <c r="M73" s="871"/>
      <c r="N73" s="871"/>
      <c r="O73" s="871"/>
      <c r="P73" s="871"/>
      <c r="Q73" s="871"/>
      <c r="R73" s="871"/>
      <c r="S73" s="871"/>
      <c r="T73" s="871"/>
      <c r="U73" s="871"/>
      <c r="V73" s="871"/>
      <c r="W73" s="893" t="s">
        <v>190</v>
      </c>
      <c r="X73" s="894" t="s">
        <v>283</v>
      </c>
      <c r="Y73" s="1108"/>
    </row>
    <row r="74" spans="1:25" ht="30">
      <c r="A74" s="868">
        <v>8</v>
      </c>
      <c r="B74" s="868"/>
      <c r="C74" s="883" t="s">
        <v>295</v>
      </c>
      <c r="D74" s="879">
        <f t="shared" si="7"/>
        <v>1.75</v>
      </c>
      <c r="E74" s="1119"/>
      <c r="F74" s="907">
        <f t="shared" si="4"/>
        <v>1.75</v>
      </c>
      <c r="G74" s="907"/>
      <c r="H74" s="907"/>
      <c r="I74" s="871">
        <v>1.06</v>
      </c>
      <c r="J74" s="871">
        <v>0.69</v>
      </c>
      <c r="K74" s="871"/>
      <c r="L74" s="871"/>
      <c r="M74" s="871"/>
      <c r="N74" s="871"/>
      <c r="O74" s="871"/>
      <c r="P74" s="871"/>
      <c r="Q74" s="871"/>
      <c r="R74" s="871"/>
      <c r="S74" s="871"/>
      <c r="T74" s="871"/>
      <c r="U74" s="871"/>
      <c r="V74" s="871"/>
      <c r="W74" s="893" t="s">
        <v>191</v>
      </c>
      <c r="X74" s="894" t="s">
        <v>283</v>
      </c>
      <c r="Y74" s="1108"/>
    </row>
    <row r="75" spans="1:25" ht="30">
      <c r="A75" s="868">
        <v>9</v>
      </c>
      <c r="B75" s="868"/>
      <c r="C75" s="883" t="s">
        <v>295</v>
      </c>
      <c r="D75" s="879">
        <f t="shared" si="7"/>
        <v>0.83000000000000007</v>
      </c>
      <c r="E75" s="1119"/>
      <c r="F75" s="907">
        <f t="shared" si="4"/>
        <v>0.83000000000000007</v>
      </c>
      <c r="G75" s="907"/>
      <c r="H75" s="907"/>
      <c r="I75" s="871">
        <v>0.28999999999999998</v>
      </c>
      <c r="J75" s="871">
        <v>0.54</v>
      </c>
      <c r="K75" s="871"/>
      <c r="L75" s="871"/>
      <c r="M75" s="871"/>
      <c r="N75" s="871"/>
      <c r="O75" s="871"/>
      <c r="P75" s="871"/>
      <c r="Q75" s="871"/>
      <c r="R75" s="871"/>
      <c r="S75" s="871"/>
      <c r="T75" s="871"/>
      <c r="U75" s="871"/>
      <c r="V75" s="871"/>
      <c r="W75" s="893" t="s">
        <v>170</v>
      </c>
      <c r="X75" s="894" t="s">
        <v>283</v>
      </c>
      <c r="Y75" s="1108"/>
    </row>
    <row r="76" spans="1:25" ht="30">
      <c r="A76" s="868">
        <v>10</v>
      </c>
      <c r="B76" s="868"/>
      <c r="C76" s="883" t="s">
        <v>295</v>
      </c>
      <c r="D76" s="879">
        <f t="shared" si="7"/>
        <v>0.34</v>
      </c>
      <c r="E76" s="1119"/>
      <c r="F76" s="907">
        <f t="shared" si="4"/>
        <v>0.34</v>
      </c>
      <c r="G76" s="907"/>
      <c r="H76" s="907"/>
      <c r="I76" s="871">
        <v>0.14000000000000001</v>
      </c>
      <c r="J76" s="871">
        <v>0.2</v>
      </c>
      <c r="K76" s="871"/>
      <c r="L76" s="871"/>
      <c r="M76" s="871"/>
      <c r="N76" s="871"/>
      <c r="O76" s="871"/>
      <c r="P76" s="871"/>
      <c r="Q76" s="871"/>
      <c r="R76" s="871"/>
      <c r="S76" s="871"/>
      <c r="T76" s="871"/>
      <c r="U76" s="871"/>
      <c r="V76" s="871"/>
      <c r="W76" s="893" t="s">
        <v>197</v>
      </c>
      <c r="X76" s="894" t="s">
        <v>283</v>
      </c>
      <c r="Y76" s="1108"/>
    </row>
    <row r="77" spans="1:25" ht="30">
      <c r="A77" s="868">
        <v>11</v>
      </c>
      <c r="B77" s="868"/>
      <c r="C77" s="883" t="s">
        <v>295</v>
      </c>
      <c r="D77" s="879">
        <f t="shared" si="7"/>
        <v>0.39</v>
      </c>
      <c r="E77" s="1119"/>
      <c r="F77" s="907">
        <f t="shared" si="4"/>
        <v>0.39</v>
      </c>
      <c r="G77" s="907"/>
      <c r="H77" s="907"/>
      <c r="I77" s="871">
        <v>0.39</v>
      </c>
      <c r="J77" s="871"/>
      <c r="K77" s="871"/>
      <c r="L77" s="871"/>
      <c r="M77" s="871"/>
      <c r="N77" s="871"/>
      <c r="O77" s="871"/>
      <c r="P77" s="871"/>
      <c r="Q77" s="871"/>
      <c r="R77" s="871"/>
      <c r="S77" s="871"/>
      <c r="T77" s="871"/>
      <c r="U77" s="871"/>
      <c r="V77" s="871"/>
      <c r="W77" s="893" t="s">
        <v>189</v>
      </c>
      <c r="X77" s="894" t="s">
        <v>283</v>
      </c>
      <c r="Y77" s="1108"/>
    </row>
    <row r="78" spans="1:25" ht="30">
      <c r="A78" s="868">
        <v>12</v>
      </c>
      <c r="B78" s="868"/>
      <c r="C78" s="883" t="s">
        <v>295</v>
      </c>
      <c r="D78" s="879">
        <f t="shared" si="7"/>
        <v>0.89999999999999991</v>
      </c>
      <c r="E78" s="1119"/>
      <c r="F78" s="907">
        <f t="shared" si="4"/>
        <v>0.89999999999999991</v>
      </c>
      <c r="G78" s="907"/>
      <c r="H78" s="907"/>
      <c r="I78" s="871">
        <v>0.57999999999999996</v>
      </c>
      <c r="J78" s="871">
        <v>0.32</v>
      </c>
      <c r="K78" s="871"/>
      <c r="L78" s="871"/>
      <c r="M78" s="871"/>
      <c r="N78" s="871"/>
      <c r="O78" s="871"/>
      <c r="P78" s="871"/>
      <c r="Q78" s="871"/>
      <c r="R78" s="871"/>
      <c r="S78" s="871"/>
      <c r="T78" s="871"/>
      <c r="U78" s="871"/>
      <c r="V78" s="871"/>
      <c r="W78" s="893" t="s">
        <v>173</v>
      </c>
      <c r="X78" s="894" t="s">
        <v>283</v>
      </c>
      <c r="Y78" s="1108"/>
    </row>
    <row r="79" spans="1:25" ht="30">
      <c r="A79" s="868">
        <v>13</v>
      </c>
      <c r="B79" s="868"/>
      <c r="C79" s="883" t="s">
        <v>295</v>
      </c>
      <c r="D79" s="879">
        <f t="shared" si="7"/>
        <v>0.15000000000000002</v>
      </c>
      <c r="E79" s="1119"/>
      <c r="F79" s="907">
        <f t="shared" si="4"/>
        <v>0.15000000000000002</v>
      </c>
      <c r="G79" s="907"/>
      <c r="H79" s="907"/>
      <c r="I79" s="871">
        <v>7.0000000000000007E-2</v>
      </c>
      <c r="J79" s="871">
        <v>0.08</v>
      </c>
      <c r="K79" s="871"/>
      <c r="L79" s="871"/>
      <c r="M79" s="871"/>
      <c r="N79" s="871"/>
      <c r="O79" s="871"/>
      <c r="P79" s="871"/>
      <c r="Q79" s="871"/>
      <c r="R79" s="871"/>
      <c r="S79" s="871"/>
      <c r="T79" s="871"/>
      <c r="U79" s="871"/>
      <c r="V79" s="871"/>
      <c r="W79" s="893" t="s">
        <v>174</v>
      </c>
      <c r="X79" s="894" t="s">
        <v>283</v>
      </c>
      <c r="Y79" s="1108"/>
    </row>
    <row r="80" spans="1:25">
      <c r="A80" s="868"/>
      <c r="B80" s="868"/>
      <c r="C80" s="896" t="s">
        <v>294</v>
      </c>
      <c r="D80" s="879"/>
      <c r="E80" s="1119"/>
      <c r="F80" s="907">
        <f t="shared" si="4"/>
        <v>0</v>
      </c>
      <c r="G80" s="907"/>
      <c r="H80" s="907"/>
      <c r="I80" s="903"/>
      <c r="J80" s="871"/>
      <c r="K80" s="871"/>
      <c r="L80" s="871"/>
      <c r="M80" s="871"/>
      <c r="N80" s="871"/>
      <c r="O80" s="871"/>
      <c r="P80" s="871"/>
      <c r="Q80" s="871"/>
      <c r="R80" s="871"/>
      <c r="S80" s="871"/>
      <c r="T80" s="871"/>
      <c r="U80" s="871"/>
      <c r="V80" s="871"/>
      <c r="W80" s="893"/>
      <c r="X80" s="894"/>
      <c r="Y80" s="1108"/>
    </row>
    <row r="81" spans="1:25" s="918" customFormat="1" ht="30">
      <c r="A81" s="868">
        <v>1</v>
      </c>
      <c r="B81" s="868"/>
      <c r="C81" s="942" t="s">
        <v>293</v>
      </c>
      <c r="D81" s="879">
        <f t="shared" si="7"/>
        <v>11</v>
      </c>
      <c r="E81" s="941"/>
      <c r="F81" s="907">
        <f t="shared" si="4"/>
        <v>11</v>
      </c>
      <c r="G81" s="907"/>
      <c r="H81" s="907"/>
      <c r="I81" s="941">
        <v>10</v>
      </c>
      <c r="J81" s="941"/>
      <c r="K81" s="941"/>
      <c r="L81" s="941"/>
      <c r="M81" s="941"/>
      <c r="N81" s="941"/>
      <c r="O81" s="941"/>
      <c r="P81" s="941"/>
      <c r="Q81" s="941"/>
      <c r="R81" s="941"/>
      <c r="S81" s="941"/>
      <c r="T81" s="941"/>
      <c r="U81" s="941"/>
      <c r="V81" s="941">
        <v>1</v>
      </c>
      <c r="W81" s="942" t="s">
        <v>170</v>
      </c>
      <c r="X81" s="894" t="s">
        <v>283</v>
      </c>
      <c r="Y81" s="1108"/>
    </row>
    <row r="82" spans="1:25" s="918" customFormat="1" ht="30">
      <c r="A82" s="868">
        <v>2</v>
      </c>
      <c r="B82" s="868"/>
      <c r="C82" s="942" t="s">
        <v>292</v>
      </c>
      <c r="D82" s="879">
        <f t="shared" si="7"/>
        <v>10</v>
      </c>
      <c r="E82" s="941"/>
      <c r="F82" s="907">
        <f t="shared" si="4"/>
        <v>10</v>
      </c>
      <c r="G82" s="907"/>
      <c r="H82" s="907"/>
      <c r="I82" s="941">
        <v>10</v>
      </c>
      <c r="J82" s="941"/>
      <c r="K82" s="941"/>
      <c r="L82" s="941"/>
      <c r="M82" s="941"/>
      <c r="N82" s="941"/>
      <c r="O82" s="941"/>
      <c r="P82" s="941"/>
      <c r="Q82" s="941"/>
      <c r="R82" s="941"/>
      <c r="S82" s="941"/>
      <c r="T82" s="941"/>
      <c r="U82" s="941"/>
      <c r="V82" s="941"/>
      <c r="W82" s="942" t="s">
        <v>197</v>
      </c>
      <c r="X82" s="894" t="s">
        <v>283</v>
      </c>
      <c r="Y82" s="1108"/>
    </row>
    <row r="83" spans="1:25" s="918" customFormat="1" ht="30">
      <c r="A83" s="868">
        <v>3</v>
      </c>
      <c r="B83" s="868"/>
      <c r="C83" s="942" t="s">
        <v>291</v>
      </c>
      <c r="D83" s="879">
        <f t="shared" si="7"/>
        <v>10</v>
      </c>
      <c r="E83" s="941"/>
      <c r="F83" s="907">
        <f t="shared" si="4"/>
        <v>10</v>
      </c>
      <c r="G83" s="907"/>
      <c r="H83" s="907"/>
      <c r="I83" s="941">
        <v>10</v>
      </c>
      <c r="J83" s="941"/>
      <c r="K83" s="941"/>
      <c r="L83" s="941"/>
      <c r="M83" s="941"/>
      <c r="N83" s="941"/>
      <c r="O83" s="941"/>
      <c r="P83" s="941"/>
      <c r="Q83" s="941"/>
      <c r="R83" s="941"/>
      <c r="S83" s="941"/>
      <c r="T83" s="941"/>
      <c r="U83" s="941"/>
      <c r="V83" s="941"/>
      <c r="W83" s="942" t="s">
        <v>190</v>
      </c>
      <c r="X83" s="894" t="s">
        <v>283</v>
      </c>
      <c r="Y83" s="1108"/>
    </row>
    <row r="84" spans="1:25" s="918" customFormat="1" ht="30">
      <c r="A84" s="868">
        <v>4</v>
      </c>
      <c r="B84" s="868"/>
      <c r="C84" s="942" t="s">
        <v>290</v>
      </c>
      <c r="D84" s="879">
        <f t="shared" si="7"/>
        <v>151</v>
      </c>
      <c r="E84" s="941"/>
      <c r="F84" s="907">
        <f t="shared" si="4"/>
        <v>151</v>
      </c>
      <c r="G84" s="907"/>
      <c r="H84" s="907"/>
      <c r="I84" s="941">
        <v>150</v>
      </c>
      <c r="J84" s="941"/>
      <c r="K84" s="941"/>
      <c r="L84" s="941"/>
      <c r="M84" s="941"/>
      <c r="N84" s="941"/>
      <c r="O84" s="941"/>
      <c r="P84" s="941"/>
      <c r="Q84" s="941"/>
      <c r="R84" s="941"/>
      <c r="S84" s="941"/>
      <c r="T84" s="941"/>
      <c r="U84" s="941"/>
      <c r="V84" s="941">
        <v>1</v>
      </c>
      <c r="W84" s="942" t="s">
        <v>169</v>
      </c>
      <c r="X84" s="894" t="s">
        <v>283</v>
      </c>
      <c r="Y84" s="1108"/>
    </row>
    <row r="85" spans="1:25" s="918" customFormat="1" ht="30">
      <c r="A85" s="868">
        <v>5</v>
      </c>
      <c r="B85" s="868"/>
      <c r="C85" s="942" t="s">
        <v>289</v>
      </c>
      <c r="D85" s="879">
        <f t="shared" si="7"/>
        <v>21</v>
      </c>
      <c r="E85" s="941"/>
      <c r="F85" s="907">
        <f t="shared" si="4"/>
        <v>21</v>
      </c>
      <c r="G85" s="907"/>
      <c r="H85" s="907"/>
      <c r="I85" s="941">
        <v>20</v>
      </c>
      <c r="J85" s="941"/>
      <c r="K85" s="941"/>
      <c r="L85" s="941"/>
      <c r="M85" s="941"/>
      <c r="N85" s="941"/>
      <c r="O85" s="941"/>
      <c r="P85" s="941"/>
      <c r="Q85" s="941"/>
      <c r="R85" s="941"/>
      <c r="S85" s="941"/>
      <c r="T85" s="941"/>
      <c r="U85" s="941"/>
      <c r="V85" s="941">
        <v>1</v>
      </c>
      <c r="W85" s="942" t="s">
        <v>191</v>
      </c>
      <c r="X85" s="894" t="s">
        <v>283</v>
      </c>
      <c r="Y85" s="1108"/>
    </row>
    <row r="86" spans="1:25" s="918" customFormat="1" ht="30">
      <c r="A86" s="868">
        <v>6</v>
      </c>
      <c r="B86" s="868"/>
      <c r="C86" s="942" t="s">
        <v>288</v>
      </c>
      <c r="D86" s="879">
        <f t="shared" si="7"/>
        <v>30</v>
      </c>
      <c r="E86" s="941"/>
      <c r="F86" s="907">
        <f t="shared" si="4"/>
        <v>30</v>
      </c>
      <c r="G86" s="907"/>
      <c r="H86" s="907"/>
      <c r="I86" s="941">
        <v>30</v>
      </c>
      <c r="J86" s="941"/>
      <c r="K86" s="941"/>
      <c r="L86" s="941"/>
      <c r="M86" s="941"/>
      <c r="N86" s="941"/>
      <c r="O86" s="941"/>
      <c r="P86" s="941"/>
      <c r="Q86" s="941"/>
      <c r="R86" s="941"/>
      <c r="S86" s="941"/>
      <c r="T86" s="941"/>
      <c r="U86" s="941"/>
      <c r="V86" s="941"/>
      <c r="W86" s="942" t="s">
        <v>171</v>
      </c>
      <c r="X86" s="894" t="s">
        <v>283</v>
      </c>
      <c r="Y86" s="1108"/>
    </row>
    <row r="87" spans="1:25" s="918" customFormat="1" ht="30">
      <c r="A87" s="868">
        <v>7</v>
      </c>
      <c r="B87" s="868"/>
      <c r="C87" s="942" t="s">
        <v>287</v>
      </c>
      <c r="D87" s="879">
        <f t="shared" si="7"/>
        <v>10</v>
      </c>
      <c r="E87" s="941"/>
      <c r="F87" s="907">
        <f t="shared" si="4"/>
        <v>10</v>
      </c>
      <c r="G87" s="907"/>
      <c r="H87" s="907"/>
      <c r="I87" s="941">
        <v>10</v>
      </c>
      <c r="J87" s="941"/>
      <c r="K87" s="941"/>
      <c r="L87" s="941"/>
      <c r="M87" s="941"/>
      <c r="N87" s="941"/>
      <c r="O87" s="941"/>
      <c r="P87" s="941"/>
      <c r="Q87" s="941"/>
      <c r="R87" s="941"/>
      <c r="S87" s="941"/>
      <c r="T87" s="941"/>
      <c r="U87" s="941"/>
      <c r="V87" s="941"/>
      <c r="W87" s="942" t="s">
        <v>172</v>
      </c>
      <c r="X87" s="894" t="s">
        <v>283</v>
      </c>
      <c r="Y87" s="1108"/>
    </row>
    <row r="88" spans="1:25" s="918" customFormat="1" ht="30">
      <c r="A88" s="868">
        <v>8</v>
      </c>
      <c r="B88" s="868"/>
      <c r="C88" s="942" t="s">
        <v>286</v>
      </c>
      <c r="D88" s="879">
        <f t="shared" si="7"/>
        <v>30</v>
      </c>
      <c r="E88" s="941"/>
      <c r="F88" s="907">
        <f t="shared" si="4"/>
        <v>30</v>
      </c>
      <c r="G88" s="907"/>
      <c r="H88" s="907"/>
      <c r="I88" s="941">
        <v>18</v>
      </c>
      <c r="J88" s="941"/>
      <c r="K88" s="941"/>
      <c r="L88" s="941"/>
      <c r="M88" s="941"/>
      <c r="N88" s="941"/>
      <c r="O88" s="941"/>
      <c r="P88" s="941"/>
      <c r="Q88" s="941"/>
      <c r="R88" s="941"/>
      <c r="S88" s="941"/>
      <c r="T88" s="941"/>
      <c r="U88" s="941"/>
      <c r="V88" s="941">
        <v>12</v>
      </c>
      <c r="W88" s="942" t="s">
        <v>173</v>
      </c>
      <c r="X88" s="894" t="s">
        <v>283</v>
      </c>
      <c r="Y88" s="1108"/>
    </row>
    <row r="89" spans="1:25" s="918" customFormat="1" ht="30">
      <c r="A89" s="868">
        <v>9</v>
      </c>
      <c r="B89" s="868"/>
      <c r="C89" s="942" t="s">
        <v>285</v>
      </c>
      <c r="D89" s="879">
        <f t="shared" si="7"/>
        <v>10</v>
      </c>
      <c r="E89" s="941"/>
      <c r="F89" s="907">
        <f t="shared" ref="F89:F108" si="8">G89+SUM(I89:V89)</f>
        <v>10</v>
      </c>
      <c r="G89" s="907"/>
      <c r="H89" s="907"/>
      <c r="I89" s="941">
        <v>10</v>
      </c>
      <c r="J89" s="941"/>
      <c r="K89" s="941"/>
      <c r="L89" s="941"/>
      <c r="M89" s="941"/>
      <c r="N89" s="941"/>
      <c r="O89" s="941"/>
      <c r="P89" s="941"/>
      <c r="Q89" s="941"/>
      <c r="R89" s="941"/>
      <c r="S89" s="941"/>
      <c r="T89" s="941"/>
      <c r="U89" s="941"/>
      <c r="V89" s="941"/>
      <c r="W89" s="942" t="s">
        <v>174</v>
      </c>
      <c r="X89" s="894" t="s">
        <v>283</v>
      </c>
      <c r="Y89" s="1108"/>
    </row>
    <row r="90" spans="1:25" s="918" customFormat="1" ht="30">
      <c r="A90" s="868">
        <v>10</v>
      </c>
      <c r="B90" s="868"/>
      <c r="C90" s="942" t="s">
        <v>284</v>
      </c>
      <c r="D90" s="879">
        <f t="shared" si="7"/>
        <v>10</v>
      </c>
      <c r="E90" s="941"/>
      <c r="F90" s="907">
        <f t="shared" si="8"/>
        <v>10</v>
      </c>
      <c r="G90" s="907"/>
      <c r="H90" s="907"/>
      <c r="I90" s="941">
        <v>10</v>
      </c>
      <c r="J90" s="941"/>
      <c r="K90" s="941"/>
      <c r="L90" s="941"/>
      <c r="M90" s="941"/>
      <c r="N90" s="941"/>
      <c r="O90" s="941"/>
      <c r="P90" s="941"/>
      <c r="Q90" s="941"/>
      <c r="R90" s="941"/>
      <c r="S90" s="941"/>
      <c r="T90" s="941"/>
      <c r="U90" s="941"/>
      <c r="V90" s="941"/>
      <c r="W90" s="942" t="s">
        <v>189</v>
      </c>
      <c r="X90" s="894" t="s">
        <v>283</v>
      </c>
      <c r="Y90" s="1108"/>
    </row>
    <row r="91" spans="1:25">
      <c r="A91" s="873" t="s">
        <v>149</v>
      </c>
      <c r="B91" s="873"/>
      <c r="C91" s="876" t="s">
        <v>282</v>
      </c>
      <c r="D91" s="875"/>
      <c r="E91" s="875"/>
      <c r="F91" s="907">
        <f t="shared" si="8"/>
        <v>0</v>
      </c>
      <c r="G91" s="907"/>
      <c r="H91" s="907"/>
      <c r="I91" s="905"/>
      <c r="J91" s="878"/>
      <c r="K91" s="878"/>
      <c r="L91" s="878"/>
      <c r="M91" s="878"/>
      <c r="N91" s="878"/>
      <c r="O91" s="878"/>
      <c r="P91" s="878"/>
      <c r="Q91" s="878"/>
      <c r="R91" s="878"/>
      <c r="S91" s="878"/>
      <c r="T91" s="878"/>
      <c r="U91" s="878"/>
      <c r="V91" s="878"/>
      <c r="W91" s="876"/>
      <c r="X91" s="1108"/>
      <c r="Y91" s="1108"/>
    </row>
    <row r="92" spans="1:25">
      <c r="A92" s="873" t="s">
        <v>999</v>
      </c>
      <c r="B92" s="873"/>
      <c r="C92" s="979" t="s">
        <v>826</v>
      </c>
      <c r="D92" s="875"/>
      <c r="E92" s="875"/>
      <c r="F92" s="907">
        <f t="shared" si="8"/>
        <v>0</v>
      </c>
      <c r="G92" s="907"/>
      <c r="H92" s="907"/>
      <c r="I92" s="905"/>
      <c r="J92" s="878"/>
      <c r="K92" s="878"/>
      <c r="L92" s="878"/>
      <c r="M92" s="878"/>
      <c r="N92" s="878"/>
      <c r="O92" s="878"/>
      <c r="P92" s="878"/>
      <c r="Q92" s="878"/>
      <c r="R92" s="878"/>
      <c r="S92" s="878"/>
      <c r="T92" s="878"/>
      <c r="U92" s="878"/>
      <c r="V92" s="878"/>
      <c r="W92" s="876"/>
      <c r="X92" s="1108"/>
      <c r="Y92" s="1108"/>
    </row>
    <row r="93" spans="1:25" ht="38.25" customHeight="1">
      <c r="A93" s="946">
        <v>1</v>
      </c>
      <c r="B93" s="946"/>
      <c r="C93" s="880" t="s">
        <v>827</v>
      </c>
      <c r="D93" s="879">
        <f t="shared" si="7"/>
        <v>10.9</v>
      </c>
      <c r="E93" s="907">
        <v>10.9</v>
      </c>
      <c r="F93" s="907">
        <f t="shared" si="8"/>
        <v>0</v>
      </c>
      <c r="G93" s="907"/>
      <c r="H93" s="907"/>
      <c r="I93" s="906"/>
      <c r="J93" s="907"/>
      <c r="K93" s="907"/>
      <c r="L93" s="907"/>
      <c r="M93" s="907"/>
      <c r="N93" s="907"/>
      <c r="O93" s="907"/>
      <c r="P93" s="907"/>
      <c r="Q93" s="907"/>
      <c r="R93" s="907"/>
      <c r="S93" s="907"/>
      <c r="T93" s="907"/>
      <c r="U93" s="907"/>
      <c r="V93" s="907"/>
      <c r="W93" s="880" t="s">
        <v>172</v>
      </c>
      <c r="X93" s="1313" t="s">
        <v>831</v>
      </c>
      <c r="Y93" s="1108"/>
    </row>
    <row r="94" spans="1:25" ht="38.25" customHeight="1">
      <c r="A94" s="946">
        <v>2</v>
      </c>
      <c r="B94" s="946"/>
      <c r="C94" s="880" t="s">
        <v>829</v>
      </c>
      <c r="D94" s="879">
        <f t="shared" si="7"/>
        <v>55.2</v>
      </c>
      <c r="E94" s="907">
        <v>55.2</v>
      </c>
      <c r="F94" s="907">
        <f t="shared" si="8"/>
        <v>0</v>
      </c>
      <c r="G94" s="907"/>
      <c r="H94" s="907"/>
      <c r="I94" s="906"/>
      <c r="J94" s="907"/>
      <c r="K94" s="907"/>
      <c r="L94" s="907"/>
      <c r="M94" s="907"/>
      <c r="N94" s="907"/>
      <c r="O94" s="907"/>
      <c r="P94" s="907"/>
      <c r="Q94" s="907"/>
      <c r="R94" s="907"/>
      <c r="S94" s="907"/>
      <c r="T94" s="907"/>
      <c r="U94" s="907"/>
      <c r="V94" s="907"/>
      <c r="W94" s="942" t="s">
        <v>189</v>
      </c>
      <c r="X94" s="1314"/>
      <c r="Y94" s="1108"/>
    </row>
    <row r="95" spans="1:25" ht="38.25" customHeight="1">
      <c r="A95" s="946">
        <v>3</v>
      </c>
      <c r="B95" s="946"/>
      <c r="C95" s="880" t="s">
        <v>828</v>
      </c>
      <c r="D95" s="879">
        <f t="shared" si="7"/>
        <v>7</v>
      </c>
      <c r="E95" s="907">
        <v>7</v>
      </c>
      <c r="F95" s="907">
        <f t="shared" si="8"/>
        <v>0</v>
      </c>
      <c r="G95" s="907"/>
      <c r="H95" s="907"/>
      <c r="I95" s="906"/>
      <c r="J95" s="907"/>
      <c r="K95" s="907"/>
      <c r="L95" s="907"/>
      <c r="M95" s="907"/>
      <c r="N95" s="907"/>
      <c r="O95" s="907"/>
      <c r="P95" s="907"/>
      <c r="Q95" s="907"/>
      <c r="R95" s="907"/>
      <c r="S95" s="907"/>
      <c r="T95" s="907"/>
      <c r="U95" s="907"/>
      <c r="V95" s="907"/>
      <c r="W95" s="880" t="s">
        <v>190</v>
      </c>
      <c r="X95" s="1314"/>
      <c r="Y95" s="1108"/>
    </row>
    <row r="96" spans="1:25" ht="38.25" customHeight="1">
      <c r="A96" s="946">
        <v>4</v>
      </c>
      <c r="B96" s="946"/>
      <c r="C96" s="880" t="s">
        <v>830</v>
      </c>
      <c r="D96" s="879">
        <f t="shared" si="7"/>
        <v>9.8000000000000007</v>
      </c>
      <c r="E96" s="907">
        <v>9.8000000000000007</v>
      </c>
      <c r="F96" s="907">
        <f t="shared" si="8"/>
        <v>0</v>
      </c>
      <c r="G96" s="907"/>
      <c r="H96" s="907"/>
      <c r="I96" s="906"/>
      <c r="J96" s="907"/>
      <c r="K96" s="907"/>
      <c r="L96" s="907"/>
      <c r="M96" s="907"/>
      <c r="N96" s="907"/>
      <c r="O96" s="907"/>
      <c r="P96" s="907"/>
      <c r="Q96" s="907"/>
      <c r="R96" s="907"/>
      <c r="S96" s="907"/>
      <c r="T96" s="907"/>
      <c r="U96" s="907"/>
      <c r="V96" s="907"/>
      <c r="W96" s="880" t="s">
        <v>171</v>
      </c>
      <c r="X96" s="1315"/>
      <c r="Y96" s="1108"/>
    </row>
    <row r="97" spans="1:25" ht="38.25" customHeight="1">
      <c r="A97" s="881" t="s">
        <v>1000</v>
      </c>
      <c r="B97" s="946"/>
      <c r="C97" s="890" t="s">
        <v>997</v>
      </c>
      <c r="D97" s="879"/>
      <c r="E97" s="907"/>
      <c r="F97" s="907"/>
      <c r="G97" s="907"/>
      <c r="H97" s="907"/>
      <c r="I97" s="906"/>
      <c r="J97" s="907"/>
      <c r="K97" s="907"/>
      <c r="L97" s="907"/>
      <c r="M97" s="907"/>
      <c r="N97" s="907"/>
      <c r="O97" s="907"/>
      <c r="P97" s="907"/>
      <c r="Q97" s="907"/>
      <c r="R97" s="907"/>
      <c r="S97" s="907"/>
      <c r="T97" s="907"/>
      <c r="U97" s="907"/>
      <c r="V97" s="907"/>
      <c r="W97" s="880"/>
      <c r="X97" s="1107"/>
      <c r="Y97" s="1108"/>
    </row>
    <row r="98" spans="1:25" ht="135">
      <c r="A98" s="1105">
        <v>1</v>
      </c>
      <c r="B98" s="1108"/>
      <c r="C98" s="1134" t="s">
        <v>336</v>
      </c>
      <c r="D98" s="879">
        <f>E98+F98</f>
        <v>9</v>
      </c>
      <c r="E98" s="912">
        <v>1.93</v>
      </c>
      <c r="F98" s="907">
        <f>G98+SUM(I98:V98)</f>
        <v>7.0699999999999994</v>
      </c>
      <c r="G98" s="907"/>
      <c r="H98" s="907"/>
      <c r="I98" s="907">
        <v>2.73</v>
      </c>
      <c r="J98" s="871">
        <v>4.22</v>
      </c>
      <c r="K98" s="871"/>
      <c r="L98" s="871"/>
      <c r="M98" s="871"/>
      <c r="N98" s="871"/>
      <c r="O98" s="871"/>
      <c r="P98" s="871"/>
      <c r="Q98" s="871"/>
      <c r="R98" s="871"/>
      <c r="S98" s="871">
        <v>0.12</v>
      </c>
      <c r="T98" s="871"/>
      <c r="U98" s="871"/>
      <c r="V98" s="871"/>
      <c r="W98" s="883" t="s">
        <v>168</v>
      </c>
      <c r="X98" s="1105" t="s">
        <v>938</v>
      </c>
      <c r="Y98" s="1108"/>
    </row>
    <row r="99" spans="1:25" ht="135">
      <c r="A99" s="1108">
        <v>2</v>
      </c>
      <c r="B99" s="1108"/>
      <c r="C99" s="883" t="s">
        <v>320</v>
      </c>
      <c r="D99" s="879">
        <f>E99+F99</f>
        <v>1.3</v>
      </c>
      <c r="E99" s="912">
        <v>1.3</v>
      </c>
      <c r="F99" s="907">
        <f>G99+SUM(I99:V99)</f>
        <v>0</v>
      </c>
      <c r="G99" s="907"/>
      <c r="H99" s="907"/>
      <c r="I99" s="906"/>
      <c r="J99" s="871"/>
      <c r="K99" s="871"/>
      <c r="L99" s="871"/>
      <c r="M99" s="871"/>
      <c r="N99" s="871"/>
      <c r="O99" s="871"/>
      <c r="P99" s="871"/>
      <c r="Q99" s="871"/>
      <c r="R99" s="871"/>
      <c r="S99" s="871"/>
      <c r="T99" s="871"/>
      <c r="U99" s="871"/>
      <c r="V99" s="871"/>
      <c r="W99" s="883" t="s">
        <v>168</v>
      </c>
      <c r="X99" s="1108" t="s">
        <v>939</v>
      </c>
      <c r="Y99" s="1108"/>
    </row>
    <row r="100" spans="1:25" ht="30" customHeight="1">
      <c r="A100" s="1141">
        <v>3</v>
      </c>
      <c r="B100" s="1141"/>
      <c r="C100" s="883" t="s">
        <v>1017</v>
      </c>
      <c r="D100" s="879">
        <f>E100+F100</f>
        <v>0.34</v>
      </c>
      <c r="E100" s="912"/>
      <c r="F100" s="907">
        <f>G100+SUM(I100:V100)</f>
        <v>0.34</v>
      </c>
      <c r="G100" s="907"/>
      <c r="H100" s="907"/>
      <c r="I100" s="906"/>
      <c r="J100" s="871"/>
      <c r="K100" s="871"/>
      <c r="L100" s="871"/>
      <c r="M100" s="871"/>
      <c r="N100" s="871"/>
      <c r="O100" s="871">
        <v>0.34</v>
      </c>
      <c r="P100" s="871"/>
      <c r="Q100" s="871"/>
      <c r="R100" s="871"/>
      <c r="S100" s="871"/>
      <c r="T100" s="871"/>
      <c r="U100" s="871"/>
      <c r="V100" s="871"/>
      <c r="W100" s="883" t="s">
        <v>168</v>
      </c>
      <c r="X100" s="1317" t="s">
        <v>1021</v>
      </c>
      <c r="Y100" s="1313" t="s">
        <v>1021</v>
      </c>
    </row>
    <row r="101" spans="1:25" ht="45">
      <c r="A101" s="1141">
        <v>4</v>
      </c>
      <c r="B101" s="1141"/>
      <c r="C101" s="883" t="s">
        <v>1018</v>
      </c>
      <c r="D101" s="879">
        <f t="shared" ref="D101:D103" si="9">E101+F101</f>
        <v>0.03</v>
      </c>
      <c r="E101" s="912"/>
      <c r="F101" s="907">
        <f t="shared" ref="F101:F103" si="10">G101+SUM(I101:V101)</f>
        <v>0.03</v>
      </c>
      <c r="G101" s="907"/>
      <c r="H101" s="907"/>
      <c r="I101" s="906"/>
      <c r="J101" s="871"/>
      <c r="K101" s="871"/>
      <c r="L101" s="871"/>
      <c r="M101" s="871"/>
      <c r="N101" s="871"/>
      <c r="O101" s="871"/>
      <c r="P101" s="871"/>
      <c r="Q101" s="871"/>
      <c r="R101" s="871"/>
      <c r="S101" s="871"/>
      <c r="T101" s="871"/>
      <c r="U101" s="871"/>
      <c r="V101" s="871">
        <v>0.03</v>
      </c>
      <c r="W101" s="883" t="s">
        <v>197</v>
      </c>
      <c r="X101" s="1318"/>
      <c r="Y101" s="1314"/>
    </row>
    <row r="102" spans="1:25" ht="30">
      <c r="A102" s="1141">
        <v>5</v>
      </c>
      <c r="B102" s="1141"/>
      <c r="C102" s="883" t="s">
        <v>1019</v>
      </c>
      <c r="D102" s="879">
        <f t="shared" si="9"/>
        <v>0.62</v>
      </c>
      <c r="E102" s="912"/>
      <c r="F102" s="907">
        <f t="shared" si="10"/>
        <v>0.62</v>
      </c>
      <c r="G102" s="907"/>
      <c r="H102" s="907"/>
      <c r="I102" s="906">
        <v>0.62</v>
      </c>
      <c r="J102" s="871"/>
      <c r="K102" s="871"/>
      <c r="L102" s="871"/>
      <c r="M102" s="871"/>
      <c r="N102" s="871"/>
      <c r="O102" s="871"/>
      <c r="P102" s="871"/>
      <c r="Q102" s="871"/>
      <c r="R102" s="871"/>
      <c r="S102" s="871"/>
      <c r="T102" s="871"/>
      <c r="U102" s="871"/>
      <c r="V102" s="871"/>
      <c r="W102" s="883" t="s">
        <v>197</v>
      </c>
      <c r="X102" s="1318"/>
      <c r="Y102" s="1314"/>
    </row>
    <row r="103" spans="1:25" ht="45">
      <c r="A103" s="1141">
        <v>6</v>
      </c>
      <c r="B103" s="1141"/>
      <c r="C103" s="883" t="s">
        <v>1020</v>
      </c>
      <c r="D103" s="879">
        <f t="shared" si="9"/>
        <v>0.16</v>
      </c>
      <c r="E103" s="912"/>
      <c r="F103" s="907">
        <f t="shared" si="10"/>
        <v>0.16</v>
      </c>
      <c r="G103" s="907"/>
      <c r="H103" s="907"/>
      <c r="I103" s="907"/>
      <c r="J103" s="871"/>
      <c r="K103" s="871"/>
      <c r="L103" s="871"/>
      <c r="M103" s="871"/>
      <c r="N103" s="871"/>
      <c r="O103" s="871"/>
      <c r="P103" s="871"/>
      <c r="Q103" s="871"/>
      <c r="R103" s="871"/>
      <c r="S103" s="871"/>
      <c r="T103" s="871"/>
      <c r="U103" s="871"/>
      <c r="V103" s="871">
        <v>0.16</v>
      </c>
      <c r="W103" s="883" t="s">
        <v>197</v>
      </c>
      <c r="X103" s="1319"/>
      <c r="Y103" s="1315"/>
    </row>
    <row r="104" spans="1:25" s="917" customFormat="1" ht="45">
      <c r="A104" s="887" t="s">
        <v>1001</v>
      </c>
      <c r="B104" s="887"/>
      <c r="C104" s="890" t="s">
        <v>941</v>
      </c>
      <c r="D104" s="879"/>
      <c r="E104" s="1120"/>
      <c r="F104" s="907"/>
      <c r="G104" s="915"/>
      <c r="H104" s="915"/>
      <c r="I104" s="1116"/>
      <c r="J104" s="916"/>
      <c r="K104" s="916"/>
      <c r="L104" s="916"/>
      <c r="M104" s="916"/>
      <c r="N104" s="916"/>
      <c r="O104" s="916"/>
      <c r="P104" s="916"/>
      <c r="Q104" s="916"/>
      <c r="R104" s="916"/>
      <c r="S104" s="916"/>
      <c r="T104" s="916"/>
      <c r="U104" s="916"/>
      <c r="V104" s="916"/>
      <c r="W104" s="890"/>
      <c r="X104" s="887"/>
      <c r="Y104" s="887"/>
    </row>
    <row r="105" spans="1:25" ht="150">
      <c r="A105" s="1108">
        <v>1</v>
      </c>
      <c r="B105" s="1108"/>
      <c r="C105" s="883" t="s">
        <v>227</v>
      </c>
      <c r="D105" s="879">
        <f t="shared" si="7"/>
        <v>0.5</v>
      </c>
      <c r="E105" s="912">
        <v>0.4</v>
      </c>
      <c r="F105" s="907">
        <f t="shared" si="8"/>
        <v>0.1</v>
      </c>
      <c r="G105" s="907"/>
      <c r="H105" s="907"/>
      <c r="I105" s="907">
        <v>0.02</v>
      </c>
      <c r="J105" s="871"/>
      <c r="K105" s="871"/>
      <c r="L105" s="871"/>
      <c r="M105" s="871"/>
      <c r="N105" s="871"/>
      <c r="O105" s="871">
        <v>0.05</v>
      </c>
      <c r="P105" s="871"/>
      <c r="Q105" s="871"/>
      <c r="R105" s="871"/>
      <c r="S105" s="871"/>
      <c r="T105" s="871">
        <v>0.03</v>
      </c>
      <c r="U105" s="871"/>
      <c r="V105" s="871"/>
      <c r="W105" s="883" t="s">
        <v>168</v>
      </c>
      <c r="X105" s="1108" t="s">
        <v>937</v>
      </c>
      <c r="Y105" s="1108"/>
    </row>
    <row r="106" spans="1:25" ht="60">
      <c r="A106" s="1108">
        <v>2</v>
      </c>
      <c r="B106" s="1108"/>
      <c r="C106" s="883" t="s">
        <v>301</v>
      </c>
      <c r="D106" s="879">
        <f t="shared" si="7"/>
        <v>45</v>
      </c>
      <c r="E106" s="912">
        <v>36.6</v>
      </c>
      <c r="F106" s="907">
        <f t="shared" si="8"/>
        <v>8.3999999999999986</v>
      </c>
      <c r="G106" s="907"/>
      <c r="H106" s="907"/>
      <c r="I106" s="907">
        <v>0.11</v>
      </c>
      <c r="J106" s="871">
        <v>8.18</v>
      </c>
      <c r="K106" s="871"/>
      <c r="L106" s="871"/>
      <c r="M106" s="871"/>
      <c r="N106" s="871"/>
      <c r="O106" s="871"/>
      <c r="P106" s="871"/>
      <c r="Q106" s="871"/>
      <c r="R106" s="871"/>
      <c r="S106" s="871"/>
      <c r="T106" s="871"/>
      <c r="U106" s="871"/>
      <c r="V106" s="871">
        <v>0.11</v>
      </c>
      <c r="W106" s="883" t="s">
        <v>169</v>
      </c>
      <c r="X106" s="1108" t="s">
        <v>802</v>
      </c>
      <c r="Y106" s="1108"/>
    </row>
    <row r="107" spans="1:25" ht="135">
      <c r="A107" s="1108">
        <v>3</v>
      </c>
      <c r="B107" s="1108"/>
      <c r="C107" s="883" t="s">
        <v>319</v>
      </c>
      <c r="D107" s="879">
        <f t="shared" si="7"/>
        <v>1.2</v>
      </c>
      <c r="E107" s="912"/>
      <c r="F107" s="907">
        <f t="shared" si="8"/>
        <v>1.2</v>
      </c>
      <c r="G107" s="907"/>
      <c r="H107" s="907"/>
      <c r="I107" s="907">
        <v>0.5</v>
      </c>
      <c r="J107" s="871">
        <v>0.7</v>
      </c>
      <c r="K107" s="871"/>
      <c r="L107" s="871"/>
      <c r="M107" s="871"/>
      <c r="N107" s="871"/>
      <c r="O107" s="871"/>
      <c r="P107" s="871"/>
      <c r="Q107" s="871"/>
      <c r="R107" s="871"/>
      <c r="S107" s="871"/>
      <c r="T107" s="871"/>
      <c r="U107" s="871"/>
      <c r="V107" s="871"/>
      <c r="W107" s="883" t="s">
        <v>190</v>
      </c>
      <c r="X107" s="1108" t="s">
        <v>939</v>
      </c>
      <c r="Y107" s="1108"/>
    </row>
    <row r="108" spans="1:25" ht="150">
      <c r="A108" s="1108">
        <v>4</v>
      </c>
      <c r="B108" s="1108"/>
      <c r="C108" s="883" t="s">
        <v>321</v>
      </c>
      <c r="D108" s="879">
        <f t="shared" si="7"/>
        <v>1</v>
      </c>
      <c r="E108" s="912">
        <v>0.7</v>
      </c>
      <c r="F108" s="907">
        <f t="shared" si="8"/>
        <v>0.3</v>
      </c>
      <c r="G108" s="907"/>
      <c r="H108" s="907"/>
      <c r="I108" s="906"/>
      <c r="J108" s="871"/>
      <c r="K108" s="871"/>
      <c r="L108" s="871"/>
      <c r="M108" s="871"/>
      <c r="N108" s="871"/>
      <c r="O108" s="871"/>
      <c r="P108" s="871"/>
      <c r="Q108" s="871"/>
      <c r="R108" s="871"/>
      <c r="S108" s="871"/>
      <c r="T108" s="871">
        <v>0.3</v>
      </c>
      <c r="U108" s="871"/>
      <c r="V108" s="871"/>
      <c r="W108" s="883" t="s">
        <v>168</v>
      </c>
      <c r="X108" s="1108" t="s">
        <v>940</v>
      </c>
      <c r="Y108" s="1108"/>
    </row>
    <row r="109" spans="1:25" s="917" customFormat="1" ht="60">
      <c r="A109" s="1121" t="s">
        <v>1002</v>
      </c>
      <c r="B109" s="1122"/>
      <c r="C109" s="1123" t="s">
        <v>998</v>
      </c>
      <c r="D109" s="1124"/>
      <c r="E109" s="1120"/>
      <c r="F109" s="915"/>
      <c r="G109" s="915"/>
      <c r="H109" s="915"/>
      <c r="I109" s="1116"/>
      <c r="J109" s="916"/>
      <c r="K109" s="916"/>
      <c r="L109" s="916"/>
      <c r="M109" s="916"/>
      <c r="N109" s="916"/>
      <c r="O109" s="916"/>
      <c r="P109" s="916"/>
      <c r="Q109" s="916"/>
      <c r="R109" s="916"/>
      <c r="S109" s="916"/>
      <c r="T109" s="916"/>
      <c r="U109" s="916"/>
      <c r="V109" s="916"/>
      <c r="W109" s="890"/>
      <c r="X109" s="887"/>
      <c r="Y109" s="887"/>
    </row>
    <row r="110" spans="1:25" ht="45">
      <c r="A110" s="1125" t="s">
        <v>1003</v>
      </c>
      <c r="B110" s="881"/>
      <c r="C110" s="1126" t="s">
        <v>917</v>
      </c>
      <c r="D110" s="879"/>
      <c r="E110" s="878"/>
      <c r="F110" s="907"/>
      <c r="G110" s="907"/>
      <c r="H110" s="907"/>
      <c r="I110" s="905"/>
      <c r="J110" s="878"/>
      <c r="K110" s="878"/>
      <c r="L110" s="878"/>
      <c r="M110" s="878"/>
      <c r="N110" s="878"/>
      <c r="O110" s="878"/>
      <c r="P110" s="878"/>
      <c r="Q110" s="878"/>
      <c r="R110" s="878"/>
      <c r="S110" s="878"/>
      <c r="T110" s="878"/>
      <c r="U110" s="878"/>
      <c r="V110" s="878"/>
      <c r="W110" s="876"/>
      <c r="X110" s="1108"/>
      <c r="Y110" s="1108"/>
    </row>
    <row r="111" spans="1:25" ht="135">
      <c r="A111" s="1105">
        <v>1</v>
      </c>
      <c r="B111" s="1105" t="s">
        <v>919</v>
      </c>
      <c r="C111" s="1127" t="s">
        <v>446</v>
      </c>
      <c r="D111" s="879">
        <f t="shared" ref="D111:D121" si="11">E111+F111</f>
        <v>2</v>
      </c>
      <c r="E111" s="912">
        <v>2</v>
      </c>
      <c r="F111" s="907">
        <f t="shared" ref="F111:F147" si="12">G111+SUM(I111:V111)</f>
        <v>0</v>
      </c>
      <c r="G111" s="907"/>
      <c r="H111" s="907"/>
      <c r="I111" s="906"/>
      <c r="J111" s="871"/>
      <c r="K111" s="871"/>
      <c r="L111" s="871"/>
      <c r="M111" s="871"/>
      <c r="N111" s="871"/>
      <c r="O111" s="871"/>
      <c r="P111" s="871"/>
      <c r="Q111" s="871"/>
      <c r="R111" s="871"/>
      <c r="S111" s="871"/>
      <c r="T111" s="871"/>
      <c r="U111" s="871"/>
      <c r="V111" s="871"/>
      <c r="W111" s="883" t="s">
        <v>915</v>
      </c>
      <c r="X111" s="947" t="s">
        <v>838</v>
      </c>
      <c r="Y111" s="1105" t="s">
        <v>858</v>
      </c>
    </row>
    <row r="112" spans="1:25" ht="180">
      <c r="A112" s="1108">
        <v>2</v>
      </c>
      <c r="B112" s="1108"/>
      <c r="C112" s="942" t="s">
        <v>337</v>
      </c>
      <c r="D112" s="879">
        <f t="shared" si="11"/>
        <v>0.2</v>
      </c>
      <c r="E112" s="907">
        <v>0.2</v>
      </c>
      <c r="F112" s="907">
        <f t="shared" si="12"/>
        <v>0</v>
      </c>
      <c r="G112" s="907"/>
      <c r="H112" s="907"/>
      <c r="I112" s="1115"/>
      <c r="J112" s="908"/>
      <c r="K112" s="908"/>
      <c r="L112" s="908"/>
      <c r="M112" s="908"/>
      <c r="N112" s="908"/>
      <c r="O112" s="908"/>
      <c r="P112" s="908"/>
      <c r="Q112" s="908"/>
      <c r="R112" s="908"/>
      <c r="S112" s="908"/>
      <c r="T112" s="908"/>
      <c r="U112" s="908"/>
      <c r="V112" s="908"/>
      <c r="W112" s="884" t="s">
        <v>189</v>
      </c>
      <c r="X112" s="945" t="s">
        <v>834</v>
      </c>
      <c r="Y112" s="1108" t="s">
        <v>852</v>
      </c>
    </row>
    <row r="113" spans="1:25" ht="135">
      <c r="A113" s="1108">
        <v>3</v>
      </c>
      <c r="B113" s="1108"/>
      <c r="C113" s="980" t="s">
        <v>435</v>
      </c>
      <c r="D113" s="879">
        <f t="shared" si="11"/>
        <v>0.17</v>
      </c>
      <c r="E113" s="912">
        <v>0.17</v>
      </c>
      <c r="F113" s="907">
        <f t="shared" si="12"/>
        <v>0</v>
      </c>
      <c r="G113" s="907"/>
      <c r="H113" s="907"/>
      <c r="I113" s="906"/>
      <c r="J113" s="871"/>
      <c r="K113" s="871"/>
      <c r="L113" s="871"/>
      <c r="M113" s="871"/>
      <c r="N113" s="871"/>
      <c r="O113" s="871"/>
      <c r="P113" s="871"/>
      <c r="Q113" s="871"/>
      <c r="R113" s="871"/>
      <c r="S113" s="871"/>
      <c r="T113" s="871"/>
      <c r="U113" s="871"/>
      <c r="V113" s="871"/>
      <c r="W113" s="883" t="s">
        <v>169</v>
      </c>
      <c r="X113" s="947" t="s">
        <v>838</v>
      </c>
      <c r="Y113" s="1108" t="s">
        <v>860</v>
      </c>
    </row>
    <row r="114" spans="1:25" ht="90">
      <c r="A114" s="1108">
        <v>4</v>
      </c>
      <c r="B114" s="1108"/>
      <c r="C114" s="883" t="s">
        <v>367</v>
      </c>
      <c r="D114" s="879">
        <f>E114+F114</f>
        <v>0.7</v>
      </c>
      <c r="E114" s="912">
        <v>0.7</v>
      </c>
      <c r="F114" s="907">
        <f>G114+SUM(I114:V114)</f>
        <v>0</v>
      </c>
      <c r="G114" s="907"/>
      <c r="H114" s="907"/>
      <c r="I114" s="906"/>
      <c r="J114" s="871"/>
      <c r="K114" s="871"/>
      <c r="L114" s="871"/>
      <c r="M114" s="871"/>
      <c r="N114" s="871"/>
      <c r="O114" s="871"/>
      <c r="P114" s="871"/>
      <c r="Q114" s="871"/>
      <c r="R114" s="871"/>
      <c r="S114" s="871"/>
      <c r="T114" s="871"/>
      <c r="U114" s="871"/>
      <c r="V114" s="871"/>
      <c r="W114" s="883" t="s">
        <v>170</v>
      </c>
      <c r="X114" s="1108" t="s">
        <v>836</v>
      </c>
      <c r="Y114" s="1108" t="s">
        <v>842</v>
      </c>
    </row>
    <row r="115" spans="1:25" ht="135">
      <c r="A115" s="1108">
        <v>5</v>
      </c>
      <c r="B115" s="1108" t="s">
        <v>919</v>
      </c>
      <c r="C115" s="883" t="s">
        <v>390</v>
      </c>
      <c r="D115" s="879">
        <f t="shared" si="11"/>
        <v>1.5</v>
      </c>
      <c r="E115" s="912">
        <v>1.5</v>
      </c>
      <c r="F115" s="907">
        <f t="shared" si="12"/>
        <v>0</v>
      </c>
      <c r="G115" s="907"/>
      <c r="H115" s="907"/>
      <c r="I115" s="906"/>
      <c r="J115" s="871"/>
      <c r="K115" s="871"/>
      <c r="L115" s="871"/>
      <c r="M115" s="871"/>
      <c r="N115" s="871"/>
      <c r="O115" s="871"/>
      <c r="P115" s="871"/>
      <c r="Q115" s="871"/>
      <c r="R115" s="871"/>
      <c r="S115" s="871"/>
      <c r="T115" s="871"/>
      <c r="U115" s="871"/>
      <c r="V115" s="871"/>
      <c r="W115" s="883" t="s">
        <v>172</v>
      </c>
      <c r="X115" s="947" t="s">
        <v>838</v>
      </c>
      <c r="Y115" s="1108" t="s">
        <v>865</v>
      </c>
    </row>
    <row r="116" spans="1:25" ht="135">
      <c r="A116" s="1108">
        <v>6</v>
      </c>
      <c r="B116" s="1108"/>
      <c r="C116" s="883" t="s">
        <v>450</v>
      </c>
      <c r="D116" s="879">
        <f t="shared" si="11"/>
        <v>0.5</v>
      </c>
      <c r="E116" s="912">
        <v>0.5</v>
      </c>
      <c r="F116" s="907">
        <f t="shared" si="12"/>
        <v>0</v>
      </c>
      <c r="G116" s="907"/>
      <c r="H116" s="907"/>
      <c r="I116" s="906"/>
      <c r="J116" s="871"/>
      <c r="K116" s="871"/>
      <c r="L116" s="871"/>
      <c r="M116" s="871"/>
      <c r="N116" s="871"/>
      <c r="O116" s="871"/>
      <c r="P116" s="871"/>
      <c r="Q116" s="871"/>
      <c r="R116" s="871"/>
      <c r="S116" s="871"/>
      <c r="T116" s="871"/>
      <c r="U116" s="871"/>
      <c r="V116" s="871"/>
      <c r="W116" s="883" t="s">
        <v>173</v>
      </c>
      <c r="X116" s="947" t="s">
        <v>838</v>
      </c>
      <c r="Y116" s="1108" t="s">
        <v>876</v>
      </c>
    </row>
    <row r="117" spans="1:25" ht="135">
      <c r="A117" s="1108">
        <v>7</v>
      </c>
      <c r="B117" s="1108"/>
      <c r="C117" s="883" t="s">
        <v>910</v>
      </c>
      <c r="D117" s="879">
        <f t="shared" si="11"/>
        <v>0.5</v>
      </c>
      <c r="E117" s="912">
        <v>0.5</v>
      </c>
      <c r="F117" s="907">
        <f t="shared" si="12"/>
        <v>0</v>
      </c>
      <c r="G117" s="907"/>
      <c r="H117" s="907"/>
      <c r="I117" s="906"/>
      <c r="J117" s="871"/>
      <c r="K117" s="871"/>
      <c r="L117" s="871"/>
      <c r="M117" s="871"/>
      <c r="N117" s="871"/>
      <c r="O117" s="871"/>
      <c r="P117" s="871"/>
      <c r="Q117" s="871"/>
      <c r="R117" s="871"/>
      <c r="S117" s="871"/>
      <c r="T117" s="871"/>
      <c r="U117" s="871"/>
      <c r="V117" s="871"/>
      <c r="W117" s="883" t="s">
        <v>168</v>
      </c>
      <c r="X117" s="947" t="s">
        <v>838</v>
      </c>
      <c r="Y117" s="1108"/>
    </row>
    <row r="118" spans="1:25" ht="80.25" customHeight="1">
      <c r="A118" s="1108">
        <v>8</v>
      </c>
      <c r="B118" s="1108"/>
      <c r="C118" s="980" t="s">
        <v>455</v>
      </c>
      <c r="D118" s="879">
        <f t="shared" si="11"/>
        <v>0.5</v>
      </c>
      <c r="E118" s="912">
        <v>0.5</v>
      </c>
      <c r="F118" s="907">
        <f t="shared" si="12"/>
        <v>0</v>
      </c>
      <c r="G118" s="907"/>
      <c r="H118" s="907"/>
      <c r="I118" s="906"/>
      <c r="J118" s="871"/>
      <c r="K118" s="871"/>
      <c r="L118" s="871"/>
      <c r="M118" s="871"/>
      <c r="N118" s="871"/>
      <c r="O118" s="871"/>
      <c r="P118" s="871"/>
      <c r="Q118" s="871"/>
      <c r="R118" s="871"/>
      <c r="S118" s="871"/>
      <c r="T118" s="871"/>
      <c r="U118" s="871"/>
      <c r="V118" s="871"/>
      <c r="W118" s="883" t="s">
        <v>169</v>
      </c>
      <c r="X118" s="1320" t="s">
        <v>839</v>
      </c>
      <c r="Y118" s="1108" t="s">
        <v>871</v>
      </c>
    </row>
    <row r="119" spans="1:25" ht="80.25" customHeight="1">
      <c r="A119" s="1108">
        <v>9</v>
      </c>
      <c r="B119" s="1108"/>
      <c r="C119" s="980" t="s">
        <v>908</v>
      </c>
      <c r="D119" s="879">
        <f t="shared" si="11"/>
        <v>0.02</v>
      </c>
      <c r="E119" s="912">
        <v>0.02</v>
      </c>
      <c r="F119" s="907">
        <f t="shared" si="12"/>
        <v>0</v>
      </c>
      <c r="G119" s="907"/>
      <c r="H119" s="907"/>
      <c r="I119" s="906"/>
      <c r="J119" s="871"/>
      <c r="K119" s="871"/>
      <c r="L119" s="871"/>
      <c r="M119" s="871"/>
      <c r="N119" s="871"/>
      <c r="O119" s="871"/>
      <c r="P119" s="871"/>
      <c r="Q119" s="871"/>
      <c r="R119" s="871"/>
      <c r="S119" s="871"/>
      <c r="T119" s="871"/>
      <c r="U119" s="871"/>
      <c r="V119" s="871"/>
      <c r="W119" s="883" t="s">
        <v>169</v>
      </c>
      <c r="X119" s="1320"/>
      <c r="Y119" s="1108" t="s">
        <v>872</v>
      </c>
    </row>
    <row r="120" spans="1:25" ht="105">
      <c r="A120" s="1108">
        <v>10</v>
      </c>
      <c r="B120" s="1108"/>
      <c r="C120" s="982" t="s">
        <v>821</v>
      </c>
      <c r="D120" s="879">
        <f t="shared" si="11"/>
        <v>0.2</v>
      </c>
      <c r="E120" s="912">
        <v>0.2</v>
      </c>
      <c r="F120" s="907">
        <f t="shared" si="12"/>
        <v>0</v>
      </c>
      <c r="G120" s="907"/>
      <c r="H120" s="907"/>
      <c r="I120" s="906"/>
      <c r="J120" s="871"/>
      <c r="K120" s="871"/>
      <c r="L120" s="871"/>
      <c r="M120" s="871"/>
      <c r="N120" s="871"/>
      <c r="O120" s="871"/>
      <c r="P120" s="871"/>
      <c r="Q120" s="871"/>
      <c r="R120" s="871"/>
      <c r="S120" s="871"/>
      <c r="T120" s="871"/>
      <c r="U120" s="871"/>
      <c r="V120" s="871"/>
      <c r="W120" s="883" t="s">
        <v>197</v>
      </c>
      <c r="X120" s="953" t="s">
        <v>840</v>
      </c>
      <c r="Y120" s="1108"/>
    </row>
    <row r="121" spans="1:25" ht="105">
      <c r="A121" s="1108">
        <v>11</v>
      </c>
      <c r="B121" s="1108"/>
      <c r="C121" s="982" t="s">
        <v>823</v>
      </c>
      <c r="D121" s="879">
        <f t="shared" si="11"/>
        <v>0.2</v>
      </c>
      <c r="E121" s="912">
        <v>0.2</v>
      </c>
      <c r="F121" s="907">
        <f t="shared" si="12"/>
        <v>0</v>
      </c>
      <c r="G121" s="907"/>
      <c r="H121" s="907"/>
      <c r="I121" s="906"/>
      <c r="J121" s="871"/>
      <c r="K121" s="871"/>
      <c r="L121" s="871"/>
      <c r="M121" s="871"/>
      <c r="N121" s="871"/>
      <c r="O121" s="871"/>
      <c r="P121" s="871"/>
      <c r="Q121" s="871"/>
      <c r="R121" s="871"/>
      <c r="S121" s="871"/>
      <c r="T121" s="871"/>
      <c r="U121" s="871"/>
      <c r="V121" s="871"/>
      <c r="W121" s="883" t="s">
        <v>197</v>
      </c>
      <c r="X121" s="953" t="s">
        <v>840</v>
      </c>
      <c r="Y121" s="1108"/>
    </row>
    <row r="122" spans="1:25" s="917" customFormat="1" ht="30">
      <c r="A122" s="887" t="s">
        <v>1004</v>
      </c>
      <c r="B122" s="887"/>
      <c r="C122" s="1128" t="s">
        <v>918</v>
      </c>
      <c r="D122" s="879"/>
      <c r="E122" s="912"/>
      <c r="F122" s="907"/>
      <c r="G122" s="915"/>
      <c r="H122" s="915"/>
      <c r="I122" s="1116"/>
      <c r="J122" s="916"/>
      <c r="K122" s="916"/>
      <c r="L122" s="916"/>
      <c r="M122" s="916"/>
      <c r="N122" s="916"/>
      <c r="O122" s="916"/>
      <c r="P122" s="916"/>
      <c r="Q122" s="916"/>
      <c r="R122" s="916"/>
      <c r="S122" s="916"/>
      <c r="T122" s="916"/>
      <c r="U122" s="916"/>
      <c r="V122" s="916"/>
      <c r="W122" s="890"/>
      <c r="X122" s="887"/>
      <c r="Y122" s="887"/>
    </row>
    <row r="123" spans="1:25" ht="165">
      <c r="A123" s="1108">
        <v>1</v>
      </c>
      <c r="B123" s="1108" t="s">
        <v>919</v>
      </c>
      <c r="C123" s="883" t="s">
        <v>920</v>
      </c>
      <c r="D123" s="879">
        <f>E123+F123</f>
        <v>2</v>
      </c>
      <c r="E123" s="912">
        <v>2</v>
      </c>
      <c r="F123" s="907">
        <f>G123+SUM(I123:V123)</f>
        <v>0</v>
      </c>
      <c r="G123" s="907"/>
      <c r="H123" s="907"/>
      <c r="I123" s="906"/>
      <c r="J123" s="871"/>
      <c r="K123" s="871"/>
      <c r="L123" s="871"/>
      <c r="M123" s="871"/>
      <c r="N123" s="871"/>
      <c r="O123" s="871"/>
      <c r="P123" s="871"/>
      <c r="Q123" s="871"/>
      <c r="R123" s="871"/>
      <c r="S123" s="871"/>
      <c r="T123" s="871"/>
      <c r="U123" s="871"/>
      <c r="V123" s="871"/>
      <c r="W123" s="883" t="s">
        <v>190</v>
      </c>
      <c r="X123" s="1108" t="s">
        <v>934</v>
      </c>
      <c r="Y123" s="1108"/>
    </row>
    <row r="124" spans="1:25" ht="90">
      <c r="A124" s="1108">
        <v>2</v>
      </c>
      <c r="B124" s="1108" t="s">
        <v>919</v>
      </c>
      <c r="C124" s="883" t="s">
        <v>921</v>
      </c>
      <c r="D124" s="879">
        <f t="shared" ref="D124:D147" si="13">E124+F124</f>
        <v>0.4</v>
      </c>
      <c r="E124" s="912">
        <v>0.4</v>
      </c>
      <c r="F124" s="907">
        <f t="shared" si="12"/>
        <v>0</v>
      </c>
      <c r="G124" s="907"/>
      <c r="H124" s="907"/>
      <c r="I124" s="906"/>
      <c r="J124" s="871"/>
      <c r="K124" s="871"/>
      <c r="L124" s="871"/>
      <c r="M124" s="871"/>
      <c r="N124" s="871"/>
      <c r="O124" s="871"/>
      <c r="P124" s="871"/>
      <c r="Q124" s="871"/>
      <c r="R124" s="871"/>
      <c r="S124" s="871"/>
      <c r="T124" s="871"/>
      <c r="U124" s="871"/>
      <c r="V124" s="871"/>
      <c r="W124" s="883" t="s">
        <v>170</v>
      </c>
      <c r="X124" s="1108" t="s">
        <v>935</v>
      </c>
      <c r="Y124" s="1108"/>
    </row>
    <row r="125" spans="1:25" ht="90" customHeight="1">
      <c r="A125" s="1108">
        <v>3</v>
      </c>
      <c r="B125" s="1108" t="s">
        <v>919</v>
      </c>
      <c r="C125" s="883" t="s">
        <v>923</v>
      </c>
      <c r="D125" s="879">
        <f t="shared" si="13"/>
        <v>0.3</v>
      </c>
      <c r="E125" s="912">
        <v>0.3</v>
      </c>
      <c r="F125" s="907">
        <f t="shared" si="12"/>
        <v>0</v>
      </c>
      <c r="G125" s="907"/>
      <c r="H125" s="907"/>
      <c r="I125" s="906"/>
      <c r="J125" s="871"/>
      <c r="K125" s="871"/>
      <c r="L125" s="871"/>
      <c r="M125" s="871"/>
      <c r="N125" s="871"/>
      <c r="O125" s="871"/>
      <c r="P125" s="871"/>
      <c r="Q125" s="871"/>
      <c r="R125" s="871"/>
      <c r="S125" s="871"/>
      <c r="T125" s="871"/>
      <c r="U125" s="871"/>
      <c r="V125" s="871"/>
      <c r="W125" s="883" t="s">
        <v>169</v>
      </c>
      <c r="X125" s="1313" t="s">
        <v>936</v>
      </c>
      <c r="Y125" s="1108"/>
    </row>
    <row r="126" spans="1:25" ht="45">
      <c r="A126" s="1108">
        <v>4</v>
      </c>
      <c r="B126" s="1108" t="s">
        <v>919</v>
      </c>
      <c r="C126" s="883" t="s">
        <v>924</v>
      </c>
      <c r="D126" s="879">
        <f t="shared" si="13"/>
        <v>0.4</v>
      </c>
      <c r="E126" s="912">
        <v>0.4</v>
      </c>
      <c r="F126" s="907">
        <f t="shared" si="12"/>
        <v>0</v>
      </c>
      <c r="G126" s="907"/>
      <c r="H126" s="907"/>
      <c r="I126" s="906"/>
      <c r="J126" s="871"/>
      <c r="K126" s="871"/>
      <c r="L126" s="871"/>
      <c r="M126" s="871"/>
      <c r="N126" s="871"/>
      <c r="O126" s="871"/>
      <c r="P126" s="871"/>
      <c r="Q126" s="871"/>
      <c r="R126" s="871"/>
      <c r="S126" s="871"/>
      <c r="T126" s="871"/>
      <c r="U126" s="871"/>
      <c r="V126" s="871"/>
      <c r="W126" s="883" t="s">
        <v>169</v>
      </c>
      <c r="X126" s="1314"/>
      <c r="Y126" s="1108"/>
    </row>
    <row r="127" spans="1:25" ht="45">
      <c r="A127" s="1108">
        <v>5</v>
      </c>
      <c r="B127" s="1108" t="s">
        <v>919</v>
      </c>
      <c r="C127" s="883" t="s">
        <v>388</v>
      </c>
      <c r="D127" s="879">
        <f t="shared" si="13"/>
        <v>0.15</v>
      </c>
      <c r="E127" s="912">
        <v>0.15</v>
      </c>
      <c r="F127" s="907">
        <f t="shared" si="12"/>
        <v>0</v>
      </c>
      <c r="G127" s="907"/>
      <c r="H127" s="907"/>
      <c r="I127" s="906"/>
      <c r="J127" s="871"/>
      <c r="K127" s="871"/>
      <c r="L127" s="871"/>
      <c r="M127" s="871"/>
      <c r="N127" s="871"/>
      <c r="O127" s="871"/>
      <c r="P127" s="871"/>
      <c r="Q127" s="871"/>
      <c r="R127" s="871"/>
      <c r="S127" s="871"/>
      <c r="T127" s="871"/>
      <c r="U127" s="871"/>
      <c r="V127" s="871"/>
      <c r="W127" s="883" t="s">
        <v>170</v>
      </c>
      <c r="X127" s="1314"/>
      <c r="Y127" s="1108"/>
    </row>
    <row r="128" spans="1:25" ht="45">
      <c r="A128" s="1108">
        <v>6</v>
      </c>
      <c r="B128" s="1108" t="s">
        <v>919</v>
      </c>
      <c r="C128" s="883" t="s">
        <v>925</v>
      </c>
      <c r="D128" s="879">
        <f t="shared" si="13"/>
        <v>0.4</v>
      </c>
      <c r="E128" s="912">
        <v>0.4</v>
      </c>
      <c r="F128" s="907">
        <f t="shared" si="12"/>
        <v>0</v>
      </c>
      <c r="G128" s="907"/>
      <c r="H128" s="907"/>
      <c r="I128" s="906"/>
      <c r="J128" s="871"/>
      <c r="K128" s="871"/>
      <c r="L128" s="871"/>
      <c r="M128" s="871"/>
      <c r="N128" s="871"/>
      <c r="O128" s="871"/>
      <c r="P128" s="871"/>
      <c r="Q128" s="871"/>
      <c r="R128" s="871"/>
      <c r="S128" s="871"/>
      <c r="T128" s="871"/>
      <c r="U128" s="871"/>
      <c r="V128" s="871"/>
      <c r="W128" s="883" t="s">
        <v>170</v>
      </c>
      <c r="X128" s="1314"/>
      <c r="Y128" s="1108"/>
    </row>
    <row r="129" spans="1:25" ht="30">
      <c r="A129" s="1108">
        <v>7</v>
      </c>
      <c r="B129" s="1108" t="s">
        <v>919</v>
      </c>
      <c r="C129" s="883" t="s">
        <v>926</v>
      </c>
      <c r="D129" s="879">
        <f t="shared" si="13"/>
        <v>0.3</v>
      </c>
      <c r="E129" s="912">
        <v>0.3</v>
      </c>
      <c r="F129" s="907">
        <f t="shared" si="12"/>
        <v>0</v>
      </c>
      <c r="G129" s="907"/>
      <c r="H129" s="907"/>
      <c r="I129" s="906"/>
      <c r="J129" s="871"/>
      <c r="K129" s="871"/>
      <c r="L129" s="871"/>
      <c r="M129" s="871"/>
      <c r="N129" s="871"/>
      <c r="O129" s="871"/>
      <c r="P129" s="871"/>
      <c r="Q129" s="871"/>
      <c r="R129" s="871"/>
      <c r="S129" s="871"/>
      <c r="T129" s="871"/>
      <c r="U129" s="871"/>
      <c r="V129" s="871"/>
      <c r="W129" s="883" t="s">
        <v>170</v>
      </c>
      <c r="X129" s="1314"/>
      <c r="Y129" s="1108"/>
    </row>
    <row r="130" spans="1:25" ht="30">
      <c r="A130" s="1108">
        <v>8</v>
      </c>
      <c r="B130" s="1108" t="s">
        <v>919</v>
      </c>
      <c r="C130" s="883" t="s">
        <v>927</v>
      </c>
      <c r="D130" s="879">
        <f t="shared" si="13"/>
        <v>0.3</v>
      </c>
      <c r="E130" s="912">
        <v>0.3</v>
      </c>
      <c r="F130" s="907">
        <f t="shared" si="12"/>
        <v>0</v>
      </c>
      <c r="G130" s="907"/>
      <c r="H130" s="907"/>
      <c r="I130" s="906"/>
      <c r="J130" s="871"/>
      <c r="K130" s="871"/>
      <c r="L130" s="871"/>
      <c r="M130" s="871"/>
      <c r="N130" s="871"/>
      <c r="O130" s="871"/>
      <c r="P130" s="871"/>
      <c r="Q130" s="871"/>
      <c r="R130" s="871"/>
      <c r="S130" s="871"/>
      <c r="T130" s="871"/>
      <c r="U130" s="871"/>
      <c r="V130" s="871"/>
      <c r="W130" s="883" t="s">
        <v>170</v>
      </c>
      <c r="X130" s="1314"/>
      <c r="Y130" s="1108"/>
    </row>
    <row r="131" spans="1:25" ht="30">
      <c r="A131" s="1108">
        <v>9</v>
      </c>
      <c r="B131" s="1108" t="s">
        <v>919</v>
      </c>
      <c r="C131" s="883" t="s">
        <v>928</v>
      </c>
      <c r="D131" s="879">
        <f t="shared" si="13"/>
        <v>0.3</v>
      </c>
      <c r="E131" s="912">
        <v>0.3</v>
      </c>
      <c r="F131" s="907">
        <f t="shared" si="12"/>
        <v>0</v>
      </c>
      <c r="G131" s="907"/>
      <c r="H131" s="907"/>
      <c r="I131" s="906"/>
      <c r="J131" s="871"/>
      <c r="K131" s="871"/>
      <c r="L131" s="871"/>
      <c r="M131" s="871"/>
      <c r="N131" s="871"/>
      <c r="O131" s="871"/>
      <c r="P131" s="871"/>
      <c r="Q131" s="871"/>
      <c r="R131" s="871"/>
      <c r="S131" s="871"/>
      <c r="T131" s="871"/>
      <c r="U131" s="871"/>
      <c r="V131" s="871"/>
      <c r="W131" s="883" t="s">
        <v>172</v>
      </c>
      <c r="X131" s="1314"/>
      <c r="Y131" s="1108"/>
    </row>
    <row r="132" spans="1:25" ht="30">
      <c r="A132" s="1108">
        <v>10</v>
      </c>
      <c r="B132" s="1108" t="s">
        <v>919</v>
      </c>
      <c r="C132" s="883" t="s">
        <v>396</v>
      </c>
      <c r="D132" s="879">
        <f t="shared" si="13"/>
        <v>0.4</v>
      </c>
      <c r="E132" s="912">
        <v>0.4</v>
      </c>
      <c r="F132" s="907">
        <f t="shared" si="12"/>
        <v>0</v>
      </c>
      <c r="G132" s="907"/>
      <c r="H132" s="907"/>
      <c r="I132" s="906"/>
      <c r="J132" s="871"/>
      <c r="K132" s="871"/>
      <c r="L132" s="871"/>
      <c r="M132" s="871"/>
      <c r="N132" s="871"/>
      <c r="O132" s="871"/>
      <c r="P132" s="871"/>
      <c r="Q132" s="871"/>
      <c r="R132" s="871"/>
      <c r="S132" s="871"/>
      <c r="T132" s="871"/>
      <c r="U132" s="871"/>
      <c r="V132" s="871"/>
      <c r="W132" s="883" t="s">
        <v>173</v>
      </c>
      <c r="X132" s="1314"/>
      <c r="Y132" s="1108"/>
    </row>
    <row r="133" spans="1:25" ht="30">
      <c r="A133" s="1108">
        <v>11</v>
      </c>
      <c r="B133" s="1108" t="s">
        <v>919</v>
      </c>
      <c r="C133" s="883" t="s">
        <v>929</v>
      </c>
      <c r="D133" s="879">
        <f t="shared" si="13"/>
        <v>0.4</v>
      </c>
      <c r="E133" s="912">
        <v>0.4</v>
      </c>
      <c r="F133" s="907">
        <f t="shared" si="12"/>
        <v>0</v>
      </c>
      <c r="G133" s="907"/>
      <c r="H133" s="907"/>
      <c r="I133" s="906"/>
      <c r="J133" s="871"/>
      <c r="K133" s="871"/>
      <c r="L133" s="871"/>
      <c r="M133" s="871"/>
      <c r="N133" s="871"/>
      <c r="O133" s="871"/>
      <c r="P133" s="871"/>
      <c r="Q133" s="871"/>
      <c r="R133" s="871"/>
      <c r="S133" s="871"/>
      <c r="T133" s="871"/>
      <c r="U133" s="871"/>
      <c r="V133" s="871"/>
      <c r="W133" s="883" t="s">
        <v>173</v>
      </c>
      <c r="X133" s="1314"/>
      <c r="Y133" s="1108"/>
    </row>
    <row r="134" spans="1:25" ht="45">
      <c r="A134" s="1108">
        <v>12</v>
      </c>
      <c r="B134" s="1108" t="s">
        <v>919</v>
      </c>
      <c r="C134" s="883" t="s">
        <v>930</v>
      </c>
      <c r="D134" s="879">
        <f t="shared" si="13"/>
        <v>0.4</v>
      </c>
      <c r="E134" s="912">
        <v>0.4</v>
      </c>
      <c r="F134" s="907">
        <f t="shared" si="12"/>
        <v>0</v>
      </c>
      <c r="G134" s="907"/>
      <c r="H134" s="907"/>
      <c r="I134" s="906"/>
      <c r="J134" s="871"/>
      <c r="K134" s="871"/>
      <c r="L134" s="871"/>
      <c r="M134" s="871"/>
      <c r="N134" s="871"/>
      <c r="O134" s="871"/>
      <c r="P134" s="871"/>
      <c r="Q134" s="871"/>
      <c r="R134" s="871"/>
      <c r="S134" s="871"/>
      <c r="T134" s="871"/>
      <c r="U134" s="871"/>
      <c r="V134" s="871"/>
      <c r="W134" s="883" t="s">
        <v>174</v>
      </c>
      <c r="X134" s="1314"/>
      <c r="Y134" s="1108"/>
    </row>
    <row r="135" spans="1:25" ht="45">
      <c r="A135" s="1108">
        <v>13</v>
      </c>
      <c r="B135" s="1108" t="s">
        <v>919</v>
      </c>
      <c r="C135" s="883" t="s">
        <v>931</v>
      </c>
      <c r="D135" s="879">
        <f t="shared" si="13"/>
        <v>0.4</v>
      </c>
      <c r="E135" s="912">
        <v>0.4</v>
      </c>
      <c r="F135" s="907">
        <f t="shared" si="12"/>
        <v>0</v>
      </c>
      <c r="G135" s="907"/>
      <c r="H135" s="907"/>
      <c r="I135" s="906"/>
      <c r="J135" s="871"/>
      <c r="K135" s="871"/>
      <c r="L135" s="871"/>
      <c r="M135" s="871"/>
      <c r="N135" s="871"/>
      <c r="O135" s="871"/>
      <c r="P135" s="871"/>
      <c r="Q135" s="871"/>
      <c r="R135" s="871"/>
      <c r="S135" s="871"/>
      <c r="T135" s="871"/>
      <c r="U135" s="871"/>
      <c r="V135" s="871"/>
      <c r="W135" s="883" t="s">
        <v>174</v>
      </c>
      <c r="X135" s="1314"/>
      <c r="Y135" s="1108"/>
    </row>
    <row r="136" spans="1:25" ht="45">
      <c r="A136" s="1108">
        <v>14</v>
      </c>
      <c r="B136" s="1108" t="s">
        <v>919</v>
      </c>
      <c r="C136" s="883" t="s">
        <v>932</v>
      </c>
      <c r="D136" s="879">
        <f t="shared" si="13"/>
        <v>0.5</v>
      </c>
      <c r="E136" s="912">
        <v>0.5</v>
      </c>
      <c r="F136" s="907">
        <f t="shared" si="12"/>
        <v>0</v>
      </c>
      <c r="G136" s="907"/>
      <c r="H136" s="907"/>
      <c r="I136" s="906"/>
      <c r="J136" s="871"/>
      <c r="K136" s="871"/>
      <c r="L136" s="871"/>
      <c r="M136" s="871"/>
      <c r="N136" s="871"/>
      <c r="O136" s="871"/>
      <c r="P136" s="871"/>
      <c r="Q136" s="871"/>
      <c r="R136" s="871"/>
      <c r="S136" s="871"/>
      <c r="T136" s="871"/>
      <c r="U136" s="871"/>
      <c r="V136" s="871"/>
      <c r="W136" s="883" t="s">
        <v>190</v>
      </c>
      <c r="X136" s="1314"/>
      <c r="Y136" s="1108"/>
    </row>
    <row r="137" spans="1:25" ht="30">
      <c r="A137" s="1108">
        <v>15</v>
      </c>
      <c r="B137" s="1108" t="s">
        <v>919</v>
      </c>
      <c r="C137" s="883" t="s">
        <v>933</v>
      </c>
      <c r="D137" s="879">
        <f t="shared" si="13"/>
        <v>0.5</v>
      </c>
      <c r="E137" s="912">
        <v>0.5</v>
      </c>
      <c r="F137" s="907">
        <f t="shared" si="12"/>
        <v>0</v>
      </c>
      <c r="G137" s="907"/>
      <c r="H137" s="907"/>
      <c r="I137" s="906"/>
      <c r="J137" s="871"/>
      <c r="K137" s="871"/>
      <c r="L137" s="871"/>
      <c r="M137" s="871"/>
      <c r="N137" s="871"/>
      <c r="O137" s="871"/>
      <c r="P137" s="871"/>
      <c r="Q137" s="871"/>
      <c r="R137" s="871"/>
      <c r="S137" s="871"/>
      <c r="T137" s="871"/>
      <c r="U137" s="871"/>
      <c r="V137" s="871"/>
      <c r="W137" s="883" t="s">
        <v>190</v>
      </c>
      <c r="X137" s="1315"/>
      <c r="Y137" s="1108"/>
    </row>
    <row r="138" spans="1:25" ht="90">
      <c r="A138" s="1108">
        <v>16</v>
      </c>
      <c r="B138" s="1108"/>
      <c r="C138" s="883" t="s">
        <v>943</v>
      </c>
      <c r="D138" s="879">
        <f t="shared" si="13"/>
        <v>0.04</v>
      </c>
      <c r="E138" s="912">
        <v>0.04</v>
      </c>
      <c r="F138" s="907">
        <f t="shared" si="12"/>
        <v>0</v>
      </c>
      <c r="G138" s="907"/>
      <c r="H138" s="907"/>
      <c r="I138" s="906"/>
      <c r="J138" s="871"/>
      <c r="K138" s="871"/>
      <c r="L138" s="871"/>
      <c r="M138" s="871"/>
      <c r="N138" s="871"/>
      <c r="O138" s="871"/>
      <c r="P138" s="871"/>
      <c r="Q138" s="871"/>
      <c r="R138" s="871"/>
      <c r="S138" s="871"/>
      <c r="T138" s="871"/>
      <c r="U138" s="871"/>
      <c r="V138" s="871"/>
      <c r="W138" s="883" t="s">
        <v>189</v>
      </c>
      <c r="X138" s="1107" t="s">
        <v>944</v>
      </c>
      <c r="Y138" s="1108"/>
    </row>
    <row r="139" spans="1:25" ht="90">
      <c r="A139" s="1108">
        <v>17</v>
      </c>
      <c r="B139" s="1108"/>
      <c r="C139" s="883" t="s">
        <v>945</v>
      </c>
      <c r="D139" s="879">
        <f t="shared" si="13"/>
        <v>0.21</v>
      </c>
      <c r="E139" s="912">
        <v>0.21</v>
      </c>
      <c r="F139" s="907">
        <f t="shared" si="12"/>
        <v>0</v>
      </c>
      <c r="G139" s="907"/>
      <c r="H139" s="907"/>
      <c r="I139" s="906"/>
      <c r="J139" s="871"/>
      <c r="K139" s="871"/>
      <c r="L139" s="871"/>
      <c r="M139" s="871"/>
      <c r="N139" s="871"/>
      <c r="O139" s="871"/>
      <c r="P139" s="871"/>
      <c r="Q139" s="871"/>
      <c r="R139" s="871"/>
      <c r="S139" s="871"/>
      <c r="T139" s="871"/>
      <c r="U139" s="871"/>
      <c r="V139" s="871"/>
      <c r="W139" s="883" t="s">
        <v>189</v>
      </c>
      <c r="X139" s="1107" t="s">
        <v>946</v>
      </c>
      <c r="Y139" s="1108"/>
    </row>
    <row r="140" spans="1:25" ht="90">
      <c r="A140" s="1108">
        <v>18</v>
      </c>
      <c r="B140" s="1108"/>
      <c r="C140" s="883" t="s">
        <v>947</v>
      </c>
      <c r="D140" s="879">
        <f t="shared" si="13"/>
        <v>0.35</v>
      </c>
      <c r="E140" s="912">
        <v>0.35</v>
      </c>
      <c r="F140" s="907">
        <f t="shared" si="12"/>
        <v>0</v>
      </c>
      <c r="G140" s="907"/>
      <c r="H140" s="907"/>
      <c r="I140" s="906"/>
      <c r="J140" s="871"/>
      <c r="K140" s="871"/>
      <c r="L140" s="871"/>
      <c r="M140" s="871"/>
      <c r="N140" s="871"/>
      <c r="O140" s="871"/>
      <c r="P140" s="871"/>
      <c r="Q140" s="871"/>
      <c r="R140" s="871"/>
      <c r="S140" s="871"/>
      <c r="T140" s="871"/>
      <c r="U140" s="871"/>
      <c r="V140" s="871"/>
      <c r="W140" s="883" t="s">
        <v>189</v>
      </c>
      <c r="X140" s="1107" t="s">
        <v>948</v>
      </c>
      <c r="Y140" s="1108"/>
    </row>
    <row r="141" spans="1:25" ht="105">
      <c r="A141" s="1108">
        <v>19</v>
      </c>
      <c r="B141" s="1108"/>
      <c r="C141" s="883" t="s">
        <v>950</v>
      </c>
      <c r="D141" s="879">
        <f t="shared" si="13"/>
        <v>0.24</v>
      </c>
      <c r="E141" s="912">
        <v>0.24</v>
      </c>
      <c r="F141" s="907">
        <f t="shared" si="12"/>
        <v>0</v>
      </c>
      <c r="G141" s="907"/>
      <c r="H141" s="907"/>
      <c r="I141" s="906"/>
      <c r="J141" s="871"/>
      <c r="K141" s="871"/>
      <c r="L141" s="871"/>
      <c r="M141" s="871"/>
      <c r="N141" s="871"/>
      <c r="O141" s="871"/>
      <c r="P141" s="871"/>
      <c r="Q141" s="871"/>
      <c r="R141" s="871"/>
      <c r="S141" s="871"/>
      <c r="T141" s="871"/>
      <c r="U141" s="871"/>
      <c r="V141" s="871"/>
      <c r="W141" s="883" t="s">
        <v>173</v>
      </c>
      <c r="X141" s="953" t="s">
        <v>970</v>
      </c>
      <c r="Y141" s="1108"/>
    </row>
    <row r="142" spans="1:25" ht="105">
      <c r="A142" s="1108">
        <v>20</v>
      </c>
      <c r="B142" s="1108"/>
      <c r="C142" s="883" t="s">
        <v>951</v>
      </c>
      <c r="D142" s="879">
        <f t="shared" si="13"/>
        <v>0.13</v>
      </c>
      <c r="E142" s="912">
        <v>0.13</v>
      </c>
      <c r="F142" s="907">
        <f t="shared" si="12"/>
        <v>0</v>
      </c>
      <c r="G142" s="907"/>
      <c r="H142" s="907"/>
      <c r="I142" s="906"/>
      <c r="J142" s="871"/>
      <c r="K142" s="871"/>
      <c r="L142" s="871"/>
      <c r="M142" s="871"/>
      <c r="N142" s="871"/>
      <c r="O142" s="871"/>
      <c r="P142" s="871"/>
      <c r="Q142" s="871"/>
      <c r="R142" s="871"/>
      <c r="S142" s="871"/>
      <c r="T142" s="871"/>
      <c r="U142" s="871"/>
      <c r="V142" s="871"/>
      <c r="W142" s="883" t="s">
        <v>173</v>
      </c>
      <c r="X142" s="953" t="s">
        <v>971</v>
      </c>
      <c r="Y142" s="1108"/>
    </row>
    <row r="143" spans="1:25" ht="105">
      <c r="A143" s="1108">
        <v>21</v>
      </c>
      <c r="B143" s="1108"/>
      <c r="C143" s="883" t="s">
        <v>952</v>
      </c>
      <c r="D143" s="879">
        <f t="shared" si="13"/>
        <v>0.16</v>
      </c>
      <c r="E143" s="912">
        <v>0.16</v>
      </c>
      <c r="F143" s="907">
        <f t="shared" si="12"/>
        <v>0</v>
      </c>
      <c r="G143" s="907"/>
      <c r="H143" s="907"/>
      <c r="I143" s="906"/>
      <c r="J143" s="871"/>
      <c r="K143" s="871"/>
      <c r="L143" s="871"/>
      <c r="M143" s="871"/>
      <c r="N143" s="871"/>
      <c r="O143" s="871"/>
      <c r="P143" s="871"/>
      <c r="Q143" s="871"/>
      <c r="R143" s="871"/>
      <c r="S143" s="871"/>
      <c r="T143" s="871"/>
      <c r="U143" s="871"/>
      <c r="V143" s="871"/>
      <c r="W143" s="883" t="s">
        <v>173</v>
      </c>
      <c r="X143" s="953" t="s">
        <v>972</v>
      </c>
      <c r="Y143" s="1108"/>
    </row>
    <row r="144" spans="1:25" ht="105">
      <c r="A144" s="1108">
        <v>22</v>
      </c>
      <c r="B144" s="1108"/>
      <c r="C144" s="883" t="s">
        <v>953</v>
      </c>
      <c r="D144" s="879">
        <f t="shared" si="13"/>
        <v>0.36</v>
      </c>
      <c r="E144" s="912">
        <v>0.36</v>
      </c>
      <c r="F144" s="907">
        <f t="shared" si="12"/>
        <v>0</v>
      </c>
      <c r="G144" s="907"/>
      <c r="H144" s="907"/>
      <c r="I144" s="906"/>
      <c r="J144" s="871"/>
      <c r="K144" s="871"/>
      <c r="L144" s="871"/>
      <c r="M144" s="871"/>
      <c r="N144" s="871"/>
      <c r="O144" s="871"/>
      <c r="P144" s="871"/>
      <c r="Q144" s="871"/>
      <c r="R144" s="871"/>
      <c r="S144" s="871"/>
      <c r="T144" s="871"/>
      <c r="U144" s="871"/>
      <c r="V144" s="871"/>
      <c r="W144" s="883" t="s">
        <v>173</v>
      </c>
      <c r="X144" s="953" t="s">
        <v>973</v>
      </c>
      <c r="Y144" s="1108"/>
    </row>
    <row r="145" spans="1:25" ht="45">
      <c r="A145" s="1108">
        <v>23</v>
      </c>
      <c r="B145" s="1108"/>
      <c r="C145" s="883" t="s">
        <v>961</v>
      </c>
      <c r="D145" s="879">
        <f t="shared" si="13"/>
        <v>0.24</v>
      </c>
      <c r="E145" s="912">
        <v>0.24</v>
      </c>
      <c r="F145" s="907">
        <f t="shared" si="12"/>
        <v>0</v>
      </c>
      <c r="G145" s="907"/>
      <c r="H145" s="907"/>
      <c r="I145" s="906"/>
      <c r="J145" s="871"/>
      <c r="K145" s="871"/>
      <c r="L145" s="871"/>
      <c r="M145" s="871"/>
      <c r="N145" s="871"/>
      <c r="O145" s="871"/>
      <c r="P145" s="871"/>
      <c r="Q145" s="871"/>
      <c r="R145" s="871"/>
      <c r="S145" s="871"/>
      <c r="T145" s="871"/>
      <c r="U145" s="871"/>
      <c r="V145" s="871"/>
      <c r="W145" s="883" t="s">
        <v>197</v>
      </c>
      <c r="X145" s="1313" t="s">
        <v>963</v>
      </c>
      <c r="Y145" s="1108"/>
    </row>
    <row r="146" spans="1:25" ht="30">
      <c r="A146" s="1108">
        <v>24</v>
      </c>
      <c r="B146" s="1108"/>
      <c r="C146" s="883" t="s">
        <v>962</v>
      </c>
      <c r="D146" s="879">
        <f t="shared" si="13"/>
        <v>0.68</v>
      </c>
      <c r="E146" s="912">
        <v>0.68</v>
      </c>
      <c r="F146" s="907">
        <f t="shared" si="12"/>
        <v>0</v>
      </c>
      <c r="G146" s="907"/>
      <c r="H146" s="907"/>
      <c r="I146" s="906"/>
      <c r="J146" s="871"/>
      <c r="K146" s="871"/>
      <c r="L146" s="871"/>
      <c r="M146" s="871"/>
      <c r="N146" s="871"/>
      <c r="O146" s="871"/>
      <c r="P146" s="871"/>
      <c r="Q146" s="871"/>
      <c r="R146" s="871"/>
      <c r="S146" s="871"/>
      <c r="T146" s="871"/>
      <c r="U146" s="871"/>
      <c r="V146" s="871"/>
      <c r="W146" s="883" t="s">
        <v>197</v>
      </c>
      <c r="X146" s="1315"/>
      <c r="Y146" s="1108"/>
    </row>
    <row r="147" spans="1:25" ht="60">
      <c r="A147" s="1108">
        <v>25</v>
      </c>
      <c r="B147" s="1129"/>
      <c r="C147" s="1130" t="s">
        <v>1007</v>
      </c>
      <c r="D147" s="879">
        <f t="shared" si="13"/>
        <v>0.02</v>
      </c>
      <c r="E147" s="912">
        <v>0.02</v>
      </c>
      <c r="F147" s="907">
        <f t="shared" si="12"/>
        <v>0</v>
      </c>
      <c r="G147" s="907"/>
      <c r="H147" s="907"/>
      <c r="I147" s="906"/>
      <c r="J147" s="871"/>
      <c r="K147" s="871"/>
      <c r="L147" s="871"/>
      <c r="M147" s="871"/>
      <c r="N147" s="871"/>
      <c r="O147" s="871"/>
      <c r="P147" s="871"/>
      <c r="Q147" s="871"/>
      <c r="R147" s="871"/>
      <c r="S147" s="871"/>
      <c r="T147" s="871"/>
      <c r="U147" s="871"/>
      <c r="V147" s="871"/>
      <c r="W147" s="883" t="s">
        <v>170</v>
      </c>
      <c r="X147" s="1107" t="s">
        <v>1008</v>
      </c>
      <c r="Y147" s="1108"/>
    </row>
    <row r="148" spans="1:25" ht="240">
      <c r="A148" s="1108">
        <v>26</v>
      </c>
      <c r="B148" s="1108"/>
      <c r="C148" s="883" t="s">
        <v>955</v>
      </c>
      <c r="D148" s="879">
        <f>E148+F148</f>
        <v>0.08</v>
      </c>
      <c r="E148" s="912">
        <v>0.08</v>
      </c>
      <c r="F148" s="907">
        <f>G148+SUM(I148:V148)</f>
        <v>0</v>
      </c>
      <c r="G148" s="907"/>
      <c r="H148" s="907"/>
      <c r="I148" s="906"/>
      <c r="J148" s="871"/>
      <c r="K148" s="871"/>
      <c r="L148" s="871"/>
      <c r="M148" s="871"/>
      <c r="N148" s="871"/>
      <c r="O148" s="871"/>
      <c r="P148" s="871"/>
      <c r="Q148" s="871"/>
      <c r="R148" s="871"/>
      <c r="S148" s="871"/>
      <c r="T148" s="871"/>
      <c r="U148" s="871"/>
      <c r="V148" s="871"/>
      <c r="W148" s="880" t="s">
        <v>191</v>
      </c>
      <c r="X148" s="1107" t="s">
        <v>956</v>
      </c>
      <c r="Y148" s="1108"/>
    </row>
    <row r="149" spans="1:25" ht="15" customHeight="1">
      <c r="A149" s="1285" t="s">
        <v>281</v>
      </c>
      <c r="B149" s="1321"/>
      <c r="C149" s="1286"/>
      <c r="D149" s="895">
        <f>SUM(D12:D147)</f>
        <v>1037.4700000000009</v>
      </c>
      <c r="E149" s="895">
        <f t="shared" ref="E149:V149" si="14">SUM(E12:E147)</f>
        <v>462.21999999999991</v>
      </c>
      <c r="F149" s="895">
        <f t="shared" si="14"/>
        <v>575.24999999999989</v>
      </c>
      <c r="G149" s="895">
        <f t="shared" si="14"/>
        <v>2.8</v>
      </c>
      <c r="H149" s="895">
        <f t="shared" si="14"/>
        <v>1.3</v>
      </c>
      <c r="I149" s="895">
        <f t="shared" si="14"/>
        <v>379.88</v>
      </c>
      <c r="J149" s="895">
        <f t="shared" si="14"/>
        <v>111.45</v>
      </c>
      <c r="K149" s="895">
        <f t="shared" si="14"/>
        <v>20.86</v>
      </c>
      <c r="L149" s="895">
        <f t="shared" si="14"/>
        <v>35.74</v>
      </c>
      <c r="M149" s="895">
        <f t="shared" si="14"/>
        <v>0.43</v>
      </c>
      <c r="N149" s="895">
        <f t="shared" si="14"/>
        <v>0.09</v>
      </c>
      <c r="O149" s="895">
        <f t="shared" si="14"/>
        <v>0.56000000000000005</v>
      </c>
      <c r="P149" s="895">
        <f t="shared" si="14"/>
        <v>0.06</v>
      </c>
      <c r="Q149" s="895">
        <f t="shared" si="14"/>
        <v>1.47</v>
      </c>
      <c r="R149" s="895">
        <f t="shared" si="14"/>
        <v>0.03</v>
      </c>
      <c r="S149" s="895">
        <f t="shared" si="14"/>
        <v>1.98</v>
      </c>
      <c r="T149" s="895">
        <f t="shared" si="14"/>
        <v>2.3299999999999996</v>
      </c>
      <c r="U149" s="895">
        <f t="shared" si="14"/>
        <v>1.24</v>
      </c>
      <c r="V149" s="895">
        <f t="shared" si="14"/>
        <v>16.330000000000002</v>
      </c>
      <c r="W149" s="896"/>
      <c r="X149" s="1108"/>
      <c r="Y149" s="1108"/>
    </row>
    <row r="150" spans="1:25">
      <c r="A150" s="920"/>
      <c r="B150" s="924"/>
    </row>
    <row r="151" spans="1:25">
      <c r="A151" s="924"/>
      <c r="B151" s="924"/>
      <c r="F151" s="928"/>
      <c r="G151" s="928"/>
      <c r="H151" s="928"/>
    </row>
    <row r="152" spans="1:25" s="921" customFormat="1">
      <c r="A152" s="924"/>
      <c r="B152" s="924"/>
      <c r="C152" s="981"/>
      <c r="E152" s="927"/>
      <c r="F152" s="928"/>
      <c r="G152" s="928"/>
      <c r="H152" s="928"/>
      <c r="I152" s="922"/>
      <c r="L152" s="927"/>
      <c r="M152" s="927"/>
      <c r="N152" s="927"/>
      <c r="W152" s="923"/>
      <c r="X152" s="897"/>
      <c r="Y152" s="897"/>
    </row>
    <row r="153" spans="1:25" s="921" customFormat="1">
      <c r="A153" s="924"/>
      <c r="B153" s="924"/>
      <c r="C153" s="981"/>
      <c r="D153" s="927"/>
      <c r="E153" s="927"/>
      <c r="F153" s="927"/>
      <c r="G153" s="927"/>
      <c r="H153" s="927"/>
      <c r="I153" s="927"/>
      <c r="J153" s="927"/>
      <c r="K153" s="927"/>
      <c r="L153" s="927"/>
      <c r="M153" s="927"/>
      <c r="N153" s="927"/>
      <c r="O153" s="927"/>
      <c r="P153" s="927"/>
      <c r="Q153" s="927"/>
      <c r="R153" s="927"/>
      <c r="S153" s="927"/>
      <c r="T153" s="927"/>
      <c r="U153" s="927"/>
      <c r="V153" s="927"/>
      <c r="W153" s="923"/>
      <c r="X153" s="897"/>
      <c r="Y153" s="897"/>
    </row>
    <row r="154" spans="1:25" s="921" customFormat="1">
      <c r="A154" s="924"/>
      <c r="B154" s="924"/>
      <c r="C154" s="1133"/>
      <c r="E154" s="927"/>
      <c r="F154" s="928"/>
      <c r="G154" s="928"/>
      <c r="H154" s="928"/>
      <c r="I154" s="922"/>
      <c r="W154" s="923"/>
      <c r="X154" s="897"/>
      <c r="Y154" s="897"/>
    </row>
    <row r="155" spans="1:25" s="921" customFormat="1">
      <c r="A155" s="924"/>
      <c r="B155" s="924"/>
      <c r="C155" s="998"/>
      <c r="D155" s="921" t="s">
        <v>202</v>
      </c>
      <c r="E155" s="927"/>
      <c r="F155" s="928"/>
      <c r="G155" s="928"/>
      <c r="H155" s="928"/>
      <c r="I155" s="922"/>
      <c r="W155" s="923"/>
      <c r="X155" s="897"/>
      <c r="Y155" s="897"/>
    </row>
    <row r="156" spans="1:25" s="921" customFormat="1">
      <c r="A156" s="924"/>
      <c r="B156" s="924"/>
      <c r="C156" s="981"/>
      <c r="E156" s="927"/>
      <c r="F156" s="928"/>
      <c r="G156" s="928"/>
      <c r="H156" s="928"/>
      <c r="I156" s="922"/>
      <c r="W156" s="923"/>
      <c r="X156" s="897"/>
      <c r="Y156" s="897"/>
    </row>
    <row r="157" spans="1:25" s="921" customFormat="1">
      <c r="A157" s="924"/>
      <c r="B157" s="924"/>
      <c r="C157" s="981"/>
      <c r="E157" s="927"/>
      <c r="F157" s="928"/>
      <c r="G157" s="928"/>
      <c r="H157" s="928"/>
      <c r="I157" s="922"/>
      <c r="W157" s="923"/>
      <c r="X157" s="897"/>
      <c r="Y157" s="897"/>
    </row>
    <row r="158" spans="1:25" s="921" customFormat="1">
      <c r="A158" s="924"/>
      <c r="B158" s="924"/>
      <c r="C158" s="981"/>
      <c r="E158" s="927"/>
      <c r="F158" s="928"/>
      <c r="G158" s="928"/>
      <c r="H158" s="928"/>
      <c r="I158" s="922"/>
      <c r="W158" s="923"/>
      <c r="X158" s="897"/>
      <c r="Y158" s="897"/>
    </row>
    <row r="159" spans="1:25" s="921" customFormat="1">
      <c r="A159" s="924"/>
      <c r="B159" s="924"/>
      <c r="C159" s="981"/>
      <c r="E159" s="927"/>
      <c r="F159" s="928"/>
      <c r="G159" s="928"/>
      <c r="H159" s="928"/>
      <c r="I159" s="922"/>
      <c r="W159" s="923"/>
      <c r="X159" s="897"/>
      <c r="Y159" s="897"/>
    </row>
    <row r="160" spans="1:25" s="921" customFormat="1">
      <c r="A160" s="924"/>
      <c r="B160" s="924"/>
      <c r="C160" s="981"/>
      <c r="E160" s="927"/>
      <c r="F160" s="928"/>
      <c r="G160" s="928"/>
      <c r="H160" s="928"/>
      <c r="I160" s="922"/>
      <c r="W160" s="923"/>
      <c r="X160" s="897"/>
      <c r="Y160" s="897"/>
    </row>
    <row r="161" spans="1:25" s="921" customFormat="1">
      <c r="A161" s="924"/>
      <c r="B161" s="924"/>
      <c r="C161" s="981"/>
      <c r="E161" s="927"/>
      <c r="F161" s="928"/>
      <c r="G161" s="928"/>
      <c r="H161" s="928"/>
      <c r="I161" s="922"/>
      <c r="W161" s="923"/>
      <c r="X161" s="897"/>
      <c r="Y161" s="897"/>
    </row>
    <row r="162" spans="1:25" s="921" customFormat="1">
      <c r="A162" s="924"/>
      <c r="B162" s="924"/>
      <c r="C162" s="981"/>
      <c r="E162" s="927"/>
      <c r="F162" s="928"/>
      <c r="G162" s="928"/>
      <c r="H162" s="928"/>
      <c r="I162" s="922"/>
      <c r="W162" s="923"/>
      <c r="X162" s="897"/>
      <c r="Y162" s="897"/>
    </row>
    <row r="163" spans="1:25" s="921" customFormat="1">
      <c r="A163" s="924"/>
      <c r="B163" s="924"/>
      <c r="C163" s="981"/>
      <c r="E163" s="927"/>
      <c r="F163" s="928"/>
      <c r="G163" s="928"/>
      <c r="H163" s="928"/>
      <c r="I163" s="922"/>
      <c r="W163" s="923"/>
      <c r="X163" s="897"/>
      <c r="Y163" s="897"/>
    </row>
    <row r="164" spans="1:25" s="921" customFormat="1">
      <c r="A164" s="924"/>
      <c r="B164" s="924"/>
      <c r="C164" s="981"/>
      <c r="E164" s="927"/>
      <c r="F164" s="928"/>
      <c r="G164" s="928"/>
      <c r="H164" s="928"/>
      <c r="I164" s="922"/>
      <c r="W164" s="923"/>
      <c r="X164" s="897"/>
      <c r="Y164" s="897"/>
    </row>
    <row r="165" spans="1:25" s="921" customFormat="1">
      <c r="A165" s="924"/>
      <c r="B165" s="924"/>
      <c r="C165" s="981"/>
      <c r="E165" s="927"/>
      <c r="F165" s="928"/>
      <c r="G165" s="928"/>
      <c r="H165" s="928"/>
      <c r="I165" s="922"/>
      <c r="W165" s="923"/>
      <c r="X165" s="897"/>
      <c r="Y165" s="897"/>
    </row>
    <row r="166" spans="1:25" s="921" customFormat="1">
      <c r="A166" s="924"/>
      <c r="B166" s="924"/>
      <c r="C166" s="981"/>
      <c r="E166" s="927"/>
      <c r="F166" s="928"/>
      <c r="G166" s="928"/>
      <c r="H166" s="928"/>
      <c r="I166" s="922"/>
      <c r="W166" s="923"/>
      <c r="X166" s="897"/>
      <c r="Y166" s="897"/>
    </row>
    <row r="167" spans="1:25" s="921" customFormat="1">
      <c r="A167" s="924"/>
      <c r="B167" s="924"/>
      <c r="C167" s="981"/>
      <c r="E167" s="927"/>
      <c r="F167" s="928"/>
      <c r="G167" s="928"/>
      <c r="H167" s="928"/>
      <c r="I167" s="922"/>
      <c r="W167" s="923"/>
      <c r="X167" s="897"/>
      <c r="Y167" s="897"/>
    </row>
    <row r="168" spans="1:25" s="921" customFormat="1">
      <c r="A168" s="924"/>
      <c r="B168" s="924"/>
      <c r="C168" s="981"/>
      <c r="E168" s="927"/>
      <c r="F168" s="930"/>
      <c r="G168" s="930"/>
      <c r="H168" s="930"/>
      <c r="I168" s="922"/>
      <c r="W168" s="923"/>
      <c r="X168" s="897"/>
      <c r="Y168" s="897"/>
    </row>
    <row r="169" spans="1:25" s="921" customFormat="1">
      <c r="A169" s="924"/>
      <c r="B169" s="924"/>
      <c r="C169" s="981"/>
      <c r="E169" s="927"/>
      <c r="I169" s="922"/>
      <c r="W169" s="923"/>
      <c r="X169" s="897"/>
      <c r="Y169" s="897"/>
    </row>
    <row r="170" spans="1:25" s="921" customFormat="1">
      <c r="A170" s="924"/>
      <c r="B170" s="924"/>
      <c r="C170" s="981"/>
      <c r="E170" s="927"/>
      <c r="I170" s="922"/>
      <c r="W170" s="923"/>
      <c r="X170" s="897"/>
      <c r="Y170" s="897"/>
    </row>
    <row r="171" spans="1:25" s="921" customFormat="1">
      <c r="A171" s="924"/>
      <c r="B171" s="924"/>
      <c r="C171" s="981"/>
      <c r="E171" s="927"/>
      <c r="I171" s="922"/>
      <c r="W171" s="923"/>
      <c r="X171" s="897"/>
      <c r="Y171" s="897"/>
    </row>
    <row r="172" spans="1:25" s="921" customFormat="1">
      <c r="A172" s="924"/>
      <c r="B172" s="924"/>
      <c r="C172" s="981"/>
      <c r="E172" s="927"/>
      <c r="I172" s="922"/>
      <c r="W172" s="923"/>
      <c r="X172" s="897"/>
      <c r="Y172" s="897"/>
    </row>
    <row r="173" spans="1:25" s="921" customFormat="1">
      <c r="A173" s="924"/>
      <c r="B173" s="924"/>
      <c r="C173" s="981"/>
      <c r="E173" s="927"/>
      <c r="I173" s="922"/>
      <c r="W173" s="923"/>
      <c r="X173" s="897"/>
      <c r="Y173" s="897"/>
    </row>
    <row r="174" spans="1:25" s="921" customFormat="1">
      <c r="A174" s="924"/>
      <c r="B174" s="924"/>
      <c r="C174" s="981"/>
      <c r="E174" s="927"/>
      <c r="I174" s="922"/>
      <c r="W174" s="923"/>
      <c r="X174" s="897"/>
      <c r="Y174" s="897"/>
    </row>
    <row r="175" spans="1:25" s="921" customFormat="1">
      <c r="A175" s="924"/>
      <c r="B175" s="924"/>
      <c r="C175" s="981"/>
      <c r="E175" s="927"/>
      <c r="I175" s="922"/>
      <c r="W175" s="923"/>
      <c r="X175" s="897"/>
      <c r="Y175" s="897"/>
    </row>
  </sheetData>
  <autoFilter ref="A9:X150"/>
  <mergeCells count="19">
    <mergeCell ref="X118:X119"/>
    <mergeCell ref="X125:X137"/>
    <mergeCell ref="X145:X146"/>
    <mergeCell ref="A149:C149"/>
    <mergeCell ref="X93:X96"/>
    <mergeCell ref="A1:X1"/>
    <mergeCell ref="A2:X2"/>
    <mergeCell ref="A3:X3"/>
    <mergeCell ref="A4:A7"/>
    <mergeCell ref="C4:C7"/>
    <mergeCell ref="D4:D7"/>
    <mergeCell ref="E4:E7"/>
    <mergeCell ref="F4:V6"/>
    <mergeCell ref="Y100:Y103"/>
    <mergeCell ref="X100:X103"/>
    <mergeCell ref="W4:W7"/>
    <mergeCell ref="X4:X7"/>
    <mergeCell ref="Y4:Y7"/>
    <mergeCell ref="X16:X27"/>
  </mergeCells>
  <printOptions horizontalCentered="1"/>
  <pageMargins left="0.44" right="0.17" top="0.57999999999999996" bottom="0.31496062992125984" header="0" footer="0.31496062992125984"/>
  <pageSetup paperSize="8"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197"/>
  <sheetViews>
    <sheetView topLeftCell="A9" zoomScale="80" zoomScaleNormal="80" workbookViewId="0">
      <pane xSplit="8" ySplit="1" topLeftCell="O91" activePane="bottomRight" state="frozen"/>
      <selection activeCell="A9" sqref="A9"/>
      <selection pane="topRight" activeCell="I9" sqref="I9"/>
      <selection pane="bottomLeft" activeCell="A10" sqref="A10"/>
      <selection pane="bottomRight" activeCell="AF140" sqref="AF140"/>
    </sheetView>
  </sheetViews>
  <sheetFormatPr defaultRowHeight="15"/>
  <cols>
    <col min="1" max="1" width="8" style="925" customWidth="1"/>
    <col min="2" max="2" width="8" style="925" hidden="1" customWidth="1"/>
    <col min="3" max="3" width="35.28515625" style="981" customWidth="1"/>
    <col min="4" max="4" width="9.140625" style="900" hidden="1" customWidth="1"/>
    <col min="5" max="5" width="8.140625" style="900" hidden="1" customWidth="1"/>
    <col min="6" max="6" width="9.42578125" style="921" hidden="1" customWidth="1"/>
    <col min="7" max="7" width="9.7109375" style="927" customWidth="1"/>
    <col min="8" max="8" width="10" style="921" customWidth="1"/>
    <col min="9" max="9" width="6.140625" style="921" customWidth="1"/>
    <col min="10" max="10" width="7" style="921" customWidth="1"/>
    <col min="11" max="11" width="11.7109375" style="922" bestFit="1" customWidth="1"/>
    <col min="12" max="12" width="8.85546875" style="921" customWidth="1"/>
    <col min="13" max="13" width="7.140625" style="921" customWidth="1"/>
    <col min="14" max="14" width="7.42578125" style="921" customWidth="1"/>
    <col min="15" max="16" width="6.42578125" style="921" customWidth="1"/>
    <col min="17" max="20" width="6.28515625" style="921" customWidth="1"/>
    <col min="21" max="21" width="6.140625" style="921" customWidth="1"/>
    <col min="22" max="22" width="6.28515625" style="921" customWidth="1"/>
    <col min="23" max="23" width="6.7109375" style="921" customWidth="1"/>
    <col min="24" max="24" width="7.7109375" style="921" customWidth="1"/>
    <col min="25" max="25" width="17.5703125" style="923" customWidth="1"/>
    <col min="26" max="26" width="37" style="898" hidden="1" customWidth="1"/>
    <col min="27" max="27" width="31.5703125" style="897" customWidth="1"/>
    <col min="28" max="28" width="93" style="897" hidden="1" customWidth="1"/>
    <col min="29" max="260" width="9.140625" style="898"/>
    <col min="261" max="261" width="10.42578125" style="898" customWidth="1"/>
    <col min="262" max="262" width="51.28515625" style="898" customWidth="1"/>
    <col min="263" max="263" width="9.140625" style="898"/>
    <col min="264" max="264" width="8.140625" style="898" customWidth="1"/>
    <col min="265" max="265" width="9.42578125" style="898" customWidth="1"/>
    <col min="266" max="267" width="9.7109375" style="898" customWidth="1"/>
    <col min="268" max="269" width="10" style="898" customWidth="1"/>
    <col min="270" max="270" width="10.7109375" style="898" customWidth="1"/>
    <col min="271" max="271" width="10.140625" style="898" customWidth="1"/>
    <col min="272" max="279" width="9.140625" style="898" customWidth="1"/>
    <col min="280" max="280" width="9.28515625" style="898" customWidth="1"/>
    <col min="281" max="281" width="17.5703125" style="898" customWidth="1"/>
    <col min="282" max="282" width="37.85546875" style="898" customWidth="1"/>
    <col min="283" max="516" width="9.140625" style="898"/>
    <col min="517" max="517" width="10.42578125" style="898" customWidth="1"/>
    <col min="518" max="518" width="51.28515625" style="898" customWidth="1"/>
    <col min="519" max="519" width="9.140625" style="898"/>
    <col min="520" max="520" width="8.140625" style="898" customWidth="1"/>
    <col min="521" max="521" width="9.42578125" style="898" customWidth="1"/>
    <col min="522" max="523" width="9.7109375" style="898" customWidth="1"/>
    <col min="524" max="525" width="10" style="898" customWidth="1"/>
    <col min="526" max="526" width="10.7109375" style="898" customWidth="1"/>
    <col min="527" max="527" width="10.140625" style="898" customWidth="1"/>
    <col min="528" max="535" width="9.140625" style="898" customWidth="1"/>
    <col min="536" max="536" width="9.28515625" style="898" customWidth="1"/>
    <col min="537" max="537" width="17.5703125" style="898" customWidth="1"/>
    <col min="538" max="538" width="37.85546875" style="898" customWidth="1"/>
    <col min="539" max="772" width="9.140625" style="898"/>
    <col min="773" max="773" width="10.42578125" style="898" customWidth="1"/>
    <col min="774" max="774" width="51.28515625" style="898" customWidth="1"/>
    <col min="775" max="775" width="9.140625" style="898"/>
    <col min="776" max="776" width="8.140625" style="898" customWidth="1"/>
    <col min="777" max="777" width="9.42578125" style="898" customWidth="1"/>
    <col min="778" max="779" width="9.7109375" style="898" customWidth="1"/>
    <col min="780" max="781" width="10" style="898" customWidth="1"/>
    <col min="782" max="782" width="10.7109375" style="898" customWidth="1"/>
    <col min="783" max="783" width="10.140625" style="898" customWidth="1"/>
    <col min="784" max="791" width="9.140625" style="898" customWidth="1"/>
    <col min="792" max="792" width="9.28515625" style="898" customWidth="1"/>
    <col min="793" max="793" width="17.5703125" style="898" customWidth="1"/>
    <col min="794" max="794" width="37.85546875" style="898" customWidth="1"/>
    <col min="795" max="1028" width="9.140625" style="898"/>
    <col min="1029" max="1029" width="10.42578125" style="898" customWidth="1"/>
    <col min="1030" max="1030" width="51.28515625" style="898" customWidth="1"/>
    <col min="1031" max="1031" width="9.140625" style="898"/>
    <col min="1032" max="1032" width="8.140625" style="898" customWidth="1"/>
    <col min="1033" max="1033" width="9.42578125" style="898" customWidth="1"/>
    <col min="1034" max="1035" width="9.7109375" style="898" customWidth="1"/>
    <col min="1036" max="1037" width="10" style="898" customWidth="1"/>
    <col min="1038" max="1038" width="10.7109375" style="898" customWidth="1"/>
    <col min="1039" max="1039" width="10.140625" style="898" customWidth="1"/>
    <col min="1040" max="1047" width="9.140625" style="898" customWidth="1"/>
    <col min="1048" max="1048" width="9.28515625" style="898" customWidth="1"/>
    <col min="1049" max="1049" width="17.5703125" style="898" customWidth="1"/>
    <col min="1050" max="1050" width="37.85546875" style="898" customWidth="1"/>
    <col min="1051" max="1284" width="9.140625" style="898"/>
    <col min="1285" max="1285" width="10.42578125" style="898" customWidth="1"/>
    <col min="1286" max="1286" width="51.28515625" style="898" customWidth="1"/>
    <col min="1287" max="1287" width="9.140625" style="898"/>
    <col min="1288" max="1288" width="8.140625" style="898" customWidth="1"/>
    <col min="1289" max="1289" width="9.42578125" style="898" customWidth="1"/>
    <col min="1290" max="1291" width="9.7109375" style="898" customWidth="1"/>
    <col min="1292" max="1293" width="10" style="898" customWidth="1"/>
    <col min="1294" max="1294" width="10.7109375" style="898" customWidth="1"/>
    <col min="1295" max="1295" width="10.140625" style="898" customWidth="1"/>
    <col min="1296" max="1303" width="9.140625" style="898" customWidth="1"/>
    <col min="1304" max="1304" width="9.28515625" style="898" customWidth="1"/>
    <col min="1305" max="1305" width="17.5703125" style="898" customWidth="1"/>
    <col min="1306" max="1306" width="37.85546875" style="898" customWidth="1"/>
    <col min="1307" max="1540" width="9.140625" style="898"/>
    <col min="1541" max="1541" width="10.42578125" style="898" customWidth="1"/>
    <col min="1542" max="1542" width="51.28515625" style="898" customWidth="1"/>
    <col min="1543" max="1543" width="9.140625" style="898"/>
    <col min="1544" max="1544" width="8.140625" style="898" customWidth="1"/>
    <col min="1545" max="1545" width="9.42578125" style="898" customWidth="1"/>
    <col min="1546" max="1547" width="9.7109375" style="898" customWidth="1"/>
    <col min="1548" max="1549" width="10" style="898" customWidth="1"/>
    <col min="1550" max="1550" width="10.7109375" style="898" customWidth="1"/>
    <col min="1551" max="1551" width="10.140625" style="898" customWidth="1"/>
    <col min="1552" max="1559" width="9.140625" style="898" customWidth="1"/>
    <col min="1560" max="1560" width="9.28515625" style="898" customWidth="1"/>
    <col min="1561" max="1561" width="17.5703125" style="898" customWidth="1"/>
    <col min="1562" max="1562" width="37.85546875" style="898" customWidth="1"/>
    <col min="1563" max="1796" width="9.140625" style="898"/>
    <col min="1797" max="1797" width="10.42578125" style="898" customWidth="1"/>
    <col min="1798" max="1798" width="51.28515625" style="898" customWidth="1"/>
    <col min="1799" max="1799" width="9.140625" style="898"/>
    <col min="1800" max="1800" width="8.140625" style="898" customWidth="1"/>
    <col min="1801" max="1801" width="9.42578125" style="898" customWidth="1"/>
    <col min="1802" max="1803" width="9.7109375" style="898" customWidth="1"/>
    <col min="1804" max="1805" width="10" style="898" customWidth="1"/>
    <col min="1806" max="1806" width="10.7109375" style="898" customWidth="1"/>
    <col min="1807" max="1807" width="10.140625" style="898" customWidth="1"/>
    <col min="1808" max="1815" width="9.140625" style="898" customWidth="1"/>
    <col min="1816" max="1816" width="9.28515625" style="898" customWidth="1"/>
    <col min="1817" max="1817" width="17.5703125" style="898" customWidth="1"/>
    <col min="1818" max="1818" width="37.85546875" style="898" customWidth="1"/>
    <col min="1819" max="2052" width="9.140625" style="898"/>
    <col min="2053" max="2053" width="10.42578125" style="898" customWidth="1"/>
    <col min="2054" max="2054" width="51.28515625" style="898" customWidth="1"/>
    <col min="2055" max="2055" width="9.140625" style="898"/>
    <col min="2056" max="2056" width="8.140625" style="898" customWidth="1"/>
    <col min="2057" max="2057" width="9.42578125" style="898" customWidth="1"/>
    <col min="2058" max="2059" width="9.7109375" style="898" customWidth="1"/>
    <col min="2060" max="2061" width="10" style="898" customWidth="1"/>
    <col min="2062" max="2062" width="10.7109375" style="898" customWidth="1"/>
    <col min="2063" max="2063" width="10.140625" style="898" customWidth="1"/>
    <col min="2064" max="2071" width="9.140625" style="898" customWidth="1"/>
    <col min="2072" max="2072" width="9.28515625" style="898" customWidth="1"/>
    <col min="2073" max="2073" width="17.5703125" style="898" customWidth="1"/>
    <col min="2074" max="2074" width="37.85546875" style="898" customWidth="1"/>
    <col min="2075" max="2308" width="9.140625" style="898"/>
    <col min="2309" max="2309" width="10.42578125" style="898" customWidth="1"/>
    <col min="2310" max="2310" width="51.28515625" style="898" customWidth="1"/>
    <col min="2311" max="2311" width="9.140625" style="898"/>
    <col min="2312" max="2312" width="8.140625" style="898" customWidth="1"/>
    <col min="2313" max="2313" width="9.42578125" style="898" customWidth="1"/>
    <col min="2314" max="2315" width="9.7109375" style="898" customWidth="1"/>
    <col min="2316" max="2317" width="10" style="898" customWidth="1"/>
    <col min="2318" max="2318" width="10.7109375" style="898" customWidth="1"/>
    <col min="2319" max="2319" width="10.140625" style="898" customWidth="1"/>
    <col min="2320" max="2327" width="9.140625" style="898" customWidth="1"/>
    <col min="2328" max="2328" width="9.28515625" style="898" customWidth="1"/>
    <col min="2329" max="2329" width="17.5703125" style="898" customWidth="1"/>
    <col min="2330" max="2330" width="37.85546875" style="898" customWidth="1"/>
    <col min="2331" max="2564" width="9.140625" style="898"/>
    <col min="2565" max="2565" width="10.42578125" style="898" customWidth="1"/>
    <col min="2566" max="2566" width="51.28515625" style="898" customWidth="1"/>
    <col min="2567" max="2567" width="9.140625" style="898"/>
    <col min="2568" max="2568" width="8.140625" style="898" customWidth="1"/>
    <col min="2569" max="2569" width="9.42578125" style="898" customWidth="1"/>
    <col min="2570" max="2571" width="9.7109375" style="898" customWidth="1"/>
    <col min="2572" max="2573" width="10" style="898" customWidth="1"/>
    <col min="2574" max="2574" width="10.7109375" style="898" customWidth="1"/>
    <col min="2575" max="2575" width="10.140625" style="898" customWidth="1"/>
    <col min="2576" max="2583" width="9.140625" style="898" customWidth="1"/>
    <col min="2584" max="2584" width="9.28515625" style="898" customWidth="1"/>
    <col min="2585" max="2585" width="17.5703125" style="898" customWidth="1"/>
    <col min="2586" max="2586" width="37.85546875" style="898" customWidth="1"/>
    <col min="2587" max="2820" width="9.140625" style="898"/>
    <col min="2821" max="2821" width="10.42578125" style="898" customWidth="1"/>
    <col min="2822" max="2822" width="51.28515625" style="898" customWidth="1"/>
    <col min="2823" max="2823" width="9.140625" style="898"/>
    <col min="2824" max="2824" width="8.140625" style="898" customWidth="1"/>
    <col min="2825" max="2825" width="9.42578125" style="898" customWidth="1"/>
    <col min="2826" max="2827" width="9.7109375" style="898" customWidth="1"/>
    <col min="2828" max="2829" width="10" style="898" customWidth="1"/>
    <col min="2830" max="2830" width="10.7109375" style="898" customWidth="1"/>
    <col min="2831" max="2831" width="10.140625" style="898" customWidth="1"/>
    <col min="2832" max="2839" width="9.140625" style="898" customWidth="1"/>
    <col min="2840" max="2840" width="9.28515625" style="898" customWidth="1"/>
    <col min="2841" max="2841" width="17.5703125" style="898" customWidth="1"/>
    <col min="2842" max="2842" width="37.85546875" style="898" customWidth="1"/>
    <col min="2843" max="3076" width="9.140625" style="898"/>
    <col min="3077" max="3077" width="10.42578125" style="898" customWidth="1"/>
    <col min="3078" max="3078" width="51.28515625" style="898" customWidth="1"/>
    <col min="3079" max="3079" width="9.140625" style="898"/>
    <col min="3080" max="3080" width="8.140625" style="898" customWidth="1"/>
    <col min="3081" max="3081" width="9.42578125" style="898" customWidth="1"/>
    <col min="3082" max="3083" width="9.7109375" style="898" customWidth="1"/>
    <col min="3084" max="3085" width="10" style="898" customWidth="1"/>
    <col min="3086" max="3086" width="10.7109375" style="898" customWidth="1"/>
    <col min="3087" max="3087" width="10.140625" style="898" customWidth="1"/>
    <col min="3088" max="3095" width="9.140625" style="898" customWidth="1"/>
    <col min="3096" max="3096" width="9.28515625" style="898" customWidth="1"/>
    <col min="3097" max="3097" width="17.5703125" style="898" customWidth="1"/>
    <col min="3098" max="3098" width="37.85546875" style="898" customWidth="1"/>
    <col min="3099" max="3332" width="9.140625" style="898"/>
    <col min="3333" max="3333" width="10.42578125" style="898" customWidth="1"/>
    <col min="3334" max="3334" width="51.28515625" style="898" customWidth="1"/>
    <col min="3335" max="3335" width="9.140625" style="898"/>
    <col min="3336" max="3336" width="8.140625" style="898" customWidth="1"/>
    <col min="3337" max="3337" width="9.42578125" style="898" customWidth="1"/>
    <col min="3338" max="3339" width="9.7109375" style="898" customWidth="1"/>
    <col min="3340" max="3341" width="10" style="898" customWidth="1"/>
    <col min="3342" max="3342" width="10.7109375" style="898" customWidth="1"/>
    <col min="3343" max="3343" width="10.140625" style="898" customWidth="1"/>
    <col min="3344" max="3351" width="9.140625" style="898" customWidth="1"/>
    <col min="3352" max="3352" width="9.28515625" style="898" customWidth="1"/>
    <col min="3353" max="3353" width="17.5703125" style="898" customWidth="1"/>
    <col min="3354" max="3354" width="37.85546875" style="898" customWidth="1"/>
    <col min="3355" max="3588" width="9.140625" style="898"/>
    <col min="3589" max="3589" width="10.42578125" style="898" customWidth="1"/>
    <col min="3590" max="3590" width="51.28515625" style="898" customWidth="1"/>
    <col min="3591" max="3591" width="9.140625" style="898"/>
    <col min="3592" max="3592" width="8.140625" style="898" customWidth="1"/>
    <col min="3593" max="3593" width="9.42578125" style="898" customWidth="1"/>
    <col min="3594" max="3595" width="9.7109375" style="898" customWidth="1"/>
    <col min="3596" max="3597" width="10" style="898" customWidth="1"/>
    <col min="3598" max="3598" width="10.7109375" style="898" customWidth="1"/>
    <col min="3599" max="3599" width="10.140625" style="898" customWidth="1"/>
    <col min="3600" max="3607" width="9.140625" style="898" customWidth="1"/>
    <col min="3608" max="3608" width="9.28515625" style="898" customWidth="1"/>
    <col min="3609" max="3609" width="17.5703125" style="898" customWidth="1"/>
    <col min="3610" max="3610" width="37.85546875" style="898" customWidth="1"/>
    <col min="3611" max="3844" width="9.140625" style="898"/>
    <col min="3845" max="3845" width="10.42578125" style="898" customWidth="1"/>
    <col min="3846" max="3846" width="51.28515625" style="898" customWidth="1"/>
    <col min="3847" max="3847" width="9.140625" style="898"/>
    <col min="3848" max="3848" width="8.140625" style="898" customWidth="1"/>
    <col min="3849" max="3849" width="9.42578125" style="898" customWidth="1"/>
    <col min="3850" max="3851" width="9.7109375" style="898" customWidth="1"/>
    <col min="3852" max="3853" width="10" style="898" customWidth="1"/>
    <col min="3854" max="3854" width="10.7109375" style="898" customWidth="1"/>
    <col min="3855" max="3855" width="10.140625" style="898" customWidth="1"/>
    <col min="3856" max="3863" width="9.140625" style="898" customWidth="1"/>
    <col min="3864" max="3864" width="9.28515625" style="898" customWidth="1"/>
    <col min="3865" max="3865" width="17.5703125" style="898" customWidth="1"/>
    <col min="3866" max="3866" width="37.85546875" style="898" customWidth="1"/>
    <col min="3867" max="4100" width="9.140625" style="898"/>
    <col min="4101" max="4101" width="10.42578125" style="898" customWidth="1"/>
    <col min="4102" max="4102" width="51.28515625" style="898" customWidth="1"/>
    <col min="4103" max="4103" width="9.140625" style="898"/>
    <col min="4104" max="4104" width="8.140625" style="898" customWidth="1"/>
    <col min="4105" max="4105" width="9.42578125" style="898" customWidth="1"/>
    <col min="4106" max="4107" width="9.7109375" style="898" customWidth="1"/>
    <col min="4108" max="4109" width="10" style="898" customWidth="1"/>
    <col min="4110" max="4110" width="10.7109375" style="898" customWidth="1"/>
    <col min="4111" max="4111" width="10.140625" style="898" customWidth="1"/>
    <col min="4112" max="4119" width="9.140625" style="898" customWidth="1"/>
    <col min="4120" max="4120" width="9.28515625" style="898" customWidth="1"/>
    <col min="4121" max="4121" width="17.5703125" style="898" customWidth="1"/>
    <col min="4122" max="4122" width="37.85546875" style="898" customWidth="1"/>
    <col min="4123" max="4356" width="9.140625" style="898"/>
    <col min="4357" max="4357" width="10.42578125" style="898" customWidth="1"/>
    <col min="4358" max="4358" width="51.28515625" style="898" customWidth="1"/>
    <col min="4359" max="4359" width="9.140625" style="898"/>
    <col min="4360" max="4360" width="8.140625" style="898" customWidth="1"/>
    <col min="4361" max="4361" width="9.42578125" style="898" customWidth="1"/>
    <col min="4362" max="4363" width="9.7109375" style="898" customWidth="1"/>
    <col min="4364" max="4365" width="10" style="898" customWidth="1"/>
    <col min="4366" max="4366" width="10.7109375" style="898" customWidth="1"/>
    <col min="4367" max="4367" width="10.140625" style="898" customWidth="1"/>
    <col min="4368" max="4375" width="9.140625" style="898" customWidth="1"/>
    <col min="4376" max="4376" width="9.28515625" style="898" customWidth="1"/>
    <col min="4377" max="4377" width="17.5703125" style="898" customWidth="1"/>
    <col min="4378" max="4378" width="37.85546875" style="898" customWidth="1"/>
    <col min="4379" max="4612" width="9.140625" style="898"/>
    <col min="4613" max="4613" width="10.42578125" style="898" customWidth="1"/>
    <col min="4614" max="4614" width="51.28515625" style="898" customWidth="1"/>
    <col min="4615" max="4615" width="9.140625" style="898"/>
    <col min="4616" max="4616" width="8.140625" style="898" customWidth="1"/>
    <col min="4617" max="4617" width="9.42578125" style="898" customWidth="1"/>
    <col min="4618" max="4619" width="9.7109375" style="898" customWidth="1"/>
    <col min="4620" max="4621" width="10" style="898" customWidth="1"/>
    <col min="4622" max="4622" width="10.7109375" style="898" customWidth="1"/>
    <col min="4623" max="4623" width="10.140625" style="898" customWidth="1"/>
    <col min="4624" max="4631" width="9.140625" style="898" customWidth="1"/>
    <col min="4632" max="4632" width="9.28515625" style="898" customWidth="1"/>
    <col min="4633" max="4633" width="17.5703125" style="898" customWidth="1"/>
    <col min="4634" max="4634" width="37.85546875" style="898" customWidth="1"/>
    <col min="4635" max="4868" width="9.140625" style="898"/>
    <col min="4869" max="4869" width="10.42578125" style="898" customWidth="1"/>
    <col min="4870" max="4870" width="51.28515625" style="898" customWidth="1"/>
    <col min="4871" max="4871" width="9.140625" style="898"/>
    <col min="4872" max="4872" width="8.140625" style="898" customWidth="1"/>
    <col min="4873" max="4873" width="9.42578125" style="898" customWidth="1"/>
    <col min="4874" max="4875" width="9.7109375" style="898" customWidth="1"/>
    <col min="4876" max="4877" width="10" style="898" customWidth="1"/>
    <col min="4878" max="4878" width="10.7109375" style="898" customWidth="1"/>
    <col min="4879" max="4879" width="10.140625" style="898" customWidth="1"/>
    <col min="4880" max="4887" width="9.140625" style="898" customWidth="1"/>
    <col min="4888" max="4888" width="9.28515625" style="898" customWidth="1"/>
    <col min="4889" max="4889" width="17.5703125" style="898" customWidth="1"/>
    <col min="4890" max="4890" width="37.85546875" style="898" customWidth="1"/>
    <col min="4891" max="5124" width="9.140625" style="898"/>
    <col min="5125" max="5125" width="10.42578125" style="898" customWidth="1"/>
    <col min="5126" max="5126" width="51.28515625" style="898" customWidth="1"/>
    <col min="5127" max="5127" width="9.140625" style="898"/>
    <col min="5128" max="5128" width="8.140625" style="898" customWidth="1"/>
    <col min="5129" max="5129" width="9.42578125" style="898" customWidth="1"/>
    <col min="5130" max="5131" width="9.7109375" style="898" customWidth="1"/>
    <col min="5132" max="5133" width="10" style="898" customWidth="1"/>
    <col min="5134" max="5134" width="10.7109375" style="898" customWidth="1"/>
    <col min="5135" max="5135" width="10.140625" style="898" customWidth="1"/>
    <col min="5136" max="5143" width="9.140625" style="898" customWidth="1"/>
    <col min="5144" max="5144" width="9.28515625" style="898" customWidth="1"/>
    <col min="5145" max="5145" width="17.5703125" style="898" customWidth="1"/>
    <col min="5146" max="5146" width="37.85546875" style="898" customWidth="1"/>
    <col min="5147" max="5380" width="9.140625" style="898"/>
    <col min="5381" max="5381" width="10.42578125" style="898" customWidth="1"/>
    <col min="5382" max="5382" width="51.28515625" style="898" customWidth="1"/>
    <col min="5383" max="5383" width="9.140625" style="898"/>
    <col min="5384" max="5384" width="8.140625" style="898" customWidth="1"/>
    <col min="5385" max="5385" width="9.42578125" style="898" customWidth="1"/>
    <col min="5386" max="5387" width="9.7109375" style="898" customWidth="1"/>
    <col min="5388" max="5389" width="10" style="898" customWidth="1"/>
    <col min="5390" max="5390" width="10.7109375" style="898" customWidth="1"/>
    <col min="5391" max="5391" width="10.140625" style="898" customWidth="1"/>
    <col min="5392" max="5399" width="9.140625" style="898" customWidth="1"/>
    <col min="5400" max="5400" width="9.28515625" style="898" customWidth="1"/>
    <col min="5401" max="5401" width="17.5703125" style="898" customWidth="1"/>
    <col min="5402" max="5402" width="37.85546875" style="898" customWidth="1"/>
    <col min="5403" max="5636" width="9.140625" style="898"/>
    <col min="5637" max="5637" width="10.42578125" style="898" customWidth="1"/>
    <col min="5638" max="5638" width="51.28515625" style="898" customWidth="1"/>
    <col min="5639" max="5639" width="9.140625" style="898"/>
    <col min="5640" max="5640" width="8.140625" style="898" customWidth="1"/>
    <col min="5641" max="5641" width="9.42578125" style="898" customWidth="1"/>
    <col min="5642" max="5643" width="9.7109375" style="898" customWidth="1"/>
    <col min="5644" max="5645" width="10" style="898" customWidth="1"/>
    <col min="5646" max="5646" width="10.7109375" style="898" customWidth="1"/>
    <col min="5647" max="5647" width="10.140625" style="898" customWidth="1"/>
    <col min="5648" max="5655" width="9.140625" style="898" customWidth="1"/>
    <col min="5656" max="5656" width="9.28515625" style="898" customWidth="1"/>
    <col min="5657" max="5657" width="17.5703125" style="898" customWidth="1"/>
    <col min="5658" max="5658" width="37.85546875" style="898" customWidth="1"/>
    <col min="5659" max="5892" width="9.140625" style="898"/>
    <col min="5893" max="5893" width="10.42578125" style="898" customWidth="1"/>
    <col min="5894" max="5894" width="51.28515625" style="898" customWidth="1"/>
    <col min="5895" max="5895" width="9.140625" style="898"/>
    <col min="5896" max="5896" width="8.140625" style="898" customWidth="1"/>
    <col min="5897" max="5897" width="9.42578125" style="898" customWidth="1"/>
    <col min="5898" max="5899" width="9.7109375" style="898" customWidth="1"/>
    <col min="5900" max="5901" width="10" style="898" customWidth="1"/>
    <col min="5902" max="5902" width="10.7109375" style="898" customWidth="1"/>
    <col min="5903" max="5903" width="10.140625" style="898" customWidth="1"/>
    <col min="5904" max="5911" width="9.140625" style="898" customWidth="1"/>
    <col min="5912" max="5912" width="9.28515625" style="898" customWidth="1"/>
    <col min="5913" max="5913" width="17.5703125" style="898" customWidth="1"/>
    <col min="5914" max="5914" width="37.85546875" style="898" customWidth="1"/>
    <col min="5915" max="6148" width="9.140625" style="898"/>
    <col min="6149" max="6149" width="10.42578125" style="898" customWidth="1"/>
    <col min="6150" max="6150" width="51.28515625" style="898" customWidth="1"/>
    <col min="6151" max="6151" width="9.140625" style="898"/>
    <col min="6152" max="6152" width="8.140625" style="898" customWidth="1"/>
    <col min="6153" max="6153" width="9.42578125" style="898" customWidth="1"/>
    <col min="6154" max="6155" width="9.7109375" style="898" customWidth="1"/>
    <col min="6156" max="6157" width="10" style="898" customWidth="1"/>
    <col min="6158" max="6158" width="10.7109375" style="898" customWidth="1"/>
    <col min="6159" max="6159" width="10.140625" style="898" customWidth="1"/>
    <col min="6160" max="6167" width="9.140625" style="898" customWidth="1"/>
    <col min="6168" max="6168" width="9.28515625" style="898" customWidth="1"/>
    <col min="6169" max="6169" width="17.5703125" style="898" customWidth="1"/>
    <col min="6170" max="6170" width="37.85546875" style="898" customWidth="1"/>
    <col min="6171" max="6404" width="9.140625" style="898"/>
    <col min="6405" max="6405" width="10.42578125" style="898" customWidth="1"/>
    <col min="6406" max="6406" width="51.28515625" style="898" customWidth="1"/>
    <col min="6407" max="6407" width="9.140625" style="898"/>
    <col min="6408" max="6408" width="8.140625" style="898" customWidth="1"/>
    <col min="6409" max="6409" width="9.42578125" style="898" customWidth="1"/>
    <col min="6410" max="6411" width="9.7109375" style="898" customWidth="1"/>
    <col min="6412" max="6413" width="10" style="898" customWidth="1"/>
    <col min="6414" max="6414" width="10.7109375" style="898" customWidth="1"/>
    <col min="6415" max="6415" width="10.140625" style="898" customWidth="1"/>
    <col min="6416" max="6423" width="9.140625" style="898" customWidth="1"/>
    <col min="6424" max="6424" width="9.28515625" style="898" customWidth="1"/>
    <col min="6425" max="6425" width="17.5703125" style="898" customWidth="1"/>
    <col min="6426" max="6426" width="37.85546875" style="898" customWidth="1"/>
    <col min="6427" max="6660" width="9.140625" style="898"/>
    <col min="6661" max="6661" width="10.42578125" style="898" customWidth="1"/>
    <col min="6662" max="6662" width="51.28515625" style="898" customWidth="1"/>
    <col min="6663" max="6663" width="9.140625" style="898"/>
    <col min="6664" max="6664" width="8.140625" style="898" customWidth="1"/>
    <col min="6665" max="6665" width="9.42578125" style="898" customWidth="1"/>
    <col min="6666" max="6667" width="9.7109375" style="898" customWidth="1"/>
    <col min="6668" max="6669" width="10" style="898" customWidth="1"/>
    <col min="6670" max="6670" width="10.7109375" style="898" customWidth="1"/>
    <col min="6671" max="6671" width="10.140625" style="898" customWidth="1"/>
    <col min="6672" max="6679" width="9.140625" style="898" customWidth="1"/>
    <col min="6680" max="6680" width="9.28515625" style="898" customWidth="1"/>
    <col min="6681" max="6681" width="17.5703125" style="898" customWidth="1"/>
    <col min="6682" max="6682" width="37.85546875" style="898" customWidth="1"/>
    <col min="6683" max="6916" width="9.140625" style="898"/>
    <col min="6917" max="6917" width="10.42578125" style="898" customWidth="1"/>
    <col min="6918" max="6918" width="51.28515625" style="898" customWidth="1"/>
    <col min="6919" max="6919" width="9.140625" style="898"/>
    <col min="6920" max="6920" width="8.140625" style="898" customWidth="1"/>
    <col min="6921" max="6921" width="9.42578125" style="898" customWidth="1"/>
    <col min="6922" max="6923" width="9.7109375" style="898" customWidth="1"/>
    <col min="6924" max="6925" width="10" style="898" customWidth="1"/>
    <col min="6926" max="6926" width="10.7109375" style="898" customWidth="1"/>
    <col min="6927" max="6927" width="10.140625" style="898" customWidth="1"/>
    <col min="6928" max="6935" width="9.140625" style="898" customWidth="1"/>
    <col min="6936" max="6936" width="9.28515625" style="898" customWidth="1"/>
    <col min="6937" max="6937" width="17.5703125" style="898" customWidth="1"/>
    <col min="6938" max="6938" width="37.85546875" style="898" customWidth="1"/>
    <col min="6939" max="7172" width="9.140625" style="898"/>
    <col min="7173" max="7173" width="10.42578125" style="898" customWidth="1"/>
    <col min="7174" max="7174" width="51.28515625" style="898" customWidth="1"/>
    <col min="7175" max="7175" width="9.140625" style="898"/>
    <col min="7176" max="7176" width="8.140625" style="898" customWidth="1"/>
    <col min="7177" max="7177" width="9.42578125" style="898" customWidth="1"/>
    <col min="7178" max="7179" width="9.7109375" style="898" customWidth="1"/>
    <col min="7180" max="7181" width="10" style="898" customWidth="1"/>
    <col min="7182" max="7182" width="10.7109375" style="898" customWidth="1"/>
    <col min="7183" max="7183" width="10.140625" style="898" customWidth="1"/>
    <col min="7184" max="7191" width="9.140625" style="898" customWidth="1"/>
    <col min="7192" max="7192" width="9.28515625" style="898" customWidth="1"/>
    <col min="7193" max="7193" width="17.5703125" style="898" customWidth="1"/>
    <col min="7194" max="7194" width="37.85546875" style="898" customWidth="1"/>
    <col min="7195" max="7428" width="9.140625" style="898"/>
    <col min="7429" max="7429" width="10.42578125" style="898" customWidth="1"/>
    <col min="7430" max="7430" width="51.28515625" style="898" customWidth="1"/>
    <col min="7431" max="7431" width="9.140625" style="898"/>
    <col min="7432" max="7432" width="8.140625" style="898" customWidth="1"/>
    <col min="7433" max="7433" width="9.42578125" style="898" customWidth="1"/>
    <col min="7434" max="7435" width="9.7109375" style="898" customWidth="1"/>
    <col min="7436" max="7437" width="10" style="898" customWidth="1"/>
    <col min="7438" max="7438" width="10.7109375" style="898" customWidth="1"/>
    <col min="7439" max="7439" width="10.140625" style="898" customWidth="1"/>
    <col min="7440" max="7447" width="9.140625" style="898" customWidth="1"/>
    <col min="7448" max="7448" width="9.28515625" style="898" customWidth="1"/>
    <col min="7449" max="7449" width="17.5703125" style="898" customWidth="1"/>
    <col min="7450" max="7450" width="37.85546875" style="898" customWidth="1"/>
    <col min="7451" max="7684" width="9.140625" style="898"/>
    <col min="7685" max="7685" width="10.42578125" style="898" customWidth="1"/>
    <col min="7686" max="7686" width="51.28515625" style="898" customWidth="1"/>
    <col min="7687" max="7687" width="9.140625" style="898"/>
    <col min="7688" max="7688" width="8.140625" style="898" customWidth="1"/>
    <col min="7689" max="7689" width="9.42578125" style="898" customWidth="1"/>
    <col min="7690" max="7691" width="9.7109375" style="898" customWidth="1"/>
    <col min="7692" max="7693" width="10" style="898" customWidth="1"/>
    <col min="7694" max="7694" width="10.7109375" style="898" customWidth="1"/>
    <col min="7695" max="7695" width="10.140625" style="898" customWidth="1"/>
    <col min="7696" max="7703" width="9.140625" style="898" customWidth="1"/>
    <col min="7704" max="7704" width="9.28515625" style="898" customWidth="1"/>
    <col min="7705" max="7705" width="17.5703125" style="898" customWidth="1"/>
    <col min="7706" max="7706" width="37.85546875" style="898" customWidth="1"/>
    <col min="7707" max="7940" width="9.140625" style="898"/>
    <col min="7941" max="7941" width="10.42578125" style="898" customWidth="1"/>
    <col min="7942" max="7942" width="51.28515625" style="898" customWidth="1"/>
    <col min="7943" max="7943" width="9.140625" style="898"/>
    <col min="7944" max="7944" width="8.140625" style="898" customWidth="1"/>
    <col min="7945" max="7945" width="9.42578125" style="898" customWidth="1"/>
    <col min="7946" max="7947" width="9.7109375" style="898" customWidth="1"/>
    <col min="7948" max="7949" width="10" style="898" customWidth="1"/>
    <col min="7950" max="7950" width="10.7109375" style="898" customWidth="1"/>
    <col min="7951" max="7951" width="10.140625" style="898" customWidth="1"/>
    <col min="7952" max="7959" width="9.140625" style="898" customWidth="1"/>
    <col min="7960" max="7960" width="9.28515625" style="898" customWidth="1"/>
    <col min="7961" max="7961" width="17.5703125" style="898" customWidth="1"/>
    <col min="7962" max="7962" width="37.85546875" style="898" customWidth="1"/>
    <col min="7963" max="8196" width="9.140625" style="898"/>
    <col min="8197" max="8197" width="10.42578125" style="898" customWidth="1"/>
    <col min="8198" max="8198" width="51.28515625" style="898" customWidth="1"/>
    <col min="8199" max="8199" width="9.140625" style="898"/>
    <col min="8200" max="8200" width="8.140625" style="898" customWidth="1"/>
    <col min="8201" max="8201" width="9.42578125" style="898" customWidth="1"/>
    <col min="8202" max="8203" width="9.7109375" style="898" customWidth="1"/>
    <col min="8204" max="8205" width="10" style="898" customWidth="1"/>
    <col min="8206" max="8206" width="10.7109375" style="898" customWidth="1"/>
    <col min="8207" max="8207" width="10.140625" style="898" customWidth="1"/>
    <col min="8208" max="8215" width="9.140625" style="898" customWidth="1"/>
    <col min="8216" max="8216" width="9.28515625" style="898" customWidth="1"/>
    <col min="8217" max="8217" width="17.5703125" style="898" customWidth="1"/>
    <col min="8218" max="8218" width="37.85546875" style="898" customWidth="1"/>
    <col min="8219" max="8452" width="9.140625" style="898"/>
    <col min="8453" max="8453" width="10.42578125" style="898" customWidth="1"/>
    <col min="8454" max="8454" width="51.28515625" style="898" customWidth="1"/>
    <col min="8455" max="8455" width="9.140625" style="898"/>
    <col min="8456" max="8456" width="8.140625" style="898" customWidth="1"/>
    <col min="8457" max="8457" width="9.42578125" style="898" customWidth="1"/>
    <col min="8458" max="8459" width="9.7109375" style="898" customWidth="1"/>
    <col min="8460" max="8461" width="10" style="898" customWidth="1"/>
    <col min="8462" max="8462" width="10.7109375" style="898" customWidth="1"/>
    <col min="8463" max="8463" width="10.140625" style="898" customWidth="1"/>
    <col min="8464" max="8471" width="9.140625" style="898" customWidth="1"/>
    <col min="8472" max="8472" width="9.28515625" style="898" customWidth="1"/>
    <col min="8473" max="8473" width="17.5703125" style="898" customWidth="1"/>
    <col min="8474" max="8474" width="37.85546875" style="898" customWidth="1"/>
    <col min="8475" max="8708" width="9.140625" style="898"/>
    <col min="8709" max="8709" width="10.42578125" style="898" customWidth="1"/>
    <col min="8710" max="8710" width="51.28515625" style="898" customWidth="1"/>
    <col min="8711" max="8711" width="9.140625" style="898"/>
    <col min="8712" max="8712" width="8.140625" style="898" customWidth="1"/>
    <col min="8713" max="8713" width="9.42578125" style="898" customWidth="1"/>
    <col min="8714" max="8715" width="9.7109375" style="898" customWidth="1"/>
    <col min="8716" max="8717" width="10" style="898" customWidth="1"/>
    <col min="8718" max="8718" width="10.7109375" style="898" customWidth="1"/>
    <col min="8719" max="8719" width="10.140625" style="898" customWidth="1"/>
    <col min="8720" max="8727" width="9.140625" style="898" customWidth="1"/>
    <col min="8728" max="8728" width="9.28515625" style="898" customWidth="1"/>
    <col min="8729" max="8729" width="17.5703125" style="898" customWidth="1"/>
    <col min="8730" max="8730" width="37.85546875" style="898" customWidth="1"/>
    <col min="8731" max="8964" width="9.140625" style="898"/>
    <col min="8965" max="8965" width="10.42578125" style="898" customWidth="1"/>
    <col min="8966" max="8966" width="51.28515625" style="898" customWidth="1"/>
    <col min="8967" max="8967" width="9.140625" style="898"/>
    <col min="8968" max="8968" width="8.140625" style="898" customWidth="1"/>
    <col min="8969" max="8969" width="9.42578125" style="898" customWidth="1"/>
    <col min="8970" max="8971" width="9.7109375" style="898" customWidth="1"/>
    <col min="8972" max="8973" width="10" style="898" customWidth="1"/>
    <col min="8974" max="8974" width="10.7109375" style="898" customWidth="1"/>
    <col min="8975" max="8975" width="10.140625" style="898" customWidth="1"/>
    <col min="8976" max="8983" width="9.140625" style="898" customWidth="1"/>
    <col min="8984" max="8984" width="9.28515625" style="898" customWidth="1"/>
    <col min="8985" max="8985" width="17.5703125" style="898" customWidth="1"/>
    <col min="8986" max="8986" width="37.85546875" style="898" customWidth="1"/>
    <col min="8987" max="9220" width="9.140625" style="898"/>
    <col min="9221" max="9221" width="10.42578125" style="898" customWidth="1"/>
    <col min="9222" max="9222" width="51.28515625" style="898" customWidth="1"/>
    <col min="9223" max="9223" width="9.140625" style="898"/>
    <col min="9224" max="9224" width="8.140625" style="898" customWidth="1"/>
    <col min="9225" max="9225" width="9.42578125" style="898" customWidth="1"/>
    <col min="9226" max="9227" width="9.7109375" style="898" customWidth="1"/>
    <col min="9228" max="9229" width="10" style="898" customWidth="1"/>
    <col min="9230" max="9230" width="10.7109375" style="898" customWidth="1"/>
    <col min="9231" max="9231" width="10.140625" style="898" customWidth="1"/>
    <col min="9232" max="9239" width="9.140625" style="898" customWidth="1"/>
    <col min="9240" max="9240" width="9.28515625" style="898" customWidth="1"/>
    <col min="9241" max="9241" width="17.5703125" style="898" customWidth="1"/>
    <col min="9242" max="9242" width="37.85546875" style="898" customWidth="1"/>
    <col min="9243" max="9476" width="9.140625" style="898"/>
    <col min="9477" max="9477" width="10.42578125" style="898" customWidth="1"/>
    <col min="9478" max="9478" width="51.28515625" style="898" customWidth="1"/>
    <col min="9479" max="9479" width="9.140625" style="898"/>
    <col min="9480" max="9480" width="8.140625" style="898" customWidth="1"/>
    <col min="9481" max="9481" width="9.42578125" style="898" customWidth="1"/>
    <col min="9482" max="9483" width="9.7109375" style="898" customWidth="1"/>
    <col min="9484" max="9485" width="10" style="898" customWidth="1"/>
    <col min="9486" max="9486" width="10.7109375" style="898" customWidth="1"/>
    <col min="9487" max="9487" width="10.140625" style="898" customWidth="1"/>
    <col min="9488" max="9495" width="9.140625" style="898" customWidth="1"/>
    <col min="9496" max="9496" width="9.28515625" style="898" customWidth="1"/>
    <col min="9497" max="9497" width="17.5703125" style="898" customWidth="1"/>
    <col min="9498" max="9498" width="37.85546875" style="898" customWidth="1"/>
    <col min="9499" max="9732" width="9.140625" style="898"/>
    <col min="9733" max="9733" width="10.42578125" style="898" customWidth="1"/>
    <col min="9734" max="9734" width="51.28515625" style="898" customWidth="1"/>
    <col min="9735" max="9735" width="9.140625" style="898"/>
    <col min="9736" max="9736" width="8.140625" style="898" customWidth="1"/>
    <col min="9737" max="9737" width="9.42578125" style="898" customWidth="1"/>
    <col min="9738" max="9739" width="9.7109375" style="898" customWidth="1"/>
    <col min="9740" max="9741" width="10" style="898" customWidth="1"/>
    <col min="9742" max="9742" width="10.7109375" style="898" customWidth="1"/>
    <col min="9743" max="9743" width="10.140625" style="898" customWidth="1"/>
    <col min="9744" max="9751" width="9.140625" style="898" customWidth="1"/>
    <col min="9752" max="9752" width="9.28515625" style="898" customWidth="1"/>
    <col min="9753" max="9753" width="17.5703125" style="898" customWidth="1"/>
    <col min="9754" max="9754" width="37.85546875" style="898" customWidth="1"/>
    <col min="9755" max="9988" width="9.140625" style="898"/>
    <col min="9989" max="9989" width="10.42578125" style="898" customWidth="1"/>
    <col min="9990" max="9990" width="51.28515625" style="898" customWidth="1"/>
    <col min="9991" max="9991" width="9.140625" style="898"/>
    <col min="9992" max="9992" width="8.140625" style="898" customWidth="1"/>
    <col min="9993" max="9993" width="9.42578125" style="898" customWidth="1"/>
    <col min="9994" max="9995" width="9.7109375" style="898" customWidth="1"/>
    <col min="9996" max="9997" width="10" style="898" customWidth="1"/>
    <col min="9998" max="9998" width="10.7109375" style="898" customWidth="1"/>
    <col min="9999" max="9999" width="10.140625" style="898" customWidth="1"/>
    <col min="10000" max="10007" width="9.140625" style="898" customWidth="1"/>
    <col min="10008" max="10008" width="9.28515625" style="898" customWidth="1"/>
    <col min="10009" max="10009" width="17.5703125" style="898" customWidth="1"/>
    <col min="10010" max="10010" width="37.85546875" style="898" customWidth="1"/>
    <col min="10011" max="10244" width="9.140625" style="898"/>
    <col min="10245" max="10245" width="10.42578125" style="898" customWidth="1"/>
    <col min="10246" max="10246" width="51.28515625" style="898" customWidth="1"/>
    <col min="10247" max="10247" width="9.140625" style="898"/>
    <col min="10248" max="10248" width="8.140625" style="898" customWidth="1"/>
    <col min="10249" max="10249" width="9.42578125" style="898" customWidth="1"/>
    <col min="10250" max="10251" width="9.7109375" style="898" customWidth="1"/>
    <col min="10252" max="10253" width="10" style="898" customWidth="1"/>
    <col min="10254" max="10254" width="10.7109375" style="898" customWidth="1"/>
    <col min="10255" max="10255" width="10.140625" style="898" customWidth="1"/>
    <col min="10256" max="10263" width="9.140625" style="898" customWidth="1"/>
    <col min="10264" max="10264" width="9.28515625" style="898" customWidth="1"/>
    <col min="10265" max="10265" width="17.5703125" style="898" customWidth="1"/>
    <col min="10266" max="10266" width="37.85546875" style="898" customWidth="1"/>
    <col min="10267" max="10500" width="9.140625" style="898"/>
    <col min="10501" max="10501" width="10.42578125" style="898" customWidth="1"/>
    <col min="10502" max="10502" width="51.28515625" style="898" customWidth="1"/>
    <col min="10503" max="10503" width="9.140625" style="898"/>
    <col min="10504" max="10504" width="8.140625" style="898" customWidth="1"/>
    <col min="10505" max="10505" width="9.42578125" style="898" customWidth="1"/>
    <col min="10506" max="10507" width="9.7109375" style="898" customWidth="1"/>
    <col min="10508" max="10509" width="10" style="898" customWidth="1"/>
    <col min="10510" max="10510" width="10.7109375" style="898" customWidth="1"/>
    <col min="10511" max="10511" width="10.140625" style="898" customWidth="1"/>
    <col min="10512" max="10519" width="9.140625" style="898" customWidth="1"/>
    <col min="10520" max="10520" width="9.28515625" style="898" customWidth="1"/>
    <col min="10521" max="10521" width="17.5703125" style="898" customWidth="1"/>
    <col min="10522" max="10522" width="37.85546875" style="898" customWidth="1"/>
    <col min="10523" max="10756" width="9.140625" style="898"/>
    <col min="10757" max="10757" width="10.42578125" style="898" customWidth="1"/>
    <col min="10758" max="10758" width="51.28515625" style="898" customWidth="1"/>
    <col min="10759" max="10759" width="9.140625" style="898"/>
    <col min="10760" max="10760" width="8.140625" style="898" customWidth="1"/>
    <col min="10761" max="10761" width="9.42578125" style="898" customWidth="1"/>
    <col min="10762" max="10763" width="9.7109375" style="898" customWidth="1"/>
    <col min="10764" max="10765" width="10" style="898" customWidth="1"/>
    <col min="10766" max="10766" width="10.7109375" style="898" customWidth="1"/>
    <col min="10767" max="10767" width="10.140625" style="898" customWidth="1"/>
    <col min="10768" max="10775" width="9.140625" style="898" customWidth="1"/>
    <col min="10776" max="10776" width="9.28515625" style="898" customWidth="1"/>
    <col min="10777" max="10777" width="17.5703125" style="898" customWidth="1"/>
    <col min="10778" max="10778" width="37.85546875" style="898" customWidth="1"/>
    <col min="10779" max="11012" width="9.140625" style="898"/>
    <col min="11013" max="11013" width="10.42578125" style="898" customWidth="1"/>
    <col min="11014" max="11014" width="51.28515625" style="898" customWidth="1"/>
    <col min="11015" max="11015" width="9.140625" style="898"/>
    <col min="11016" max="11016" width="8.140625" style="898" customWidth="1"/>
    <col min="11017" max="11017" width="9.42578125" style="898" customWidth="1"/>
    <col min="11018" max="11019" width="9.7109375" style="898" customWidth="1"/>
    <col min="11020" max="11021" width="10" style="898" customWidth="1"/>
    <col min="11022" max="11022" width="10.7109375" style="898" customWidth="1"/>
    <col min="11023" max="11023" width="10.140625" style="898" customWidth="1"/>
    <col min="11024" max="11031" width="9.140625" style="898" customWidth="1"/>
    <col min="11032" max="11032" width="9.28515625" style="898" customWidth="1"/>
    <col min="11033" max="11033" width="17.5703125" style="898" customWidth="1"/>
    <col min="11034" max="11034" width="37.85546875" style="898" customWidth="1"/>
    <col min="11035" max="11268" width="9.140625" style="898"/>
    <col min="11269" max="11269" width="10.42578125" style="898" customWidth="1"/>
    <col min="11270" max="11270" width="51.28515625" style="898" customWidth="1"/>
    <col min="11271" max="11271" width="9.140625" style="898"/>
    <col min="11272" max="11272" width="8.140625" style="898" customWidth="1"/>
    <col min="11273" max="11273" width="9.42578125" style="898" customWidth="1"/>
    <col min="11274" max="11275" width="9.7109375" style="898" customWidth="1"/>
    <col min="11276" max="11277" width="10" style="898" customWidth="1"/>
    <col min="11278" max="11278" width="10.7109375" style="898" customWidth="1"/>
    <col min="11279" max="11279" width="10.140625" style="898" customWidth="1"/>
    <col min="11280" max="11287" width="9.140625" style="898" customWidth="1"/>
    <col min="11288" max="11288" width="9.28515625" style="898" customWidth="1"/>
    <col min="11289" max="11289" width="17.5703125" style="898" customWidth="1"/>
    <col min="11290" max="11290" width="37.85546875" style="898" customWidth="1"/>
    <col min="11291" max="11524" width="9.140625" style="898"/>
    <col min="11525" max="11525" width="10.42578125" style="898" customWidth="1"/>
    <col min="11526" max="11526" width="51.28515625" style="898" customWidth="1"/>
    <col min="11527" max="11527" width="9.140625" style="898"/>
    <col min="11528" max="11528" width="8.140625" style="898" customWidth="1"/>
    <col min="11529" max="11529" width="9.42578125" style="898" customWidth="1"/>
    <col min="11530" max="11531" width="9.7109375" style="898" customWidth="1"/>
    <col min="11532" max="11533" width="10" style="898" customWidth="1"/>
    <col min="11534" max="11534" width="10.7109375" style="898" customWidth="1"/>
    <col min="11535" max="11535" width="10.140625" style="898" customWidth="1"/>
    <col min="11536" max="11543" width="9.140625" style="898" customWidth="1"/>
    <col min="11544" max="11544" width="9.28515625" style="898" customWidth="1"/>
    <col min="11545" max="11545" width="17.5703125" style="898" customWidth="1"/>
    <col min="11546" max="11546" width="37.85546875" style="898" customWidth="1"/>
    <col min="11547" max="11780" width="9.140625" style="898"/>
    <col min="11781" max="11781" width="10.42578125" style="898" customWidth="1"/>
    <col min="11782" max="11782" width="51.28515625" style="898" customWidth="1"/>
    <col min="11783" max="11783" width="9.140625" style="898"/>
    <col min="11784" max="11784" width="8.140625" style="898" customWidth="1"/>
    <col min="11785" max="11785" width="9.42578125" style="898" customWidth="1"/>
    <col min="11786" max="11787" width="9.7109375" style="898" customWidth="1"/>
    <col min="11788" max="11789" width="10" style="898" customWidth="1"/>
    <col min="11790" max="11790" width="10.7109375" style="898" customWidth="1"/>
    <col min="11791" max="11791" width="10.140625" style="898" customWidth="1"/>
    <col min="11792" max="11799" width="9.140625" style="898" customWidth="1"/>
    <col min="11800" max="11800" width="9.28515625" style="898" customWidth="1"/>
    <col min="11801" max="11801" width="17.5703125" style="898" customWidth="1"/>
    <col min="11802" max="11802" width="37.85546875" style="898" customWidth="1"/>
    <col min="11803" max="12036" width="9.140625" style="898"/>
    <col min="12037" max="12037" width="10.42578125" style="898" customWidth="1"/>
    <col min="12038" max="12038" width="51.28515625" style="898" customWidth="1"/>
    <col min="12039" max="12039" width="9.140625" style="898"/>
    <col min="12040" max="12040" width="8.140625" style="898" customWidth="1"/>
    <col min="12041" max="12041" width="9.42578125" style="898" customWidth="1"/>
    <col min="12042" max="12043" width="9.7109375" style="898" customWidth="1"/>
    <col min="12044" max="12045" width="10" style="898" customWidth="1"/>
    <col min="12046" max="12046" width="10.7109375" style="898" customWidth="1"/>
    <col min="12047" max="12047" width="10.140625" style="898" customWidth="1"/>
    <col min="12048" max="12055" width="9.140625" style="898" customWidth="1"/>
    <col min="12056" max="12056" width="9.28515625" style="898" customWidth="1"/>
    <col min="12057" max="12057" width="17.5703125" style="898" customWidth="1"/>
    <col min="12058" max="12058" width="37.85546875" style="898" customWidth="1"/>
    <col min="12059" max="12292" width="9.140625" style="898"/>
    <col min="12293" max="12293" width="10.42578125" style="898" customWidth="1"/>
    <col min="12294" max="12294" width="51.28515625" style="898" customWidth="1"/>
    <col min="12295" max="12295" width="9.140625" style="898"/>
    <col min="12296" max="12296" width="8.140625" style="898" customWidth="1"/>
    <col min="12297" max="12297" width="9.42578125" style="898" customWidth="1"/>
    <col min="12298" max="12299" width="9.7109375" style="898" customWidth="1"/>
    <col min="12300" max="12301" width="10" style="898" customWidth="1"/>
    <col min="12302" max="12302" width="10.7109375" style="898" customWidth="1"/>
    <col min="12303" max="12303" width="10.140625" style="898" customWidth="1"/>
    <col min="12304" max="12311" width="9.140625" style="898" customWidth="1"/>
    <col min="12312" max="12312" width="9.28515625" style="898" customWidth="1"/>
    <col min="12313" max="12313" width="17.5703125" style="898" customWidth="1"/>
    <col min="12314" max="12314" width="37.85546875" style="898" customWidth="1"/>
    <col min="12315" max="12548" width="9.140625" style="898"/>
    <col min="12549" max="12549" width="10.42578125" style="898" customWidth="1"/>
    <col min="12550" max="12550" width="51.28515625" style="898" customWidth="1"/>
    <col min="12551" max="12551" width="9.140625" style="898"/>
    <col min="12552" max="12552" width="8.140625" style="898" customWidth="1"/>
    <col min="12553" max="12553" width="9.42578125" style="898" customWidth="1"/>
    <col min="12554" max="12555" width="9.7109375" style="898" customWidth="1"/>
    <col min="12556" max="12557" width="10" style="898" customWidth="1"/>
    <col min="12558" max="12558" width="10.7109375" style="898" customWidth="1"/>
    <col min="12559" max="12559" width="10.140625" style="898" customWidth="1"/>
    <col min="12560" max="12567" width="9.140625" style="898" customWidth="1"/>
    <col min="12568" max="12568" width="9.28515625" style="898" customWidth="1"/>
    <col min="12569" max="12569" width="17.5703125" style="898" customWidth="1"/>
    <col min="12570" max="12570" width="37.85546875" style="898" customWidth="1"/>
    <col min="12571" max="12804" width="9.140625" style="898"/>
    <col min="12805" max="12805" width="10.42578125" style="898" customWidth="1"/>
    <col min="12806" max="12806" width="51.28515625" style="898" customWidth="1"/>
    <col min="12807" max="12807" width="9.140625" style="898"/>
    <col min="12808" max="12808" width="8.140625" style="898" customWidth="1"/>
    <col min="12809" max="12809" width="9.42578125" style="898" customWidth="1"/>
    <col min="12810" max="12811" width="9.7109375" style="898" customWidth="1"/>
    <col min="12812" max="12813" width="10" style="898" customWidth="1"/>
    <col min="12814" max="12814" width="10.7109375" style="898" customWidth="1"/>
    <col min="12815" max="12815" width="10.140625" style="898" customWidth="1"/>
    <col min="12816" max="12823" width="9.140625" style="898" customWidth="1"/>
    <col min="12824" max="12824" width="9.28515625" style="898" customWidth="1"/>
    <col min="12825" max="12825" width="17.5703125" style="898" customWidth="1"/>
    <col min="12826" max="12826" width="37.85546875" style="898" customWidth="1"/>
    <col min="12827" max="13060" width="9.140625" style="898"/>
    <col min="13061" max="13061" width="10.42578125" style="898" customWidth="1"/>
    <col min="13062" max="13062" width="51.28515625" style="898" customWidth="1"/>
    <col min="13063" max="13063" width="9.140625" style="898"/>
    <col min="13064" max="13064" width="8.140625" style="898" customWidth="1"/>
    <col min="13065" max="13065" width="9.42578125" style="898" customWidth="1"/>
    <col min="13066" max="13067" width="9.7109375" style="898" customWidth="1"/>
    <col min="13068" max="13069" width="10" style="898" customWidth="1"/>
    <col min="13070" max="13070" width="10.7109375" style="898" customWidth="1"/>
    <col min="13071" max="13071" width="10.140625" style="898" customWidth="1"/>
    <col min="13072" max="13079" width="9.140625" style="898" customWidth="1"/>
    <col min="13080" max="13080" width="9.28515625" style="898" customWidth="1"/>
    <col min="13081" max="13081" width="17.5703125" style="898" customWidth="1"/>
    <col min="13082" max="13082" width="37.85546875" style="898" customWidth="1"/>
    <col min="13083" max="13316" width="9.140625" style="898"/>
    <col min="13317" max="13317" width="10.42578125" style="898" customWidth="1"/>
    <col min="13318" max="13318" width="51.28515625" style="898" customWidth="1"/>
    <col min="13319" max="13319" width="9.140625" style="898"/>
    <col min="13320" max="13320" width="8.140625" style="898" customWidth="1"/>
    <col min="13321" max="13321" width="9.42578125" style="898" customWidth="1"/>
    <col min="13322" max="13323" width="9.7109375" style="898" customWidth="1"/>
    <col min="13324" max="13325" width="10" style="898" customWidth="1"/>
    <col min="13326" max="13326" width="10.7109375" style="898" customWidth="1"/>
    <col min="13327" max="13327" width="10.140625" style="898" customWidth="1"/>
    <col min="13328" max="13335" width="9.140625" style="898" customWidth="1"/>
    <col min="13336" max="13336" width="9.28515625" style="898" customWidth="1"/>
    <col min="13337" max="13337" width="17.5703125" style="898" customWidth="1"/>
    <col min="13338" max="13338" width="37.85546875" style="898" customWidth="1"/>
    <col min="13339" max="13572" width="9.140625" style="898"/>
    <col min="13573" max="13573" width="10.42578125" style="898" customWidth="1"/>
    <col min="13574" max="13574" width="51.28515625" style="898" customWidth="1"/>
    <col min="13575" max="13575" width="9.140625" style="898"/>
    <col min="13576" max="13576" width="8.140625" style="898" customWidth="1"/>
    <col min="13577" max="13577" width="9.42578125" style="898" customWidth="1"/>
    <col min="13578" max="13579" width="9.7109375" style="898" customWidth="1"/>
    <col min="13580" max="13581" width="10" style="898" customWidth="1"/>
    <col min="13582" max="13582" width="10.7109375" style="898" customWidth="1"/>
    <col min="13583" max="13583" width="10.140625" style="898" customWidth="1"/>
    <col min="13584" max="13591" width="9.140625" style="898" customWidth="1"/>
    <col min="13592" max="13592" width="9.28515625" style="898" customWidth="1"/>
    <col min="13593" max="13593" width="17.5703125" style="898" customWidth="1"/>
    <col min="13594" max="13594" width="37.85546875" style="898" customWidth="1"/>
    <col min="13595" max="13828" width="9.140625" style="898"/>
    <col min="13829" max="13829" width="10.42578125" style="898" customWidth="1"/>
    <col min="13830" max="13830" width="51.28515625" style="898" customWidth="1"/>
    <col min="13831" max="13831" width="9.140625" style="898"/>
    <col min="13832" max="13832" width="8.140625" style="898" customWidth="1"/>
    <col min="13833" max="13833" width="9.42578125" style="898" customWidth="1"/>
    <col min="13834" max="13835" width="9.7109375" style="898" customWidth="1"/>
    <col min="13836" max="13837" width="10" style="898" customWidth="1"/>
    <col min="13838" max="13838" width="10.7109375" style="898" customWidth="1"/>
    <col min="13839" max="13839" width="10.140625" style="898" customWidth="1"/>
    <col min="13840" max="13847" width="9.140625" style="898" customWidth="1"/>
    <col min="13848" max="13848" width="9.28515625" style="898" customWidth="1"/>
    <col min="13849" max="13849" width="17.5703125" style="898" customWidth="1"/>
    <col min="13850" max="13850" width="37.85546875" style="898" customWidth="1"/>
    <col min="13851" max="14084" width="9.140625" style="898"/>
    <col min="14085" max="14085" width="10.42578125" style="898" customWidth="1"/>
    <col min="14086" max="14086" width="51.28515625" style="898" customWidth="1"/>
    <col min="14087" max="14087" width="9.140625" style="898"/>
    <col min="14088" max="14088" width="8.140625" style="898" customWidth="1"/>
    <col min="14089" max="14089" width="9.42578125" style="898" customWidth="1"/>
    <col min="14090" max="14091" width="9.7109375" style="898" customWidth="1"/>
    <col min="14092" max="14093" width="10" style="898" customWidth="1"/>
    <col min="14094" max="14094" width="10.7109375" style="898" customWidth="1"/>
    <col min="14095" max="14095" width="10.140625" style="898" customWidth="1"/>
    <col min="14096" max="14103" width="9.140625" style="898" customWidth="1"/>
    <col min="14104" max="14104" width="9.28515625" style="898" customWidth="1"/>
    <col min="14105" max="14105" width="17.5703125" style="898" customWidth="1"/>
    <col min="14106" max="14106" width="37.85546875" style="898" customWidth="1"/>
    <col min="14107" max="14340" width="9.140625" style="898"/>
    <col min="14341" max="14341" width="10.42578125" style="898" customWidth="1"/>
    <col min="14342" max="14342" width="51.28515625" style="898" customWidth="1"/>
    <col min="14343" max="14343" width="9.140625" style="898"/>
    <col min="14344" max="14344" width="8.140625" style="898" customWidth="1"/>
    <col min="14345" max="14345" width="9.42578125" style="898" customWidth="1"/>
    <col min="14346" max="14347" width="9.7109375" style="898" customWidth="1"/>
    <col min="14348" max="14349" width="10" style="898" customWidth="1"/>
    <col min="14350" max="14350" width="10.7109375" style="898" customWidth="1"/>
    <col min="14351" max="14351" width="10.140625" style="898" customWidth="1"/>
    <col min="14352" max="14359" width="9.140625" style="898" customWidth="1"/>
    <col min="14360" max="14360" width="9.28515625" style="898" customWidth="1"/>
    <col min="14361" max="14361" width="17.5703125" style="898" customWidth="1"/>
    <col min="14362" max="14362" width="37.85546875" style="898" customWidth="1"/>
    <col min="14363" max="14596" width="9.140625" style="898"/>
    <col min="14597" max="14597" width="10.42578125" style="898" customWidth="1"/>
    <col min="14598" max="14598" width="51.28515625" style="898" customWidth="1"/>
    <col min="14599" max="14599" width="9.140625" style="898"/>
    <col min="14600" max="14600" width="8.140625" style="898" customWidth="1"/>
    <col min="14601" max="14601" width="9.42578125" style="898" customWidth="1"/>
    <col min="14602" max="14603" width="9.7109375" style="898" customWidth="1"/>
    <col min="14604" max="14605" width="10" style="898" customWidth="1"/>
    <col min="14606" max="14606" width="10.7109375" style="898" customWidth="1"/>
    <col min="14607" max="14607" width="10.140625" style="898" customWidth="1"/>
    <col min="14608" max="14615" width="9.140625" style="898" customWidth="1"/>
    <col min="14616" max="14616" width="9.28515625" style="898" customWidth="1"/>
    <col min="14617" max="14617" width="17.5703125" style="898" customWidth="1"/>
    <col min="14618" max="14618" width="37.85546875" style="898" customWidth="1"/>
    <col min="14619" max="14852" width="9.140625" style="898"/>
    <col min="14853" max="14853" width="10.42578125" style="898" customWidth="1"/>
    <col min="14854" max="14854" width="51.28515625" style="898" customWidth="1"/>
    <col min="14855" max="14855" width="9.140625" style="898"/>
    <col min="14856" max="14856" width="8.140625" style="898" customWidth="1"/>
    <col min="14857" max="14857" width="9.42578125" style="898" customWidth="1"/>
    <col min="14858" max="14859" width="9.7109375" style="898" customWidth="1"/>
    <col min="14860" max="14861" width="10" style="898" customWidth="1"/>
    <col min="14862" max="14862" width="10.7109375" style="898" customWidth="1"/>
    <col min="14863" max="14863" width="10.140625" style="898" customWidth="1"/>
    <col min="14864" max="14871" width="9.140625" style="898" customWidth="1"/>
    <col min="14872" max="14872" width="9.28515625" style="898" customWidth="1"/>
    <col min="14873" max="14873" width="17.5703125" style="898" customWidth="1"/>
    <col min="14874" max="14874" width="37.85546875" style="898" customWidth="1"/>
    <col min="14875" max="15108" width="9.140625" style="898"/>
    <col min="15109" max="15109" width="10.42578125" style="898" customWidth="1"/>
    <col min="15110" max="15110" width="51.28515625" style="898" customWidth="1"/>
    <col min="15111" max="15111" width="9.140625" style="898"/>
    <col min="15112" max="15112" width="8.140625" style="898" customWidth="1"/>
    <col min="15113" max="15113" width="9.42578125" style="898" customWidth="1"/>
    <col min="15114" max="15115" width="9.7109375" style="898" customWidth="1"/>
    <col min="15116" max="15117" width="10" style="898" customWidth="1"/>
    <col min="15118" max="15118" width="10.7109375" style="898" customWidth="1"/>
    <col min="15119" max="15119" width="10.140625" style="898" customWidth="1"/>
    <col min="15120" max="15127" width="9.140625" style="898" customWidth="1"/>
    <col min="15128" max="15128" width="9.28515625" style="898" customWidth="1"/>
    <col min="15129" max="15129" width="17.5703125" style="898" customWidth="1"/>
    <col min="15130" max="15130" width="37.85546875" style="898" customWidth="1"/>
    <col min="15131" max="15364" width="9.140625" style="898"/>
    <col min="15365" max="15365" width="10.42578125" style="898" customWidth="1"/>
    <col min="15366" max="15366" width="51.28515625" style="898" customWidth="1"/>
    <col min="15367" max="15367" width="9.140625" style="898"/>
    <col min="15368" max="15368" width="8.140625" style="898" customWidth="1"/>
    <col min="15369" max="15369" width="9.42578125" style="898" customWidth="1"/>
    <col min="15370" max="15371" width="9.7109375" style="898" customWidth="1"/>
    <col min="15372" max="15373" width="10" style="898" customWidth="1"/>
    <col min="15374" max="15374" width="10.7109375" style="898" customWidth="1"/>
    <col min="15375" max="15375" width="10.140625" style="898" customWidth="1"/>
    <col min="15376" max="15383" width="9.140625" style="898" customWidth="1"/>
    <col min="15384" max="15384" width="9.28515625" style="898" customWidth="1"/>
    <col min="15385" max="15385" width="17.5703125" style="898" customWidth="1"/>
    <col min="15386" max="15386" width="37.85546875" style="898" customWidth="1"/>
    <col min="15387" max="15620" width="9.140625" style="898"/>
    <col min="15621" max="15621" width="10.42578125" style="898" customWidth="1"/>
    <col min="15622" max="15622" width="51.28515625" style="898" customWidth="1"/>
    <col min="15623" max="15623" width="9.140625" style="898"/>
    <col min="15624" max="15624" width="8.140625" style="898" customWidth="1"/>
    <col min="15625" max="15625" width="9.42578125" style="898" customWidth="1"/>
    <col min="15626" max="15627" width="9.7109375" style="898" customWidth="1"/>
    <col min="15628" max="15629" width="10" style="898" customWidth="1"/>
    <col min="15630" max="15630" width="10.7109375" style="898" customWidth="1"/>
    <col min="15631" max="15631" width="10.140625" style="898" customWidth="1"/>
    <col min="15632" max="15639" width="9.140625" style="898" customWidth="1"/>
    <col min="15640" max="15640" width="9.28515625" style="898" customWidth="1"/>
    <col min="15641" max="15641" width="17.5703125" style="898" customWidth="1"/>
    <col min="15642" max="15642" width="37.85546875" style="898" customWidth="1"/>
    <col min="15643" max="15876" width="9.140625" style="898"/>
    <col min="15877" max="15877" width="10.42578125" style="898" customWidth="1"/>
    <col min="15878" max="15878" width="51.28515625" style="898" customWidth="1"/>
    <col min="15879" max="15879" width="9.140625" style="898"/>
    <col min="15880" max="15880" width="8.140625" style="898" customWidth="1"/>
    <col min="15881" max="15881" width="9.42578125" style="898" customWidth="1"/>
    <col min="15882" max="15883" width="9.7109375" style="898" customWidth="1"/>
    <col min="15884" max="15885" width="10" style="898" customWidth="1"/>
    <col min="15886" max="15886" width="10.7109375" style="898" customWidth="1"/>
    <col min="15887" max="15887" width="10.140625" style="898" customWidth="1"/>
    <col min="15888" max="15895" width="9.140625" style="898" customWidth="1"/>
    <col min="15896" max="15896" width="9.28515625" style="898" customWidth="1"/>
    <col min="15897" max="15897" width="17.5703125" style="898" customWidth="1"/>
    <col min="15898" max="15898" width="37.85546875" style="898" customWidth="1"/>
    <col min="15899" max="16132" width="9.140625" style="898"/>
    <col min="16133" max="16133" width="10.42578125" style="898" customWidth="1"/>
    <col min="16134" max="16134" width="51.28515625" style="898" customWidth="1"/>
    <col min="16135" max="16135" width="9.140625" style="898"/>
    <col min="16136" max="16136" width="8.140625" style="898" customWidth="1"/>
    <col min="16137" max="16137" width="9.42578125" style="898" customWidth="1"/>
    <col min="16138" max="16139" width="9.7109375" style="898" customWidth="1"/>
    <col min="16140" max="16141" width="10" style="898" customWidth="1"/>
    <col min="16142" max="16142" width="10.7109375" style="898" customWidth="1"/>
    <col min="16143" max="16143" width="10.140625" style="898" customWidth="1"/>
    <col min="16144" max="16151" width="9.140625" style="898" customWidth="1"/>
    <col min="16152" max="16152" width="9.28515625" style="898" customWidth="1"/>
    <col min="16153" max="16153" width="17.5703125" style="898" customWidth="1"/>
    <col min="16154" max="16154" width="37.85546875" style="898" customWidth="1"/>
    <col min="16155" max="16384" width="9.140625" style="898"/>
  </cols>
  <sheetData>
    <row r="1" spans="1:28" ht="15" customHeight="1">
      <c r="A1" s="1262" t="s">
        <v>183</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row>
    <row r="2" spans="1:28" s="899" customFormat="1" ht="24" customHeight="1">
      <c r="A2" s="1263" t="s">
        <v>980</v>
      </c>
      <c r="B2" s="1263"/>
      <c r="C2" s="1263"/>
      <c r="D2" s="1263"/>
      <c r="E2" s="1263"/>
      <c r="F2" s="1263"/>
      <c r="G2" s="1263"/>
      <c r="H2" s="1263"/>
      <c r="I2" s="1263"/>
      <c r="J2" s="1263"/>
      <c r="K2" s="1263"/>
      <c r="L2" s="1263"/>
      <c r="M2" s="1263"/>
      <c r="N2" s="1263"/>
      <c r="O2" s="1263"/>
      <c r="P2" s="1263"/>
      <c r="Q2" s="1263"/>
      <c r="R2" s="1263"/>
      <c r="S2" s="1263"/>
      <c r="T2" s="1263"/>
      <c r="U2" s="1263"/>
      <c r="V2" s="1263"/>
      <c r="W2" s="1263"/>
      <c r="X2" s="1263"/>
      <c r="Y2" s="1263"/>
      <c r="Z2" s="1263"/>
      <c r="AA2" s="1263"/>
      <c r="AB2" s="897"/>
    </row>
    <row r="3" spans="1:28" ht="15" customHeight="1">
      <c r="A3" s="1264" t="s">
        <v>0</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row>
    <row r="4" spans="1:28" s="900" customFormat="1" ht="14.25" customHeight="1">
      <c r="A4" s="1265" t="s">
        <v>1</v>
      </c>
      <c r="B4" s="1157"/>
      <c r="C4" s="1268" t="s">
        <v>132</v>
      </c>
      <c r="D4" s="1271" t="s">
        <v>3</v>
      </c>
      <c r="E4" s="1271" t="s">
        <v>361</v>
      </c>
      <c r="F4" s="1271" t="s">
        <v>311</v>
      </c>
      <c r="G4" s="1271" t="s">
        <v>182</v>
      </c>
      <c r="H4" s="1277" t="s">
        <v>133</v>
      </c>
      <c r="I4" s="1278"/>
      <c r="J4" s="1278"/>
      <c r="K4" s="1278"/>
      <c r="L4" s="1278"/>
      <c r="M4" s="1278"/>
      <c r="N4" s="1278"/>
      <c r="O4" s="1278"/>
      <c r="P4" s="1278"/>
      <c r="Q4" s="1278"/>
      <c r="R4" s="1278"/>
      <c r="S4" s="1278"/>
      <c r="T4" s="1278"/>
      <c r="U4" s="1278"/>
      <c r="V4" s="1278"/>
      <c r="W4" s="1278"/>
      <c r="X4" s="1279"/>
      <c r="Y4" s="1271" t="s">
        <v>310</v>
      </c>
      <c r="Z4" s="1287" t="s">
        <v>798</v>
      </c>
      <c r="AA4" s="1288" t="s">
        <v>309</v>
      </c>
      <c r="AB4" s="1287" t="s">
        <v>798</v>
      </c>
    </row>
    <row r="5" spans="1:28" s="900" customFormat="1" ht="15" hidden="1" customHeight="1">
      <c r="A5" s="1266"/>
      <c r="B5" s="1158"/>
      <c r="C5" s="1269"/>
      <c r="D5" s="1272"/>
      <c r="E5" s="1272"/>
      <c r="F5" s="1272"/>
      <c r="G5" s="1272"/>
      <c r="H5" s="1280"/>
      <c r="I5" s="1263"/>
      <c r="J5" s="1263"/>
      <c r="K5" s="1263"/>
      <c r="L5" s="1263"/>
      <c r="M5" s="1263"/>
      <c r="N5" s="1263"/>
      <c r="O5" s="1263"/>
      <c r="P5" s="1263"/>
      <c r="Q5" s="1263"/>
      <c r="R5" s="1263"/>
      <c r="S5" s="1263"/>
      <c r="T5" s="1263"/>
      <c r="U5" s="1263"/>
      <c r="V5" s="1263"/>
      <c r="W5" s="1263"/>
      <c r="X5" s="1281"/>
      <c r="Y5" s="1272"/>
      <c r="Z5" s="1287"/>
      <c r="AA5" s="1289"/>
      <c r="AB5" s="1287"/>
    </row>
    <row r="6" spans="1:28" s="900" customFormat="1" ht="15" customHeight="1">
      <c r="A6" s="1266"/>
      <c r="B6" s="1158"/>
      <c r="C6" s="1269"/>
      <c r="D6" s="1272"/>
      <c r="E6" s="1272"/>
      <c r="F6" s="1272"/>
      <c r="G6" s="1272"/>
      <c r="H6" s="1282"/>
      <c r="I6" s="1283"/>
      <c r="J6" s="1283"/>
      <c r="K6" s="1283"/>
      <c r="L6" s="1283"/>
      <c r="M6" s="1283"/>
      <c r="N6" s="1283"/>
      <c r="O6" s="1283"/>
      <c r="P6" s="1283"/>
      <c r="Q6" s="1283"/>
      <c r="R6" s="1283"/>
      <c r="S6" s="1283"/>
      <c r="T6" s="1283"/>
      <c r="U6" s="1283"/>
      <c r="V6" s="1283"/>
      <c r="W6" s="1283"/>
      <c r="X6" s="1284"/>
      <c r="Y6" s="1272"/>
      <c r="Z6" s="1287"/>
      <c r="AA6" s="1289"/>
      <c r="AB6" s="1287"/>
    </row>
    <row r="7" spans="1:28" s="900" customFormat="1" ht="42.75">
      <c r="A7" s="1267"/>
      <c r="B7" s="1159"/>
      <c r="C7" s="1270"/>
      <c r="D7" s="1273"/>
      <c r="E7" s="1273"/>
      <c r="F7" s="1273"/>
      <c r="G7" s="1273"/>
      <c r="H7" s="1161" t="s">
        <v>308</v>
      </c>
      <c r="I7" s="1161"/>
      <c r="J7" s="1161"/>
      <c r="K7" s="1113" t="s">
        <v>134</v>
      </c>
      <c r="L7" s="1044"/>
      <c r="M7" s="1044"/>
      <c r="N7" s="1044"/>
      <c r="O7" s="1044"/>
      <c r="P7" s="1044"/>
      <c r="Q7" s="1044"/>
      <c r="R7" s="1044"/>
      <c r="S7" s="1044"/>
      <c r="T7" s="1044"/>
      <c r="U7" s="1044"/>
      <c r="V7" s="1044"/>
      <c r="W7" s="1044"/>
      <c r="X7" s="1045"/>
      <c r="Y7" s="1273"/>
      <c r="Z7" s="1287"/>
      <c r="AA7" s="1290"/>
      <c r="AB7" s="1287"/>
    </row>
    <row r="8" spans="1:28" s="902" customFormat="1" ht="30">
      <c r="A8" s="901">
        <v>-1</v>
      </c>
      <c r="B8" s="901"/>
      <c r="C8" s="995">
        <v>-2</v>
      </c>
      <c r="D8" s="901">
        <v>-3</v>
      </c>
      <c r="E8" s="901">
        <v>-3</v>
      </c>
      <c r="F8" s="901" t="s">
        <v>359</v>
      </c>
      <c r="G8" s="870">
        <v>-5</v>
      </c>
      <c r="H8" s="901" t="s">
        <v>360</v>
      </c>
      <c r="I8" s="901">
        <v>-7</v>
      </c>
      <c r="J8" s="901"/>
      <c r="K8" s="1114">
        <v>-8</v>
      </c>
      <c r="L8" s="901">
        <v>-9</v>
      </c>
      <c r="M8" s="901">
        <v>-11</v>
      </c>
      <c r="N8" s="901">
        <v>-12</v>
      </c>
      <c r="O8" s="901">
        <v>-13</v>
      </c>
      <c r="P8" s="901"/>
      <c r="Q8" s="901">
        <v>-14</v>
      </c>
      <c r="R8" s="901">
        <v>-15</v>
      </c>
      <c r="S8" s="901"/>
      <c r="T8" s="901"/>
      <c r="U8" s="901">
        <v>-16</v>
      </c>
      <c r="V8" s="901">
        <v>-17</v>
      </c>
      <c r="W8" s="901">
        <v>-18</v>
      </c>
      <c r="X8" s="901">
        <v>-19</v>
      </c>
      <c r="Y8" s="901">
        <v>-20</v>
      </c>
      <c r="Z8" s="943"/>
      <c r="AA8" s="932"/>
      <c r="AB8" s="954"/>
    </row>
    <row r="9" spans="1:28">
      <c r="A9" s="868"/>
      <c r="B9" s="868"/>
      <c r="C9" s="872"/>
      <c r="D9" s="870"/>
      <c r="E9" s="870"/>
      <c r="F9" s="871" t="s">
        <v>202</v>
      </c>
      <c r="G9" s="871"/>
      <c r="H9" s="871"/>
      <c r="I9" s="1161" t="s">
        <v>9</v>
      </c>
      <c r="J9" s="1161" t="s">
        <v>11</v>
      </c>
      <c r="K9" s="904" t="s">
        <v>13</v>
      </c>
      <c r="L9" s="904" t="s">
        <v>15</v>
      </c>
      <c r="M9" s="904" t="s">
        <v>21</v>
      </c>
      <c r="N9" s="904" t="s">
        <v>17</v>
      </c>
      <c r="O9" s="904" t="s">
        <v>23</v>
      </c>
      <c r="P9" s="904" t="s">
        <v>204</v>
      </c>
      <c r="Q9" s="904" t="s">
        <v>192</v>
      </c>
      <c r="R9" s="904" t="s">
        <v>193</v>
      </c>
      <c r="S9" s="904" t="s">
        <v>64</v>
      </c>
      <c r="T9" s="904" t="s">
        <v>70</v>
      </c>
      <c r="U9" s="904" t="s">
        <v>57</v>
      </c>
      <c r="V9" s="904" t="s">
        <v>55</v>
      </c>
      <c r="W9" s="904" t="s">
        <v>53</v>
      </c>
      <c r="X9" s="904" t="s">
        <v>80</v>
      </c>
      <c r="Y9" s="872"/>
      <c r="Z9" s="944"/>
      <c r="AA9" s="1160"/>
      <c r="AB9" s="1165"/>
    </row>
    <row r="10" spans="1:28" ht="28.5">
      <c r="A10" s="873">
        <v>1</v>
      </c>
      <c r="B10" s="873"/>
      <c r="C10" s="876" t="s">
        <v>307</v>
      </c>
      <c r="D10" s="875"/>
      <c r="E10" s="875"/>
      <c r="F10" s="878"/>
      <c r="G10" s="878"/>
      <c r="H10" s="878"/>
      <c r="I10" s="878"/>
      <c r="J10" s="878"/>
      <c r="K10" s="905"/>
      <c r="L10" s="878"/>
      <c r="M10" s="878"/>
      <c r="N10" s="878"/>
      <c r="O10" s="878"/>
      <c r="P10" s="878"/>
      <c r="Q10" s="878"/>
      <c r="R10" s="878"/>
      <c r="S10" s="878"/>
      <c r="T10" s="878"/>
      <c r="U10" s="878"/>
      <c r="V10" s="878"/>
      <c r="W10" s="878"/>
      <c r="X10" s="878"/>
      <c r="Y10" s="876"/>
      <c r="Z10" s="949"/>
      <c r="AA10" s="1165"/>
      <c r="AB10" s="1165"/>
    </row>
    <row r="11" spans="1:28" ht="28.5">
      <c r="A11" s="873" t="s">
        <v>139</v>
      </c>
      <c r="B11" s="873"/>
      <c r="C11" s="876" t="s">
        <v>184</v>
      </c>
      <c r="D11" s="874"/>
      <c r="E11" s="874"/>
      <c r="F11" s="878"/>
      <c r="G11" s="878"/>
      <c r="H11" s="878"/>
      <c r="I11" s="878"/>
      <c r="J11" s="878"/>
      <c r="K11" s="905"/>
      <c r="L11" s="878"/>
      <c r="M11" s="878"/>
      <c r="N11" s="878"/>
      <c r="O11" s="878"/>
      <c r="P11" s="878"/>
      <c r="Q11" s="878"/>
      <c r="R11" s="878"/>
      <c r="S11" s="878"/>
      <c r="T11" s="878"/>
      <c r="U11" s="878"/>
      <c r="V11" s="878"/>
      <c r="W11" s="878"/>
      <c r="X11" s="878"/>
      <c r="Y11" s="876"/>
      <c r="Z11" s="949"/>
      <c r="AA11" s="1165"/>
      <c r="AB11" s="1165"/>
    </row>
    <row r="12" spans="1:28" ht="90">
      <c r="A12" s="946">
        <v>1</v>
      </c>
      <c r="B12" s="946" t="s">
        <v>919</v>
      </c>
      <c r="C12" s="880" t="s">
        <v>328</v>
      </c>
      <c r="D12" s="875" t="s">
        <v>31</v>
      </c>
      <c r="E12" s="875" t="s">
        <v>31</v>
      </c>
      <c r="F12" s="879">
        <f t="shared" ref="F12:F28" si="0">G12+H12</f>
        <v>2</v>
      </c>
      <c r="G12" s="907"/>
      <c r="H12" s="907">
        <f t="shared" ref="H12:H44" si="1">I12+SUM(K12:X12)</f>
        <v>2</v>
      </c>
      <c r="I12" s="907"/>
      <c r="J12" s="907"/>
      <c r="K12" s="907">
        <v>2</v>
      </c>
      <c r="L12" s="907"/>
      <c r="M12" s="907"/>
      <c r="N12" s="907"/>
      <c r="O12" s="907"/>
      <c r="P12" s="907"/>
      <c r="Q12" s="907"/>
      <c r="R12" s="907"/>
      <c r="S12" s="907"/>
      <c r="T12" s="907"/>
      <c r="U12" s="907"/>
      <c r="V12" s="907"/>
      <c r="W12" s="907"/>
      <c r="X12" s="907"/>
      <c r="Y12" s="880" t="s">
        <v>169</v>
      </c>
      <c r="Z12" s="949"/>
      <c r="AA12" s="1165" t="s">
        <v>351</v>
      </c>
      <c r="AB12" s="1165" t="s">
        <v>841</v>
      </c>
    </row>
    <row r="13" spans="1:28">
      <c r="A13" s="946">
        <v>2</v>
      </c>
      <c r="B13" s="946"/>
      <c r="C13" s="880" t="s">
        <v>442</v>
      </c>
      <c r="D13" s="875" t="s">
        <v>31</v>
      </c>
      <c r="E13" s="875" t="s">
        <v>31</v>
      </c>
      <c r="F13" s="879">
        <f t="shared" si="0"/>
        <v>2</v>
      </c>
      <c r="G13" s="907"/>
      <c r="H13" s="907">
        <f t="shared" si="1"/>
        <v>2</v>
      </c>
      <c r="I13" s="907"/>
      <c r="J13" s="907"/>
      <c r="K13" s="907">
        <v>2</v>
      </c>
      <c r="L13" s="907"/>
      <c r="M13" s="907"/>
      <c r="N13" s="907"/>
      <c r="O13" s="907"/>
      <c r="P13" s="907"/>
      <c r="Q13" s="907"/>
      <c r="R13" s="907"/>
      <c r="S13" s="907"/>
      <c r="T13" s="907"/>
      <c r="U13" s="907"/>
      <c r="V13" s="907"/>
      <c r="W13" s="907"/>
      <c r="X13" s="907"/>
      <c r="Y13" s="880" t="s">
        <v>170</v>
      </c>
      <c r="Z13" s="949"/>
      <c r="AA13" s="1165"/>
      <c r="AB13" s="1165" t="s">
        <v>842</v>
      </c>
    </row>
    <row r="14" spans="1:28" ht="240">
      <c r="A14" s="946">
        <v>3</v>
      </c>
      <c r="B14" s="946"/>
      <c r="C14" s="880" t="s">
        <v>957</v>
      </c>
      <c r="D14" s="875" t="s">
        <v>31</v>
      </c>
      <c r="E14" s="875" t="s">
        <v>31</v>
      </c>
      <c r="F14" s="879">
        <f t="shared" si="0"/>
        <v>3.7199999999999998</v>
      </c>
      <c r="G14" s="907">
        <v>2.33</v>
      </c>
      <c r="H14" s="907">
        <f t="shared" si="1"/>
        <v>1.39</v>
      </c>
      <c r="I14" s="907"/>
      <c r="J14" s="907"/>
      <c r="K14" s="907">
        <v>1.39</v>
      </c>
      <c r="L14" s="907"/>
      <c r="M14" s="907"/>
      <c r="N14" s="907"/>
      <c r="O14" s="907"/>
      <c r="P14" s="907"/>
      <c r="Q14" s="907"/>
      <c r="R14" s="907"/>
      <c r="S14" s="907"/>
      <c r="T14" s="907"/>
      <c r="U14" s="907"/>
      <c r="V14" s="907"/>
      <c r="W14" s="907"/>
      <c r="X14" s="907"/>
      <c r="Y14" s="880" t="s">
        <v>168</v>
      </c>
      <c r="Z14" s="949"/>
      <c r="AA14" s="1162" t="s">
        <v>988</v>
      </c>
      <c r="AB14" s="1165"/>
    </row>
    <row r="15" spans="1:28" ht="105">
      <c r="A15" s="1165">
        <v>4</v>
      </c>
      <c r="B15" s="946"/>
      <c r="C15" s="880" t="s">
        <v>1012</v>
      </c>
      <c r="D15" s="875" t="s">
        <v>31</v>
      </c>
      <c r="E15" s="875" t="s">
        <v>31</v>
      </c>
      <c r="F15" s="879">
        <f>G15+H15</f>
        <v>0.01</v>
      </c>
      <c r="G15" s="907"/>
      <c r="H15" s="907">
        <f>I15+SUM(K15:X15)</f>
        <v>0.01</v>
      </c>
      <c r="I15" s="907"/>
      <c r="J15" s="907"/>
      <c r="K15" s="906"/>
      <c r="L15" s="907"/>
      <c r="M15" s="907"/>
      <c r="N15" s="907"/>
      <c r="O15" s="907"/>
      <c r="P15" s="907"/>
      <c r="Q15" s="907"/>
      <c r="R15" s="907"/>
      <c r="S15" s="907"/>
      <c r="T15" s="907"/>
      <c r="U15" s="907">
        <v>0.01</v>
      </c>
      <c r="V15" s="907"/>
      <c r="W15" s="907"/>
      <c r="X15" s="907"/>
      <c r="Y15" s="880" t="s">
        <v>191</v>
      </c>
      <c r="Z15" s="949"/>
      <c r="AA15" s="1142" t="s">
        <v>1036</v>
      </c>
      <c r="AB15" s="1165"/>
    </row>
    <row r="16" spans="1:28">
      <c r="A16" s="946">
        <v>4</v>
      </c>
      <c r="B16" s="946"/>
      <c r="C16" s="880" t="s">
        <v>470</v>
      </c>
      <c r="D16" s="875" t="s">
        <v>33</v>
      </c>
      <c r="E16" s="875" t="s">
        <v>33</v>
      </c>
      <c r="F16" s="879">
        <f t="shared" si="0"/>
        <v>0.2</v>
      </c>
      <c r="G16" s="907">
        <v>0.2</v>
      </c>
      <c r="H16" s="907">
        <f t="shared" si="1"/>
        <v>0</v>
      </c>
      <c r="I16" s="907"/>
      <c r="J16" s="907"/>
      <c r="K16" s="906"/>
      <c r="L16" s="907"/>
      <c r="M16" s="907"/>
      <c r="N16" s="907"/>
      <c r="O16" s="907"/>
      <c r="P16" s="907"/>
      <c r="Q16" s="907"/>
      <c r="R16" s="907"/>
      <c r="S16" s="907"/>
      <c r="T16" s="907"/>
      <c r="U16" s="907"/>
      <c r="V16" s="907"/>
      <c r="W16" s="907"/>
      <c r="X16" s="907"/>
      <c r="Y16" s="880" t="s">
        <v>168</v>
      </c>
      <c r="Z16" s="949"/>
      <c r="AA16" s="1313" t="s">
        <v>907</v>
      </c>
      <c r="AB16" s="1165"/>
    </row>
    <row r="17" spans="1:29">
      <c r="A17" s="946">
        <v>5</v>
      </c>
      <c r="B17" s="946"/>
      <c r="C17" s="880" t="s">
        <v>471</v>
      </c>
      <c r="D17" s="875" t="s">
        <v>33</v>
      </c>
      <c r="E17" s="875" t="s">
        <v>33</v>
      </c>
      <c r="F17" s="879">
        <f t="shared" si="0"/>
        <v>0.15</v>
      </c>
      <c r="G17" s="907"/>
      <c r="H17" s="907">
        <f t="shared" si="1"/>
        <v>0.15</v>
      </c>
      <c r="I17" s="907"/>
      <c r="J17" s="907"/>
      <c r="K17" s="906"/>
      <c r="L17" s="907"/>
      <c r="M17" s="907"/>
      <c r="N17" s="907"/>
      <c r="O17" s="907"/>
      <c r="P17" s="907"/>
      <c r="Q17" s="907"/>
      <c r="R17" s="907"/>
      <c r="S17" s="907"/>
      <c r="T17" s="907"/>
      <c r="U17" s="907">
        <v>0.15</v>
      </c>
      <c r="V17" s="907"/>
      <c r="W17" s="907"/>
      <c r="X17" s="907"/>
      <c r="Y17" s="880" t="s">
        <v>174</v>
      </c>
      <c r="Z17" s="949"/>
      <c r="AA17" s="1314"/>
      <c r="AB17" s="1165"/>
    </row>
    <row r="18" spans="1:29">
      <c r="A18" s="946">
        <v>6</v>
      </c>
      <c r="B18" s="946"/>
      <c r="C18" s="880" t="s">
        <v>472</v>
      </c>
      <c r="D18" s="875" t="s">
        <v>33</v>
      </c>
      <c r="E18" s="875" t="s">
        <v>33</v>
      </c>
      <c r="F18" s="879">
        <f t="shared" si="0"/>
        <v>0.1</v>
      </c>
      <c r="G18" s="907"/>
      <c r="H18" s="907">
        <f t="shared" si="1"/>
        <v>0.1</v>
      </c>
      <c r="I18" s="907"/>
      <c r="J18" s="907"/>
      <c r="K18" s="906"/>
      <c r="L18" s="907"/>
      <c r="M18" s="907"/>
      <c r="N18" s="907"/>
      <c r="O18" s="907"/>
      <c r="P18" s="907"/>
      <c r="Q18" s="907"/>
      <c r="R18" s="907"/>
      <c r="S18" s="907"/>
      <c r="T18" s="907"/>
      <c r="U18" s="907">
        <v>0.1</v>
      </c>
      <c r="V18" s="907"/>
      <c r="W18" s="907"/>
      <c r="X18" s="907"/>
      <c r="Y18" s="880" t="s">
        <v>189</v>
      </c>
      <c r="Z18" s="949"/>
      <c r="AA18" s="1314"/>
      <c r="AB18" s="1165"/>
    </row>
    <row r="19" spans="1:29">
      <c r="A19" s="946">
        <v>7</v>
      </c>
      <c r="B19" s="946"/>
      <c r="C19" s="880" t="s">
        <v>329</v>
      </c>
      <c r="D19" s="875" t="s">
        <v>33</v>
      </c>
      <c r="E19" s="875" t="s">
        <v>33</v>
      </c>
      <c r="F19" s="879">
        <f t="shared" si="0"/>
        <v>0.06</v>
      </c>
      <c r="G19" s="907"/>
      <c r="H19" s="907">
        <f t="shared" si="1"/>
        <v>0.06</v>
      </c>
      <c r="I19" s="907"/>
      <c r="J19" s="907"/>
      <c r="K19" s="906"/>
      <c r="L19" s="907"/>
      <c r="M19" s="907"/>
      <c r="N19" s="907"/>
      <c r="O19" s="907"/>
      <c r="P19" s="907"/>
      <c r="Q19" s="907">
        <v>0.06</v>
      </c>
      <c r="R19" s="907"/>
      <c r="S19" s="907"/>
      <c r="T19" s="907"/>
      <c r="U19" s="907"/>
      <c r="V19" s="907"/>
      <c r="W19" s="907"/>
      <c r="X19" s="907"/>
      <c r="Y19" s="880" t="s">
        <v>190</v>
      </c>
      <c r="Z19" s="949"/>
      <c r="AA19" s="1314"/>
      <c r="AB19" s="1165" t="s">
        <v>843</v>
      </c>
    </row>
    <row r="20" spans="1:29">
      <c r="A20" s="946">
        <v>8</v>
      </c>
      <c r="B20" s="946"/>
      <c r="C20" s="880" t="s">
        <v>473</v>
      </c>
      <c r="D20" s="875" t="s">
        <v>33</v>
      </c>
      <c r="E20" s="875" t="s">
        <v>33</v>
      </c>
      <c r="F20" s="879">
        <f t="shared" si="0"/>
        <v>0.09</v>
      </c>
      <c r="G20" s="907"/>
      <c r="H20" s="907">
        <f t="shared" si="1"/>
        <v>0.09</v>
      </c>
      <c r="I20" s="907"/>
      <c r="J20" s="907"/>
      <c r="K20" s="906"/>
      <c r="L20" s="907"/>
      <c r="M20" s="907"/>
      <c r="N20" s="907"/>
      <c r="O20" s="907"/>
      <c r="P20" s="907">
        <v>0.09</v>
      </c>
      <c r="Q20" s="907"/>
      <c r="R20" s="907"/>
      <c r="S20" s="907"/>
      <c r="T20" s="907"/>
      <c r="U20" s="907"/>
      <c r="V20" s="907"/>
      <c r="W20" s="907"/>
      <c r="X20" s="907"/>
      <c r="Y20" s="880" t="s">
        <v>172</v>
      </c>
      <c r="Z20" s="949"/>
      <c r="AA20" s="1314"/>
      <c r="AB20" s="1165"/>
      <c r="AC20" s="898" t="s">
        <v>958</v>
      </c>
    </row>
    <row r="21" spans="1:29">
      <c r="A21" s="946">
        <v>9</v>
      </c>
      <c r="B21" s="946"/>
      <c r="C21" s="880" t="s">
        <v>343</v>
      </c>
      <c r="D21" s="875" t="s">
        <v>33</v>
      </c>
      <c r="E21" s="875" t="s">
        <v>33</v>
      </c>
      <c r="F21" s="879">
        <f t="shared" si="0"/>
        <v>0.12</v>
      </c>
      <c r="G21" s="907"/>
      <c r="H21" s="907">
        <f t="shared" si="1"/>
        <v>0.12</v>
      </c>
      <c r="I21" s="907"/>
      <c r="J21" s="907"/>
      <c r="K21" s="907">
        <v>0.12</v>
      </c>
      <c r="L21" s="907"/>
      <c r="M21" s="907"/>
      <c r="N21" s="907"/>
      <c r="O21" s="907"/>
      <c r="P21" s="907"/>
      <c r="Q21" s="907"/>
      <c r="R21" s="907"/>
      <c r="S21" s="907"/>
      <c r="T21" s="907"/>
      <c r="U21" s="907"/>
      <c r="V21" s="907"/>
      <c r="W21" s="907"/>
      <c r="X21" s="907"/>
      <c r="Y21" s="880" t="s">
        <v>170</v>
      </c>
      <c r="Z21" s="949"/>
      <c r="AA21" s="1314"/>
      <c r="AB21" s="1165" t="s">
        <v>844</v>
      </c>
    </row>
    <row r="22" spans="1:29">
      <c r="A22" s="946">
        <v>10</v>
      </c>
      <c r="B22" s="946"/>
      <c r="C22" s="880" t="s">
        <v>344</v>
      </c>
      <c r="D22" s="875" t="s">
        <v>33</v>
      </c>
      <c r="E22" s="875" t="s">
        <v>33</v>
      </c>
      <c r="F22" s="879">
        <f t="shared" si="0"/>
        <v>0.1</v>
      </c>
      <c r="G22" s="907"/>
      <c r="H22" s="907">
        <f t="shared" si="1"/>
        <v>0.1</v>
      </c>
      <c r="I22" s="907"/>
      <c r="J22" s="907"/>
      <c r="K22" s="906"/>
      <c r="L22" s="907"/>
      <c r="M22" s="907"/>
      <c r="N22" s="907"/>
      <c r="O22" s="907"/>
      <c r="P22" s="907"/>
      <c r="Q22" s="907"/>
      <c r="R22" s="907"/>
      <c r="S22" s="907"/>
      <c r="T22" s="907"/>
      <c r="U22" s="907">
        <v>0.1</v>
      </c>
      <c r="V22" s="907"/>
      <c r="W22" s="907"/>
      <c r="X22" s="907"/>
      <c r="Y22" s="880" t="s">
        <v>169</v>
      </c>
      <c r="Z22" s="949"/>
      <c r="AA22" s="1314"/>
      <c r="AB22" s="1165" t="s">
        <v>845</v>
      </c>
    </row>
    <row r="23" spans="1:29">
      <c r="A23" s="946">
        <v>11</v>
      </c>
      <c r="B23" s="946"/>
      <c r="C23" s="880" t="s">
        <v>474</v>
      </c>
      <c r="D23" s="875" t="s">
        <v>33</v>
      </c>
      <c r="E23" s="875" t="s">
        <v>33</v>
      </c>
      <c r="F23" s="879">
        <f t="shared" si="0"/>
        <v>0.1</v>
      </c>
      <c r="G23" s="907"/>
      <c r="H23" s="907">
        <f t="shared" si="1"/>
        <v>0.1</v>
      </c>
      <c r="I23" s="907"/>
      <c r="J23" s="907"/>
      <c r="K23" s="906"/>
      <c r="L23" s="907">
        <v>0.08</v>
      </c>
      <c r="M23" s="907"/>
      <c r="N23" s="907"/>
      <c r="O23" s="907"/>
      <c r="P23" s="907"/>
      <c r="Q23" s="907"/>
      <c r="R23" s="907"/>
      <c r="S23" s="907"/>
      <c r="T23" s="907"/>
      <c r="U23" s="907"/>
      <c r="V23" s="907"/>
      <c r="W23" s="907">
        <v>0.02</v>
      </c>
      <c r="X23" s="907"/>
      <c r="Y23" s="880" t="s">
        <v>197</v>
      </c>
      <c r="Z23" s="949"/>
      <c r="AA23" s="1314"/>
      <c r="AB23" s="1165"/>
    </row>
    <row r="24" spans="1:29">
      <c r="A24" s="946">
        <v>12</v>
      </c>
      <c r="B24" s="946"/>
      <c r="C24" s="880" t="s">
        <v>475</v>
      </c>
      <c r="D24" s="875" t="s">
        <v>33</v>
      </c>
      <c r="E24" s="875" t="s">
        <v>33</v>
      </c>
      <c r="F24" s="879">
        <f t="shared" si="0"/>
        <v>0.1</v>
      </c>
      <c r="G24" s="907"/>
      <c r="H24" s="907">
        <f t="shared" si="1"/>
        <v>0.1</v>
      </c>
      <c r="I24" s="907"/>
      <c r="J24" s="907"/>
      <c r="K24" s="906"/>
      <c r="L24" s="907">
        <v>0.1</v>
      </c>
      <c r="M24" s="907"/>
      <c r="N24" s="907"/>
      <c r="O24" s="907"/>
      <c r="P24" s="907"/>
      <c r="Q24" s="907"/>
      <c r="R24" s="907"/>
      <c r="S24" s="907"/>
      <c r="T24" s="907"/>
      <c r="U24" s="907"/>
      <c r="V24" s="907"/>
      <c r="W24" s="907"/>
      <c r="X24" s="907"/>
      <c r="Y24" s="880" t="s">
        <v>191</v>
      </c>
      <c r="Z24" s="949"/>
      <c r="AA24" s="1314"/>
      <c r="AB24" s="1165"/>
    </row>
    <row r="25" spans="1:29">
      <c r="A25" s="946">
        <v>13</v>
      </c>
      <c r="B25" s="946"/>
      <c r="C25" s="880" t="s">
        <v>476</v>
      </c>
      <c r="D25" s="875" t="s">
        <v>33</v>
      </c>
      <c r="E25" s="875" t="s">
        <v>33</v>
      </c>
      <c r="F25" s="879">
        <f t="shared" si="0"/>
        <v>0.08</v>
      </c>
      <c r="G25" s="907"/>
      <c r="H25" s="907">
        <f t="shared" si="1"/>
        <v>0.08</v>
      </c>
      <c r="I25" s="907"/>
      <c r="J25" s="907"/>
      <c r="K25" s="907">
        <v>0.08</v>
      </c>
      <c r="L25" s="907"/>
      <c r="M25" s="907"/>
      <c r="N25" s="907"/>
      <c r="O25" s="907"/>
      <c r="P25" s="907"/>
      <c r="Q25" s="907"/>
      <c r="R25" s="907"/>
      <c r="S25" s="907"/>
      <c r="T25" s="907"/>
      <c r="U25" s="907"/>
      <c r="V25" s="907"/>
      <c r="W25" s="907"/>
      <c r="X25" s="907"/>
      <c r="Y25" s="880" t="s">
        <v>173</v>
      </c>
      <c r="Z25" s="949"/>
      <c r="AA25" s="1314"/>
      <c r="AB25" s="1165"/>
    </row>
    <row r="26" spans="1:29">
      <c r="A26" s="946">
        <v>14</v>
      </c>
      <c r="B26" s="946"/>
      <c r="C26" s="880" t="s">
        <v>477</v>
      </c>
      <c r="D26" s="875" t="s">
        <v>33</v>
      </c>
      <c r="E26" s="875" t="s">
        <v>33</v>
      </c>
      <c r="F26" s="879">
        <f t="shared" si="0"/>
        <v>0.1</v>
      </c>
      <c r="G26" s="907"/>
      <c r="H26" s="907">
        <f t="shared" si="1"/>
        <v>0.1</v>
      </c>
      <c r="I26" s="907"/>
      <c r="J26" s="907"/>
      <c r="K26" s="906"/>
      <c r="L26" s="907">
        <v>0.1</v>
      </c>
      <c r="M26" s="907"/>
      <c r="N26" s="907"/>
      <c r="O26" s="907"/>
      <c r="P26" s="907"/>
      <c r="Q26" s="907"/>
      <c r="R26" s="907"/>
      <c r="S26" s="907"/>
      <c r="T26" s="907"/>
      <c r="U26" s="907"/>
      <c r="V26" s="907"/>
      <c r="W26" s="907"/>
      <c r="X26" s="907"/>
      <c r="Y26" s="880" t="s">
        <v>171</v>
      </c>
      <c r="Z26" s="949"/>
      <c r="AA26" s="1314"/>
      <c r="AB26" s="1165"/>
    </row>
    <row r="27" spans="1:29" ht="30">
      <c r="A27" s="946">
        <v>15</v>
      </c>
      <c r="B27" s="946"/>
      <c r="C27" s="942" t="s">
        <v>832</v>
      </c>
      <c r="D27" s="875" t="s">
        <v>33</v>
      </c>
      <c r="E27" s="875" t="s">
        <v>33</v>
      </c>
      <c r="F27" s="879">
        <f t="shared" si="0"/>
        <v>0.69</v>
      </c>
      <c r="G27" s="907">
        <v>0.69</v>
      </c>
      <c r="H27" s="907">
        <f t="shared" si="1"/>
        <v>0</v>
      </c>
      <c r="I27" s="907"/>
      <c r="J27" s="907"/>
      <c r="K27" s="1115"/>
      <c r="L27" s="908"/>
      <c r="M27" s="908"/>
      <c r="N27" s="908"/>
      <c r="O27" s="908"/>
      <c r="P27" s="908"/>
      <c r="Q27" s="908"/>
      <c r="R27" s="908"/>
      <c r="S27" s="908"/>
      <c r="T27" s="908"/>
      <c r="U27" s="908"/>
      <c r="V27" s="908"/>
      <c r="W27" s="908"/>
      <c r="X27" s="908"/>
      <c r="Y27" s="884" t="s">
        <v>168</v>
      </c>
      <c r="Z27" s="949"/>
      <c r="AA27" s="1315"/>
      <c r="AB27" s="1165"/>
    </row>
    <row r="28" spans="1:29" ht="45">
      <c r="A28" s="946">
        <v>16</v>
      </c>
      <c r="B28" s="946" t="s">
        <v>919</v>
      </c>
      <c r="C28" s="942" t="s">
        <v>356</v>
      </c>
      <c r="D28" s="875" t="s">
        <v>33</v>
      </c>
      <c r="E28" s="875" t="s">
        <v>33</v>
      </c>
      <c r="F28" s="879">
        <f t="shared" si="0"/>
        <v>2.2999999999999998</v>
      </c>
      <c r="G28" s="907"/>
      <c r="H28" s="907">
        <f t="shared" si="1"/>
        <v>2.2999999999999998</v>
      </c>
      <c r="I28" s="907"/>
      <c r="J28" s="907"/>
      <c r="K28" s="908">
        <v>1</v>
      </c>
      <c r="L28" s="908">
        <v>1.3</v>
      </c>
      <c r="M28" s="908"/>
      <c r="N28" s="908"/>
      <c r="O28" s="908"/>
      <c r="P28" s="908"/>
      <c r="Q28" s="908"/>
      <c r="R28" s="908"/>
      <c r="S28" s="908"/>
      <c r="T28" s="908"/>
      <c r="U28" s="908"/>
      <c r="V28" s="908"/>
      <c r="W28" s="908"/>
      <c r="X28" s="908"/>
      <c r="Y28" s="884" t="s">
        <v>168</v>
      </c>
      <c r="Z28" s="949"/>
      <c r="AA28" s="945" t="s">
        <v>352</v>
      </c>
      <c r="AB28" s="1165" t="s">
        <v>846</v>
      </c>
    </row>
    <row r="29" spans="1:29" ht="42.75">
      <c r="A29" s="873" t="s">
        <v>140</v>
      </c>
      <c r="B29" s="873"/>
      <c r="C29" s="876" t="s">
        <v>278</v>
      </c>
      <c r="D29" s="875"/>
      <c r="E29" s="875"/>
      <c r="F29" s="879"/>
      <c r="G29" s="878"/>
      <c r="H29" s="907"/>
      <c r="I29" s="907"/>
      <c r="J29" s="907"/>
      <c r="K29" s="905" t="s">
        <v>202</v>
      </c>
      <c r="L29" s="878"/>
      <c r="M29" s="878"/>
      <c r="N29" s="878"/>
      <c r="O29" s="878"/>
      <c r="P29" s="878"/>
      <c r="Q29" s="878"/>
      <c r="R29" s="878"/>
      <c r="S29" s="878"/>
      <c r="T29" s="878"/>
      <c r="U29" s="878"/>
      <c r="V29" s="878"/>
      <c r="W29" s="878"/>
      <c r="X29" s="878"/>
      <c r="Y29" s="876"/>
      <c r="Z29" s="949"/>
      <c r="AA29" s="1165"/>
      <c r="AB29" s="1165"/>
    </row>
    <row r="30" spans="1:29" ht="45">
      <c r="A30" s="881" t="s">
        <v>185</v>
      </c>
      <c r="B30" s="881"/>
      <c r="C30" s="979" t="s">
        <v>203</v>
      </c>
      <c r="D30" s="875"/>
      <c r="E30" s="875"/>
      <c r="F30" s="879"/>
      <c r="G30" s="878"/>
      <c r="H30" s="907"/>
      <c r="I30" s="907"/>
      <c r="J30" s="907"/>
      <c r="K30" s="905"/>
      <c r="L30" s="878"/>
      <c r="M30" s="878"/>
      <c r="N30" s="878"/>
      <c r="O30" s="878"/>
      <c r="P30" s="878"/>
      <c r="Q30" s="878"/>
      <c r="R30" s="878"/>
      <c r="S30" s="878"/>
      <c r="T30" s="878"/>
      <c r="U30" s="878"/>
      <c r="V30" s="878"/>
      <c r="W30" s="878"/>
      <c r="X30" s="878"/>
      <c r="Y30" s="876"/>
      <c r="Z30" s="949"/>
      <c r="AA30" s="1165"/>
      <c r="AB30" s="1165"/>
    </row>
    <row r="31" spans="1:29" ht="45">
      <c r="A31" s="881" t="s">
        <v>186</v>
      </c>
      <c r="B31" s="881"/>
      <c r="C31" s="979" t="s">
        <v>187</v>
      </c>
      <c r="D31" s="875"/>
      <c r="E31" s="875"/>
      <c r="F31" s="879"/>
      <c r="G31" s="878"/>
      <c r="H31" s="907"/>
      <c r="I31" s="907"/>
      <c r="J31" s="907"/>
      <c r="K31" s="905"/>
      <c r="L31" s="878"/>
      <c r="M31" s="878"/>
      <c r="N31" s="878"/>
      <c r="O31" s="878"/>
      <c r="P31" s="878"/>
      <c r="Q31" s="878"/>
      <c r="R31" s="878"/>
      <c r="S31" s="878"/>
      <c r="T31" s="878"/>
      <c r="U31" s="878"/>
      <c r="V31" s="878"/>
      <c r="W31" s="878"/>
      <c r="X31" s="878"/>
      <c r="Y31" s="876"/>
      <c r="Z31" s="949"/>
      <c r="AA31" s="1165"/>
      <c r="AB31" s="1165"/>
    </row>
    <row r="32" spans="1:29" ht="75">
      <c r="A32" s="1165">
        <v>1</v>
      </c>
      <c r="B32" s="1165"/>
      <c r="C32" s="891" t="s">
        <v>459</v>
      </c>
      <c r="D32" s="875" t="s">
        <v>45</v>
      </c>
      <c r="E32" s="875" t="s">
        <v>193</v>
      </c>
      <c r="F32" s="879">
        <f>G32+H32</f>
        <v>33.96</v>
      </c>
      <c r="G32" s="907">
        <f>12.2+0.52</f>
        <v>12.719999999999999</v>
      </c>
      <c r="H32" s="907">
        <f t="shared" si="1"/>
        <v>21.240000000000002</v>
      </c>
      <c r="I32" s="907">
        <v>1.5</v>
      </c>
      <c r="J32" s="907"/>
      <c r="K32" s="1115"/>
      <c r="L32" s="908"/>
      <c r="M32" s="908"/>
      <c r="N32" s="908">
        <f>20.26-0.52</f>
        <v>19.740000000000002</v>
      </c>
      <c r="O32" s="908"/>
      <c r="P32" s="908"/>
      <c r="Q32" s="908"/>
      <c r="R32" s="908"/>
      <c r="S32" s="908"/>
      <c r="T32" s="908"/>
      <c r="U32" s="908"/>
      <c r="V32" s="908"/>
      <c r="W32" s="908"/>
      <c r="X32" s="908"/>
      <c r="Y32" s="909" t="s">
        <v>174</v>
      </c>
      <c r="Z32" s="949"/>
      <c r="AA32" s="1165" t="s">
        <v>306</v>
      </c>
      <c r="AB32" s="1165" t="s">
        <v>842</v>
      </c>
    </row>
    <row r="33" spans="1:28">
      <c r="A33" s="873">
        <v>2</v>
      </c>
      <c r="B33" s="873"/>
      <c r="C33" s="876" t="s">
        <v>305</v>
      </c>
      <c r="D33" s="875"/>
      <c r="E33" s="940"/>
      <c r="F33" s="879"/>
      <c r="G33" s="878"/>
      <c r="H33" s="907">
        <f t="shared" si="1"/>
        <v>0</v>
      </c>
      <c r="I33" s="907"/>
      <c r="J33" s="907"/>
      <c r="K33" s="905"/>
      <c r="L33" s="878"/>
      <c r="M33" s="878"/>
      <c r="N33" s="878"/>
      <c r="O33" s="878"/>
      <c r="P33" s="878"/>
      <c r="Q33" s="878"/>
      <c r="R33" s="878"/>
      <c r="S33" s="878"/>
      <c r="T33" s="878"/>
      <c r="U33" s="878"/>
      <c r="V33" s="878"/>
      <c r="W33" s="878"/>
      <c r="X33" s="878"/>
      <c r="Y33" s="876"/>
      <c r="Z33" s="949"/>
      <c r="AA33" s="1165"/>
      <c r="AB33" s="1165"/>
    </row>
    <row r="34" spans="1:28" ht="42.75">
      <c r="A34" s="873" t="s">
        <v>148</v>
      </c>
      <c r="B34" s="873"/>
      <c r="C34" s="876" t="s">
        <v>188</v>
      </c>
      <c r="D34" s="875"/>
      <c r="E34" s="940"/>
      <c r="F34" s="879"/>
      <c r="G34" s="878"/>
      <c r="H34" s="907">
        <f t="shared" si="1"/>
        <v>0</v>
      </c>
      <c r="I34" s="907"/>
      <c r="J34" s="907"/>
      <c r="K34" s="905"/>
      <c r="L34" s="878"/>
      <c r="M34" s="878"/>
      <c r="N34" s="878"/>
      <c r="O34" s="878"/>
      <c r="P34" s="878"/>
      <c r="Q34" s="878"/>
      <c r="R34" s="878"/>
      <c r="S34" s="878"/>
      <c r="T34" s="878"/>
      <c r="U34" s="878"/>
      <c r="V34" s="878"/>
      <c r="W34" s="878"/>
      <c r="X34" s="878"/>
      <c r="Y34" s="876"/>
      <c r="Z34" s="949"/>
      <c r="AA34" s="1165"/>
      <c r="AB34" s="1165"/>
    </row>
    <row r="35" spans="1:28" ht="45">
      <c r="A35" s="881" t="s">
        <v>276</v>
      </c>
      <c r="B35" s="881"/>
      <c r="C35" s="979" t="s">
        <v>917</v>
      </c>
      <c r="D35" s="875"/>
      <c r="E35" s="940"/>
      <c r="F35" s="879"/>
      <c r="G35" s="878"/>
      <c r="H35" s="907">
        <f t="shared" si="1"/>
        <v>0</v>
      </c>
      <c r="I35" s="907"/>
      <c r="J35" s="907"/>
      <c r="K35" s="905"/>
      <c r="L35" s="878"/>
      <c r="M35" s="878"/>
      <c r="N35" s="878"/>
      <c r="O35" s="878"/>
      <c r="P35" s="878"/>
      <c r="Q35" s="878"/>
      <c r="R35" s="878"/>
      <c r="S35" s="878"/>
      <c r="T35" s="878"/>
      <c r="U35" s="878"/>
      <c r="V35" s="878"/>
      <c r="W35" s="878"/>
      <c r="X35" s="878"/>
      <c r="Y35" s="876"/>
      <c r="Z35" s="949"/>
      <c r="AA35" s="1165"/>
      <c r="AB35" s="1165"/>
    </row>
    <row r="36" spans="1:28" ht="45" customHeight="1">
      <c r="A36" s="1340">
        <v>1</v>
      </c>
      <c r="B36" s="1167"/>
      <c r="C36" s="1345" t="s">
        <v>242</v>
      </c>
      <c r="D36" s="875" t="s">
        <v>45</v>
      </c>
      <c r="E36" s="875" t="s">
        <v>196</v>
      </c>
      <c r="F36" s="879">
        <f t="shared" ref="F36:F56" si="2">G36+H36</f>
        <v>40.799999999999997</v>
      </c>
      <c r="G36" s="907">
        <v>1.7999999999999998</v>
      </c>
      <c r="H36" s="907">
        <f t="shared" si="1"/>
        <v>39</v>
      </c>
      <c r="I36" s="907"/>
      <c r="J36" s="907"/>
      <c r="K36" s="908">
        <v>4</v>
      </c>
      <c r="L36" s="908">
        <v>2</v>
      </c>
      <c r="M36" s="908">
        <v>17</v>
      </c>
      <c r="N36" s="908">
        <v>16</v>
      </c>
      <c r="O36" s="908"/>
      <c r="P36" s="908"/>
      <c r="Q36" s="908"/>
      <c r="R36" s="908"/>
      <c r="S36" s="908"/>
      <c r="T36" s="908"/>
      <c r="U36" s="908"/>
      <c r="V36" s="908"/>
      <c r="W36" s="908"/>
      <c r="X36" s="908"/>
      <c r="Y36" s="909" t="s">
        <v>174</v>
      </c>
      <c r="Z36" s="949"/>
      <c r="AA36" s="1325" t="s">
        <v>942</v>
      </c>
      <c r="AB36" s="1313" t="s">
        <v>856</v>
      </c>
    </row>
    <row r="37" spans="1:28" ht="45" customHeight="1">
      <c r="A37" s="1341"/>
      <c r="B37" s="1168" t="s">
        <v>919</v>
      </c>
      <c r="C37" s="1346"/>
      <c r="D37" s="875" t="s">
        <v>45</v>
      </c>
      <c r="E37" s="875" t="s">
        <v>196</v>
      </c>
      <c r="F37" s="879">
        <f t="shared" si="2"/>
        <v>15.299999999999999</v>
      </c>
      <c r="G37" s="907">
        <v>9.1999999999999993</v>
      </c>
      <c r="H37" s="907">
        <f t="shared" si="1"/>
        <v>6.1</v>
      </c>
      <c r="I37" s="907"/>
      <c r="J37" s="907"/>
      <c r="K37" s="908">
        <v>2.2000000000000002</v>
      </c>
      <c r="L37" s="908">
        <f>5.6-2.2</f>
        <v>3.3999999999999995</v>
      </c>
      <c r="M37" s="908"/>
      <c r="N37" s="908"/>
      <c r="O37" s="908"/>
      <c r="P37" s="908"/>
      <c r="Q37" s="908"/>
      <c r="R37" s="908"/>
      <c r="S37" s="908"/>
      <c r="T37" s="908"/>
      <c r="U37" s="908"/>
      <c r="V37" s="908"/>
      <c r="W37" s="908">
        <v>0.5</v>
      </c>
      <c r="X37" s="908"/>
      <c r="Y37" s="909" t="s">
        <v>173</v>
      </c>
      <c r="Z37" s="949"/>
      <c r="AA37" s="1326"/>
      <c r="AB37" s="1314"/>
    </row>
    <row r="38" spans="1:28" ht="45" customHeight="1">
      <c r="A38" s="1342"/>
      <c r="B38" s="1169"/>
      <c r="C38" s="1347"/>
      <c r="D38" s="875" t="s">
        <v>45</v>
      </c>
      <c r="E38" s="875" t="s">
        <v>196</v>
      </c>
      <c r="F38" s="879">
        <f t="shared" si="2"/>
        <v>10.900000000000002</v>
      </c>
      <c r="G38" s="907">
        <v>0.33000000000000096</v>
      </c>
      <c r="H38" s="907">
        <f t="shared" si="1"/>
        <v>10.57</v>
      </c>
      <c r="I38" s="907">
        <v>0.8</v>
      </c>
      <c r="J38" s="907">
        <v>0.8</v>
      </c>
      <c r="K38" s="908">
        <v>1.9</v>
      </c>
      <c r="L38" s="908">
        <f>1.41+0.63</f>
        <v>2.04</v>
      </c>
      <c r="M38" s="908">
        <v>2</v>
      </c>
      <c r="N38" s="908"/>
      <c r="O38" s="908">
        <v>0.19</v>
      </c>
      <c r="P38" s="908"/>
      <c r="Q38" s="908">
        <v>0.11</v>
      </c>
      <c r="R38" s="908"/>
      <c r="S38" s="908"/>
      <c r="T38" s="908">
        <v>0.03</v>
      </c>
      <c r="U38" s="908">
        <v>1.5</v>
      </c>
      <c r="V38" s="908">
        <v>2</v>
      </c>
      <c r="W38" s="908"/>
      <c r="X38" s="908"/>
      <c r="Y38" s="883" t="s">
        <v>168</v>
      </c>
      <c r="Z38" s="949"/>
      <c r="AA38" s="1327"/>
      <c r="AB38" s="1315"/>
    </row>
    <row r="39" spans="1:28" ht="22.5" customHeight="1">
      <c r="A39" s="1313">
        <v>2</v>
      </c>
      <c r="B39" s="1162"/>
      <c r="C39" s="1334" t="s">
        <v>349</v>
      </c>
      <c r="D39" s="875" t="s">
        <v>45</v>
      </c>
      <c r="E39" s="875" t="s">
        <v>193</v>
      </c>
      <c r="F39" s="879">
        <f t="shared" si="2"/>
        <v>166.67999999999998</v>
      </c>
      <c r="G39" s="912">
        <v>161.47999999999999</v>
      </c>
      <c r="H39" s="907">
        <f t="shared" si="1"/>
        <v>5.2</v>
      </c>
      <c r="I39" s="907"/>
      <c r="J39" s="907"/>
      <c r="K39" s="907">
        <v>5.2</v>
      </c>
      <c r="L39" s="871"/>
      <c r="M39" s="871"/>
      <c r="N39" s="871"/>
      <c r="O39" s="871"/>
      <c r="P39" s="871"/>
      <c r="Q39" s="871"/>
      <c r="R39" s="871"/>
      <c r="S39" s="871"/>
      <c r="T39" s="871"/>
      <c r="U39" s="871"/>
      <c r="V39" s="871"/>
      <c r="W39" s="871"/>
      <c r="X39" s="871"/>
      <c r="Y39" s="883" t="s">
        <v>174</v>
      </c>
      <c r="Z39" s="949"/>
      <c r="AA39" s="1325" t="s">
        <v>350</v>
      </c>
      <c r="AB39" s="1313" t="s">
        <v>842</v>
      </c>
    </row>
    <row r="40" spans="1:28" ht="22.5" customHeight="1">
      <c r="A40" s="1315"/>
      <c r="B40" s="1164"/>
      <c r="C40" s="1335"/>
      <c r="D40" s="875" t="s">
        <v>45</v>
      </c>
      <c r="E40" s="875" t="s">
        <v>193</v>
      </c>
      <c r="F40" s="879">
        <f t="shared" si="2"/>
        <v>67</v>
      </c>
      <c r="G40" s="912">
        <v>67</v>
      </c>
      <c r="H40" s="907">
        <f t="shared" si="1"/>
        <v>0</v>
      </c>
      <c r="I40" s="907"/>
      <c r="J40" s="907"/>
      <c r="K40" s="906"/>
      <c r="L40" s="871"/>
      <c r="M40" s="871"/>
      <c r="N40" s="871"/>
      <c r="O40" s="871"/>
      <c r="P40" s="871"/>
      <c r="Q40" s="871"/>
      <c r="R40" s="871"/>
      <c r="S40" s="871"/>
      <c r="T40" s="871"/>
      <c r="U40" s="871"/>
      <c r="V40" s="871"/>
      <c r="W40" s="871"/>
      <c r="X40" s="871"/>
      <c r="Y40" s="883" t="s">
        <v>189</v>
      </c>
      <c r="Z40" s="949"/>
      <c r="AA40" s="1327"/>
      <c r="AB40" s="1315"/>
    </row>
    <row r="41" spans="1:28" ht="42.75" customHeight="1">
      <c r="A41" s="1313">
        <v>3</v>
      </c>
      <c r="B41" s="1162"/>
      <c r="C41" s="1334" t="s">
        <v>786</v>
      </c>
      <c r="D41" s="875" t="s">
        <v>45</v>
      </c>
      <c r="E41" s="875" t="s">
        <v>196</v>
      </c>
      <c r="F41" s="879">
        <f t="shared" si="2"/>
        <v>3.62</v>
      </c>
      <c r="G41" s="907">
        <v>3.15</v>
      </c>
      <c r="H41" s="907">
        <f t="shared" si="1"/>
        <v>0.47</v>
      </c>
      <c r="I41" s="907"/>
      <c r="J41" s="907"/>
      <c r="K41" s="907">
        <v>0.09</v>
      </c>
      <c r="L41" s="871">
        <v>0.36</v>
      </c>
      <c r="M41" s="871"/>
      <c r="N41" s="871"/>
      <c r="O41" s="871"/>
      <c r="P41" s="871"/>
      <c r="Q41" s="871"/>
      <c r="R41" s="871"/>
      <c r="S41" s="871"/>
      <c r="T41" s="871"/>
      <c r="U41" s="871"/>
      <c r="V41" s="871"/>
      <c r="W41" s="871">
        <v>0.02</v>
      </c>
      <c r="X41" s="871"/>
      <c r="Y41" s="911" t="s">
        <v>172</v>
      </c>
      <c r="Z41" s="949"/>
      <c r="AA41" s="1313" t="s">
        <v>800</v>
      </c>
      <c r="AB41" s="1313" t="s">
        <v>855</v>
      </c>
    </row>
    <row r="42" spans="1:28" ht="42.75" customHeight="1">
      <c r="A42" s="1314"/>
      <c r="B42" s="1163" t="s">
        <v>919</v>
      </c>
      <c r="C42" s="1339"/>
      <c r="D42" s="875" t="s">
        <v>45</v>
      </c>
      <c r="E42" s="875" t="s">
        <v>196</v>
      </c>
      <c r="F42" s="879">
        <f t="shared" si="2"/>
        <v>1.5</v>
      </c>
      <c r="G42" s="907">
        <v>1.5</v>
      </c>
      <c r="H42" s="907">
        <f t="shared" si="1"/>
        <v>0</v>
      </c>
      <c r="I42" s="907"/>
      <c r="J42" s="907"/>
      <c r="K42" s="906"/>
      <c r="L42" s="871"/>
      <c r="M42" s="871"/>
      <c r="N42" s="871"/>
      <c r="O42" s="871"/>
      <c r="P42" s="871"/>
      <c r="Q42" s="871"/>
      <c r="R42" s="871"/>
      <c r="S42" s="871"/>
      <c r="T42" s="871"/>
      <c r="U42" s="871"/>
      <c r="V42" s="871"/>
      <c r="W42" s="871"/>
      <c r="X42" s="871"/>
      <c r="Y42" s="911" t="s">
        <v>171</v>
      </c>
      <c r="Z42" s="949"/>
      <c r="AA42" s="1314"/>
      <c r="AB42" s="1314"/>
    </row>
    <row r="43" spans="1:28" ht="42.75" customHeight="1">
      <c r="A43" s="1315"/>
      <c r="B43" s="1164"/>
      <c r="C43" s="1335"/>
      <c r="D43" s="875" t="s">
        <v>45</v>
      </c>
      <c r="E43" s="875" t="s">
        <v>196</v>
      </c>
      <c r="F43" s="879">
        <f t="shared" si="2"/>
        <v>1.95</v>
      </c>
      <c r="G43" s="907">
        <v>1.95</v>
      </c>
      <c r="H43" s="907">
        <f t="shared" si="1"/>
        <v>0</v>
      </c>
      <c r="I43" s="907"/>
      <c r="J43" s="907"/>
      <c r="K43" s="906"/>
      <c r="L43" s="871"/>
      <c r="M43" s="871"/>
      <c r="N43" s="871"/>
      <c r="O43" s="871"/>
      <c r="P43" s="871"/>
      <c r="Q43" s="871"/>
      <c r="R43" s="871"/>
      <c r="S43" s="871"/>
      <c r="T43" s="871"/>
      <c r="U43" s="871"/>
      <c r="V43" s="871"/>
      <c r="W43" s="871"/>
      <c r="X43" s="871"/>
      <c r="Y43" s="911" t="s">
        <v>168</v>
      </c>
      <c r="Z43" s="949"/>
      <c r="AA43" s="1315"/>
      <c r="AB43" s="1315"/>
    </row>
    <row r="44" spans="1:28" ht="135">
      <c r="A44" s="1165">
        <v>4</v>
      </c>
      <c r="B44" s="1165" t="s">
        <v>919</v>
      </c>
      <c r="C44" s="883" t="s">
        <v>348</v>
      </c>
      <c r="D44" s="875" t="s">
        <v>45</v>
      </c>
      <c r="E44" s="875" t="s">
        <v>196</v>
      </c>
      <c r="F44" s="879">
        <f t="shared" si="2"/>
        <v>7</v>
      </c>
      <c r="G44" s="907">
        <v>1.03</v>
      </c>
      <c r="H44" s="907">
        <f t="shared" si="1"/>
        <v>5.97</v>
      </c>
      <c r="I44" s="907"/>
      <c r="J44" s="907"/>
      <c r="K44" s="907">
        <v>2.09</v>
      </c>
      <c r="L44" s="871">
        <f>1.19+0.77</f>
        <v>1.96</v>
      </c>
      <c r="M44" s="871">
        <v>1.86</v>
      </c>
      <c r="N44" s="871"/>
      <c r="O44" s="871"/>
      <c r="P44" s="871"/>
      <c r="Q44" s="871"/>
      <c r="R44" s="871">
        <v>0.06</v>
      </c>
      <c r="S44" s="871"/>
      <c r="T44" s="871"/>
      <c r="U44" s="871"/>
      <c r="V44" s="871"/>
      <c r="W44" s="871"/>
      <c r="X44" s="871"/>
      <c r="Y44" s="883" t="s">
        <v>189</v>
      </c>
      <c r="Z44" s="949"/>
      <c r="AA44" s="1165" t="s">
        <v>801</v>
      </c>
      <c r="AB44" s="1165" t="s">
        <v>849</v>
      </c>
    </row>
    <row r="45" spans="1:28" ht="105">
      <c r="A45" s="1165">
        <v>5</v>
      </c>
      <c r="B45" s="1165" t="s">
        <v>919</v>
      </c>
      <c r="C45" s="883" t="s">
        <v>825</v>
      </c>
      <c r="D45" s="875" t="s">
        <v>45</v>
      </c>
      <c r="E45" s="875" t="s">
        <v>194</v>
      </c>
      <c r="F45" s="879">
        <f t="shared" si="2"/>
        <v>40</v>
      </c>
      <c r="G45" s="907">
        <v>10</v>
      </c>
      <c r="H45" s="907">
        <f t="shared" ref="H45:H60" si="3">I45+SUM(K45:X45)</f>
        <v>30</v>
      </c>
      <c r="I45" s="907">
        <v>0.5</v>
      </c>
      <c r="J45" s="907">
        <v>0.5</v>
      </c>
      <c r="K45" s="907">
        <f>12-0.5</f>
        <v>11.5</v>
      </c>
      <c r="L45" s="871">
        <v>18</v>
      </c>
      <c r="M45" s="871"/>
      <c r="N45" s="871"/>
      <c r="O45" s="871"/>
      <c r="P45" s="871"/>
      <c r="Q45" s="871"/>
      <c r="R45" s="871"/>
      <c r="S45" s="871"/>
      <c r="T45" s="871"/>
      <c r="U45" s="871"/>
      <c r="V45" s="871"/>
      <c r="W45" s="871"/>
      <c r="X45" s="871"/>
      <c r="Y45" s="883" t="s">
        <v>170</v>
      </c>
      <c r="Z45" s="949"/>
      <c r="AA45" s="1165" t="s">
        <v>1034</v>
      </c>
      <c r="AB45" s="1165" t="s">
        <v>850</v>
      </c>
    </row>
    <row r="46" spans="1:28" ht="53.25" customHeight="1">
      <c r="A46" s="1313">
        <v>6</v>
      </c>
      <c r="B46" s="1162" t="s">
        <v>919</v>
      </c>
      <c r="C46" s="1334" t="s">
        <v>825</v>
      </c>
      <c r="D46" s="875" t="s">
        <v>45</v>
      </c>
      <c r="E46" s="875" t="s">
        <v>194</v>
      </c>
      <c r="F46" s="879">
        <f t="shared" si="2"/>
        <v>6</v>
      </c>
      <c r="G46" s="907"/>
      <c r="H46" s="907">
        <f t="shared" si="3"/>
        <v>6</v>
      </c>
      <c r="I46" s="907"/>
      <c r="J46" s="907"/>
      <c r="K46" s="907">
        <v>3</v>
      </c>
      <c r="L46" s="871">
        <v>3</v>
      </c>
      <c r="M46" s="871"/>
      <c r="N46" s="871"/>
      <c r="O46" s="871"/>
      <c r="P46" s="871"/>
      <c r="Q46" s="871"/>
      <c r="R46" s="871"/>
      <c r="S46" s="871"/>
      <c r="T46" s="871"/>
      <c r="U46" s="871"/>
      <c r="V46" s="871"/>
      <c r="W46" s="871"/>
      <c r="X46" s="871"/>
      <c r="Y46" s="883" t="s">
        <v>197</v>
      </c>
      <c r="Z46" s="949"/>
      <c r="AA46" s="1313" t="s">
        <v>1034</v>
      </c>
      <c r="AB46" s="1313" t="s">
        <v>851</v>
      </c>
    </row>
    <row r="47" spans="1:28" ht="53.25" customHeight="1">
      <c r="A47" s="1315"/>
      <c r="B47" s="1164"/>
      <c r="C47" s="1335"/>
      <c r="D47" s="875" t="s">
        <v>74</v>
      </c>
      <c r="E47" s="875" t="s">
        <v>74</v>
      </c>
      <c r="F47" s="879">
        <f t="shared" si="2"/>
        <v>4</v>
      </c>
      <c r="G47" s="907">
        <v>4</v>
      </c>
      <c r="H47" s="907">
        <f t="shared" si="3"/>
        <v>0</v>
      </c>
      <c r="I47" s="907"/>
      <c r="J47" s="907"/>
      <c r="K47" s="906"/>
      <c r="L47" s="871"/>
      <c r="M47" s="871"/>
      <c r="N47" s="871"/>
      <c r="O47" s="871"/>
      <c r="P47" s="871"/>
      <c r="Q47" s="871"/>
      <c r="R47" s="871"/>
      <c r="S47" s="871"/>
      <c r="T47" s="871"/>
      <c r="U47" s="871"/>
      <c r="V47" s="871"/>
      <c r="W47" s="871"/>
      <c r="X47" s="871"/>
      <c r="Y47" s="883" t="s">
        <v>197</v>
      </c>
      <c r="Z47" s="949"/>
      <c r="AA47" s="1315"/>
      <c r="AB47" s="1315"/>
    </row>
    <row r="48" spans="1:28" s="913" customFormat="1">
      <c r="A48" s="1313">
        <v>7</v>
      </c>
      <c r="B48" s="1162"/>
      <c r="C48" s="1331" t="s">
        <v>458</v>
      </c>
      <c r="D48" s="875" t="s">
        <v>53</v>
      </c>
      <c r="E48" s="875" t="s">
        <v>53</v>
      </c>
      <c r="F48" s="879">
        <f t="shared" si="2"/>
        <v>37.78</v>
      </c>
      <c r="G48" s="912"/>
      <c r="H48" s="907">
        <f t="shared" si="3"/>
        <v>37.78</v>
      </c>
      <c r="I48" s="907"/>
      <c r="J48" s="907"/>
      <c r="K48" s="908">
        <v>17.079999999999998</v>
      </c>
      <c r="L48" s="908">
        <f>36.07-17.08</f>
        <v>18.990000000000002</v>
      </c>
      <c r="M48" s="908"/>
      <c r="N48" s="908"/>
      <c r="O48" s="908">
        <v>0.24</v>
      </c>
      <c r="P48" s="908"/>
      <c r="Q48" s="908"/>
      <c r="R48" s="908"/>
      <c r="S48" s="908">
        <v>1.47</v>
      </c>
      <c r="T48" s="908"/>
      <c r="U48" s="908"/>
      <c r="V48" s="908"/>
      <c r="W48" s="908"/>
      <c r="X48" s="908"/>
      <c r="Y48" s="886" t="s">
        <v>169</v>
      </c>
      <c r="Z48" s="950"/>
      <c r="AA48" s="1328" t="s">
        <v>1035</v>
      </c>
      <c r="AB48" s="1322" t="s">
        <v>854</v>
      </c>
    </row>
    <row r="49" spans="1:28" s="913" customFormat="1">
      <c r="A49" s="1314"/>
      <c r="B49" s="1163"/>
      <c r="C49" s="1332"/>
      <c r="D49" s="875" t="s">
        <v>57</v>
      </c>
      <c r="E49" s="875" t="s">
        <v>57</v>
      </c>
      <c r="F49" s="879">
        <f t="shared" si="2"/>
        <v>1.71</v>
      </c>
      <c r="G49" s="912">
        <v>1.71</v>
      </c>
      <c r="H49" s="907">
        <f t="shared" si="3"/>
        <v>0</v>
      </c>
      <c r="I49" s="907"/>
      <c r="J49" s="907"/>
      <c r="K49" s="1115"/>
      <c r="L49" s="908"/>
      <c r="M49" s="908"/>
      <c r="N49" s="908"/>
      <c r="O49" s="908"/>
      <c r="P49" s="908"/>
      <c r="Q49" s="908"/>
      <c r="R49" s="908"/>
      <c r="S49" s="908"/>
      <c r="T49" s="908"/>
      <c r="U49" s="908"/>
      <c r="V49" s="908"/>
      <c r="W49" s="908"/>
      <c r="X49" s="908"/>
      <c r="Y49" s="886" t="s">
        <v>169</v>
      </c>
      <c r="Z49" s="950"/>
      <c r="AA49" s="1329"/>
      <c r="AB49" s="1323"/>
    </row>
    <row r="50" spans="1:28" s="913" customFormat="1">
      <c r="A50" s="1314"/>
      <c r="B50" s="1163"/>
      <c r="C50" s="1332"/>
      <c r="D50" s="875" t="s">
        <v>70</v>
      </c>
      <c r="E50" s="875" t="s">
        <v>70</v>
      </c>
      <c r="F50" s="879">
        <f t="shared" si="2"/>
        <v>2.7699999999999996</v>
      </c>
      <c r="G50" s="912"/>
      <c r="H50" s="907">
        <f t="shared" si="3"/>
        <v>2.7699999999999996</v>
      </c>
      <c r="I50" s="907"/>
      <c r="J50" s="907"/>
      <c r="K50" s="908">
        <v>1.31</v>
      </c>
      <c r="L50" s="908">
        <v>1.2</v>
      </c>
      <c r="M50" s="908"/>
      <c r="N50" s="908"/>
      <c r="O50" s="908"/>
      <c r="P50" s="908"/>
      <c r="Q50" s="908"/>
      <c r="R50" s="908"/>
      <c r="S50" s="908"/>
      <c r="T50" s="908"/>
      <c r="U50" s="908"/>
      <c r="V50" s="908"/>
      <c r="W50" s="908">
        <v>0.26</v>
      </c>
      <c r="X50" s="908"/>
      <c r="Y50" s="886" t="s">
        <v>169</v>
      </c>
      <c r="Z50" s="950"/>
      <c r="AA50" s="1329"/>
      <c r="AB50" s="1323"/>
    </row>
    <row r="51" spans="1:28" s="913" customFormat="1">
      <c r="A51" s="1314"/>
      <c r="B51" s="1163"/>
      <c r="C51" s="1332"/>
      <c r="D51" s="875" t="s">
        <v>68</v>
      </c>
      <c r="E51" s="875" t="s">
        <v>68</v>
      </c>
      <c r="F51" s="879">
        <f t="shared" si="2"/>
        <v>0.17</v>
      </c>
      <c r="G51" s="912">
        <v>0.17</v>
      </c>
      <c r="H51" s="907">
        <f t="shared" si="3"/>
        <v>0</v>
      </c>
      <c r="I51" s="907"/>
      <c r="J51" s="907"/>
      <c r="K51" s="1115"/>
      <c r="L51" s="908"/>
      <c r="M51" s="908"/>
      <c r="N51" s="908"/>
      <c r="O51" s="908"/>
      <c r="P51" s="908"/>
      <c r="Q51" s="908"/>
      <c r="R51" s="908"/>
      <c r="S51" s="908"/>
      <c r="T51" s="908"/>
      <c r="U51" s="908"/>
      <c r="V51" s="908"/>
      <c r="W51" s="908"/>
      <c r="X51" s="908"/>
      <c r="Y51" s="886" t="s">
        <v>169</v>
      </c>
      <c r="Z51" s="950"/>
      <c r="AA51" s="1329"/>
      <c r="AB51" s="1323"/>
    </row>
    <row r="52" spans="1:28" s="913" customFormat="1">
      <c r="A52" s="1314"/>
      <c r="B52" s="1163" t="s">
        <v>919</v>
      </c>
      <c r="C52" s="1332"/>
      <c r="D52" s="875" t="s">
        <v>45</v>
      </c>
      <c r="E52" s="875" t="s">
        <v>194</v>
      </c>
      <c r="F52" s="879">
        <f t="shared" si="2"/>
        <v>7.5500000000000007</v>
      </c>
      <c r="G52" s="912">
        <v>0.15</v>
      </c>
      <c r="H52" s="907">
        <f t="shared" si="3"/>
        <v>7.4</v>
      </c>
      <c r="I52" s="907"/>
      <c r="J52" s="907"/>
      <c r="K52" s="908">
        <v>4.9000000000000004</v>
      </c>
      <c r="L52" s="908">
        <v>2.5</v>
      </c>
      <c r="M52" s="908"/>
      <c r="N52" s="908"/>
      <c r="O52" s="908"/>
      <c r="P52" s="908"/>
      <c r="Q52" s="908"/>
      <c r="R52" s="908"/>
      <c r="S52" s="908"/>
      <c r="T52" s="908"/>
      <c r="U52" s="908"/>
      <c r="V52" s="908"/>
      <c r="W52" s="908"/>
      <c r="X52" s="908"/>
      <c r="Y52" s="886" t="s">
        <v>169</v>
      </c>
      <c r="Z52" s="950"/>
      <c r="AA52" s="1329"/>
      <c r="AB52" s="1323"/>
    </row>
    <row r="53" spans="1:28" s="913" customFormat="1">
      <c r="A53" s="1314"/>
      <c r="B53" s="1163"/>
      <c r="C53" s="1332"/>
      <c r="D53" s="875" t="s">
        <v>45</v>
      </c>
      <c r="E53" s="875" t="s">
        <v>192</v>
      </c>
      <c r="F53" s="879">
        <f t="shared" si="2"/>
        <v>0.31</v>
      </c>
      <c r="G53" s="912">
        <v>0.31</v>
      </c>
      <c r="H53" s="907">
        <f t="shared" si="3"/>
        <v>0</v>
      </c>
      <c r="I53" s="907"/>
      <c r="J53" s="907"/>
      <c r="K53" s="1115"/>
      <c r="L53" s="908"/>
      <c r="M53" s="908"/>
      <c r="N53" s="908"/>
      <c r="O53" s="908"/>
      <c r="P53" s="908"/>
      <c r="Q53" s="908"/>
      <c r="R53" s="908"/>
      <c r="S53" s="908"/>
      <c r="T53" s="908"/>
      <c r="U53" s="908"/>
      <c r="V53" s="908"/>
      <c r="W53" s="908"/>
      <c r="X53" s="908"/>
      <c r="Y53" s="886" t="s">
        <v>169</v>
      </c>
      <c r="Z53" s="950"/>
      <c r="AA53" s="1329"/>
      <c r="AB53" s="1323"/>
    </row>
    <row r="54" spans="1:28" s="913" customFormat="1">
      <c r="A54" s="1314"/>
      <c r="B54" s="1163"/>
      <c r="C54" s="1332"/>
      <c r="D54" s="875" t="s">
        <v>74</v>
      </c>
      <c r="E54" s="875" t="s">
        <v>74</v>
      </c>
      <c r="F54" s="879">
        <f t="shared" si="2"/>
        <v>2.25</v>
      </c>
      <c r="G54" s="912">
        <v>2.25</v>
      </c>
      <c r="H54" s="907">
        <f t="shared" si="3"/>
        <v>0</v>
      </c>
      <c r="I54" s="907"/>
      <c r="J54" s="907"/>
      <c r="K54" s="1115"/>
      <c r="L54" s="908"/>
      <c r="M54" s="908"/>
      <c r="N54" s="908"/>
      <c r="O54" s="908"/>
      <c r="P54" s="908"/>
      <c r="Q54" s="908"/>
      <c r="R54" s="908"/>
      <c r="S54" s="908"/>
      <c r="T54" s="908"/>
      <c r="U54" s="908"/>
      <c r="V54" s="908"/>
      <c r="W54" s="908"/>
      <c r="X54" s="908"/>
      <c r="Y54" s="886" t="s">
        <v>169</v>
      </c>
      <c r="Z54" s="950"/>
      <c r="AA54" s="1329"/>
      <c r="AB54" s="1323"/>
    </row>
    <row r="55" spans="1:28" s="913" customFormat="1">
      <c r="A55" s="1315"/>
      <c r="B55" s="1164"/>
      <c r="C55" s="1333"/>
      <c r="D55" s="875" t="s">
        <v>45</v>
      </c>
      <c r="E55" s="875" t="s">
        <v>196</v>
      </c>
      <c r="F55" s="879">
        <f t="shared" si="2"/>
        <v>20.46</v>
      </c>
      <c r="G55" s="912">
        <v>2.5299999999999998</v>
      </c>
      <c r="H55" s="907">
        <f t="shared" si="3"/>
        <v>17.93</v>
      </c>
      <c r="I55" s="907"/>
      <c r="J55" s="907"/>
      <c r="K55" s="907">
        <v>9.73</v>
      </c>
      <c r="L55" s="871">
        <v>8.1999999999999993</v>
      </c>
      <c r="M55" s="871"/>
      <c r="N55" s="871"/>
      <c r="O55" s="871"/>
      <c r="P55" s="871"/>
      <c r="Q55" s="871"/>
      <c r="R55" s="871"/>
      <c r="S55" s="871"/>
      <c r="T55" s="871"/>
      <c r="U55" s="871"/>
      <c r="V55" s="871"/>
      <c r="W55" s="871"/>
      <c r="X55" s="871"/>
      <c r="Y55" s="947" t="s">
        <v>169</v>
      </c>
      <c r="Z55" s="950"/>
      <c r="AA55" s="1330"/>
      <c r="AB55" s="1324"/>
    </row>
    <row r="56" spans="1:28" ht="135">
      <c r="A56" s="1165">
        <v>8</v>
      </c>
      <c r="B56" s="1165" t="s">
        <v>919</v>
      </c>
      <c r="C56" s="883" t="s">
        <v>785</v>
      </c>
      <c r="D56" s="875" t="s">
        <v>53</v>
      </c>
      <c r="E56" s="875" t="s">
        <v>53</v>
      </c>
      <c r="F56" s="879">
        <f t="shared" si="2"/>
        <v>5</v>
      </c>
      <c r="G56" s="912"/>
      <c r="H56" s="907">
        <f t="shared" si="3"/>
        <v>5</v>
      </c>
      <c r="I56" s="907"/>
      <c r="J56" s="907"/>
      <c r="K56" s="907">
        <v>3</v>
      </c>
      <c r="L56" s="871">
        <v>2</v>
      </c>
      <c r="M56" s="871"/>
      <c r="N56" s="871"/>
      <c r="O56" s="871"/>
      <c r="P56" s="871"/>
      <c r="Q56" s="871"/>
      <c r="R56" s="871"/>
      <c r="S56" s="871"/>
      <c r="T56" s="871"/>
      <c r="U56" s="871"/>
      <c r="V56" s="871"/>
      <c r="W56" s="871"/>
      <c r="X56" s="871"/>
      <c r="Y56" s="883" t="s">
        <v>190</v>
      </c>
      <c r="Z56" s="949"/>
      <c r="AA56" s="1175" t="s">
        <v>1033</v>
      </c>
      <c r="AB56" s="1165" t="s">
        <v>857</v>
      </c>
    </row>
    <row r="57" spans="1:28" s="917" customFormat="1" ht="30">
      <c r="A57" s="887" t="s">
        <v>277</v>
      </c>
      <c r="B57" s="887"/>
      <c r="C57" s="890" t="s">
        <v>918</v>
      </c>
      <c r="D57" s="889"/>
      <c r="E57" s="889"/>
      <c r="F57" s="879"/>
      <c r="G57" s="912"/>
      <c r="H57" s="907">
        <f t="shared" si="3"/>
        <v>0</v>
      </c>
      <c r="I57" s="915"/>
      <c r="J57" s="915"/>
      <c r="K57" s="1116"/>
      <c r="L57" s="916"/>
      <c r="M57" s="916"/>
      <c r="N57" s="916"/>
      <c r="O57" s="916"/>
      <c r="P57" s="916"/>
      <c r="Q57" s="916"/>
      <c r="R57" s="916"/>
      <c r="S57" s="916"/>
      <c r="T57" s="916"/>
      <c r="U57" s="916"/>
      <c r="V57" s="916"/>
      <c r="W57" s="916"/>
      <c r="X57" s="916"/>
      <c r="Y57" s="890"/>
      <c r="Z57" s="951"/>
      <c r="AA57" s="887"/>
      <c r="AB57" s="887"/>
    </row>
    <row r="58" spans="1:28" ht="90">
      <c r="A58" s="1165">
        <v>1</v>
      </c>
      <c r="B58" s="1165" t="s">
        <v>919</v>
      </c>
      <c r="C58" s="883" t="s">
        <v>922</v>
      </c>
      <c r="D58" s="875" t="s">
        <v>53</v>
      </c>
      <c r="E58" s="875" t="s">
        <v>53</v>
      </c>
      <c r="F58" s="879">
        <v>4</v>
      </c>
      <c r="G58" s="912"/>
      <c r="H58" s="907">
        <f t="shared" si="3"/>
        <v>4</v>
      </c>
      <c r="I58" s="907"/>
      <c r="J58" s="907"/>
      <c r="K58" s="907">
        <v>2.5</v>
      </c>
      <c r="L58" s="871">
        <v>1.5</v>
      </c>
      <c r="M58" s="871"/>
      <c r="N58" s="871"/>
      <c r="O58" s="871"/>
      <c r="P58" s="871"/>
      <c r="Q58" s="871"/>
      <c r="R58" s="871"/>
      <c r="S58" s="871"/>
      <c r="T58" s="871"/>
      <c r="U58" s="871"/>
      <c r="V58" s="871"/>
      <c r="W58" s="871"/>
      <c r="X58" s="871"/>
      <c r="Y58" s="883" t="s">
        <v>169</v>
      </c>
      <c r="Z58" s="949"/>
      <c r="AA58" s="1176" t="s">
        <v>936</v>
      </c>
      <c r="AB58" s="1165"/>
    </row>
    <row r="59" spans="1:28" ht="105">
      <c r="A59" s="1165">
        <v>2</v>
      </c>
      <c r="B59" s="1165"/>
      <c r="C59" s="883" t="s">
        <v>949</v>
      </c>
      <c r="D59" s="875" t="s">
        <v>45</v>
      </c>
      <c r="E59" s="875" t="s">
        <v>64</v>
      </c>
      <c r="F59" s="879">
        <f>G59+H59</f>
        <v>1.1399999999999999</v>
      </c>
      <c r="G59" s="912"/>
      <c r="H59" s="907">
        <f t="shared" si="3"/>
        <v>1.1399999999999999</v>
      </c>
      <c r="I59" s="907"/>
      <c r="J59" s="907"/>
      <c r="K59" s="907">
        <v>1.1399999999999999</v>
      </c>
      <c r="L59" s="871"/>
      <c r="M59" s="871"/>
      <c r="N59" s="871"/>
      <c r="O59" s="871"/>
      <c r="P59" s="871"/>
      <c r="Q59" s="871"/>
      <c r="R59" s="871"/>
      <c r="S59" s="871"/>
      <c r="T59" s="871"/>
      <c r="U59" s="871"/>
      <c r="V59" s="871"/>
      <c r="W59" s="871"/>
      <c r="X59" s="871"/>
      <c r="Y59" s="883" t="s">
        <v>173</v>
      </c>
      <c r="Z59" s="949"/>
      <c r="AA59" s="1172" t="s">
        <v>1038</v>
      </c>
      <c r="AB59" s="1165"/>
    </row>
    <row r="60" spans="1:28" ht="90">
      <c r="A60" s="1165">
        <v>3</v>
      </c>
      <c r="B60" s="1165"/>
      <c r="C60" s="883" t="s">
        <v>1009</v>
      </c>
      <c r="D60" s="875" t="s">
        <v>45</v>
      </c>
      <c r="E60" s="875" t="s">
        <v>196</v>
      </c>
      <c r="F60" s="879">
        <f>G60+H60</f>
        <v>4</v>
      </c>
      <c r="G60" s="912">
        <v>2</v>
      </c>
      <c r="H60" s="907">
        <f t="shared" si="3"/>
        <v>2</v>
      </c>
      <c r="I60" s="907"/>
      <c r="J60" s="907"/>
      <c r="K60" s="907">
        <v>0.3</v>
      </c>
      <c r="L60" s="871">
        <v>1.5</v>
      </c>
      <c r="M60" s="871"/>
      <c r="N60" s="871"/>
      <c r="O60" s="871"/>
      <c r="P60" s="871"/>
      <c r="Q60" s="871"/>
      <c r="R60" s="871"/>
      <c r="S60" s="871"/>
      <c r="T60" s="871"/>
      <c r="U60" s="871"/>
      <c r="V60" s="871"/>
      <c r="W60" s="871">
        <v>0.2</v>
      </c>
      <c r="X60" s="871"/>
      <c r="Y60" s="880" t="s">
        <v>173</v>
      </c>
      <c r="Z60" s="949"/>
      <c r="AA60" s="1172" t="s">
        <v>1010</v>
      </c>
      <c r="AB60" s="1165"/>
    </row>
    <row r="61" spans="1:28" ht="28.5">
      <c r="A61" s="873" t="s">
        <v>138</v>
      </c>
      <c r="B61" s="873"/>
      <c r="C61" s="876" t="s">
        <v>275</v>
      </c>
      <c r="D61" s="875"/>
      <c r="E61" s="875"/>
      <c r="F61" s="879"/>
      <c r="G61" s="907"/>
      <c r="H61" s="907"/>
      <c r="I61" s="907"/>
      <c r="J61" s="907"/>
      <c r="K61" s="905"/>
      <c r="L61" s="878"/>
      <c r="M61" s="878"/>
      <c r="N61" s="878"/>
      <c r="O61" s="878"/>
      <c r="P61" s="878"/>
      <c r="Q61" s="878"/>
      <c r="R61" s="878"/>
      <c r="S61" s="878"/>
      <c r="T61" s="878"/>
      <c r="U61" s="878"/>
      <c r="V61" s="878"/>
      <c r="W61" s="878"/>
      <c r="X61" s="878"/>
      <c r="Y61" s="876"/>
      <c r="Z61" s="949"/>
      <c r="AA61" s="1165" t="s">
        <v>797</v>
      </c>
      <c r="AB61" s="1165"/>
    </row>
    <row r="62" spans="1:28" ht="75">
      <c r="A62" s="945">
        <v>1</v>
      </c>
      <c r="B62" s="945"/>
      <c r="C62" s="883" t="s">
        <v>304</v>
      </c>
      <c r="D62" s="875" t="s">
        <v>41</v>
      </c>
      <c r="E62" s="875" t="s">
        <v>41</v>
      </c>
      <c r="F62" s="879">
        <f t="shared" ref="F62:F73" si="4">G62+H62</f>
        <v>3</v>
      </c>
      <c r="G62" s="912"/>
      <c r="H62" s="907">
        <f t="shared" ref="H62:H105" si="5">I62+SUM(K62:X62)</f>
        <v>3</v>
      </c>
      <c r="I62" s="907"/>
      <c r="J62" s="907"/>
      <c r="K62" s="907">
        <v>3</v>
      </c>
      <c r="L62" s="871"/>
      <c r="M62" s="871"/>
      <c r="N62" s="871"/>
      <c r="O62" s="871"/>
      <c r="P62" s="871"/>
      <c r="Q62" s="871"/>
      <c r="R62" s="871"/>
      <c r="S62" s="871"/>
      <c r="T62" s="871"/>
      <c r="U62" s="871"/>
      <c r="V62" s="871"/>
      <c r="W62" s="871"/>
      <c r="X62" s="871"/>
      <c r="Y62" s="883" t="s">
        <v>169</v>
      </c>
      <c r="Z62" s="949"/>
      <c r="AA62" s="1142" t="s">
        <v>303</v>
      </c>
      <c r="AB62" s="1165" t="s">
        <v>847</v>
      </c>
    </row>
    <row r="63" spans="1:28" ht="25.5" customHeight="1">
      <c r="A63" s="1340">
        <v>2</v>
      </c>
      <c r="B63" s="1167"/>
      <c r="C63" s="1336" t="s">
        <v>325</v>
      </c>
      <c r="D63" s="875" t="s">
        <v>27</v>
      </c>
      <c r="E63" s="875" t="s">
        <v>27</v>
      </c>
      <c r="F63" s="879">
        <f t="shared" si="4"/>
        <v>4.68</v>
      </c>
      <c r="G63" s="907"/>
      <c r="H63" s="907">
        <f t="shared" si="5"/>
        <v>4.68</v>
      </c>
      <c r="I63" s="907"/>
      <c r="J63" s="907"/>
      <c r="K63" s="906"/>
      <c r="L63" s="907">
        <v>4.68</v>
      </c>
      <c r="M63" s="907"/>
      <c r="N63" s="907"/>
      <c r="O63" s="907"/>
      <c r="P63" s="907"/>
      <c r="Q63" s="907"/>
      <c r="R63" s="907"/>
      <c r="S63" s="907"/>
      <c r="T63" s="907"/>
      <c r="U63" s="907"/>
      <c r="V63" s="907"/>
      <c r="W63" s="907"/>
      <c r="X63" s="907"/>
      <c r="Y63" s="880" t="s">
        <v>190</v>
      </c>
      <c r="Z63" s="949"/>
      <c r="AA63" s="1325" t="s">
        <v>338</v>
      </c>
      <c r="AB63" s="1162" t="s">
        <v>893</v>
      </c>
    </row>
    <row r="64" spans="1:28" ht="25.5" customHeight="1">
      <c r="A64" s="1341"/>
      <c r="B64" s="1167"/>
      <c r="C64" s="1337"/>
      <c r="D64" s="875" t="s">
        <v>78</v>
      </c>
      <c r="E64" s="875" t="s">
        <v>78</v>
      </c>
      <c r="F64" s="879">
        <f t="shared" si="4"/>
        <v>0.5</v>
      </c>
      <c r="G64" s="907"/>
      <c r="H64" s="907">
        <f t="shared" si="5"/>
        <v>0.5</v>
      </c>
      <c r="I64" s="907"/>
      <c r="J64" s="907"/>
      <c r="K64" s="906"/>
      <c r="L64" s="907">
        <v>0.5</v>
      </c>
      <c r="M64" s="907"/>
      <c r="N64" s="907"/>
      <c r="O64" s="907"/>
      <c r="P64" s="907"/>
      <c r="Q64" s="907"/>
      <c r="R64" s="907"/>
      <c r="S64" s="907"/>
      <c r="T64" s="907"/>
      <c r="U64" s="907"/>
      <c r="V64" s="907"/>
      <c r="W64" s="907"/>
      <c r="X64" s="907"/>
      <c r="Y64" s="880" t="s">
        <v>190</v>
      </c>
      <c r="Z64" s="949"/>
      <c r="AA64" s="1326"/>
      <c r="AB64" s="1162"/>
    </row>
    <row r="65" spans="1:28" ht="25.5" customHeight="1">
      <c r="A65" s="1342"/>
      <c r="B65" s="1167"/>
      <c r="C65" s="1338"/>
      <c r="D65" s="875" t="s">
        <v>15</v>
      </c>
      <c r="E65" s="875" t="s">
        <v>15</v>
      </c>
      <c r="F65" s="879">
        <f t="shared" si="4"/>
        <v>19.350000000000001</v>
      </c>
      <c r="G65" s="907">
        <v>19.350000000000001</v>
      </c>
      <c r="H65" s="907">
        <f t="shared" si="5"/>
        <v>0</v>
      </c>
      <c r="I65" s="907"/>
      <c r="J65" s="907"/>
      <c r="K65" s="906"/>
      <c r="L65" s="907"/>
      <c r="M65" s="907"/>
      <c r="N65" s="907"/>
      <c r="O65" s="907"/>
      <c r="P65" s="907"/>
      <c r="Q65" s="907"/>
      <c r="R65" s="907"/>
      <c r="S65" s="907"/>
      <c r="T65" s="907"/>
      <c r="U65" s="907"/>
      <c r="V65" s="907"/>
      <c r="W65" s="907"/>
      <c r="X65" s="907"/>
      <c r="Y65" s="880" t="s">
        <v>190</v>
      </c>
      <c r="Z65" s="949"/>
      <c r="AA65" s="1327"/>
      <c r="AB65" s="1162"/>
    </row>
    <row r="66" spans="1:28" ht="28.5" customHeight="1">
      <c r="A66" s="1340">
        <v>3</v>
      </c>
      <c r="B66" s="946"/>
      <c r="C66" s="1336" t="s">
        <v>358</v>
      </c>
      <c r="D66" s="875" t="s">
        <v>27</v>
      </c>
      <c r="E66" s="875" t="s">
        <v>27</v>
      </c>
      <c r="F66" s="879">
        <f t="shared" si="4"/>
        <v>3.6099999999999994</v>
      </c>
      <c r="G66" s="907"/>
      <c r="H66" s="907">
        <f t="shared" si="5"/>
        <v>3.6099999999999994</v>
      </c>
      <c r="I66" s="907"/>
      <c r="J66" s="907"/>
      <c r="K66" s="907">
        <v>1.3</v>
      </c>
      <c r="L66" s="907">
        <v>2.3099999999999996</v>
      </c>
      <c r="M66" s="907"/>
      <c r="N66" s="907"/>
      <c r="O66" s="907"/>
      <c r="P66" s="907"/>
      <c r="Q66" s="907"/>
      <c r="R66" s="907"/>
      <c r="S66" s="907"/>
      <c r="T66" s="907"/>
      <c r="U66" s="907"/>
      <c r="V66" s="907"/>
      <c r="W66" s="907"/>
      <c r="X66" s="907"/>
      <c r="Y66" s="880" t="s">
        <v>190</v>
      </c>
      <c r="Z66" s="949"/>
      <c r="AA66" s="1325" t="s">
        <v>357</v>
      </c>
      <c r="AB66" s="1162" t="s">
        <v>894</v>
      </c>
    </row>
    <row r="67" spans="1:28">
      <c r="A67" s="1341"/>
      <c r="B67" s="1169"/>
      <c r="C67" s="1337"/>
      <c r="D67" s="875" t="s">
        <v>78</v>
      </c>
      <c r="E67" s="875" t="s">
        <v>78</v>
      </c>
      <c r="F67" s="879">
        <f t="shared" si="4"/>
        <v>0.26</v>
      </c>
      <c r="G67" s="907"/>
      <c r="H67" s="907">
        <f t="shared" si="5"/>
        <v>0.26</v>
      </c>
      <c r="I67" s="907"/>
      <c r="J67" s="907"/>
      <c r="K67" s="907">
        <v>0.1</v>
      </c>
      <c r="L67" s="907">
        <v>0.16</v>
      </c>
      <c r="M67" s="907"/>
      <c r="N67" s="907"/>
      <c r="O67" s="907"/>
      <c r="P67" s="907"/>
      <c r="Q67" s="907"/>
      <c r="R67" s="907"/>
      <c r="S67" s="907"/>
      <c r="T67" s="907"/>
      <c r="U67" s="907"/>
      <c r="V67" s="907"/>
      <c r="W67" s="907"/>
      <c r="X67" s="907"/>
      <c r="Y67" s="880" t="s">
        <v>190</v>
      </c>
      <c r="Z67" s="949"/>
      <c r="AA67" s="1326"/>
      <c r="AB67" s="1163"/>
    </row>
    <row r="68" spans="1:28">
      <c r="A68" s="1342"/>
      <c r="B68" s="1169"/>
      <c r="C68" s="1338"/>
      <c r="D68" s="875" t="s">
        <v>15</v>
      </c>
      <c r="E68" s="875" t="s">
        <v>15</v>
      </c>
      <c r="F68" s="879">
        <f t="shared" si="4"/>
        <v>11.67</v>
      </c>
      <c r="G68" s="907">
        <v>11.67</v>
      </c>
      <c r="H68" s="907">
        <f t="shared" si="5"/>
        <v>0</v>
      </c>
      <c r="I68" s="907"/>
      <c r="J68" s="907"/>
      <c r="K68" s="907"/>
      <c r="L68" s="907"/>
      <c r="M68" s="907"/>
      <c r="N68" s="907"/>
      <c r="O68" s="907"/>
      <c r="P68" s="907"/>
      <c r="Q68" s="907"/>
      <c r="R68" s="907"/>
      <c r="S68" s="907"/>
      <c r="T68" s="907"/>
      <c r="U68" s="907"/>
      <c r="V68" s="907"/>
      <c r="W68" s="907"/>
      <c r="X68" s="907"/>
      <c r="Y68" s="880" t="s">
        <v>190</v>
      </c>
      <c r="Z68" s="949"/>
      <c r="AA68" s="1327"/>
      <c r="AB68" s="1163"/>
    </row>
    <row r="69" spans="1:28" ht="105">
      <c r="A69" s="1169">
        <v>4</v>
      </c>
      <c r="B69" s="1169"/>
      <c r="C69" s="1166" t="s">
        <v>965</v>
      </c>
      <c r="D69" s="875" t="s">
        <v>41</v>
      </c>
      <c r="E69" s="875" t="s">
        <v>41</v>
      </c>
      <c r="F69" s="879">
        <f t="shared" si="4"/>
        <v>1.73</v>
      </c>
      <c r="G69" s="907"/>
      <c r="H69" s="907">
        <f t="shared" si="5"/>
        <v>1.73</v>
      </c>
      <c r="I69" s="907"/>
      <c r="J69" s="907"/>
      <c r="K69" s="907">
        <v>0.7</v>
      </c>
      <c r="L69" s="907"/>
      <c r="M69" s="907"/>
      <c r="N69" s="907"/>
      <c r="O69" s="907"/>
      <c r="P69" s="907"/>
      <c r="Q69" s="907"/>
      <c r="R69" s="907"/>
      <c r="S69" s="907"/>
      <c r="T69" s="907"/>
      <c r="U69" s="907"/>
      <c r="V69" s="907"/>
      <c r="W69" s="907"/>
      <c r="X69" s="907">
        <v>1.03</v>
      </c>
      <c r="Y69" s="880" t="s">
        <v>172</v>
      </c>
      <c r="Z69" s="949"/>
      <c r="AA69" s="1171" t="s">
        <v>964</v>
      </c>
      <c r="AB69" s="1164"/>
    </row>
    <row r="70" spans="1:28" ht="90">
      <c r="A70" s="946">
        <v>5</v>
      </c>
      <c r="B70" s="946"/>
      <c r="C70" s="980" t="s">
        <v>365</v>
      </c>
      <c r="D70" s="870" t="s">
        <v>74</v>
      </c>
      <c r="E70" s="870" t="s">
        <v>74</v>
      </c>
      <c r="F70" s="879">
        <f t="shared" si="4"/>
        <v>0.8</v>
      </c>
      <c r="G70" s="871">
        <v>0.8</v>
      </c>
      <c r="H70" s="907">
        <f t="shared" si="5"/>
        <v>0</v>
      </c>
      <c r="I70" s="907"/>
      <c r="J70" s="907"/>
      <c r="K70" s="903"/>
      <c r="L70" s="871"/>
      <c r="M70" s="871"/>
      <c r="N70" s="871"/>
      <c r="O70" s="871"/>
      <c r="P70" s="871"/>
      <c r="Q70" s="871"/>
      <c r="R70" s="871"/>
      <c r="S70" s="871"/>
      <c r="T70" s="871"/>
      <c r="U70" s="871"/>
      <c r="V70" s="871"/>
      <c r="W70" s="871"/>
      <c r="X70" s="871"/>
      <c r="Y70" s="891" t="s">
        <v>169</v>
      </c>
      <c r="Z70" s="949"/>
      <c r="AA70" s="1173" t="s">
        <v>1025</v>
      </c>
      <c r="AB70" s="1165" t="s">
        <v>896</v>
      </c>
    </row>
    <row r="71" spans="1:28" ht="90">
      <c r="A71" s="946">
        <v>6</v>
      </c>
      <c r="B71" s="946"/>
      <c r="C71" s="980" t="s">
        <v>968</v>
      </c>
      <c r="D71" s="870" t="s">
        <v>66</v>
      </c>
      <c r="E71" s="870" t="s">
        <v>66</v>
      </c>
      <c r="F71" s="879">
        <f t="shared" si="4"/>
        <v>1.46</v>
      </c>
      <c r="G71" s="871"/>
      <c r="H71" s="907">
        <f t="shared" si="5"/>
        <v>1.46</v>
      </c>
      <c r="I71" s="907"/>
      <c r="J71" s="907"/>
      <c r="K71" s="871">
        <v>1.46</v>
      </c>
      <c r="L71" s="871"/>
      <c r="M71" s="871"/>
      <c r="N71" s="871"/>
      <c r="O71" s="871"/>
      <c r="P71" s="871"/>
      <c r="Q71" s="871"/>
      <c r="R71" s="871"/>
      <c r="S71" s="871"/>
      <c r="T71" s="871"/>
      <c r="U71" s="871"/>
      <c r="V71" s="871"/>
      <c r="W71" s="871"/>
      <c r="X71" s="871"/>
      <c r="Y71" s="891" t="s">
        <v>170</v>
      </c>
      <c r="Z71" s="949"/>
      <c r="AA71" s="1173" t="s">
        <v>967</v>
      </c>
      <c r="AB71" s="1165"/>
    </row>
    <row r="72" spans="1:28" ht="105">
      <c r="A72" s="946">
        <v>7</v>
      </c>
      <c r="B72" s="946"/>
      <c r="C72" s="980" t="s">
        <v>991</v>
      </c>
      <c r="D72" s="870" t="s">
        <v>66</v>
      </c>
      <c r="E72" s="870" t="s">
        <v>66</v>
      </c>
      <c r="F72" s="879">
        <f t="shared" si="4"/>
        <v>1</v>
      </c>
      <c r="G72" s="871"/>
      <c r="H72" s="907">
        <f t="shared" si="5"/>
        <v>1</v>
      </c>
      <c r="I72" s="907"/>
      <c r="J72" s="907"/>
      <c r="K72" s="903"/>
      <c r="L72" s="871">
        <v>1</v>
      </c>
      <c r="M72" s="871"/>
      <c r="N72" s="871"/>
      <c r="O72" s="871"/>
      <c r="P72" s="871"/>
      <c r="Q72" s="871"/>
      <c r="R72" s="871"/>
      <c r="S72" s="871"/>
      <c r="T72" s="871"/>
      <c r="U72" s="871"/>
      <c r="V72" s="871"/>
      <c r="W72" s="871"/>
      <c r="X72" s="871"/>
      <c r="Y72" s="891" t="s">
        <v>170</v>
      </c>
      <c r="Z72" s="949"/>
      <c r="AA72" s="1173" t="s">
        <v>992</v>
      </c>
      <c r="AB72" s="1165"/>
    </row>
    <row r="73" spans="1:28" ht="30">
      <c r="A73" s="946">
        <v>8</v>
      </c>
      <c r="B73" s="946"/>
      <c r="C73" s="983" t="s">
        <v>803</v>
      </c>
      <c r="D73" s="875" t="s">
        <v>39</v>
      </c>
      <c r="E73" s="875" t="s">
        <v>39</v>
      </c>
      <c r="F73" s="879">
        <f t="shared" si="4"/>
        <v>7.0000000000000007E-2</v>
      </c>
      <c r="G73" s="912"/>
      <c r="H73" s="907">
        <f t="shared" si="5"/>
        <v>7.0000000000000007E-2</v>
      </c>
      <c r="I73" s="907"/>
      <c r="J73" s="907"/>
      <c r="K73" s="908">
        <v>7.0000000000000007E-2</v>
      </c>
      <c r="L73" s="908"/>
      <c r="M73" s="908"/>
      <c r="N73" s="908"/>
      <c r="O73" s="908"/>
      <c r="P73" s="908"/>
      <c r="Q73" s="908"/>
      <c r="R73" s="908"/>
      <c r="S73" s="908"/>
      <c r="T73" s="908"/>
      <c r="U73" s="908"/>
      <c r="V73" s="908"/>
      <c r="W73" s="908"/>
      <c r="X73" s="908"/>
      <c r="Y73" s="884" t="s">
        <v>190</v>
      </c>
      <c r="Z73" s="947" t="s">
        <v>804</v>
      </c>
      <c r="AA73" s="945" t="s">
        <v>283</v>
      </c>
      <c r="AB73" s="1165"/>
    </row>
    <row r="74" spans="1:28" ht="31.5">
      <c r="A74" s="946">
        <v>9</v>
      </c>
      <c r="B74" s="946"/>
      <c r="C74" s="983" t="s">
        <v>975</v>
      </c>
      <c r="D74" s="875" t="s">
        <v>39</v>
      </c>
      <c r="E74" s="875" t="s">
        <v>39</v>
      </c>
      <c r="F74" s="879">
        <f t="shared" ref="F74" si="6">G74+H74</f>
        <v>0.04</v>
      </c>
      <c r="G74" s="912"/>
      <c r="H74" s="907">
        <f t="shared" si="5"/>
        <v>0.04</v>
      </c>
      <c r="I74" s="907"/>
      <c r="J74" s="907"/>
      <c r="K74" s="1115"/>
      <c r="L74" s="908"/>
      <c r="M74" s="908"/>
      <c r="N74" s="908"/>
      <c r="O74" s="908"/>
      <c r="P74" s="908"/>
      <c r="Q74" s="908"/>
      <c r="R74" s="908"/>
      <c r="S74" s="908"/>
      <c r="T74" s="908"/>
      <c r="U74" s="908"/>
      <c r="V74" s="908"/>
      <c r="W74" s="908">
        <v>0.04</v>
      </c>
      <c r="X74" s="908"/>
      <c r="Y74" s="884" t="s">
        <v>197</v>
      </c>
      <c r="Z74" s="947"/>
      <c r="AA74" s="945" t="s">
        <v>283</v>
      </c>
      <c r="AB74" s="1165"/>
    </row>
    <row r="75" spans="1:28" ht="31.5">
      <c r="A75" s="946">
        <v>10</v>
      </c>
      <c r="B75" s="946"/>
      <c r="C75" s="983" t="s">
        <v>996</v>
      </c>
      <c r="D75" s="875" t="s">
        <v>39</v>
      </c>
      <c r="E75" s="875" t="s">
        <v>39</v>
      </c>
      <c r="F75" s="879">
        <f t="shared" ref="F75" si="7">G75+H75</f>
        <v>0.2</v>
      </c>
      <c r="G75" s="912"/>
      <c r="H75" s="907">
        <f t="shared" si="5"/>
        <v>0.2</v>
      </c>
      <c r="I75" s="907"/>
      <c r="J75" s="907"/>
      <c r="K75" s="1115"/>
      <c r="L75" s="908"/>
      <c r="M75" s="908"/>
      <c r="N75" s="908"/>
      <c r="O75" s="908"/>
      <c r="P75" s="908"/>
      <c r="Q75" s="908"/>
      <c r="R75" s="908"/>
      <c r="S75" s="908"/>
      <c r="T75" s="908"/>
      <c r="U75" s="908"/>
      <c r="V75" s="908"/>
      <c r="W75" s="908">
        <v>0.2</v>
      </c>
      <c r="X75" s="908"/>
      <c r="Y75" s="884" t="s">
        <v>173</v>
      </c>
      <c r="Z75" s="947"/>
      <c r="AA75" s="945" t="s">
        <v>283</v>
      </c>
      <c r="AB75" s="1165"/>
    </row>
    <row r="76" spans="1:28" ht="31.5">
      <c r="A76" s="946">
        <v>11</v>
      </c>
      <c r="B76" s="946"/>
      <c r="C76" s="983" t="s">
        <v>1014</v>
      </c>
      <c r="D76" s="1140" t="s">
        <v>39</v>
      </c>
      <c r="E76" s="1140" t="s">
        <v>39</v>
      </c>
      <c r="F76" s="879">
        <f t="shared" ref="F76" si="8">G76+H76</f>
        <v>7.0000000000000007E-2</v>
      </c>
      <c r="G76" s="912"/>
      <c r="H76" s="907">
        <f t="shared" ref="H76" si="9">I76+SUM(K76:X76)</f>
        <v>7.0000000000000007E-2</v>
      </c>
      <c r="I76" s="907"/>
      <c r="J76" s="907"/>
      <c r="K76" s="1115">
        <v>7.0000000000000007E-2</v>
      </c>
      <c r="L76" s="908"/>
      <c r="M76" s="908"/>
      <c r="N76" s="908"/>
      <c r="O76" s="908"/>
      <c r="P76" s="908"/>
      <c r="Q76" s="908"/>
      <c r="R76" s="908"/>
      <c r="S76" s="908"/>
      <c r="T76" s="908"/>
      <c r="U76" s="908"/>
      <c r="V76" s="908"/>
      <c r="W76" s="908"/>
      <c r="X76" s="908"/>
      <c r="Y76" s="884" t="s">
        <v>173</v>
      </c>
      <c r="Z76" s="947"/>
      <c r="AA76" s="945" t="s">
        <v>283</v>
      </c>
      <c r="AB76" s="1165"/>
    </row>
    <row r="77" spans="1:28" ht="31.5">
      <c r="A77" s="946">
        <v>12</v>
      </c>
      <c r="B77" s="946"/>
      <c r="C77" s="983" t="s">
        <v>1014</v>
      </c>
      <c r="D77" s="1140" t="s">
        <v>39</v>
      </c>
      <c r="E77" s="1140" t="s">
        <v>39</v>
      </c>
      <c r="F77" s="879">
        <f t="shared" ref="F77" si="10">G77+H77</f>
        <v>0.08</v>
      </c>
      <c r="G77" s="912"/>
      <c r="H77" s="907">
        <f t="shared" ref="H77" si="11">I77+SUM(K77:X77)</f>
        <v>0.08</v>
      </c>
      <c r="I77" s="907"/>
      <c r="J77" s="907"/>
      <c r="K77" s="908">
        <v>0.08</v>
      </c>
      <c r="L77" s="908"/>
      <c r="M77" s="908"/>
      <c r="N77" s="908"/>
      <c r="O77" s="908"/>
      <c r="P77" s="908"/>
      <c r="Q77" s="908"/>
      <c r="R77" s="908"/>
      <c r="S77" s="908"/>
      <c r="T77" s="908"/>
      <c r="U77" s="908"/>
      <c r="V77" s="908"/>
      <c r="W77" s="908"/>
      <c r="X77" s="908"/>
      <c r="Y77" s="884" t="s">
        <v>189</v>
      </c>
      <c r="Z77" s="947"/>
      <c r="AA77" s="945" t="s">
        <v>283</v>
      </c>
      <c r="AB77" s="1165"/>
    </row>
    <row r="78" spans="1:28" ht="31.5">
      <c r="A78" s="946">
        <v>13</v>
      </c>
      <c r="B78" s="946"/>
      <c r="C78" s="983" t="s">
        <v>990</v>
      </c>
      <c r="D78" s="875" t="s">
        <v>39</v>
      </c>
      <c r="E78" s="875" t="s">
        <v>39</v>
      </c>
      <c r="F78" s="879">
        <f t="shared" ref="F78" si="12">G78+H78</f>
        <v>0.01</v>
      </c>
      <c r="G78" s="912"/>
      <c r="H78" s="907">
        <f t="shared" si="5"/>
        <v>0.01</v>
      </c>
      <c r="I78" s="907"/>
      <c r="J78" s="907"/>
      <c r="K78" s="908">
        <v>0.01</v>
      </c>
      <c r="L78" s="908"/>
      <c r="M78" s="908"/>
      <c r="N78" s="908"/>
      <c r="O78" s="908"/>
      <c r="P78" s="908"/>
      <c r="Q78" s="908"/>
      <c r="R78" s="908"/>
      <c r="S78" s="908"/>
      <c r="T78" s="908"/>
      <c r="U78" s="908"/>
      <c r="V78" s="908"/>
      <c r="W78" s="908"/>
      <c r="X78" s="908"/>
      <c r="Y78" s="884" t="s">
        <v>172</v>
      </c>
      <c r="Z78" s="947"/>
      <c r="AA78" s="945" t="s">
        <v>283</v>
      </c>
      <c r="AB78" s="1165"/>
    </row>
    <row r="79" spans="1:28" ht="31.5">
      <c r="A79" s="946">
        <v>14</v>
      </c>
      <c r="B79" s="946"/>
      <c r="C79" s="983" t="s">
        <v>1016</v>
      </c>
      <c r="D79" s="875" t="s">
        <v>39</v>
      </c>
      <c r="E79" s="875" t="s">
        <v>39</v>
      </c>
      <c r="F79" s="879">
        <f t="shared" ref="F79" si="13">G79+H79</f>
        <v>0.1</v>
      </c>
      <c r="G79" s="912"/>
      <c r="H79" s="907">
        <f t="shared" ref="H79" si="14">I79+SUM(K79:X79)</f>
        <v>0.1</v>
      </c>
      <c r="I79" s="907"/>
      <c r="J79" s="907"/>
      <c r="K79" s="908">
        <v>0.1</v>
      </c>
      <c r="L79" s="908"/>
      <c r="M79" s="908"/>
      <c r="N79" s="908"/>
      <c r="O79" s="908"/>
      <c r="P79" s="908"/>
      <c r="Q79" s="908"/>
      <c r="R79" s="908"/>
      <c r="S79" s="908"/>
      <c r="T79" s="908"/>
      <c r="U79" s="908"/>
      <c r="V79" s="908"/>
      <c r="W79" s="908"/>
      <c r="X79" s="908"/>
      <c r="Y79" s="884" t="s">
        <v>170</v>
      </c>
      <c r="Z79" s="947"/>
      <c r="AA79" s="945" t="s">
        <v>283</v>
      </c>
      <c r="AB79" s="1165"/>
    </row>
    <row r="80" spans="1:28" ht="31.5">
      <c r="A80" s="946">
        <v>15</v>
      </c>
      <c r="B80" s="946"/>
      <c r="C80" s="983" t="s">
        <v>1011</v>
      </c>
      <c r="D80" s="875" t="s">
        <v>27</v>
      </c>
      <c r="E80" s="875" t="s">
        <v>27</v>
      </c>
      <c r="F80" s="879">
        <f t="shared" ref="F80" si="15">G80+H80</f>
        <v>0.61</v>
      </c>
      <c r="G80" s="912"/>
      <c r="H80" s="907">
        <f t="shared" ref="H80" si="16">I80+SUM(K80:X80)</f>
        <v>0.61</v>
      </c>
      <c r="I80" s="907"/>
      <c r="J80" s="907"/>
      <c r="K80" s="908">
        <v>0.35</v>
      </c>
      <c r="L80" s="908">
        <v>0.26</v>
      </c>
      <c r="M80" s="908"/>
      <c r="N80" s="908"/>
      <c r="O80" s="908"/>
      <c r="P80" s="908"/>
      <c r="Q80" s="908"/>
      <c r="R80" s="908"/>
      <c r="S80" s="908"/>
      <c r="T80" s="908"/>
      <c r="U80" s="908"/>
      <c r="V80" s="908"/>
      <c r="W80" s="908"/>
      <c r="X80" s="908"/>
      <c r="Y80" s="884" t="s">
        <v>191</v>
      </c>
      <c r="Z80" s="947"/>
      <c r="AA80" s="945" t="s">
        <v>283</v>
      </c>
      <c r="AB80" s="1165"/>
    </row>
    <row r="81" spans="1:28" ht="31.5">
      <c r="A81" s="946">
        <v>16</v>
      </c>
      <c r="B81" s="946"/>
      <c r="C81" s="983" t="s">
        <v>1022</v>
      </c>
      <c r="D81" s="875" t="s">
        <v>27</v>
      </c>
      <c r="E81" s="875" t="s">
        <v>27</v>
      </c>
      <c r="F81" s="879">
        <f t="shared" ref="F81" si="17">G81+H81</f>
        <v>16.46</v>
      </c>
      <c r="G81" s="912"/>
      <c r="H81" s="907">
        <f t="shared" ref="H81" si="18">I81+SUM(K81:X81)</f>
        <v>16.46</v>
      </c>
      <c r="I81" s="907"/>
      <c r="J81" s="907"/>
      <c r="K81" s="908">
        <v>2.31</v>
      </c>
      <c r="L81" s="908">
        <v>14.15</v>
      </c>
      <c r="M81" s="908"/>
      <c r="N81" s="908"/>
      <c r="O81" s="908"/>
      <c r="P81" s="908"/>
      <c r="Q81" s="908"/>
      <c r="R81" s="908"/>
      <c r="S81" s="908"/>
      <c r="T81" s="908"/>
      <c r="U81" s="908"/>
      <c r="V81" s="908"/>
      <c r="W81" s="908"/>
      <c r="X81" s="908"/>
      <c r="Y81" s="884" t="s">
        <v>170</v>
      </c>
      <c r="Z81" s="947"/>
      <c r="AA81" s="945" t="s">
        <v>283</v>
      </c>
      <c r="AB81" s="1165"/>
    </row>
    <row r="82" spans="1:28" ht="31.5">
      <c r="A82" s="946">
        <v>17</v>
      </c>
      <c r="B82" s="946"/>
      <c r="C82" s="983" t="s">
        <v>1015</v>
      </c>
      <c r="D82" s="1140" t="s">
        <v>37</v>
      </c>
      <c r="E82" s="1140" t="s">
        <v>37</v>
      </c>
      <c r="F82" s="879">
        <f t="shared" ref="F82" si="19">G82+H82</f>
        <v>1.01</v>
      </c>
      <c r="G82" s="912"/>
      <c r="H82" s="907">
        <f t="shared" ref="H82" si="20">I82+SUM(K82:X82)</f>
        <v>1.01</v>
      </c>
      <c r="I82" s="907"/>
      <c r="J82" s="907"/>
      <c r="K82" s="908">
        <v>1.01</v>
      </c>
      <c r="L82" s="908"/>
      <c r="M82" s="908"/>
      <c r="N82" s="908"/>
      <c r="O82" s="908"/>
      <c r="P82" s="908"/>
      <c r="Q82" s="908"/>
      <c r="R82" s="908"/>
      <c r="S82" s="908"/>
      <c r="T82" s="908"/>
      <c r="U82" s="908"/>
      <c r="V82" s="908"/>
      <c r="W82" s="908"/>
      <c r="X82" s="908"/>
      <c r="Y82" s="884" t="s">
        <v>197</v>
      </c>
      <c r="Z82" s="947"/>
      <c r="AA82" s="945" t="s">
        <v>283</v>
      </c>
      <c r="AB82" s="1165"/>
    </row>
    <row r="83" spans="1:28" ht="45">
      <c r="A83" s="868"/>
      <c r="B83" s="868"/>
      <c r="C83" s="890" t="s">
        <v>298</v>
      </c>
      <c r="D83" s="892"/>
      <c r="E83" s="892"/>
      <c r="F83" s="879"/>
      <c r="G83" s="1119"/>
      <c r="H83" s="907"/>
      <c r="I83" s="907"/>
      <c r="J83" s="907"/>
      <c r="K83" s="903"/>
      <c r="L83" s="871"/>
      <c r="M83" s="871"/>
      <c r="N83" s="871"/>
      <c r="O83" s="871"/>
      <c r="P83" s="871"/>
      <c r="Q83" s="871"/>
      <c r="R83" s="871"/>
      <c r="S83" s="871"/>
      <c r="T83" s="871"/>
      <c r="U83" s="871"/>
      <c r="V83" s="871"/>
      <c r="W83" s="871"/>
      <c r="X83" s="871"/>
      <c r="Y83" s="893"/>
      <c r="Z83" s="949"/>
      <c r="AA83" s="1165"/>
      <c r="AB83" s="1165"/>
    </row>
    <row r="84" spans="1:28" ht="30">
      <c r="A84" s="868">
        <v>1</v>
      </c>
      <c r="B84" s="868"/>
      <c r="C84" s="883" t="s">
        <v>295</v>
      </c>
      <c r="D84" s="892" t="s">
        <v>53</v>
      </c>
      <c r="E84" s="892" t="s">
        <v>53</v>
      </c>
      <c r="F84" s="879">
        <f t="shared" ref="F84:F93" si="21">G84+H84</f>
        <v>3.37</v>
      </c>
      <c r="G84" s="1119"/>
      <c r="H84" s="907">
        <f t="shared" si="5"/>
        <v>3.37</v>
      </c>
      <c r="I84" s="907"/>
      <c r="J84" s="907"/>
      <c r="K84" s="871">
        <v>2.0299999999999998</v>
      </c>
      <c r="L84" s="871">
        <v>1.34</v>
      </c>
      <c r="M84" s="871"/>
      <c r="N84" s="871"/>
      <c r="O84" s="871"/>
      <c r="P84" s="871"/>
      <c r="Q84" s="871"/>
      <c r="R84" s="871"/>
      <c r="S84" s="871"/>
      <c r="T84" s="871"/>
      <c r="U84" s="871"/>
      <c r="V84" s="871"/>
      <c r="W84" s="871"/>
      <c r="X84" s="871"/>
      <c r="Y84" s="893" t="s">
        <v>169</v>
      </c>
      <c r="Z84" s="949"/>
      <c r="AA84" s="894" t="s">
        <v>283</v>
      </c>
      <c r="AB84" s="1165"/>
    </row>
    <row r="85" spans="1:28" ht="30">
      <c r="A85" s="868">
        <v>2</v>
      </c>
      <c r="B85" s="868"/>
      <c r="C85" s="883" t="s">
        <v>295</v>
      </c>
      <c r="D85" s="892" t="s">
        <v>55</v>
      </c>
      <c r="E85" s="892" t="s">
        <v>55</v>
      </c>
      <c r="F85" s="879">
        <f t="shared" si="21"/>
        <v>5.07</v>
      </c>
      <c r="G85" s="1119"/>
      <c r="H85" s="907">
        <f t="shared" si="5"/>
        <v>5.07</v>
      </c>
      <c r="I85" s="907"/>
      <c r="J85" s="907"/>
      <c r="K85" s="871">
        <f>2.91+0.06</f>
        <v>2.97</v>
      </c>
      <c r="L85" s="871">
        <v>2.1</v>
      </c>
      <c r="M85" s="871"/>
      <c r="N85" s="871"/>
      <c r="O85" s="871"/>
      <c r="P85" s="871"/>
      <c r="Q85" s="871"/>
      <c r="R85" s="871"/>
      <c r="S85" s="871"/>
      <c r="T85" s="871"/>
      <c r="U85" s="871"/>
      <c r="V85" s="871"/>
      <c r="W85" s="871"/>
      <c r="X85" s="871"/>
      <c r="Y85" s="893" t="s">
        <v>168</v>
      </c>
      <c r="Z85" s="949"/>
      <c r="AA85" s="894" t="s">
        <v>283</v>
      </c>
      <c r="AB85" s="1165"/>
    </row>
    <row r="86" spans="1:28" ht="30">
      <c r="A86" s="868">
        <v>3</v>
      </c>
      <c r="B86" s="868"/>
      <c r="C86" s="883" t="s">
        <v>295</v>
      </c>
      <c r="D86" s="892" t="s">
        <v>53</v>
      </c>
      <c r="E86" s="892" t="s">
        <v>53</v>
      </c>
      <c r="F86" s="879">
        <f t="shared" si="21"/>
        <v>2</v>
      </c>
      <c r="G86" s="1119"/>
      <c r="H86" s="907">
        <f t="shared" si="5"/>
        <v>2</v>
      </c>
      <c r="I86" s="907"/>
      <c r="J86" s="907"/>
      <c r="K86" s="871">
        <v>1.01</v>
      </c>
      <c r="L86" s="871">
        <v>0.99</v>
      </c>
      <c r="M86" s="871"/>
      <c r="N86" s="871"/>
      <c r="O86" s="871"/>
      <c r="P86" s="871"/>
      <c r="Q86" s="871"/>
      <c r="R86" s="871"/>
      <c r="S86" s="871"/>
      <c r="T86" s="871"/>
      <c r="U86" s="871"/>
      <c r="V86" s="871"/>
      <c r="W86" s="871"/>
      <c r="X86" s="871"/>
      <c r="Y86" s="893" t="s">
        <v>171</v>
      </c>
      <c r="Z86" s="949"/>
      <c r="AA86" s="894" t="s">
        <v>283</v>
      </c>
      <c r="AB86" s="1165"/>
    </row>
    <row r="87" spans="1:28" ht="30">
      <c r="A87" s="868">
        <v>4</v>
      </c>
      <c r="B87" s="868"/>
      <c r="C87" s="883" t="s">
        <v>295</v>
      </c>
      <c r="D87" s="1139" t="s">
        <v>53</v>
      </c>
      <c r="E87" s="1139" t="s">
        <v>53</v>
      </c>
      <c r="F87" s="879">
        <f t="shared" si="21"/>
        <v>2.38</v>
      </c>
      <c r="G87" s="1119"/>
      <c r="H87" s="907">
        <f t="shared" si="5"/>
        <v>2.38</v>
      </c>
      <c r="I87" s="907"/>
      <c r="J87" s="907"/>
      <c r="K87" s="871">
        <v>1.62</v>
      </c>
      <c r="L87" s="871">
        <v>0.76</v>
      </c>
      <c r="M87" s="871"/>
      <c r="N87" s="871"/>
      <c r="O87" s="871"/>
      <c r="P87" s="871"/>
      <c r="Q87" s="871"/>
      <c r="R87" s="871"/>
      <c r="S87" s="871"/>
      <c r="T87" s="871"/>
      <c r="U87" s="871"/>
      <c r="V87" s="871"/>
      <c r="W87" s="871"/>
      <c r="X87" s="871"/>
      <c r="Y87" s="893" t="s">
        <v>172</v>
      </c>
      <c r="Z87" s="949"/>
      <c r="AA87" s="894" t="s">
        <v>283</v>
      </c>
      <c r="AB87" s="1165"/>
    </row>
    <row r="88" spans="1:28" ht="30">
      <c r="A88" s="868">
        <v>5</v>
      </c>
      <c r="B88" s="868"/>
      <c r="C88" s="883" t="s">
        <v>295</v>
      </c>
      <c r="D88" s="1139" t="s">
        <v>53</v>
      </c>
      <c r="E88" s="1139" t="s">
        <v>53</v>
      </c>
      <c r="F88" s="879">
        <f t="shared" si="21"/>
        <v>0.69000000000000006</v>
      </c>
      <c r="G88" s="1119"/>
      <c r="H88" s="907">
        <f t="shared" si="5"/>
        <v>0.69000000000000006</v>
      </c>
      <c r="I88" s="907"/>
      <c r="J88" s="907"/>
      <c r="K88" s="871">
        <f>0.17+0.48</f>
        <v>0.65</v>
      </c>
      <c r="L88" s="871">
        <v>0.04</v>
      </c>
      <c r="M88" s="871"/>
      <c r="N88" s="871"/>
      <c r="O88" s="871"/>
      <c r="P88" s="871"/>
      <c r="Q88" s="871"/>
      <c r="R88" s="871"/>
      <c r="S88" s="871"/>
      <c r="T88" s="871"/>
      <c r="U88" s="871"/>
      <c r="V88" s="871"/>
      <c r="W88" s="871"/>
      <c r="X88" s="871"/>
      <c r="Y88" s="893" t="s">
        <v>190</v>
      </c>
      <c r="Z88" s="949"/>
      <c r="AA88" s="894" t="s">
        <v>283</v>
      </c>
      <c r="AB88" s="1165"/>
    </row>
    <row r="89" spans="1:28" ht="30">
      <c r="A89" s="868">
        <v>6</v>
      </c>
      <c r="B89" s="868"/>
      <c r="C89" s="883" t="s">
        <v>297</v>
      </c>
      <c r="D89" s="892" t="s">
        <v>53</v>
      </c>
      <c r="E89" s="892" t="s">
        <v>53</v>
      </c>
      <c r="F89" s="879">
        <f t="shared" si="21"/>
        <v>2</v>
      </c>
      <c r="G89" s="1119">
        <v>2</v>
      </c>
      <c r="H89" s="907">
        <f t="shared" si="5"/>
        <v>0</v>
      </c>
      <c r="I89" s="907"/>
      <c r="J89" s="907"/>
      <c r="K89" s="903"/>
      <c r="L89" s="871"/>
      <c r="M89" s="871"/>
      <c r="N89" s="871"/>
      <c r="O89" s="871"/>
      <c r="P89" s="871"/>
      <c r="Q89" s="871"/>
      <c r="R89" s="871"/>
      <c r="S89" s="871"/>
      <c r="T89" s="871"/>
      <c r="U89" s="871"/>
      <c r="V89" s="871"/>
      <c r="W89" s="871"/>
      <c r="X89" s="871"/>
      <c r="Y89" s="893" t="s">
        <v>190</v>
      </c>
      <c r="Z89" s="949"/>
      <c r="AA89" s="894" t="s">
        <v>283</v>
      </c>
      <c r="AB89" s="1165"/>
    </row>
    <row r="90" spans="1:28" ht="30">
      <c r="A90" s="868">
        <v>7</v>
      </c>
      <c r="B90" s="868"/>
      <c r="C90" s="883" t="s">
        <v>296</v>
      </c>
      <c r="D90" s="892" t="s">
        <v>53</v>
      </c>
      <c r="E90" s="892" t="s">
        <v>53</v>
      </c>
      <c r="F90" s="879">
        <f t="shared" si="21"/>
        <v>2</v>
      </c>
      <c r="G90" s="1119">
        <v>2</v>
      </c>
      <c r="H90" s="907">
        <f t="shared" si="5"/>
        <v>0</v>
      </c>
      <c r="I90" s="907"/>
      <c r="J90" s="907"/>
      <c r="K90" s="903"/>
      <c r="L90" s="871"/>
      <c r="M90" s="871"/>
      <c r="N90" s="871"/>
      <c r="O90" s="871"/>
      <c r="P90" s="871"/>
      <c r="Q90" s="871"/>
      <c r="R90" s="871"/>
      <c r="S90" s="871"/>
      <c r="T90" s="871"/>
      <c r="U90" s="871"/>
      <c r="V90" s="871"/>
      <c r="W90" s="871"/>
      <c r="X90" s="871"/>
      <c r="Y90" s="893" t="s">
        <v>190</v>
      </c>
      <c r="Z90" s="949"/>
      <c r="AA90" s="894" t="s">
        <v>283</v>
      </c>
      <c r="AB90" s="1165"/>
    </row>
    <row r="91" spans="1:28" ht="30">
      <c r="A91" s="868">
        <v>8</v>
      </c>
      <c r="B91" s="868"/>
      <c r="C91" s="883" t="s">
        <v>295</v>
      </c>
      <c r="D91" s="892" t="s">
        <v>53</v>
      </c>
      <c r="E91" s="892" t="s">
        <v>53</v>
      </c>
      <c r="F91" s="879">
        <f t="shared" si="21"/>
        <v>1.75</v>
      </c>
      <c r="G91" s="1119"/>
      <c r="H91" s="907">
        <f t="shared" si="5"/>
        <v>1.75</v>
      </c>
      <c r="I91" s="907"/>
      <c r="J91" s="907"/>
      <c r="K91" s="871">
        <v>1.06</v>
      </c>
      <c r="L91" s="871">
        <v>0.69</v>
      </c>
      <c r="M91" s="871"/>
      <c r="N91" s="871"/>
      <c r="O91" s="871"/>
      <c r="P91" s="871"/>
      <c r="Q91" s="871"/>
      <c r="R91" s="871"/>
      <c r="S91" s="871"/>
      <c r="T91" s="871"/>
      <c r="U91" s="871"/>
      <c r="V91" s="871"/>
      <c r="W91" s="871"/>
      <c r="X91" s="871"/>
      <c r="Y91" s="893" t="s">
        <v>191</v>
      </c>
      <c r="Z91" s="949"/>
      <c r="AA91" s="894" t="s">
        <v>283</v>
      </c>
      <c r="AB91" s="1165"/>
    </row>
    <row r="92" spans="1:28" ht="30">
      <c r="A92" s="868">
        <v>9</v>
      </c>
      <c r="B92" s="868"/>
      <c r="C92" s="883" t="s">
        <v>295</v>
      </c>
      <c r="D92" s="892" t="s">
        <v>53</v>
      </c>
      <c r="E92" s="892" t="s">
        <v>53</v>
      </c>
      <c r="F92" s="879">
        <f t="shared" si="21"/>
        <v>0.83000000000000007</v>
      </c>
      <c r="G92" s="1119"/>
      <c r="H92" s="907">
        <f t="shared" si="5"/>
        <v>0.83000000000000007</v>
      </c>
      <c r="I92" s="907"/>
      <c r="J92" s="907"/>
      <c r="K92" s="871">
        <v>0.28999999999999998</v>
      </c>
      <c r="L92" s="871">
        <v>0.54</v>
      </c>
      <c r="M92" s="871"/>
      <c r="N92" s="871"/>
      <c r="O92" s="871"/>
      <c r="P92" s="871"/>
      <c r="Q92" s="871"/>
      <c r="R92" s="871"/>
      <c r="S92" s="871"/>
      <c r="T92" s="871"/>
      <c r="U92" s="871"/>
      <c r="V92" s="871"/>
      <c r="W92" s="871"/>
      <c r="X92" s="871"/>
      <c r="Y92" s="893" t="s">
        <v>170</v>
      </c>
      <c r="Z92" s="949"/>
      <c r="AA92" s="894" t="s">
        <v>283</v>
      </c>
      <c r="AB92" s="1165"/>
    </row>
    <row r="93" spans="1:28" ht="30">
      <c r="A93" s="868">
        <v>10</v>
      </c>
      <c r="B93" s="868"/>
      <c r="C93" s="883" t="s">
        <v>295</v>
      </c>
      <c r="D93" s="892" t="s">
        <v>53</v>
      </c>
      <c r="E93" s="892" t="s">
        <v>53</v>
      </c>
      <c r="F93" s="879">
        <f t="shared" si="21"/>
        <v>0.34</v>
      </c>
      <c r="G93" s="1119"/>
      <c r="H93" s="907">
        <f t="shared" si="5"/>
        <v>0.34</v>
      </c>
      <c r="I93" s="907"/>
      <c r="J93" s="907"/>
      <c r="K93" s="871">
        <v>0.14000000000000001</v>
      </c>
      <c r="L93" s="871">
        <v>0.2</v>
      </c>
      <c r="M93" s="871"/>
      <c r="N93" s="871"/>
      <c r="O93" s="871"/>
      <c r="P93" s="871"/>
      <c r="Q93" s="871"/>
      <c r="R93" s="871"/>
      <c r="S93" s="871"/>
      <c r="T93" s="871"/>
      <c r="U93" s="871"/>
      <c r="V93" s="871"/>
      <c r="W93" s="871"/>
      <c r="X93" s="871"/>
      <c r="Y93" s="893" t="s">
        <v>197</v>
      </c>
      <c r="Z93" s="949"/>
      <c r="AA93" s="894" t="s">
        <v>283</v>
      </c>
      <c r="AB93" s="1165"/>
    </row>
    <row r="94" spans="1:28" ht="30">
      <c r="A94" s="868">
        <v>11</v>
      </c>
      <c r="B94" s="868"/>
      <c r="C94" s="883" t="s">
        <v>295</v>
      </c>
      <c r="D94" s="1139" t="s">
        <v>53</v>
      </c>
      <c r="E94" s="1139" t="s">
        <v>53</v>
      </c>
      <c r="F94" s="879">
        <f t="shared" ref="F94:F126" si="22">G94+H94</f>
        <v>0.39</v>
      </c>
      <c r="G94" s="1119"/>
      <c r="H94" s="907">
        <f t="shared" si="5"/>
        <v>0.39</v>
      </c>
      <c r="I94" s="907"/>
      <c r="J94" s="907"/>
      <c r="K94" s="871">
        <f>0.36+0.03</f>
        <v>0.39</v>
      </c>
      <c r="L94" s="871"/>
      <c r="M94" s="871"/>
      <c r="N94" s="871"/>
      <c r="O94" s="871"/>
      <c r="P94" s="871"/>
      <c r="Q94" s="871"/>
      <c r="R94" s="871"/>
      <c r="S94" s="871"/>
      <c r="T94" s="871"/>
      <c r="U94" s="871"/>
      <c r="V94" s="871"/>
      <c r="W94" s="871"/>
      <c r="X94" s="871"/>
      <c r="Y94" s="893" t="s">
        <v>189</v>
      </c>
      <c r="Z94" s="949"/>
      <c r="AA94" s="894" t="s">
        <v>283</v>
      </c>
      <c r="AB94" s="1165"/>
    </row>
    <row r="95" spans="1:28" ht="30">
      <c r="A95" s="868">
        <v>12</v>
      </c>
      <c r="B95" s="868"/>
      <c r="C95" s="883" t="s">
        <v>295</v>
      </c>
      <c r="D95" s="892" t="s">
        <v>53</v>
      </c>
      <c r="E95" s="892" t="s">
        <v>53</v>
      </c>
      <c r="F95" s="879">
        <f t="shared" si="22"/>
        <v>0.89999999999999991</v>
      </c>
      <c r="G95" s="1119"/>
      <c r="H95" s="907">
        <f t="shared" si="5"/>
        <v>0.89999999999999991</v>
      </c>
      <c r="I95" s="907"/>
      <c r="J95" s="907"/>
      <c r="K95" s="871">
        <v>0.57999999999999996</v>
      </c>
      <c r="L95" s="871">
        <v>0.32</v>
      </c>
      <c r="M95" s="871"/>
      <c r="N95" s="871"/>
      <c r="O95" s="871"/>
      <c r="P95" s="871"/>
      <c r="Q95" s="871"/>
      <c r="R95" s="871"/>
      <c r="S95" s="871"/>
      <c r="T95" s="871"/>
      <c r="U95" s="871"/>
      <c r="V95" s="871"/>
      <c r="W95" s="871"/>
      <c r="X95" s="871"/>
      <c r="Y95" s="893" t="s">
        <v>173</v>
      </c>
      <c r="Z95" s="949"/>
      <c r="AA95" s="894" t="s">
        <v>283</v>
      </c>
      <c r="AB95" s="1165"/>
    </row>
    <row r="96" spans="1:28" ht="30">
      <c r="A96" s="868">
        <v>13</v>
      </c>
      <c r="B96" s="868"/>
      <c r="C96" s="883" t="s">
        <v>295</v>
      </c>
      <c r="D96" s="892" t="s">
        <v>53</v>
      </c>
      <c r="E96" s="892" t="s">
        <v>53</v>
      </c>
      <c r="F96" s="879">
        <f t="shared" si="22"/>
        <v>0.15000000000000002</v>
      </c>
      <c r="G96" s="1119"/>
      <c r="H96" s="907">
        <f t="shared" si="5"/>
        <v>0.15000000000000002</v>
      </c>
      <c r="I96" s="907"/>
      <c r="J96" s="907"/>
      <c r="K96" s="871">
        <v>7.0000000000000007E-2</v>
      </c>
      <c r="L96" s="871">
        <v>0.08</v>
      </c>
      <c r="M96" s="871"/>
      <c r="N96" s="871"/>
      <c r="O96" s="871"/>
      <c r="P96" s="871"/>
      <c r="Q96" s="871"/>
      <c r="R96" s="871"/>
      <c r="S96" s="871"/>
      <c r="T96" s="871"/>
      <c r="U96" s="871"/>
      <c r="V96" s="871"/>
      <c r="W96" s="871"/>
      <c r="X96" s="871"/>
      <c r="Y96" s="893" t="s">
        <v>174</v>
      </c>
      <c r="Z96" s="949"/>
      <c r="AA96" s="894" t="s">
        <v>283</v>
      </c>
      <c r="AB96" s="1165"/>
    </row>
    <row r="97" spans="1:28">
      <c r="A97" s="868"/>
      <c r="B97" s="868"/>
      <c r="C97" s="896" t="s">
        <v>294</v>
      </c>
      <c r="D97" s="892"/>
      <c r="E97" s="892"/>
      <c r="F97" s="879"/>
      <c r="G97" s="1119"/>
      <c r="H97" s="907">
        <f t="shared" si="5"/>
        <v>0</v>
      </c>
      <c r="I97" s="907"/>
      <c r="J97" s="907"/>
      <c r="K97" s="903"/>
      <c r="L97" s="871"/>
      <c r="M97" s="871"/>
      <c r="N97" s="871"/>
      <c r="O97" s="871"/>
      <c r="P97" s="871"/>
      <c r="Q97" s="871"/>
      <c r="R97" s="871"/>
      <c r="S97" s="871"/>
      <c r="T97" s="871"/>
      <c r="U97" s="871"/>
      <c r="V97" s="871"/>
      <c r="W97" s="871"/>
      <c r="X97" s="871"/>
      <c r="Y97" s="893"/>
      <c r="Z97" s="949"/>
      <c r="AA97" s="894"/>
      <c r="AB97" s="1165"/>
    </row>
    <row r="98" spans="1:28" s="918" customFormat="1" ht="30">
      <c r="A98" s="868">
        <v>1</v>
      </c>
      <c r="B98" s="868"/>
      <c r="C98" s="942" t="s">
        <v>293</v>
      </c>
      <c r="D98" s="1165" t="s">
        <v>15</v>
      </c>
      <c r="E98" s="1165" t="s">
        <v>15</v>
      </c>
      <c r="F98" s="879">
        <f t="shared" si="22"/>
        <v>11</v>
      </c>
      <c r="G98" s="941"/>
      <c r="H98" s="907">
        <f t="shared" si="5"/>
        <v>11</v>
      </c>
      <c r="I98" s="907"/>
      <c r="J98" s="907"/>
      <c r="K98" s="941">
        <v>10</v>
      </c>
      <c r="L98" s="941"/>
      <c r="M98" s="941"/>
      <c r="N98" s="941"/>
      <c r="O98" s="941"/>
      <c r="P98" s="941"/>
      <c r="Q98" s="941"/>
      <c r="R98" s="941"/>
      <c r="S98" s="941"/>
      <c r="T98" s="941"/>
      <c r="U98" s="941"/>
      <c r="V98" s="941"/>
      <c r="W98" s="941"/>
      <c r="X98" s="941">
        <v>1</v>
      </c>
      <c r="Y98" s="942" t="s">
        <v>170</v>
      </c>
      <c r="Z98" s="947"/>
      <c r="AA98" s="894" t="s">
        <v>283</v>
      </c>
      <c r="AB98" s="1165"/>
    </row>
    <row r="99" spans="1:28" s="918" customFormat="1" ht="30">
      <c r="A99" s="868">
        <v>2</v>
      </c>
      <c r="B99" s="868"/>
      <c r="C99" s="942" t="s">
        <v>292</v>
      </c>
      <c r="D99" s="1165" t="s">
        <v>15</v>
      </c>
      <c r="E99" s="1165" t="s">
        <v>15</v>
      </c>
      <c r="F99" s="879">
        <f t="shared" si="22"/>
        <v>10</v>
      </c>
      <c r="G99" s="941"/>
      <c r="H99" s="907">
        <f t="shared" si="5"/>
        <v>10</v>
      </c>
      <c r="I99" s="907"/>
      <c r="J99" s="907"/>
      <c r="K99" s="941">
        <v>10</v>
      </c>
      <c r="L99" s="941"/>
      <c r="M99" s="941"/>
      <c r="N99" s="941"/>
      <c r="O99" s="941"/>
      <c r="P99" s="941"/>
      <c r="Q99" s="941"/>
      <c r="R99" s="941"/>
      <c r="S99" s="941"/>
      <c r="T99" s="941"/>
      <c r="U99" s="941"/>
      <c r="V99" s="941"/>
      <c r="W99" s="941"/>
      <c r="X99" s="941"/>
      <c r="Y99" s="942" t="s">
        <v>197</v>
      </c>
      <c r="Z99" s="947"/>
      <c r="AA99" s="894" t="s">
        <v>283</v>
      </c>
      <c r="AB99" s="1165"/>
    </row>
    <row r="100" spans="1:28" s="918" customFormat="1" ht="30">
      <c r="A100" s="868">
        <v>3</v>
      </c>
      <c r="B100" s="868"/>
      <c r="C100" s="942" t="s">
        <v>291</v>
      </c>
      <c r="D100" s="1165" t="s">
        <v>15</v>
      </c>
      <c r="E100" s="1165" t="s">
        <v>15</v>
      </c>
      <c r="F100" s="879">
        <f t="shared" si="22"/>
        <v>10</v>
      </c>
      <c r="G100" s="941"/>
      <c r="H100" s="907">
        <f t="shared" si="5"/>
        <v>10</v>
      </c>
      <c r="I100" s="907"/>
      <c r="J100" s="907"/>
      <c r="K100" s="941">
        <v>10</v>
      </c>
      <c r="L100" s="941"/>
      <c r="M100" s="941"/>
      <c r="N100" s="941"/>
      <c r="O100" s="941"/>
      <c r="P100" s="941"/>
      <c r="Q100" s="941"/>
      <c r="R100" s="941"/>
      <c r="S100" s="941"/>
      <c r="T100" s="941"/>
      <c r="U100" s="941"/>
      <c r="V100" s="941"/>
      <c r="W100" s="941"/>
      <c r="X100" s="941"/>
      <c r="Y100" s="942" t="s">
        <v>190</v>
      </c>
      <c r="Z100" s="947"/>
      <c r="AA100" s="894" t="s">
        <v>283</v>
      </c>
      <c r="AB100" s="1165"/>
    </row>
    <row r="101" spans="1:28" s="918" customFormat="1" ht="30">
      <c r="A101" s="868">
        <v>4</v>
      </c>
      <c r="B101" s="868"/>
      <c r="C101" s="942" t="s">
        <v>290</v>
      </c>
      <c r="D101" s="1165" t="s">
        <v>15</v>
      </c>
      <c r="E101" s="1165" t="s">
        <v>15</v>
      </c>
      <c r="F101" s="879">
        <f t="shared" si="22"/>
        <v>151</v>
      </c>
      <c r="G101" s="941"/>
      <c r="H101" s="907">
        <f t="shared" si="5"/>
        <v>151</v>
      </c>
      <c r="I101" s="907"/>
      <c r="J101" s="907"/>
      <c r="K101" s="941">
        <v>150</v>
      </c>
      <c r="L101" s="941"/>
      <c r="M101" s="941"/>
      <c r="N101" s="941"/>
      <c r="O101" s="941"/>
      <c r="P101" s="941"/>
      <c r="Q101" s="941"/>
      <c r="R101" s="941"/>
      <c r="S101" s="941"/>
      <c r="T101" s="941"/>
      <c r="U101" s="941"/>
      <c r="V101" s="941"/>
      <c r="W101" s="941"/>
      <c r="X101" s="941">
        <v>1</v>
      </c>
      <c r="Y101" s="942" t="s">
        <v>169</v>
      </c>
      <c r="Z101" s="947"/>
      <c r="AA101" s="894" t="s">
        <v>283</v>
      </c>
      <c r="AB101" s="1165"/>
    </row>
    <row r="102" spans="1:28" s="918" customFormat="1" ht="30">
      <c r="A102" s="868">
        <v>5</v>
      </c>
      <c r="B102" s="868"/>
      <c r="C102" s="942" t="s">
        <v>289</v>
      </c>
      <c r="D102" s="1165" t="s">
        <v>15</v>
      </c>
      <c r="E102" s="1165" t="s">
        <v>15</v>
      </c>
      <c r="F102" s="879">
        <f t="shared" si="22"/>
        <v>21</v>
      </c>
      <c r="G102" s="941"/>
      <c r="H102" s="907">
        <f t="shared" si="5"/>
        <v>21</v>
      </c>
      <c r="I102" s="907"/>
      <c r="J102" s="907"/>
      <c r="K102" s="941">
        <v>20</v>
      </c>
      <c r="L102" s="941"/>
      <c r="M102" s="941"/>
      <c r="N102" s="941"/>
      <c r="O102" s="941"/>
      <c r="P102" s="941"/>
      <c r="Q102" s="941"/>
      <c r="R102" s="941"/>
      <c r="S102" s="941"/>
      <c r="T102" s="941"/>
      <c r="U102" s="941"/>
      <c r="V102" s="941"/>
      <c r="W102" s="941"/>
      <c r="X102" s="941">
        <v>1</v>
      </c>
      <c r="Y102" s="942" t="s">
        <v>191</v>
      </c>
      <c r="Z102" s="947"/>
      <c r="AA102" s="894" t="s">
        <v>283</v>
      </c>
      <c r="AB102" s="1165"/>
    </row>
    <row r="103" spans="1:28" s="918" customFormat="1" ht="30">
      <c r="A103" s="868">
        <v>6</v>
      </c>
      <c r="B103" s="868"/>
      <c r="C103" s="942" t="s">
        <v>288</v>
      </c>
      <c r="D103" s="1165" t="s">
        <v>15</v>
      </c>
      <c r="E103" s="1165" t="s">
        <v>15</v>
      </c>
      <c r="F103" s="879">
        <f t="shared" si="22"/>
        <v>30</v>
      </c>
      <c r="G103" s="941"/>
      <c r="H103" s="907">
        <f t="shared" si="5"/>
        <v>30</v>
      </c>
      <c r="I103" s="907"/>
      <c r="J103" s="907"/>
      <c r="K103" s="941">
        <v>30</v>
      </c>
      <c r="L103" s="941"/>
      <c r="M103" s="941"/>
      <c r="N103" s="941"/>
      <c r="O103" s="941"/>
      <c r="P103" s="941"/>
      <c r="Q103" s="941"/>
      <c r="R103" s="941"/>
      <c r="S103" s="941"/>
      <c r="T103" s="941"/>
      <c r="U103" s="941"/>
      <c r="V103" s="941"/>
      <c r="W103" s="941"/>
      <c r="X103" s="941"/>
      <c r="Y103" s="942" t="s">
        <v>171</v>
      </c>
      <c r="Z103" s="947"/>
      <c r="AA103" s="894" t="s">
        <v>283</v>
      </c>
      <c r="AB103" s="1165"/>
    </row>
    <row r="104" spans="1:28" s="918" customFormat="1" ht="30">
      <c r="A104" s="868">
        <v>7</v>
      </c>
      <c r="B104" s="868"/>
      <c r="C104" s="942" t="s">
        <v>287</v>
      </c>
      <c r="D104" s="1165" t="s">
        <v>15</v>
      </c>
      <c r="E104" s="1165" t="s">
        <v>15</v>
      </c>
      <c r="F104" s="879">
        <f t="shared" si="22"/>
        <v>10</v>
      </c>
      <c r="G104" s="941"/>
      <c r="H104" s="907">
        <f t="shared" si="5"/>
        <v>10</v>
      </c>
      <c r="I104" s="907"/>
      <c r="J104" s="907"/>
      <c r="K104" s="941">
        <v>10</v>
      </c>
      <c r="L104" s="941"/>
      <c r="M104" s="941"/>
      <c r="N104" s="941"/>
      <c r="O104" s="941"/>
      <c r="P104" s="941"/>
      <c r="Q104" s="941"/>
      <c r="R104" s="941"/>
      <c r="S104" s="941"/>
      <c r="T104" s="941"/>
      <c r="U104" s="941"/>
      <c r="V104" s="941"/>
      <c r="W104" s="941"/>
      <c r="X104" s="941"/>
      <c r="Y104" s="942" t="s">
        <v>172</v>
      </c>
      <c r="Z104" s="947"/>
      <c r="AA104" s="894" t="s">
        <v>283</v>
      </c>
      <c r="AB104" s="1165"/>
    </row>
    <row r="105" spans="1:28" s="918" customFormat="1" ht="30">
      <c r="A105" s="868">
        <v>8</v>
      </c>
      <c r="B105" s="868"/>
      <c r="C105" s="942" t="s">
        <v>286</v>
      </c>
      <c r="D105" s="1165" t="s">
        <v>15</v>
      </c>
      <c r="E105" s="1165" t="s">
        <v>15</v>
      </c>
      <c r="F105" s="879">
        <f t="shared" si="22"/>
        <v>30</v>
      </c>
      <c r="G105" s="941"/>
      <c r="H105" s="907">
        <f t="shared" si="5"/>
        <v>30</v>
      </c>
      <c r="I105" s="907"/>
      <c r="J105" s="907"/>
      <c r="K105" s="941">
        <v>18</v>
      </c>
      <c r="L105" s="941"/>
      <c r="M105" s="941"/>
      <c r="N105" s="941"/>
      <c r="O105" s="941"/>
      <c r="P105" s="941"/>
      <c r="Q105" s="941"/>
      <c r="R105" s="941"/>
      <c r="S105" s="941"/>
      <c r="T105" s="941"/>
      <c r="U105" s="941"/>
      <c r="V105" s="941"/>
      <c r="W105" s="941"/>
      <c r="X105" s="941">
        <v>12</v>
      </c>
      <c r="Y105" s="942" t="s">
        <v>173</v>
      </c>
      <c r="Z105" s="947"/>
      <c r="AA105" s="894" t="s">
        <v>283</v>
      </c>
      <c r="AB105" s="1165"/>
    </row>
    <row r="106" spans="1:28" s="918" customFormat="1" ht="30">
      <c r="A106" s="868">
        <v>9</v>
      </c>
      <c r="B106" s="868"/>
      <c r="C106" s="942" t="s">
        <v>285</v>
      </c>
      <c r="D106" s="1165" t="s">
        <v>15</v>
      </c>
      <c r="E106" s="1165" t="s">
        <v>15</v>
      </c>
      <c r="F106" s="879">
        <f t="shared" si="22"/>
        <v>10</v>
      </c>
      <c r="G106" s="941"/>
      <c r="H106" s="907">
        <f t="shared" ref="H106:H126" si="23">I106+SUM(K106:X106)</f>
        <v>10</v>
      </c>
      <c r="I106" s="907"/>
      <c r="J106" s="907"/>
      <c r="K106" s="941">
        <v>10</v>
      </c>
      <c r="L106" s="941"/>
      <c r="M106" s="941"/>
      <c r="N106" s="941"/>
      <c r="O106" s="941"/>
      <c r="P106" s="941"/>
      <c r="Q106" s="941"/>
      <c r="R106" s="941"/>
      <c r="S106" s="941"/>
      <c r="T106" s="941"/>
      <c r="U106" s="941"/>
      <c r="V106" s="941"/>
      <c r="W106" s="941"/>
      <c r="X106" s="941"/>
      <c r="Y106" s="942" t="s">
        <v>174</v>
      </c>
      <c r="Z106" s="947"/>
      <c r="AA106" s="894" t="s">
        <v>283</v>
      </c>
      <c r="AB106" s="1165"/>
    </row>
    <row r="107" spans="1:28" s="918" customFormat="1" ht="30">
      <c r="A107" s="868">
        <v>10</v>
      </c>
      <c r="B107" s="868"/>
      <c r="C107" s="942" t="s">
        <v>284</v>
      </c>
      <c r="D107" s="1165" t="s">
        <v>15</v>
      </c>
      <c r="E107" s="1165" t="s">
        <v>15</v>
      </c>
      <c r="F107" s="879">
        <f t="shared" si="22"/>
        <v>10</v>
      </c>
      <c r="G107" s="941"/>
      <c r="H107" s="907">
        <f t="shared" si="23"/>
        <v>10</v>
      </c>
      <c r="I107" s="907"/>
      <c r="J107" s="907"/>
      <c r="K107" s="941">
        <v>10</v>
      </c>
      <c r="L107" s="941"/>
      <c r="M107" s="941"/>
      <c r="N107" s="941"/>
      <c r="O107" s="941"/>
      <c r="P107" s="941"/>
      <c r="Q107" s="941"/>
      <c r="R107" s="941"/>
      <c r="S107" s="941"/>
      <c r="T107" s="941"/>
      <c r="U107" s="941"/>
      <c r="V107" s="941"/>
      <c r="W107" s="941"/>
      <c r="X107" s="941"/>
      <c r="Y107" s="942" t="s">
        <v>189</v>
      </c>
      <c r="Z107" s="947"/>
      <c r="AA107" s="894" t="s">
        <v>283</v>
      </c>
      <c r="AB107" s="1165"/>
    </row>
    <row r="108" spans="1:28">
      <c r="A108" s="873" t="s">
        <v>149</v>
      </c>
      <c r="B108" s="873"/>
      <c r="C108" s="876" t="s">
        <v>282</v>
      </c>
      <c r="D108" s="875"/>
      <c r="E108" s="875"/>
      <c r="F108" s="875"/>
      <c r="G108" s="875"/>
      <c r="H108" s="907">
        <f t="shared" si="23"/>
        <v>0</v>
      </c>
      <c r="I108" s="907"/>
      <c r="J108" s="907"/>
      <c r="K108" s="905"/>
      <c r="L108" s="878"/>
      <c r="M108" s="878"/>
      <c r="N108" s="878"/>
      <c r="O108" s="878"/>
      <c r="P108" s="878"/>
      <c r="Q108" s="878"/>
      <c r="R108" s="878"/>
      <c r="S108" s="878"/>
      <c r="T108" s="878"/>
      <c r="U108" s="878"/>
      <c r="V108" s="878"/>
      <c r="W108" s="878"/>
      <c r="X108" s="878"/>
      <c r="Y108" s="876"/>
      <c r="Z108" s="949"/>
      <c r="AA108" s="1165"/>
      <c r="AB108" s="1165"/>
    </row>
    <row r="109" spans="1:28">
      <c r="A109" s="873" t="s">
        <v>999</v>
      </c>
      <c r="B109" s="873"/>
      <c r="C109" s="979" t="s">
        <v>826</v>
      </c>
      <c r="D109" s="875"/>
      <c r="E109" s="875"/>
      <c r="F109" s="875"/>
      <c r="G109" s="875"/>
      <c r="H109" s="907">
        <f t="shared" si="23"/>
        <v>0</v>
      </c>
      <c r="I109" s="907"/>
      <c r="J109" s="907"/>
      <c r="K109" s="905"/>
      <c r="L109" s="878"/>
      <c r="M109" s="878"/>
      <c r="N109" s="878"/>
      <c r="O109" s="878"/>
      <c r="P109" s="878"/>
      <c r="Q109" s="878"/>
      <c r="R109" s="878"/>
      <c r="S109" s="878"/>
      <c r="T109" s="878"/>
      <c r="U109" s="878"/>
      <c r="V109" s="878"/>
      <c r="W109" s="878"/>
      <c r="X109" s="878"/>
      <c r="Y109" s="876"/>
      <c r="Z109" s="949"/>
      <c r="AA109" s="1165"/>
      <c r="AB109" s="1165"/>
    </row>
    <row r="110" spans="1:28" ht="38.25" customHeight="1">
      <c r="A110" s="946">
        <v>1</v>
      </c>
      <c r="B110" s="946"/>
      <c r="C110" s="880" t="s">
        <v>827</v>
      </c>
      <c r="D110" s="875" t="s">
        <v>21</v>
      </c>
      <c r="E110" s="875" t="s">
        <v>21</v>
      </c>
      <c r="F110" s="879">
        <f t="shared" si="22"/>
        <v>10.9</v>
      </c>
      <c r="G110" s="907">
        <v>10.9</v>
      </c>
      <c r="H110" s="907">
        <f t="shared" si="23"/>
        <v>0</v>
      </c>
      <c r="I110" s="907"/>
      <c r="J110" s="907"/>
      <c r="K110" s="906"/>
      <c r="L110" s="907"/>
      <c r="M110" s="907"/>
      <c r="N110" s="907"/>
      <c r="O110" s="907"/>
      <c r="P110" s="907"/>
      <c r="Q110" s="907"/>
      <c r="R110" s="907"/>
      <c r="S110" s="907"/>
      <c r="T110" s="907"/>
      <c r="U110" s="907"/>
      <c r="V110" s="907"/>
      <c r="W110" s="907"/>
      <c r="X110" s="907"/>
      <c r="Y110" s="880" t="s">
        <v>172</v>
      </c>
      <c r="Z110" s="949"/>
      <c r="AA110" s="1325" t="s">
        <v>831</v>
      </c>
      <c r="AB110" s="1165"/>
    </row>
    <row r="111" spans="1:28" ht="38.25" customHeight="1">
      <c r="A111" s="946">
        <v>2</v>
      </c>
      <c r="B111" s="946"/>
      <c r="C111" s="880" t="s">
        <v>829</v>
      </c>
      <c r="D111" s="875" t="s">
        <v>21</v>
      </c>
      <c r="E111" s="875" t="s">
        <v>21</v>
      </c>
      <c r="F111" s="879">
        <f t="shared" si="22"/>
        <v>55.2</v>
      </c>
      <c r="G111" s="907">
        <v>55.2</v>
      </c>
      <c r="H111" s="907">
        <f t="shared" si="23"/>
        <v>0</v>
      </c>
      <c r="I111" s="907"/>
      <c r="J111" s="907"/>
      <c r="K111" s="906"/>
      <c r="L111" s="907"/>
      <c r="M111" s="907"/>
      <c r="N111" s="907"/>
      <c r="O111" s="907"/>
      <c r="P111" s="907"/>
      <c r="Q111" s="907"/>
      <c r="R111" s="907"/>
      <c r="S111" s="907"/>
      <c r="T111" s="907"/>
      <c r="U111" s="907"/>
      <c r="V111" s="907"/>
      <c r="W111" s="907"/>
      <c r="X111" s="907"/>
      <c r="Y111" s="942" t="s">
        <v>189</v>
      </c>
      <c r="Z111" s="949"/>
      <c r="AA111" s="1326"/>
      <c r="AB111" s="1165"/>
    </row>
    <row r="112" spans="1:28" ht="38.25" customHeight="1">
      <c r="A112" s="946">
        <v>3</v>
      </c>
      <c r="B112" s="946"/>
      <c r="C112" s="880" t="s">
        <v>828</v>
      </c>
      <c r="D112" s="875" t="s">
        <v>21</v>
      </c>
      <c r="E112" s="875" t="s">
        <v>21</v>
      </c>
      <c r="F112" s="879">
        <f t="shared" si="22"/>
        <v>7</v>
      </c>
      <c r="G112" s="907">
        <v>7</v>
      </c>
      <c r="H112" s="907">
        <f t="shared" si="23"/>
        <v>0</v>
      </c>
      <c r="I112" s="907"/>
      <c r="J112" s="907"/>
      <c r="K112" s="906"/>
      <c r="L112" s="907"/>
      <c r="M112" s="907"/>
      <c r="N112" s="907"/>
      <c r="O112" s="907"/>
      <c r="P112" s="907"/>
      <c r="Q112" s="907"/>
      <c r="R112" s="907"/>
      <c r="S112" s="907"/>
      <c r="T112" s="907"/>
      <c r="U112" s="907"/>
      <c r="V112" s="907"/>
      <c r="W112" s="907"/>
      <c r="X112" s="907"/>
      <c r="Y112" s="880" t="s">
        <v>190</v>
      </c>
      <c r="Z112" s="949"/>
      <c r="AA112" s="1326"/>
      <c r="AB112" s="1165"/>
    </row>
    <row r="113" spans="1:28" ht="38.25" customHeight="1">
      <c r="A113" s="946">
        <v>4</v>
      </c>
      <c r="B113" s="946"/>
      <c r="C113" s="880" t="s">
        <v>830</v>
      </c>
      <c r="D113" s="875" t="s">
        <v>21</v>
      </c>
      <c r="E113" s="875" t="s">
        <v>21</v>
      </c>
      <c r="F113" s="879">
        <f t="shared" si="22"/>
        <v>9.8000000000000007</v>
      </c>
      <c r="G113" s="907">
        <v>9.8000000000000007</v>
      </c>
      <c r="H113" s="907">
        <f t="shared" si="23"/>
        <v>0</v>
      </c>
      <c r="I113" s="907"/>
      <c r="J113" s="907"/>
      <c r="K113" s="906"/>
      <c r="L113" s="907"/>
      <c r="M113" s="907"/>
      <c r="N113" s="907"/>
      <c r="O113" s="907"/>
      <c r="P113" s="907"/>
      <c r="Q113" s="907"/>
      <c r="R113" s="907"/>
      <c r="S113" s="907"/>
      <c r="T113" s="907"/>
      <c r="U113" s="907"/>
      <c r="V113" s="907"/>
      <c r="W113" s="907"/>
      <c r="X113" s="907"/>
      <c r="Y113" s="880" t="s">
        <v>171</v>
      </c>
      <c r="Z113" s="949"/>
      <c r="AA113" s="1327"/>
      <c r="AB113" s="1165"/>
    </row>
    <row r="114" spans="1:28" ht="38.25" customHeight="1">
      <c r="A114" s="881" t="s">
        <v>1000</v>
      </c>
      <c r="B114" s="946"/>
      <c r="C114" s="890" t="s">
        <v>997</v>
      </c>
      <c r="D114" s="875"/>
      <c r="E114" s="875"/>
      <c r="F114" s="879"/>
      <c r="G114" s="907"/>
      <c r="H114" s="907"/>
      <c r="I114" s="907"/>
      <c r="J114" s="907"/>
      <c r="K114" s="906"/>
      <c r="L114" s="907"/>
      <c r="M114" s="907"/>
      <c r="N114" s="907"/>
      <c r="O114" s="907"/>
      <c r="P114" s="907"/>
      <c r="Q114" s="907"/>
      <c r="R114" s="907"/>
      <c r="S114" s="907"/>
      <c r="T114" s="907"/>
      <c r="U114" s="907"/>
      <c r="V114" s="907"/>
      <c r="W114" s="907"/>
      <c r="X114" s="907"/>
      <c r="Y114" s="880"/>
      <c r="Z114" s="949"/>
      <c r="AA114" s="1164"/>
      <c r="AB114" s="1165"/>
    </row>
    <row r="115" spans="1:28" ht="66.75" customHeight="1">
      <c r="A115" s="1313">
        <v>1</v>
      </c>
      <c r="B115" s="1165"/>
      <c r="C115" s="1343" t="s">
        <v>336</v>
      </c>
      <c r="D115" s="875" t="s">
        <v>55</v>
      </c>
      <c r="E115" s="875" t="s">
        <v>55</v>
      </c>
      <c r="F115" s="879">
        <f>G115+H115</f>
        <v>7.0699999999999994</v>
      </c>
      <c r="G115" s="912"/>
      <c r="H115" s="907">
        <f>I115+SUM(K115:X115)</f>
        <v>7.0699999999999994</v>
      </c>
      <c r="I115" s="907"/>
      <c r="J115" s="907"/>
      <c r="K115" s="907">
        <v>2.73</v>
      </c>
      <c r="L115" s="871">
        <v>4.22</v>
      </c>
      <c r="M115" s="871"/>
      <c r="N115" s="871"/>
      <c r="O115" s="871"/>
      <c r="P115" s="871"/>
      <c r="Q115" s="871"/>
      <c r="R115" s="871"/>
      <c r="S115" s="871"/>
      <c r="T115" s="871"/>
      <c r="U115" s="871">
        <v>0.12</v>
      </c>
      <c r="V115" s="871"/>
      <c r="W115" s="871"/>
      <c r="X115" s="871"/>
      <c r="Y115" s="883" t="s">
        <v>168</v>
      </c>
      <c r="Z115" s="949"/>
      <c r="AA115" s="1325" t="s">
        <v>1028</v>
      </c>
      <c r="AB115" s="1165"/>
    </row>
    <row r="116" spans="1:28" ht="66.75" customHeight="1">
      <c r="A116" s="1315"/>
      <c r="B116" s="1165"/>
      <c r="C116" s="1344"/>
      <c r="D116" s="875" t="s">
        <v>45</v>
      </c>
      <c r="E116" s="875" t="s">
        <v>196</v>
      </c>
      <c r="F116" s="879">
        <f>G116+H116</f>
        <v>1.93</v>
      </c>
      <c r="G116" s="912">
        <v>1.93</v>
      </c>
      <c r="H116" s="907">
        <f>I116+SUM(K116:X116)</f>
        <v>0</v>
      </c>
      <c r="I116" s="907"/>
      <c r="J116" s="907"/>
      <c r="K116" s="906"/>
      <c r="L116" s="871"/>
      <c r="M116" s="871"/>
      <c r="N116" s="871"/>
      <c r="O116" s="871"/>
      <c r="P116" s="871"/>
      <c r="Q116" s="871"/>
      <c r="R116" s="871"/>
      <c r="S116" s="871"/>
      <c r="T116" s="871"/>
      <c r="U116" s="871"/>
      <c r="V116" s="871"/>
      <c r="W116" s="871"/>
      <c r="X116" s="871"/>
      <c r="Y116" s="883" t="s">
        <v>168</v>
      </c>
      <c r="Z116" s="949"/>
      <c r="AA116" s="1327"/>
      <c r="AB116" s="1165"/>
    </row>
    <row r="117" spans="1:28" ht="135">
      <c r="A117" s="1165">
        <v>2</v>
      </c>
      <c r="B117" s="1165"/>
      <c r="C117" s="883" t="s">
        <v>320</v>
      </c>
      <c r="D117" s="875" t="s">
        <v>55</v>
      </c>
      <c r="E117" s="875" t="s">
        <v>55</v>
      </c>
      <c r="F117" s="879">
        <f>G117+H117</f>
        <v>1.3</v>
      </c>
      <c r="G117" s="912">
        <v>1.3</v>
      </c>
      <c r="H117" s="907">
        <f>I117+SUM(K117:X117)</f>
        <v>0</v>
      </c>
      <c r="I117" s="907"/>
      <c r="J117" s="907"/>
      <c r="K117" s="906"/>
      <c r="L117" s="871"/>
      <c r="M117" s="871"/>
      <c r="N117" s="871"/>
      <c r="O117" s="871"/>
      <c r="P117" s="871"/>
      <c r="Q117" s="871"/>
      <c r="R117" s="871"/>
      <c r="S117" s="871"/>
      <c r="T117" s="871"/>
      <c r="U117" s="871"/>
      <c r="V117" s="871"/>
      <c r="W117" s="871"/>
      <c r="X117" s="871"/>
      <c r="Y117" s="883" t="s">
        <v>168</v>
      </c>
      <c r="Z117" s="949"/>
      <c r="AA117" s="1142" t="s">
        <v>1030</v>
      </c>
      <c r="AB117" s="1165"/>
    </row>
    <row r="118" spans="1:28" ht="30">
      <c r="A118" s="1142">
        <v>3</v>
      </c>
      <c r="B118" s="1165"/>
      <c r="C118" s="883" t="s">
        <v>1017</v>
      </c>
      <c r="D118" s="875" t="s">
        <v>55</v>
      </c>
      <c r="E118" s="875" t="s">
        <v>55</v>
      </c>
      <c r="F118" s="879">
        <f>G118+H118</f>
        <v>0.34</v>
      </c>
      <c r="G118" s="912"/>
      <c r="H118" s="907">
        <f>I118+SUM(K118:X118)</f>
        <v>0.34</v>
      </c>
      <c r="I118" s="907"/>
      <c r="J118" s="907"/>
      <c r="K118" s="906"/>
      <c r="L118" s="871"/>
      <c r="M118" s="871"/>
      <c r="N118" s="871"/>
      <c r="O118" s="871"/>
      <c r="P118" s="871"/>
      <c r="Q118" s="871">
        <v>0.34</v>
      </c>
      <c r="R118" s="871"/>
      <c r="S118" s="871"/>
      <c r="T118" s="871"/>
      <c r="U118" s="871"/>
      <c r="V118" s="871"/>
      <c r="W118" s="871"/>
      <c r="X118" s="871"/>
      <c r="Y118" s="883" t="s">
        <v>168</v>
      </c>
      <c r="Z118" s="949"/>
      <c r="AA118" s="1325" t="s">
        <v>1021</v>
      </c>
      <c r="AB118" s="1165"/>
    </row>
    <row r="119" spans="1:28" ht="45">
      <c r="A119" s="1142">
        <v>4</v>
      </c>
      <c r="B119" s="1165"/>
      <c r="C119" s="883" t="s">
        <v>1018</v>
      </c>
      <c r="D119" s="875" t="s">
        <v>53</v>
      </c>
      <c r="E119" s="875" t="s">
        <v>53</v>
      </c>
      <c r="F119" s="879">
        <f t="shared" ref="F119:F121" si="24">G119+H119</f>
        <v>0.03</v>
      </c>
      <c r="G119" s="912"/>
      <c r="H119" s="907">
        <f t="shared" ref="H119:H121" si="25">I119+SUM(K119:X119)</f>
        <v>0.03</v>
      </c>
      <c r="I119" s="907"/>
      <c r="J119" s="907"/>
      <c r="K119" s="906"/>
      <c r="L119" s="871"/>
      <c r="M119" s="871"/>
      <c r="N119" s="871"/>
      <c r="O119" s="871"/>
      <c r="P119" s="871"/>
      <c r="Q119" s="871"/>
      <c r="R119" s="871"/>
      <c r="S119" s="871"/>
      <c r="T119" s="871"/>
      <c r="U119" s="871"/>
      <c r="V119" s="871"/>
      <c r="W119" s="871"/>
      <c r="X119" s="871">
        <v>0.03</v>
      </c>
      <c r="Y119" s="883" t="s">
        <v>197</v>
      </c>
      <c r="Z119" s="949"/>
      <c r="AA119" s="1326"/>
      <c r="AB119" s="1165"/>
    </row>
    <row r="120" spans="1:28" ht="30">
      <c r="A120" s="1142">
        <v>5</v>
      </c>
      <c r="B120" s="1165"/>
      <c r="C120" s="883" t="s">
        <v>1019</v>
      </c>
      <c r="D120" s="875" t="s">
        <v>53</v>
      </c>
      <c r="E120" s="875" t="s">
        <v>53</v>
      </c>
      <c r="F120" s="879">
        <f t="shared" si="24"/>
        <v>0.62</v>
      </c>
      <c r="G120" s="912"/>
      <c r="H120" s="907">
        <f t="shared" si="25"/>
        <v>0.62</v>
      </c>
      <c r="I120" s="907"/>
      <c r="J120" s="907"/>
      <c r="K120" s="906">
        <v>0.62</v>
      </c>
      <c r="L120" s="871"/>
      <c r="M120" s="871"/>
      <c r="N120" s="871"/>
      <c r="O120" s="871"/>
      <c r="P120" s="871"/>
      <c r="Q120" s="871"/>
      <c r="R120" s="871"/>
      <c r="S120" s="871"/>
      <c r="T120" s="871"/>
      <c r="U120" s="871"/>
      <c r="V120" s="871"/>
      <c r="W120" s="871"/>
      <c r="X120" s="871"/>
      <c r="Y120" s="883" t="s">
        <v>197</v>
      </c>
      <c r="Z120" s="949"/>
      <c r="AA120" s="1326"/>
      <c r="AB120" s="1165"/>
    </row>
    <row r="121" spans="1:28" ht="45">
      <c r="A121" s="1142">
        <v>6</v>
      </c>
      <c r="B121" s="1165"/>
      <c r="C121" s="883" t="s">
        <v>1020</v>
      </c>
      <c r="D121" s="875" t="s">
        <v>53</v>
      </c>
      <c r="E121" s="875" t="s">
        <v>53</v>
      </c>
      <c r="F121" s="879">
        <f t="shared" si="24"/>
        <v>0.16</v>
      </c>
      <c r="G121" s="912"/>
      <c r="H121" s="907">
        <f t="shared" si="25"/>
        <v>0.16</v>
      </c>
      <c r="I121" s="907"/>
      <c r="J121" s="907"/>
      <c r="K121" s="907"/>
      <c r="L121" s="871"/>
      <c r="M121" s="871"/>
      <c r="N121" s="871"/>
      <c r="O121" s="871"/>
      <c r="P121" s="871"/>
      <c r="Q121" s="871"/>
      <c r="R121" s="871"/>
      <c r="S121" s="871"/>
      <c r="T121" s="871"/>
      <c r="U121" s="871"/>
      <c r="V121" s="871"/>
      <c r="W121" s="871"/>
      <c r="X121" s="871">
        <v>0.16</v>
      </c>
      <c r="Y121" s="883" t="s">
        <v>197</v>
      </c>
      <c r="Z121" s="949"/>
      <c r="AA121" s="1327"/>
      <c r="AB121" s="1165"/>
    </row>
    <row r="122" spans="1:28" s="917" customFormat="1" ht="45">
      <c r="A122" s="887" t="s">
        <v>1001</v>
      </c>
      <c r="B122" s="887"/>
      <c r="C122" s="890" t="s">
        <v>941</v>
      </c>
      <c r="D122" s="889"/>
      <c r="E122" s="889"/>
      <c r="F122" s="879">
        <f t="shared" si="22"/>
        <v>0</v>
      </c>
      <c r="G122" s="1120"/>
      <c r="H122" s="907">
        <f t="shared" si="23"/>
        <v>0</v>
      </c>
      <c r="I122" s="915"/>
      <c r="J122" s="915"/>
      <c r="K122" s="1116"/>
      <c r="L122" s="916"/>
      <c r="M122" s="916"/>
      <c r="N122" s="916"/>
      <c r="O122" s="916"/>
      <c r="P122" s="916"/>
      <c r="Q122" s="916"/>
      <c r="R122" s="916"/>
      <c r="S122" s="916"/>
      <c r="T122" s="916"/>
      <c r="U122" s="916"/>
      <c r="V122" s="916"/>
      <c r="W122" s="916"/>
      <c r="X122" s="916"/>
      <c r="Y122" s="890"/>
      <c r="Z122" s="951"/>
      <c r="AA122" s="887"/>
      <c r="AB122" s="887"/>
    </row>
    <row r="123" spans="1:28" ht="165">
      <c r="A123" s="1165">
        <v>1</v>
      </c>
      <c r="B123" s="1165"/>
      <c r="C123" s="883" t="s">
        <v>227</v>
      </c>
      <c r="D123" s="875" t="s">
        <v>45</v>
      </c>
      <c r="E123" s="875" t="s">
        <v>196</v>
      </c>
      <c r="F123" s="879">
        <f t="shared" si="22"/>
        <v>0.5</v>
      </c>
      <c r="G123" s="912">
        <v>0.4</v>
      </c>
      <c r="H123" s="907">
        <f t="shared" si="23"/>
        <v>0.1</v>
      </c>
      <c r="I123" s="907"/>
      <c r="J123" s="907"/>
      <c r="K123" s="907">
        <v>0.02</v>
      </c>
      <c r="L123" s="871"/>
      <c r="M123" s="871"/>
      <c r="N123" s="871"/>
      <c r="O123" s="871"/>
      <c r="P123" s="871"/>
      <c r="Q123" s="871">
        <v>0.05</v>
      </c>
      <c r="R123" s="871"/>
      <c r="S123" s="871"/>
      <c r="T123" s="871"/>
      <c r="U123" s="871"/>
      <c r="V123" s="871">
        <v>0.03</v>
      </c>
      <c r="W123" s="871"/>
      <c r="X123" s="871"/>
      <c r="Y123" s="883" t="s">
        <v>168</v>
      </c>
      <c r="Z123" s="949"/>
      <c r="AA123" s="1142" t="s">
        <v>1027</v>
      </c>
      <c r="AB123" s="1165"/>
    </row>
    <row r="124" spans="1:28" ht="60">
      <c r="A124" s="1165">
        <v>2</v>
      </c>
      <c r="B124" s="1165"/>
      <c r="C124" s="883" t="s">
        <v>301</v>
      </c>
      <c r="D124" s="875" t="s">
        <v>45</v>
      </c>
      <c r="E124" s="875" t="s">
        <v>196</v>
      </c>
      <c r="F124" s="879">
        <f t="shared" si="22"/>
        <v>45</v>
      </c>
      <c r="G124" s="912">
        <v>36.6</v>
      </c>
      <c r="H124" s="907">
        <f t="shared" si="23"/>
        <v>8.3999999999999986</v>
      </c>
      <c r="I124" s="907"/>
      <c r="J124" s="907"/>
      <c r="K124" s="907">
        <v>0.11</v>
      </c>
      <c r="L124" s="871">
        <v>8.18</v>
      </c>
      <c r="M124" s="871"/>
      <c r="N124" s="871"/>
      <c r="O124" s="871"/>
      <c r="P124" s="871"/>
      <c r="Q124" s="871"/>
      <c r="R124" s="871"/>
      <c r="S124" s="871"/>
      <c r="T124" s="871"/>
      <c r="U124" s="871"/>
      <c r="V124" s="871"/>
      <c r="W124" s="871"/>
      <c r="X124" s="871">
        <v>0.11</v>
      </c>
      <c r="Y124" s="883" t="s">
        <v>169</v>
      </c>
      <c r="Z124" s="949"/>
      <c r="AA124" s="1142" t="s">
        <v>802</v>
      </c>
      <c r="AB124" s="1165"/>
    </row>
    <row r="125" spans="1:28" ht="135">
      <c r="A125" s="1165">
        <v>3</v>
      </c>
      <c r="B125" s="1165"/>
      <c r="C125" s="883" t="s">
        <v>319</v>
      </c>
      <c r="D125" s="875" t="s">
        <v>45</v>
      </c>
      <c r="E125" s="875" t="s">
        <v>192</v>
      </c>
      <c r="F125" s="879">
        <f t="shared" si="22"/>
        <v>1.2</v>
      </c>
      <c r="G125" s="912"/>
      <c r="H125" s="907">
        <f t="shared" si="23"/>
        <v>1.2</v>
      </c>
      <c r="I125" s="907"/>
      <c r="J125" s="907"/>
      <c r="K125" s="907">
        <v>0.5</v>
      </c>
      <c r="L125" s="871">
        <v>0.7</v>
      </c>
      <c r="M125" s="871"/>
      <c r="N125" s="871"/>
      <c r="O125" s="871"/>
      <c r="P125" s="871"/>
      <c r="Q125" s="871"/>
      <c r="R125" s="871"/>
      <c r="S125" s="871"/>
      <c r="T125" s="871"/>
      <c r="U125" s="871"/>
      <c r="V125" s="871"/>
      <c r="W125" s="871"/>
      <c r="X125" s="871"/>
      <c r="Y125" s="883" t="s">
        <v>190</v>
      </c>
      <c r="Z125" s="949"/>
      <c r="AA125" s="1142" t="s">
        <v>1029</v>
      </c>
      <c r="AB125" s="1165"/>
    </row>
    <row r="126" spans="1:28" ht="165">
      <c r="A126" s="1165">
        <v>4</v>
      </c>
      <c r="B126" s="1165"/>
      <c r="C126" s="883" t="s">
        <v>321</v>
      </c>
      <c r="D126" s="875" t="s">
        <v>45</v>
      </c>
      <c r="E126" s="875" t="s">
        <v>196</v>
      </c>
      <c r="F126" s="879">
        <f t="shared" si="22"/>
        <v>1</v>
      </c>
      <c r="G126" s="912">
        <v>0.7</v>
      </c>
      <c r="H126" s="907">
        <f t="shared" si="23"/>
        <v>0.3</v>
      </c>
      <c r="I126" s="907"/>
      <c r="J126" s="907"/>
      <c r="K126" s="906"/>
      <c r="L126" s="871"/>
      <c r="M126" s="871"/>
      <c r="N126" s="871"/>
      <c r="O126" s="871"/>
      <c r="P126" s="871"/>
      <c r="Q126" s="871"/>
      <c r="R126" s="871"/>
      <c r="S126" s="871"/>
      <c r="T126" s="871"/>
      <c r="U126" s="871"/>
      <c r="V126" s="871">
        <v>0.3</v>
      </c>
      <c r="W126" s="871"/>
      <c r="X126" s="871"/>
      <c r="Y126" s="883" t="s">
        <v>168</v>
      </c>
      <c r="Z126" s="949"/>
      <c r="AA126" s="1142" t="s">
        <v>1031</v>
      </c>
      <c r="AB126" s="1165"/>
    </row>
    <row r="127" spans="1:28" s="917" customFormat="1" ht="60">
      <c r="A127" s="1121" t="s">
        <v>1002</v>
      </c>
      <c r="B127" s="1122"/>
      <c r="C127" s="1123" t="s">
        <v>998</v>
      </c>
      <c r="D127" s="889"/>
      <c r="E127" s="889"/>
      <c r="F127" s="1124"/>
      <c r="G127" s="1120"/>
      <c r="H127" s="915"/>
      <c r="I127" s="915"/>
      <c r="J127" s="915"/>
      <c r="K127" s="1116"/>
      <c r="L127" s="916"/>
      <c r="M127" s="916"/>
      <c r="N127" s="916"/>
      <c r="O127" s="916"/>
      <c r="P127" s="916"/>
      <c r="Q127" s="916"/>
      <c r="R127" s="916"/>
      <c r="S127" s="916"/>
      <c r="T127" s="916"/>
      <c r="U127" s="916"/>
      <c r="V127" s="916"/>
      <c r="W127" s="916"/>
      <c r="X127" s="916"/>
      <c r="Y127" s="890"/>
      <c r="Z127" s="951"/>
      <c r="AA127" s="887"/>
      <c r="AB127" s="887"/>
    </row>
    <row r="128" spans="1:28" ht="45">
      <c r="A128" s="1125" t="s">
        <v>1003</v>
      </c>
      <c r="B128" s="881"/>
      <c r="C128" s="1126" t="s">
        <v>917</v>
      </c>
      <c r="D128" s="875"/>
      <c r="E128" s="940"/>
      <c r="F128" s="879"/>
      <c r="G128" s="878"/>
      <c r="H128" s="907">
        <f t="shared" ref="H128:H166" si="26">I128+SUM(K128:X128)</f>
        <v>0</v>
      </c>
      <c r="I128" s="907"/>
      <c r="J128" s="907"/>
      <c r="K128" s="905"/>
      <c r="L128" s="878"/>
      <c r="M128" s="878"/>
      <c r="N128" s="878"/>
      <c r="O128" s="878"/>
      <c r="P128" s="878"/>
      <c r="Q128" s="878"/>
      <c r="R128" s="878"/>
      <c r="S128" s="878"/>
      <c r="T128" s="878"/>
      <c r="U128" s="878"/>
      <c r="V128" s="878"/>
      <c r="W128" s="878"/>
      <c r="X128" s="878"/>
      <c r="Y128" s="876"/>
      <c r="Z128" s="949"/>
      <c r="AA128" s="1165"/>
      <c r="AB128" s="1165"/>
    </row>
    <row r="129" spans="1:28" ht="72" customHeight="1">
      <c r="A129" s="1313">
        <v>1</v>
      </c>
      <c r="B129" s="1162" t="s">
        <v>919</v>
      </c>
      <c r="C129" s="1334" t="s">
        <v>446</v>
      </c>
      <c r="D129" s="875" t="s">
        <v>45</v>
      </c>
      <c r="E129" s="875" t="s">
        <v>196</v>
      </c>
      <c r="F129" s="879">
        <f t="shared" ref="F129:F140" si="27">G129+H129</f>
        <v>1</v>
      </c>
      <c r="G129" s="912">
        <v>1</v>
      </c>
      <c r="H129" s="907">
        <f t="shared" si="26"/>
        <v>0</v>
      </c>
      <c r="I129" s="907"/>
      <c r="J129" s="907"/>
      <c r="K129" s="906"/>
      <c r="L129" s="871"/>
      <c r="M129" s="871"/>
      <c r="N129" s="871"/>
      <c r="O129" s="871"/>
      <c r="P129" s="871"/>
      <c r="Q129" s="871"/>
      <c r="R129" s="871"/>
      <c r="S129" s="871"/>
      <c r="T129" s="871"/>
      <c r="U129" s="871"/>
      <c r="V129" s="871"/>
      <c r="W129" s="871"/>
      <c r="X129" s="871"/>
      <c r="Y129" s="883" t="s">
        <v>172</v>
      </c>
      <c r="Z129" s="949"/>
      <c r="AA129" s="1325" t="s">
        <v>838</v>
      </c>
      <c r="AB129" s="1313" t="s">
        <v>858</v>
      </c>
    </row>
    <row r="130" spans="1:28" ht="72" customHeight="1">
      <c r="A130" s="1315"/>
      <c r="B130" s="1164"/>
      <c r="C130" s="1335"/>
      <c r="D130" s="875" t="s">
        <v>45</v>
      </c>
      <c r="E130" s="875" t="s">
        <v>196</v>
      </c>
      <c r="F130" s="879">
        <f t="shared" si="27"/>
        <v>1</v>
      </c>
      <c r="G130" s="912">
        <v>1</v>
      </c>
      <c r="H130" s="907">
        <f t="shared" si="26"/>
        <v>0</v>
      </c>
      <c r="I130" s="907"/>
      <c r="J130" s="907"/>
      <c r="K130" s="906"/>
      <c r="L130" s="871"/>
      <c r="M130" s="871"/>
      <c r="N130" s="871"/>
      <c r="O130" s="871"/>
      <c r="P130" s="871"/>
      <c r="Q130" s="871"/>
      <c r="R130" s="871"/>
      <c r="S130" s="871"/>
      <c r="T130" s="871"/>
      <c r="U130" s="871"/>
      <c r="V130" s="871"/>
      <c r="W130" s="871"/>
      <c r="X130" s="871"/>
      <c r="Y130" s="883" t="s">
        <v>189</v>
      </c>
      <c r="Z130" s="949"/>
      <c r="AA130" s="1327"/>
      <c r="AB130" s="1315"/>
    </row>
    <row r="131" spans="1:28" ht="180">
      <c r="A131" s="1165">
        <v>2</v>
      </c>
      <c r="B131" s="1165"/>
      <c r="C131" s="942" t="s">
        <v>337</v>
      </c>
      <c r="D131" s="875" t="s">
        <v>45</v>
      </c>
      <c r="E131" s="875" t="s">
        <v>192</v>
      </c>
      <c r="F131" s="879">
        <f t="shared" si="27"/>
        <v>0.2</v>
      </c>
      <c r="G131" s="907">
        <v>0.2</v>
      </c>
      <c r="H131" s="907">
        <f t="shared" si="26"/>
        <v>0</v>
      </c>
      <c r="I131" s="907"/>
      <c r="J131" s="907"/>
      <c r="K131" s="1115"/>
      <c r="L131" s="908"/>
      <c r="M131" s="908"/>
      <c r="N131" s="908"/>
      <c r="O131" s="908"/>
      <c r="P131" s="908"/>
      <c r="Q131" s="908"/>
      <c r="R131" s="908"/>
      <c r="S131" s="908"/>
      <c r="T131" s="908"/>
      <c r="U131" s="908"/>
      <c r="V131" s="908"/>
      <c r="W131" s="908"/>
      <c r="X131" s="908"/>
      <c r="Y131" s="884" t="s">
        <v>189</v>
      </c>
      <c r="Z131" s="949"/>
      <c r="AA131" s="1174" t="s">
        <v>834</v>
      </c>
      <c r="AB131" s="1165" t="s">
        <v>852</v>
      </c>
    </row>
    <row r="132" spans="1:28" ht="135">
      <c r="A132" s="1165">
        <v>3</v>
      </c>
      <c r="B132" s="1165"/>
      <c r="C132" s="980" t="s">
        <v>435</v>
      </c>
      <c r="D132" s="875" t="s">
        <v>45</v>
      </c>
      <c r="E132" s="875" t="s">
        <v>196</v>
      </c>
      <c r="F132" s="879">
        <f t="shared" si="27"/>
        <v>0.17</v>
      </c>
      <c r="G132" s="912">
        <v>0.17</v>
      </c>
      <c r="H132" s="907">
        <f t="shared" si="26"/>
        <v>0</v>
      </c>
      <c r="I132" s="907"/>
      <c r="J132" s="907"/>
      <c r="K132" s="906"/>
      <c r="L132" s="871"/>
      <c r="M132" s="871"/>
      <c r="N132" s="871"/>
      <c r="O132" s="871"/>
      <c r="P132" s="871"/>
      <c r="Q132" s="871"/>
      <c r="R132" s="871"/>
      <c r="S132" s="871"/>
      <c r="T132" s="871"/>
      <c r="U132" s="871"/>
      <c r="V132" s="871"/>
      <c r="W132" s="871"/>
      <c r="X132" s="871"/>
      <c r="Y132" s="883" t="s">
        <v>169</v>
      </c>
      <c r="Z132" s="949"/>
      <c r="AA132" s="1176" t="s">
        <v>838</v>
      </c>
      <c r="AB132" s="1165" t="s">
        <v>860</v>
      </c>
    </row>
    <row r="133" spans="1:28" ht="90">
      <c r="A133" s="1165">
        <v>4</v>
      </c>
      <c r="B133" s="1165"/>
      <c r="C133" s="883" t="s">
        <v>367</v>
      </c>
      <c r="D133" s="875" t="s">
        <v>45</v>
      </c>
      <c r="E133" s="875" t="s">
        <v>196</v>
      </c>
      <c r="F133" s="879">
        <f>G133+H133</f>
        <v>0.7</v>
      </c>
      <c r="G133" s="912">
        <v>0.7</v>
      </c>
      <c r="H133" s="907">
        <f>I133+SUM(K133:X133)</f>
        <v>0</v>
      </c>
      <c r="I133" s="907"/>
      <c r="J133" s="907"/>
      <c r="K133" s="906"/>
      <c r="L133" s="871"/>
      <c r="M133" s="871"/>
      <c r="N133" s="871"/>
      <c r="O133" s="871"/>
      <c r="P133" s="871"/>
      <c r="Q133" s="871"/>
      <c r="R133" s="871"/>
      <c r="S133" s="871"/>
      <c r="T133" s="871"/>
      <c r="U133" s="871"/>
      <c r="V133" s="871"/>
      <c r="W133" s="871"/>
      <c r="X133" s="871"/>
      <c r="Y133" s="883" t="s">
        <v>170</v>
      </c>
      <c r="Z133" s="949"/>
      <c r="AA133" s="1142" t="s">
        <v>1032</v>
      </c>
      <c r="AB133" s="1165" t="s">
        <v>842</v>
      </c>
    </row>
    <row r="134" spans="1:28" ht="45">
      <c r="A134" s="1165">
        <v>5</v>
      </c>
      <c r="B134" s="1165" t="s">
        <v>919</v>
      </c>
      <c r="C134" s="883" t="s">
        <v>390</v>
      </c>
      <c r="D134" s="875" t="s">
        <v>45</v>
      </c>
      <c r="E134" s="875" t="s">
        <v>196</v>
      </c>
      <c r="F134" s="879">
        <f t="shared" si="27"/>
        <v>1.5</v>
      </c>
      <c r="G134" s="912">
        <v>1.5</v>
      </c>
      <c r="H134" s="907">
        <f t="shared" si="26"/>
        <v>0</v>
      </c>
      <c r="I134" s="907"/>
      <c r="J134" s="907"/>
      <c r="K134" s="906"/>
      <c r="L134" s="871"/>
      <c r="M134" s="871"/>
      <c r="N134" s="871"/>
      <c r="O134" s="871"/>
      <c r="P134" s="871"/>
      <c r="Q134" s="871"/>
      <c r="R134" s="871"/>
      <c r="S134" s="871"/>
      <c r="T134" s="871"/>
      <c r="U134" s="871"/>
      <c r="V134" s="871"/>
      <c r="W134" s="871"/>
      <c r="X134" s="871"/>
      <c r="Y134" s="883" t="s">
        <v>172</v>
      </c>
      <c r="Z134" s="949"/>
      <c r="AA134" s="1325" t="s">
        <v>838</v>
      </c>
      <c r="AB134" s="1165" t="s">
        <v>865</v>
      </c>
    </row>
    <row r="135" spans="1:28" ht="60">
      <c r="A135" s="1165">
        <v>6</v>
      </c>
      <c r="B135" s="1165"/>
      <c r="C135" s="883" t="s">
        <v>450</v>
      </c>
      <c r="D135" s="875" t="s">
        <v>45</v>
      </c>
      <c r="E135" s="875" t="s">
        <v>196</v>
      </c>
      <c r="F135" s="879">
        <f t="shared" si="27"/>
        <v>0.5</v>
      </c>
      <c r="G135" s="912">
        <v>0.5</v>
      </c>
      <c r="H135" s="907">
        <f t="shared" si="26"/>
        <v>0</v>
      </c>
      <c r="I135" s="907"/>
      <c r="J135" s="907"/>
      <c r="K135" s="906"/>
      <c r="L135" s="871"/>
      <c r="M135" s="871"/>
      <c r="N135" s="871"/>
      <c r="O135" s="871"/>
      <c r="P135" s="871"/>
      <c r="Q135" s="871"/>
      <c r="R135" s="871"/>
      <c r="S135" s="871"/>
      <c r="T135" s="871"/>
      <c r="U135" s="871"/>
      <c r="V135" s="871"/>
      <c r="W135" s="871"/>
      <c r="X135" s="871"/>
      <c r="Y135" s="883" t="s">
        <v>173</v>
      </c>
      <c r="Z135" s="949"/>
      <c r="AA135" s="1326"/>
      <c r="AB135" s="1165" t="s">
        <v>876</v>
      </c>
    </row>
    <row r="136" spans="1:28" ht="60">
      <c r="A136" s="1165">
        <v>7</v>
      </c>
      <c r="B136" s="1165"/>
      <c r="C136" s="883" t="s">
        <v>910</v>
      </c>
      <c r="D136" s="875" t="s">
        <v>45</v>
      </c>
      <c r="E136" s="875" t="s">
        <v>196</v>
      </c>
      <c r="F136" s="879">
        <f t="shared" si="27"/>
        <v>0.5</v>
      </c>
      <c r="G136" s="912">
        <v>0.5</v>
      </c>
      <c r="H136" s="907">
        <f t="shared" si="26"/>
        <v>0</v>
      </c>
      <c r="I136" s="907"/>
      <c r="J136" s="907"/>
      <c r="K136" s="906"/>
      <c r="L136" s="871"/>
      <c r="M136" s="871"/>
      <c r="N136" s="871"/>
      <c r="O136" s="871"/>
      <c r="P136" s="871"/>
      <c r="Q136" s="871"/>
      <c r="R136" s="871"/>
      <c r="S136" s="871"/>
      <c r="T136" s="871"/>
      <c r="U136" s="871"/>
      <c r="V136" s="871"/>
      <c r="W136" s="871"/>
      <c r="X136" s="871"/>
      <c r="Y136" s="883" t="s">
        <v>168</v>
      </c>
      <c r="Z136" s="949"/>
      <c r="AA136" s="1327"/>
      <c r="AB136" s="1165"/>
    </row>
    <row r="137" spans="1:28" ht="80.25" customHeight="1">
      <c r="A137" s="1165">
        <v>8</v>
      </c>
      <c r="B137" s="1165"/>
      <c r="C137" s="980" t="s">
        <v>455</v>
      </c>
      <c r="D137" s="875" t="s">
        <v>45</v>
      </c>
      <c r="E137" s="875" t="s">
        <v>196</v>
      </c>
      <c r="F137" s="879">
        <f t="shared" si="27"/>
        <v>0.5</v>
      </c>
      <c r="G137" s="912">
        <v>0.5</v>
      </c>
      <c r="H137" s="907">
        <f t="shared" si="26"/>
        <v>0</v>
      </c>
      <c r="I137" s="907"/>
      <c r="J137" s="907"/>
      <c r="K137" s="906"/>
      <c r="L137" s="871"/>
      <c r="M137" s="871"/>
      <c r="N137" s="871"/>
      <c r="O137" s="871"/>
      <c r="P137" s="871"/>
      <c r="Q137" s="871"/>
      <c r="R137" s="871"/>
      <c r="S137" s="871"/>
      <c r="T137" s="871"/>
      <c r="U137" s="871"/>
      <c r="V137" s="871"/>
      <c r="W137" s="871"/>
      <c r="X137" s="871"/>
      <c r="Y137" s="883" t="s">
        <v>169</v>
      </c>
      <c r="Z137" s="949"/>
      <c r="AA137" s="1348" t="s">
        <v>839</v>
      </c>
      <c r="AB137" s="1165" t="s">
        <v>871</v>
      </c>
    </row>
    <row r="138" spans="1:28" ht="80.25" customHeight="1">
      <c r="A138" s="1165">
        <v>9</v>
      </c>
      <c r="B138" s="1165"/>
      <c r="C138" s="980" t="s">
        <v>908</v>
      </c>
      <c r="D138" s="875" t="s">
        <v>68</v>
      </c>
      <c r="E138" s="875" t="s">
        <v>68</v>
      </c>
      <c r="F138" s="879">
        <f t="shared" si="27"/>
        <v>0.02</v>
      </c>
      <c r="G138" s="912">
        <v>0.02</v>
      </c>
      <c r="H138" s="907">
        <f t="shared" si="26"/>
        <v>0</v>
      </c>
      <c r="I138" s="907"/>
      <c r="J138" s="907"/>
      <c r="K138" s="906"/>
      <c r="L138" s="871"/>
      <c r="M138" s="871"/>
      <c r="N138" s="871"/>
      <c r="O138" s="871"/>
      <c r="P138" s="871"/>
      <c r="Q138" s="871"/>
      <c r="R138" s="871"/>
      <c r="S138" s="871"/>
      <c r="T138" s="871"/>
      <c r="U138" s="871"/>
      <c r="V138" s="871"/>
      <c r="W138" s="871"/>
      <c r="X138" s="871"/>
      <c r="Y138" s="883" t="s">
        <v>169</v>
      </c>
      <c r="Z138" s="949"/>
      <c r="AA138" s="1348"/>
      <c r="AB138" s="1165" t="s">
        <v>872</v>
      </c>
    </row>
    <row r="139" spans="1:28" ht="105">
      <c r="A139" s="1165">
        <v>10</v>
      </c>
      <c r="B139" s="1165"/>
      <c r="C139" s="982" t="s">
        <v>821</v>
      </c>
      <c r="D139" s="875" t="s">
        <v>45</v>
      </c>
      <c r="E139" s="875" t="s">
        <v>196</v>
      </c>
      <c r="F139" s="879">
        <f t="shared" si="27"/>
        <v>0.2</v>
      </c>
      <c r="G139" s="912">
        <v>0.2</v>
      </c>
      <c r="H139" s="907">
        <f t="shared" si="26"/>
        <v>0</v>
      </c>
      <c r="I139" s="907"/>
      <c r="J139" s="907"/>
      <c r="K139" s="906"/>
      <c r="L139" s="871"/>
      <c r="M139" s="871"/>
      <c r="N139" s="871"/>
      <c r="O139" s="871"/>
      <c r="P139" s="871"/>
      <c r="Q139" s="871"/>
      <c r="R139" s="871"/>
      <c r="S139" s="871"/>
      <c r="T139" s="871"/>
      <c r="U139" s="871"/>
      <c r="V139" s="871"/>
      <c r="W139" s="871"/>
      <c r="X139" s="871"/>
      <c r="Y139" s="883" t="s">
        <v>197</v>
      </c>
      <c r="Z139" s="949"/>
      <c r="AA139" s="1175" t="s">
        <v>1040</v>
      </c>
      <c r="AB139" s="1165"/>
    </row>
    <row r="140" spans="1:28" ht="105">
      <c r="A140" s="1165">
        <v>11</v>
      </c>
      <c r="B140" s="1165"/>
      <c r="C140" s="982" t="s">
        <v>823</v>
      </c>
      <c r="D140" s="875" t="s">
        <v>45</v>
      </c>
      <c r="E140" s="875" t="s">
        <v>196</v>
      </c>
      <c r="F140" s="879">
        <f t="shared" si="27"/>
        <v>0.2</v>
      </c>
      <c r="G140" s="912">
        <v>0.2</v>
      </c>
      <c r="H140" s="907">
        <f t="shared" si="26"/>
        <v>0</v>
      </c>
      <c r="I140" s="907"/>
      <c r="J140" s="907"/>
      <c r="K140" s="906"/>
      <c r="L140" s="871"/>
      <c r="M140" s="871"/>
      <c r="N140" s="871"/>
      <c r="O140" s="871"/>
      <c r="P140" s="871"/>
      <c r="Q140" s="871"/>
      <c r="R140" s="871"/>
      <c r="S140" s="871"/>
      <c r="T140" s="871"/>
      <c r="U140" s="871"/>
      <c r="V140" s="871"/>
      <c r="W140" s="871"/>
      <c r="X140" s="871"/>
      <c r="Y140" s="883" t="s">
        <v>197</v>
      </c>
      <c r="Z140" s="949"/>
      <c r="AA140" s="1175" t="s">
        <v>1040</v>
      </c>
      <c r="AB140" s="1165"/>
    </row>
    <row r="141" spans="1:28" s="917" customFormat="1" ht="30">
      <c r="A141" s="887" t="s">
        <v>1004</v>
      </c>
      <c r="B141" s="887"/>
      <c r="C141" s="1128" t="s">
        <v>918</v>
      </c>
      <c r="D141" s="889"/>
      <c r="E141" s="889"/>
      <c r="F141" s="879"/>
      <c r="G141" s="912"/>
      <c r="H141" s="907">
        <f t="shared" si="26"/>
        <v>0</v>
      </c>
      <c r="I141" s="915"/>
      <c r="J141" s="915"/>
      <c r="K141" s="1116"/>
      <c r="L141" s="916"/>
      <c r="M141" s="916"/>
      <c r="N141" s="916"/>
      <c r="O141" s="916"/>
      <c r="P141" s="916"/>
      <c r="Q141" s="916"/>
      <c r="R141" s="916"/>
      <c r="S141" s="916"/>
      <c r="T141" s="916"/>
      <c r="U141" s="916"/>
      <c r="V141" s="916"/>
      <c r="W141" s="916"/>
      <c r="X141" s="916"/>
      <c r="Y141" s="890"/>
      <c r="Z141" s="951"/>
      <c r="AA141" s="887"/>
      <c r="AB141" s="887"/>
    </row>
    <row r="142" spans="1:28" ht="165">
      <c r="A142" s="1165">
        <v>1</v>
      </c>
      <c r="B142" s="1165" t="s">
        <v>919</v>
      </c>
      <c r="C142" s="883" t="s">
        <v>920</v>
      </c>
      <c r="D142" s="875" t="s">
        <v>45</v>
      </c>
      <c r="E142" s="875" t="s">
        <v>196</v>
      </c>
      <c r="F142" s="879">
        <f>G142+H142</f>
        <v>2</v>
      </c>
      <c r="G142" s="912">
        <v>2</v>
      </c>
      <c r="H142" s="907">
        <f>I142+SUM(K142:X142)</f>
        <v>0</v>
      </c>
      <c r="I142" s="907"/>
      <c r="J142" s="907"/>
      <c r="K142" s="906"/>
      <c r="L142" s="871"/>
      <c r="M142" s="871"/>
      <c r="N142" s="871"/>
      <c r="O142" s="871"/>
      <c r="P142" s="871"/>
      <c r="Q142" s="871"/>
      <c r="R142" s="871"/>
      <c r="S142" s="871"/>
      <c r="T142" s="871"/>
      <c r="U142" s="871"/>
      <c r="V142" s="871"/>
      <c r="W142" s="871"/>
      <c r="X142" s="871"/>
      <c r="Y142" s="883" t="s">
        <v>190</v>
      </c>
      <c r="Z142" s="949"/>
      <c r="AA142" s="1142" t="s">
        <v>1024</v>
      </c>
      <c r="AB142" s="1165"/>
    </row>
    <row r="143" spans="1:28" ht="90">
      <c r="A143" s="1165">
        <v>2</v>
      </c>
      <c r="B143" s="1165" t="s">
        <v>919</v>
      </c>
      <c r="C143" s="883" t="s">
        <v>921</v>
      </c>
      <c r="D143" s="875" t="s">
        <v>45</v>
      </c>
      <c r="E143" s="875" t="s">
        <v>196</v>
      </c>
      <c r="F143" s="879">
        <f t="shared" ref="F143:F166" si="28">G143+H143</f>
        <v>0.4</v>
      </c>
      <c r="G143" s="912">
        <v>0.4</v>
      </c>
      <c r="H143" s="907">
        <f t="shared" si="26"/>
        <v>0</v>
      </c>
      <c r="I143" s="907"/>
      <c r="J143" s="907"/>
      <c r="K143" s="906"/>
      <c r="L143" s="871"/>
      <c r="M143" s="871"/>
      <c r="N143" s="871"/>
      <c r="O143" s="871"/>
      <c r="P143" s="871"/>
      <c r="Q143" s="871"/>
      <c r="R143" s="871"/>
      <c r="S143" s="871"/>
      <c r="T143" s="871"/>
      <c r="U143" s="871"/>
      <c r="V143" s="871"/>
      <c r="W143" s="871"/>
      <c r="X143" s="871"/>
      <c r="Y143" s="883" t="s">
        <v>170</v>
      </c>
      <c r="Z143" s="949"/>
      <c r="AA143" s="1142" t="s">
        <v>935</v>
      </c>
      <c r="AB143" s="1165"/>
    </row>
    <row r="144" spans="1:28" ht="90" customHeight="1">
      <c r="A144" s="1165">
        <v>3</v>
      </c>
      <c r="B144" s="1165" t="s">
        <v>919</v>
      </c>
      <c r="C144" s="883" t="s">
        <v>923</v>
      </c>
      <c r="D144" s="875" t="s">
        <v>45</v>
      </c>
      <c r="E144" s="875" t="s">
        <v>196</v>
      </c>
      <c r="F144" s="879">
        <f t="shared" si="28"/>
        <v>0.3</v>
      </c>
      <c r="G144" s="912">
        <v>0.3</v>
      </c>
      <c r="H144" s="907">
        <f t="shared" si="26"/>
        <v>0</v>
      </c>
      <c r="I144" s="907"/>
      <c r="J144" s="907"/>
      <c r="K144" s="906"/>
      <c r="L144" s="871"/>
      <c r="M144" s="871"/>
      <c r="N144" s="871"/>
      <c r="O144" s="871"/>
      <c r="P144" s="871"/>
      <c r="Q144" s="871"/>
      <c r="R144" s="871"/>
      <c r="S144" s="871"/>
      <c r="T144" s="871"/>
      <c r="U144" s="871"/>
      <c r="V144" s="871"/>
      <c r="W144" s="871"/>
      <c r="X144" s="871"/>
      <c r="Y144" s="883" t="s">
        <v>169</v>
      </c>
      <c r="Z144" s="949"/>
      <c r="AA144" s="1325" t="s">
        <v>936</v>
      </c>
      <c r="AB144" s="1165"/>
    </row>
    <row r="145" spans="1:28" ht="45">
      <c r="A145" s="1165">
        <v>4</v>
      </c>
      <c r="B145" s="1165" t="s">
        <v>919</v>
      </c>
      <c r="C145" s="883" t="s">
        <v>924</v>
      </c>
      <c r="D145" s="875" t="s">
        <v>45</v>
      </c>
      <c r="E145" s="875" t="s">
        <v>196</v>
      </c>
      <c r="F145" s="879">
        <f t="shared" si="28"/>
        <v>0.4</v>
      </c>
      <c r="G145" s="912">
        <v>0.4</v>
      </c>
      <c r="H145" s="907">
        <f t="shared" si="26"/>
        <v>0</v>
      </c>
      <c r="I145" s="907"/>
      <c r="J145" s="907"/>
      <c r="K145" s="906"/>
      <c r="L145" s="871"/>
      <c r="M145" s="871"/>
      <c r="N145" s="871"/>
      <c r="O145" s="871"/>
      <c r="P145" s="871"/>
      <c r="Q145" s="871"/>
      <c r="R145" s="871"/>
      <c r="S145" s="871"/>
      <c r="T145" s="871"/>
      <c r="U145" s="871"/>
      <c r="V145" s="871"/>
      <c r="W145" s="871"/>
      <c r="X145" s="871"/>
      <c r="Y145" s="883" t="s">
        <v>169</v>
      </c>
      <c r="Z145" s="949"/>
      <c r="AA145" s="1326"/>
      <c r="AB145" s="1165"/>
    </row>
    <row r="146" spans="1:28" ht="45">
      <c r="A146" s="1165">
        <v>5</v>
      </c>
      <c r="B146" s="1165" t="s">
        <v>919</v>
      </c>
      <c r="C146" s="883" t="s">
        <v>388</v>
      </c>
      <c r="D146" s="875" t="s">
        <v>45</v>
      </c>
      <c r="E146" s="875" t="s">
        <v>196</v>
      </c>
      <c r="F146" s="879">
        <f t="shared" si="28"/>
        <v>0.15</v>
      </c>
      <c r="G146" s="912">
        <v>0.15</v>
      </c>
      <c r="H146" s="907">
        <f t="shared" si="26"/>
        <v>0</v>
      </c>
      <c r="I146" s="907"/>
      <c r="J146" s="907"/>
      <c r="K146" s="906"/>
      <c r="L146" s="871"/>
      <c r="M146" s="871"/>
      <c r="N146" s="871"/>
      <c r="O146" s="871"/>
      <c r="P146" s="871"/>
      <c r="Q146" s="871"/>
      <c r="R146" s="871"/>
      <c r="S146" s="871"/>
      <c r="T146" s="871"/>
      <c r="U146" s="871"/>
      <c r="V146" s="871"/>
      <c r="W146" s="871"/>
      <c r="X146" s="871"/>
      <c r="Y146" s="883" t="s">
        <v>170</v>
      </c>
      <c r="Z146" s="949"/>
      <c r="AA146" s="1326"/>
      <c r="AB146" s="1165"/>
    </row>
    <row r="147" spans="1:28" ht="45">
      <c r="A147" s="1165">
        <v>6</v>
      </c>
      <c r="B147" s="1165" t="s">
        <v>919</v>
      </c>
      <c r="C147" s="883" t="s">
        <v>925</v>
      </c>
      <c r="D147" s="875" t="s">
        <v>45</v>
      </c>
      <c r="E147" s="875" t="s">
        <v>196</v>
      </c>
      <c r="F147" s="879">
        <f t="shared" si="28"/>
        <v>0.4</v>
      </c>
      <c r="G147" s="912">
        <v>0.4</v>
      </c>
      <c r="H147" s="907">
        <f t="shared" si="26"/>
        <v>0</v>
      </c>
      <c r="I147" s="907"/>
      <c r="J147" s="907"/>
      <c r="K147" s="906"/>
      <c r="L147" s="871"/>
      <c r="M147" s="871"/>
      <c r="N147" s="871"/>
      <c r="O147" s="871"/>
      <c r="P147" s="871"/>
      <c r="Q147" s="871"/>
      <c r="R147" s="871"/>
      <c r="S147" s="871"/>
      <c r="T147" s="871"/>
      <c r="U147" s="871"/>
      <c r="V147" s="871"/>
      <c r="W147" s="871"/>
      <c r="X147" s="871"/>
      <c r="Y147" s="883" t="s">
        <v>170</v>
      </c>
      <c r="Z147" s="949"/>
      <c r="AA147" s="1326"/>
      <c r="AB147" s="1165"/>
    </row>
    <row r="148" spans="1:28" ht="30">
      <c r="A148" s="1165">
        <v>7</v>
      </c>
      <c r="B148" s="1165" t="s">
        <v>919</v>
      </c>
      <c r="C148" s="883" t="s">
        <v>926</v>
      </c>
      <c r="D148" s="875" t="s">
        <v>45</v>
      </c>
      <c r="E148" s="875" t="s">
        <v>196</v>
      </c>
      <c r="F148" s="879">
        <f t="shared" si="28"/>
        <v>0.3</v>
      </c>
      <c r="G148" s="912">
        <v>0.3</v>
      </c>
      <c r="H148" s="907">
        <f t="shared" si="26"/>
        <v>0</v>
      </c>
      <c r="I148" s="907"/>
      <c r="J148" s="907"/>
      <c r="K148" s="906"/>
      <c r="L148" s="871"/>
      <c r="M148" s="871"/>
      <c r="N148" s="871"/>
      <c r="O148" s="871"/>
      <c r="P148" s="871"/>
      <c r="Q148" s="871"/>
      <c r="R148" s="871"/>
      <c r="S148" s="871"/>
      <c r="T148" s="871"/>
      <c r="U148" s="871"/>
      <c r="V148" s="871"/>
      <c r="W148" s="871"/>
      <c r="X148" s="871"/>
      <c r="Y148" s="883" t="s">
        <v>170</v>
      </c>
      <c r="Z148" s="949"/>
      <c r="AA148" s="1326"/>
      <c r="AB148" s="1165"/>
    </row>
    <row r="149" spans="1:28" ht="30">
      <c r="A149" s="1165">
        <v>8</v>
      </c>
      <c r="B149" s="1165" t="s">
        <v>919</v>
      </c>
      <c r="C149" s="883" t="s">
        <v>927</v>
      </c>
      <c r="D149" s="875" t="s">
        <v>45</v>
      </c>
      <c r="E149" s="875" t="s">
        <v>196</v>
      </c>
      <c r="F149" s="879">
        <f t="shared" si="28"/>
        <v>0.3</v>
      </c>
      <c r="G149" s="912">
        <v>0.3</v>
      </c>
      <c r="H149" s="907">
        <f t="shared" si="26"/>
        <v>0</v>
      </c>
      <c r="I149" s="907"/>
      <c r="J149" s="907"/>
      <c r="K149" s="906"/>
      <c r="L149" s="871"/>
      <c r="M149" s="871"/>
      <c r="N149" s="871"/>
      <c r="O149" s="871"/>
      <c r="P149" s="871"/>
      <c r="Q149" s="871"/>
      <c r="R149" s="871"/>
      <c r="S149" s="871"/>
      <c r="T149" s="871"/>
      <c r="U149" s="871"/>
      <c r="V149" s="871"/>
      <c r="W149" s="871"/>
      <c r="X149" s="871"/>
      <c r="Y149" s="883" t="s">
        <v>170</v>
      </c>
      <c r="Z149" s="949"/>
      <c r="AA149" s="1326"/>
      <c r="AB149" s="1165"/>
    </row>
    <row r="150" spans="1:28" ht="30">
      <c r="A150" s="1165">
        <v>9</v>
      </c>
      <c r="B150" s="1165" t="s">
        <v>919</v>
      </c>
      <c r="C150" s="883" t="s">
        <v>928</v>
      </c>
      <c r="D150" s="875" t="s">
        <v>45</v>
      </c>
      <c r="E150" s="875" t="s">
        <v>196</v>
      </c>
      <c r="F150" s="879">
        <f t="shared" si="28"/>
        <v>0.3</v>
      </c>
      <c r="G150" s="912">
        <v>0.3</v>
      </c>
      <c r="H150" s="907">
        <f t="shared" si="26"/>
        <v>0</v>
      </c>
      <c r="I150" s="907"/>
      <c r="J150" s="907"/>
      <c r="K150" s="906"/>
      <c r="L150" s="871"/>
      <c r="M150" s="871"/>
      <c r="N150" s="871"/>
      <c r="O150" s="871"/>
      <c r="P150" s="871"/>
      <c r="Q150" s="871"/>
      <c r="R150" s="871"/>
      <c r="S150" s="871"/>
      <c r="T150" s="871"/>
      <c r="U150" s="871"/>
      <c r="V150" s="871"/>
      <c r="W150" s="871"/>
      <c r="X150" s="871"/>
      <c r="Y150" s="883" t="s">
        <v>172</v>
      </c>
      <c r="Z150" s="949"/>
      <c r="AA150" s="1326"/>
      <c r="AB150" s="1165"/>
    </row>
    <row r="151" spans="1:28" ht="30">
      <c r="A151" s="1165">
        <v>10</v>
      </c>
      <c r="B151" s="1165" t="s">
        <v>919</v>
      </c>
      <c r="C151" s="883" t="s">
        <v>396</v>
      </c>
      <c r="D151" s="875" t="s">
        <v>45</v>
      </c>
      <c r="E151" s="875" t="s">
        <v>196</v>
      </c>
      <c r="F151" s="879">
        <f t="shared" si="28"/>
        <v>0.4</v>
      </c>
      <c r="G151" s="912">
        <v>0.4</v>
      </c>
      <c r="H151" s="907">
        <f t="shared" si="26"/>
        <v>0</v>
      </c>
      <c r="I151" s="907"/>
      <c r="J151" s="907"/>
      <c r="K151" s="906"/>
      <c r="L151" s="871"/>
      <c r="M151" s="871"/>
      <c r="N151" s="871"/>
      <c r="O151" s="871"/>
      <c r="P151" s="871"/>
      <c r="Q151" s="871"/>
      <c r="R151" s="871"/>
      <c r="S151" s="871"/>
      <c r="T151" s="871"/>
      <c r="U151" s="871"/>
      <c r="V151" s="871"/>
      <c r="W151" s="871"/>
      <c r="X151" s="871"/>
      <c r="Y151" s="883" t="s">
        <v>173</v>
      </c>
      <c r="Z151" s="949"/>
      <c r="AA151" s="1326"/>
      <c r="AB151" s="1165"/>
    </row>
    <row r="152" spans="1:28" ht="30">
      <c r="A152" s="1165">
        <v>11</v>
      </c>
      <c r="B152" s="1165" t="s">
        <v>919</v>
      </c>
      <c r="C152" s="883" t="s">
        <v>929</v>
      </c>
      <c r="D152" s="875" t="s">
        <v>45</v>
      </c>
      <c r="E152" s="875" t="s">
        <v>196</v>
      </c>
      <c r="F152" s="879">
        <f t="shared" si="28"/>
        <v>0.4</v>
      </c>
      <c r="G152" s="912">
        <v>0.4</v>
      </c>
      <c r="H152" s="907">
        <f t="shared" si="26"/>
        <v>0</v>
      </c>
      <c r="I152" s="907"/>
      <c r="J152" s="907"/>
      <c r="K152" s="906"/>
      <c r="L152" s="871"/>
      <c r="M152" s="871"/>
      <c r="N152" s="871"/>
      <c r="O152" s="871"/>
      <c r="P152" s="871"/>
      <c r="Q152" s="871"/>
      <c r="R152" s="871"/>
      <c r="S152" s="871"/>
      <c r="T152" s="871"/>
      <c r="U152" s="871"/>
      <c r="V152" s="871"/>
      <c r="W152" s="871"/>
      <c r="X152" s="871"/>
      <c r="Y152" s="883" t="s">
        <v>173</v>
      </c>
      <c r="Z152" s="949"/>
      <c r="AA152" s="1326"/>
      <c r="AB152" s="1165"/>
    </row>
    <row r="153" spans="1:28" ht="45">
      <c r="A153" s="1165">
        <v>12</v>
      </c>
      <c r="B153" s="1165" t="s">
        <v>919</v>
      </c>
      <c r="C153" s="883" t="s">
        <v>930</v>
      </c>
      <c r="D153" s="875" t="s">
        <v>45</v>
      </c>
      <c r="E153" s="875" t="s">
        <v>196</v>
      </c>
      <c r="F153" s="879">
        <f t="shared" si="28"/>
        <v>0.4</v>
      </c>
      <c r="G153" s="912">
        <v>0.4</v>
      </c>
      <c r="H153" s="907">
        <f t="shared" si="26"/>
        <v>0</v>
      </c>
      <c r="I153" s="907"/>
      <c r="J153" s="907"/>
      <c r="K153" s="906"/>
      <c r="L153" s="871"/>
      <c r="M153" s="871"/>
      <c r="N153" s="871"/>
      <c r="O153" s="871"/>
      <c r="P153" s="871"/>
      <c r="Q153" s="871"/>
      <c r="R153" s="871"/>
      <c r="S153" s="871"/>
      <c r="T153" s="871"/>
      <c r="U153" s="871"/>
      <c r="V153" s="871"/>
      <c r="W153" s="871"/>
      <c r="X153" s="871"/>
      <c r="Y153" s="883" t="s">
        <v>174</v>
      </c>
      <c r="Z153" s="949"/>
      <c r="AA153" s="1326"/>
      <c r="AB153" s="1165"/>
    </row>
    <row r="154" spans="1:28" ht="45">
      <c r="A154" s="1165">
        <v>13</v>
      </c>
      <c r="B154" s="1165" t="s">
        <v>919</v>
      </c>
      <c r="C154" s="883" t="s">
        <v>931</v>
      </c>
      <c r="D154" s="875" t="s">
        <v>45</v>
      </c>
      <c r="E154" s="875" t="s">
        <v>196</v>
      </c>
      <c r="F154" s="879">
        <f t="shared" si="28"/>
        <v>0.4</v>
      </c>
      <c r="G154" s="912">
        <v>0.4</v>
      </c>
      <c r="H154" s="907">
        <f t="shared" si="26"/>
        <v>0</v>
      </c>
      <c r="I154" s="907"/>
      <c r="J154" s="907"/>
      <c r="K154" s="906"/>
      <c r="L154" s="871"/>
      <c r="M154" s="871"/>
      <c r="N154" s="871"/>
      <c r="O154" s="871"/>
      <c r="P154" s="871"/>
      <c r="Q154" s="871"/>
      <c r="R154" s="871"/>
      <c r="S154" s="871"/>
      <c r="T154" s="871"/>
      <c r="U154" s="871"/>
      <c r="V154" s="871"/>
      <c r="W154" s="871"/>
      <c r="X154" s="871"/>
      <c r="Y154" s="883" t="s">
        <v>174</v>
      </c>
      <c r="Z154" s="949"/>
      <c r="AA154" s="1326"/>
      <c r="AB154" s="1165"/>
    </row>
    <row r="155" spans="1:28" ht="45">
      <c r="A155" s="1165">
        <v>14</v>
      </c>
      <c r="B155" s="1165" t="s">
        <v>919</v>
      </c>
      <c r="C155" s="883" t="s">
        <v>932</v>
      </c>
      <c r="D155" s="875" t="s">
        <v>45</v>
      </c>
      <c r="E155" s="875" t="s">
        <v>196</v>
      </c>
      <c r="F155" s="879">
        <f t="shared" si="28"/>
        <v>0.5</v>
      </c>
      <c r="G155" s="912">
        <v>0.5</v>
      </c>
      <c r="H155" s="907">
        <f t="shared" si="26"/>
        <v>0</v>
      </c>
      <c r="I155" s="907"/>
      <c r="J155" s="907"/>
      <c r="K155" s="906"/>
      <c r="L155" s="871"/>
      <c r="M155" s="871"/>
      <c r="N155" s="871"/>
      <c r="O155" s="871"/>
      <c r="P155" s="871"/>
      <c r="Q155" s="871"/>
      <c r="R155" s="871"/>
      <c r="S155" s="871"/>
      <c r="T155" s="871"/>
      <c r="U155" s="871"/>
      <c r="V155" s="871"/>
      <c r="W155" s="871"/>
      <c r="X155" s="871"/>
      <c r="Y155" s="883" t="s">
        <v>190</v>
      </c>
      <c r="Z155" s="949"/>
      <c r="AA155" s="1326"/>
      <c r="AB155" s="1165"/>
    </row>
    <row r="156" spans="1:28" ht="30">
      <c r="A156" s="1165">
        <v>15</v>
      </c>
      <c r="B156" s="1165" t="s">
        <v>919</v>
      </c>
      <c r="C156" s="883" t="s">
        <v>933</v>
      </c>
      <c r="D156" s="875" t="s">
        <v>45</v>
      </c>
      <c r="E156" s="875" t="s">
        <v>196</v>
      </c>
      <c r="F156" s="879">
        <f t="shared" si="28"/>
        <v>0.5</v>
      </c>
      <c r="G156" s="912">
        <v>0.5</v>
      </c>
      <c r="H156" s="907">
        <f t="shared" si="26"/>
        <v>0</v>
      </c>
      <c r="I156" s="907"/>
      <c r="J156" s="907"/>
      <c r="K156" s="906"/>
      <c r="L156" s="871"/>
      <c r="M156" s="871"/>
      <c r="N156" s="871"/>
      <c r="O156" s="871"/>
      <c r="P156" s="871"/>
      <c r="Q156" s="871"/>
      <c r="R156" s="871"/>
      <c r="S156" s="871"/>
      <c r="T156" s="871"/>
      <c r="U156" s="871"/>
      <c r="V156" s="871"/>
      <c r="W156" s="871"/>
      <c r="X156" s="871"/>
      <c r="Y156" s="883" t="s">
        <v>190</v>
      </c>
      <c r="Z156" s="949"/>
      <c r="AA156" s="1327"/>
      <c r="AB156" s="1165"/>
    </row>
    <row r="157" spans="1:28" ht="90">
      <c r="A157" s="1165">
        <v>16</v>
      </c>
      <c r="B157" s="1165"/>
      <c r="C157" s="883" t="s">
        <v>943</v>
      </c>
      <c r="D157" s="875" t="s">
        <v>45</v>
      </c>
      <c r="E157" s="875" t="s">
        <v>196</v>
      </c>
      <c r="F157" s="879">
        <f t="shared" si="28"/>
        <v>0.04</v>
      </c>
      <c r="G157" s="912">
        <v>0.04</v>
      </c>
      <c r="H157" s="907">
        <f t="shared" si="26"/>
        <v>0</v>
      </c>
      <c r="I157" s="907"/>
      <c r="J157" s="907"/>
      <c r="K157" s="906"/>
      <c r="L157" s="871"/>
      <c r="M157" s="871"/>
      <c r="N157" s="871"/>
      <c r="O157" s="871"/>
      <c r="P157" s="871"/>
      <c r="Q157" s="871"/>
      <c r="R157" s="871"/>
      <c r="S157" s="871"/>
      <c r="T157" s="871"/>
      <c r="U157" s="871"/>
      <c r="V157" s="871"/>
      <c r="W157" s="871"/>
      <c r="X157" s="871"/>
      <c r="Y157" s="883" t="s">
        <v>189</v>
      </c>
      <c r="Z157" s="949"/>
      <c r="AA157" s="1170" t="s">
        <v>944</v>
      </c>
      <c r="AB157" s="1165"/>
    </row>
    <row r="158" spans="1:28" ht="90">
      <c r="A158" s="1165">
        <v>17</v>
      </c>
      <c r="B158" s="1165"/>
      <c r="C158" s="883" t="s">
        <v>945</v>
      </c>
      <c r="D158" s="875" t="s">
        <v>45</v>
      </c>
      <c r="E158" s="875" t="s">
        <v>196</v>
      </c>
      <c r="F158" s="879">
        <f t="shared" si="28"/>
        <v>0.21</v>
      </c>
      <c r="G158" s="912">
        <v>0.21</v>
      </c>
      <c r="H158" s="907">
        <f t="shared" si="26"/>
        <v>0</v>
      </c>
      <c r="I158" s="907"/>
      <c r="J158" s="907"/>
      <c r="K158" s="906"/>
      <c r="L158" s="871"/>
      <c r="M158" s="871"/>
      <c r="N158" s="871"/>
      <c r="O158" s="871"/>
      <c r="P158" s="871"/>
      <c r="Q158" s="871"/>
      <c r="R158" s="871"/>
      <c r="S158" s="871"/>
      <c r="T158" s="871"/>
      <c r="U158" s="871"/>
      <c r="V158" s="871"/>
      <c r="W158" s="871"/>
      <c r="X158" s="871"/>
      <c r="Y158" s="883" t="s">
        <v>189</v>
      </c>
      <c r="Z158" s="949"/>
      <c r="AA158" s="1170" t="s">
        <v>946</v>
      </c>
      <c r="AB158" s="1165"/>
    </row>
    <row r="159" spans="1:28" ht="90">
      <c r="A159" s="1165">
        <v>18</v>
      </c>
      <c r="B159" s="1165"/>
      <c r="C159" s="883" t="s">
        <v>947</v>
      </c>
      <c r="D159" s="875" t="s">
        <v>45</v>
      </c>
      <c r="E159" s="875" t="s">
        <v>196</v>
      </c>
      <c r="F159" s="879">
        <f t="shared" si="28"/>
        <v>0.35</v>
      </c>
      <c r="G159" s="912">
        <v>0.35</v>
      </c>
      <c r="H159" s="907">
        <f t="shared" si="26"/>
        <v>0</v>
      </c>
      <c r="I159" s="907"/>
      <c r="J159" s="907"/>
      <c r="K159" s="906"/>
      <c r="L159" s="871"/>
      <c r="M159" s="871"/>
      <c r="N159" s="871"/>
      <c r="O159" s="871"/>
      <c r="P159" s="871"/>
      <c r="Q159" s="871"/>
      <c r="R159" s="871"/>
      <c r="S159" s="871"/>
      <c r="T159" s="871"/>
      <c r="U159" s="871"/>
      <c r="V159" s="871"/>
      <c r="W159" s="871"/>
      <c r="X159" s="871"/>
      <c r="Y159" s="883" t="s">
        <v>189</v>
      </c>
      <c r="Z159" s="949"/>
      <c r="AA159" s="1170" t="s">
        <v>948</v>
      </c>
      <c r="AB159" s="1165"/>
    </row>
    <row r="160" spans="1:28" ht="105">
      <c r="A160" s="1165">
        <v>19</v>
      </c>
      <c r="B160" s="1165"/>
      <c r="C160" s="883" t="s">
        <v>950</v>
      </c>
      <c r="D160" s="875" t="s">
        <v>45</v>
      </c>
      <c r="E160" s="875" t="s">
        <v>196</v>
      </c>
      <c r="F160" s="879">
        <f t="shared" si="28"/>
        <v>0.24</v>
      </c>
      <c r="G160" s="912">
        <v>0.24</v>
      </c>
      <c r="H160" s="907">
        <f t="shared" si="26"/>
        <v>0</v>
      </c>
      <c r="I160" s="907"/>
      <c r="J160" s="907"/>
      <c r="K160" s="906"/>
      <c r="L160" s="871"/>
      <c r="M160" s="871"/>
      <c r="N160" s="871"/>
      <c r="O160" s="871"/>
      <c r="P160" s="871"/>
      <c r="Q160" s="871"/>
      <c r="R160" s="871"/>
      <c r="S160" s="871"/>
      <c r="T160" s="871"/>
      <c r="U160" s="871"/>
      <c r="V160" s="871"/>
      <c r="W160" s="871"/>
      <c r="X160" s="871"/>
      <c r="Y160" s="883" t="s">
        <v>173</v>
      </c>
      <c r="Z160" s="949"/>
      <c r="AA160" s="1175" t="s">
        <v>970</v>
      </c>
      <c r="AB160" s="1165"/>
    </row>
    <row r="161" spans="1:28" ht="105">
      <c r="A161" s="1165">
        <v>20</v>
      </c>
      <c r="B161" s="1165"/>
      <c r="C161" s="883" t="s">
        <v>951</v>
      </c>
      <c r="D161" s="875" t="s">
        <v>45</v>
      </c>
      <c r="E161" s="875" t="s">
        <v>196</v>
      </c>
      <c r="F161" s="879">
        <f t="shared" si="28"/>
        <v>0.13</v>
      </c>
      <c r="G161" s="912">
        <v>0.13</v>
      </c>
      <c r="H161" s="907">
        <f t="shared" si="26"/>
        <v>0</v>
      </c>
      <c r="I161" s="907"/>
      <c r="J161" s="907"/>
      <c r="K161" s="906"/>
      <c r="L161" s="871"/>
      <c r="M161" s="871"/>
      <c r="N161" s="871"/>
      <c r="O161" s="871"/>
      <c r="P161" s="871"/>
      <c r="Q161" s="871"/>
      <c r="R161" s="871"/>
      <c r="S161" s="871"/>
      <c r="T161" s="871"/>
      <c r="U161" s="871"/>
      <c r="V161" s="871"/>
      <c r="W161" s="871"/>
      <c r="X161" s="871"/>
      <c r="Y161" s="883" t="s">
        <v>173</v>
      </c>
      <c r="Z161" s="949"/>
      <c r="AA161" s="1175" t="s">
        <v>971</v>
      </c>
      <c r="AB161" s="1165"/>
    </row>
    <row r="162" spans="1:28" ht="105">
      <c r="A162" s="1165">
        <v>21</v>
      </c>
      <c r="B162" s="1165"/>
      <c r="C162" s="883" t="s">
        <v>952</v>
      </c>
      <c r="D162" s="875" t="s">
        <v>45</v>
      </c>
      <c r="E162" s="875" t="s">
        <v>196</v>
      </c>
      <c r="F162" s="879">
        <f t="shared" si="28"/>
        <v>0.16</v>
      </c>
      <c r="G162" s="912">
        <v>0.16</v>
      </c>
      <c r="H162" s="907">
        <f t="shared" si="26"/>
        <v>0</v>
      </c>
      <c r="I162" s="907"/>
      <c r="J162" s="907"/>
      <c r="K162" s="906"/>
      <c r="L162" s="871"/>
      <c r="M162" s="871"/>
      <c r="N162" s="871"/>
      <c r="O162" s="871"/>
      <c r="P162" s="871"/>
      <c r="Q162" s="871"/>
      <c r="R162" s="871"/>
      <c r="S162" s="871"/>
      <c r="T162" s="871"/>
      <c r="U162" s="871"/>
      <c r="V162" s="871"/>
      <c r="W162" s="871"/>
      <c r="X162" s="871"/>
      <c r="Y162" s="883" t="s">
        <v>173</v>
      </c>
      <c r="Z162" s="949"/>
      <c r="AA162" s="1175" t="s">
        <v>972</v>
      </c>
      <c r="AB162" s="1165"/>
    </row>
    <row r="163" spans="1:28" ht="105">
      <c r="A163" s="1165">
        <v>22</v>
      </c>
      <c r="B163" s="1165"/>
      <c r="C163" s="883" t="s">
        <v>953</v>
      </c>
      <c r="D163" s="875" t="s">
        <v>45</v>
      </c>
      <c r="E163" s="875" t="s">
        <v>196</v>
      </c>
      <c r="F163" s="879">
        <f t="shared" si="28"/>
        <v>0.36</v>
      </c>
      <c r="G163" s="912">
        <v>0.36</v>
      </c>
      <c r="H163" s="907">
        <f t="shared" si="26"/>
        <v>0</v>
      </c>
      <c r="I163" s="907"/>
      <c r="J163" s="907"/>
      <c r="K163" s="906"/>
      <c r="L163" s="871"/>
      <c r="M163" s="871"/>
      <c r="N163" s="871"/>
      <c r="O163" s="871"/>
      <c r="P163" s="871"/>
      <c r="Q163" s="871"/>
      <c r="R163" s="871"/>
      <c r="S163" s="871"/>
      <c r="T163" s="871"/>
      <c r="U163" s="871"/>
      <c r="V163" s="871"/>
      <c r="W163" s="871"/>
      <c r="X163" s="871"/>
      <c r="Y163" s="883" t="s">
        <v>173</v>
      </c>
      <c r="Z163" s="949"/>
      <c r="AA163" s="1175" t="s">
        <v>973</v>
      </c>
      <c r="AB163" s="1165"/>
    </row>
    <row r="164" spans="1:28" ht="51.75" customHeight="1">
      <c r="A164" s="1165">
        <v>23</v>
      </c>
      <c r="B164" s="1165"/>
      <c r="C164" s="883" t="s">
        <v>961</v>
      </c>
      <c r="D164" s="875" t="s">
        <v>45</v>
      </c>
      <c r="E164" s="875" t="s">
        <v>196</v>
      </c>
      <c r="F164" s="879">
        <f t="shared" si="28"/>
        <v>0.24</v>
      </c>
      <c r="G164" s="912">
        <v>0.24</v>
      </c>
      <c r="H164" s="907">
        <f t="shared" si="26"/>
        <v>0</v>
      </c>
      <c r="I164" s="907"/>
      <c r="J164" s="907"/>
      <c r="K164" s="906"/>
      <c r="L164" s="871"/>
      <c r="M164" s="871"/>
      <c r="N164" s="871"/>
      <c r="O164" s="871"/>
      <c r="P164" s="871"/>
      <c r="Q164" s="871"/>
      <c r="R164" s="871"/>
      <c r="S164" s="871"/>
      <c r="T164" s="871"/>
      <c r="U164" s="871"/>
      <c r="V164" s="871"/>
      <c r="W164" s="871"/>
      <c r="X164" s="871"/>
      <c r="Y164" s="883" t="s">
        <v>197</v>
      </c>
      <c r="Z164" s="949"/>
      <c r="AA164" s="1325" t="s">
        <v>1039</v>
      </c>
      <c r="AB164" s="1165"/>
    </row>
    <row r="165" spans="1:28" ht="51.75" customHeight="1">
      <c r="A165" s="1165">
        <v>24</v>
      </c>
      <c r="B165" s="1165"/>
      <c r="C165" s="883" t="s">
        <v>962</v>
      </c>
      <c r="D165" s="875" t="s">
        <v>45</v>
      </c>
      <c r="E165" s="875" t="s">
        <v>196</v>
      </c>
      <c r="F165" s="879">
        <f t="shared" si="28"/>
        <v>0.68</v>
      </c>
      <c r="G165" s="912">
        <v>0.68</v>
      </c>
      <c r="H165" s="907">
        <f t="shared" si="26"/>
        <v>0</v>
      </c>
      <c r="I165" s="907"/>
      <c r="J165" s="907"/>
      <c r="K165" s="906"/>
      <c r="L165" s="871"/>
      <c r="M165" s="871"/>
      <c r="N165" s="871"/>
      <c r="O165" s="871"/>
      <c r="P165" s="871"/>
      <c r="Q165" s="871"/>
      <c r="R165" s="871"/>
      <c r="S165" s="871"/>
      <c r="T165" s="871"/>
      <c r="U165" s="871"/>
      <c r="V165" s="871"/>
      <c r="W165" s="871"/>
      <c r="X165" s="871"/>
      <c r="Y165" s="883" t="s">
        <v>197</v>
      </c>
      <c r="Z165" s="949"/>
      <c r="AA165" s="1327"/>
      <c r="AB165" s="1165"/>
    </row>
    <row r="166" spans="1:28" ht="105">
      <c r="A166" s="1165">
        <v>25</v>
      </c>
      <c r="B166" s="1129"/>
      <c r="C166" s="1130" t="s">
        <v>1007</v>
      </c>
      <c r="D166" s="875" t="s">
        <v>45</v>
      </c>
      <c r="E166" s="875" t="s">
        <v>196</v>
      </c>
      <c r="F166" s="879">
        <f t="shared" si="28"/>
        <v>0.02</v>
      </c>
      <c r="G166" s="912">
        <v>0.02</v>
      </c>
      <c r="H166" s="907">
        <f t="shared" si="26"/>
        <v>0</v>
      </c>
      <c r="I166" s="907"/>
      <c r="J166" s="907"/>
      <c r="K166" s="906"/>
      <c r="L166" s="871"/>
      <c r="M166" s="871"/>
      <c r="N166" s="871"/>
      <c r="O166" s="871"/>
      <c r="P166" s="871"/>
      <c r="Q166" s="871"/>
      <c r="R166" s="871"/>
      <c r="S166" s="871"/>
      <c r="T166" s="871"/>
      <c r="U166" s="871"/>
      <c r="V166" s="871"/>
      <c r="W166" s="871"/>
      <c r="X166" s="871"/>
      <c r="Y166" s="883" t="s">
        <v>170</v>
      </c>
      <c r="Z166" s="949"/>
      <c r="AA166" s="1170" t="s">
        <v>1026</v>
      </c>
      <c r="AB166" s="1165"/>
    </row>
    <row r="167" spans="1:28" ht="330">
      <c r="A167" s="1165">
        <v>26</v>
      </c>
      <c r="B167" s="1165"/>
      <c r="C167" s="883" t="s">
        <v>955</v>
      </c>
      <c r="D167" s="875" t="s">
        <v>68</v>
      </c>
      <c r="E167" s="875" t="s">
        <v>68</v>
      </c>
      <c r="F167" s="879">
        <f>G167+H167</f>
        <v>0.08</v>
      </c>
      <c r="G167" s="912">
        <v>0.08</v>
      </c>
      <c r="H167" s="907">
        <f>I167+SUM(K167:X167)</f>
        <v>0</v>
      </c>
      <c r="I167" s="907"/>
      <c r="J167" s="907"/>
      <c r="K167" s="906"/>
      <c r="L167" s="871"/>
      <c r="M167" s="871"/>
      <c r="N167" s="871"/>
      <c r="O167" s="871"/>
      <c r="P167" s="871"/>
      <c r="Q167" s="871"/>
      <c r="R167" s="871"/>
      <c r="S167" s="871"/>
      <c r="T167" s="871"/>
      <c r="U167" s="871"/>
      <c r="V167" s="871"/>
      <c r="W167" s="871"/>
      <c r="X167" s="871"/>
      <c r="Y167" s="880" t="s">
        <v>191</v>
      </c>
      <c r="Z167" s="949"/>
      <c r="AA167" s="1170" t="s">
        <v>1037</v>
      </c>
      <c r="AB167" s="1165"/>
    </row>
    <row r="168" spans="1:28" ht="15" customHeight="1">
      <c r="A168" s="1285" t="s">
        <v>281</v>
      </c>
      <c r="B168" s="1321"/>
      <c r="C168" s="1286"/>
      <c r="D168" s="940"/>
      <c r="E168" s="940"/>
      <c r="F168" s="895">
        <f t="shared" ref="F168:X168" si="29">SUM(F12:F166)</f>
        <v>1037.4700000000009</v>
      </c>
      <c r="G168" s="895">
        <f t="shared" si="29"/>
        <v>462.2199999999998</v>
      </c>
      <c r="H168" s="895">
        <f t="shared" si="29"/>
        <v>575.24999999999989</v>
      </c>
      <c r="I168" s="895">
        <f t="shared" si="29"/>
        <v>2.8</v>
      </c>
      <c r="J168" s="895">
        <f t="shared" si="29"/>
        <v>1.3</v>
      </c>
      <c r="K168" s="895">
        <f t="shared" si="29"/>
        <v>379.88</v>
      </c>
      <c r="L168" s="895">
        <f t="shared" si="29"/>
        <v>111.45</v>
      </c>
      <c r="M168" s="895">
        <f t="shared" si="29"/>
        <v>20.86</v>
      </c>
      <c r="N168" s="895">
        <f t="shared" si="29"/>
        <v>35.74</v>
      </c>
      <c r="O168" s="895">
        <f t="shared" si="29"/>
        <v>0.43</v>
      </c>
      <c r="P168" s="895">
        <f t="shared" si="29"/>
        <v>0.09</v>
      </c>
      <c r="Q168" s="895">
        <f t="shared" si="29"/>
        <v>0.56000000000000005</v>
      </c>
      <c r="R168" s="895">
        <f t="shared" si="29"/>
        <v>0.06</v>
      </c>
      <c r="S168" s="895">
        <f t="shared" si="29"/>
        <v>1.47</v>
      </c>
      <c r="T168" s="895">
        <f t="shared" si="29"/>
        <v>0.03</v>
      </c>
      <c r="U168" s="895">
        <f t="shared" si="29"/>
        <v>1.98</v>
      </c>
      <c r="V168" s="895">
        <f t="shared" si="29"/>
        <v>2.3299999999999996</v>
      </c>
      <c r="W168" s="895">
        <f t="shared" si="29"/>
        <v>1.24</v>
      </c>
      <c r="X168" s="895">
        <f t="shared" si="29"/>
        <v>16.330000000000002</v>
      </c>
      <c r="Y168" s="896"/>
      <c r="Z168" s="944"/>
      <c r="AA168" s="1165"/>
      <c r="AB168" s="1165"/>
    </row>
    <row r="169" spans="1:28">
      <c r="A169" s="920"/>
      <c r="B169" s="924"/>
    </row>
    <row r="170" spans="1:28">
      <c r="A170" s="924"/>
      <c r="B170" s="924"/>
    </row>
    <row r="171" spans="1:28">
      <c r="A171" s="924"/>
      <c r="B171" s="924"/>
      <c r="C171" s="997"/>
      <c r="D171" s="1131"/>
      <c r="H171" s="927"/>
      <c r="J171" s="922"/>
    </row>
    <row r="172" spans="1:28">
      <c r="A172" s="924"/>
      <c r="B172" s="924"/>
      <c r="C172" s="997"/>
      <c r="H172" s="927"/>
      <c r="I172" s="927"/>
      <c r="J172" s="927"/>
      <c r="L172" s="1132"/>
    </row>
    <row r="173" spans="1:28">
      <c r="A173" s="924"/>
      <c r="B173" s="924"/>
      <c r="H173" s="928"/>
      <c r="I173" s="928"/>
      <c r="J173" s="928"/>
    </row>
    <row r="174" spans="1:28" s="921" customFormat="1">
      <c r="A174" s="924"/>
      <c r="B174" s="924"/>
      <c r="C174" s="981"/>
      <c r="D174" s="900"/>
      <c r="E174" s="900"/>
      <c r="G174" s="927"/>
      <c r="H174" s="928"/>
      <c r="I174" s="928"/>
      <c r="J174" s="928"/>
      <c r="K174" s="922"/>
      <c r="N174" s="927"/>
      <c r="O174" s="927"/>
      <c r="P174" s="927"/>
      <c r="Y174" s="923"/>
      <c r="AA174" s="897"/>
      <c r="AB174" s="897"/>
    </row>
    <row r="175" spans="1:28" s="921" customFormat="1">
      <c r="A175" s="924"/>
      <c r="B175" s="924"/>
      <c r="C175" s="981"/>
      <c r="D175" s="900"/>
      <c r="E175" s="900"/>
      <c r="G175" s="927"/>
      <c r="H175" s="928"/>
      <c r="I175" s="928"/>
      <c r="J175" s="928"/>
      <c r="K175" s="922"/>
      <c r="N175" s="927"/>
      <c r="O175" s="927"/>
      <c r="P175" s="927"/>
      <c r="V175" s="927"/>
      <c r="Y175" s="923"/>
      <c r="AA175" s="897"/>
      <c r="AB175" s="897"/>
    </row>
    <row r="176" spans="1:28" s="921" customFormat="1">
      <c r="A176" s="924"/>
      <c r="B176" s="924"/>
      <c r="C176" s="1133"/>
      <c r="D176" s="900"/>
      <c r="E176" s="900"/>
      <c r="G176" s="927"/>
      <c r="H176" s="928"/>
      <c r="I176" s="928"/>
      <c r="J176" s="928"/>
      <c r="K176" s="922"/>
      <c r="Y176" s="923"/>
      <c r="AA176" s="897"/>
      <c r="AB176" s="897"/>
    </row>
    <row r="177" spans="1:28" s="921" customFormat="1">
      <c r="A177" s="924"/>
      <c r="B177" s="924"/>
      <c r="C177" s="998"/>
      <c r="D177" s="900"/>
      <c r="E177" s="900"/>
      <c r="F177" s="921" t="s">
        <v>202</v>
      </c>
      <c r="G177" s="927"/>
      <c r="H177" s="928"/>
      <c r="I177" s="928"/>
      <c r="J177" s="928"/>
      <c r="K177" s="922"/>
      <c r="Y177" s="923"/>
      <c r="AA177" s="897"/>
      <c r="AB177" s="897"/>
    </row>
    <row r="178" spans="1:28" s="921" customFormat="1">
      <c r="A178" s="924"/>
      <c r="B178" s="924"/>
      <c r="C178" s="981"/>
      <c r="D178" s="900"/>
      <c r="E178" s="900"/>
      <c r="G178" s="927"/>
      <c r="H178" s="928"/>
      <c r="I178" s="928"/>
      <c r="J178" s="928"/>
      <c r="K178" s="922"/>
      <c r="Y178" s="923"/>
      <c r="AA178" s="897"/>
      <c r="AB178" s="897"/>
    </row>
    <row r="179" spans="1:28" s="921" customFormat="1">
      <c r="A179" s="924"/>
      <c r="B179" s="924"/>
      <c r="C179" s="981"/>
      <c r="D179" s="900"/>
      <c r="E179" s="900"/>
      <c r="G179" s="927"/>
      <c r="H179" s="928"/>
      <c r="I179" s="928"/>
      <c r="J179" s="928"/>
      <c r="K179" s="922"/>
      <c r="Y179" s="923"/>
      <c r="AA179" s="897"/>
      <c r="AB179" s="897"/>
    </row>
    <row r="180" spans="1:28" s="921" customFormat="1">
      <c r="A180" s="924"/>
      <c r="B180" s="924"/>
      <c r="C180" s="981"/>
      <c r="D180" s="900"/>
      <c r="E180" s="900"/>
      <c r="G180" s="927"/>
      <c r="H180" s="928"/>
      <c r="I180" s="928"/>
      <c r="J180" s="928"/>
      <c r="K180" s="922"/>
      <c r="Y180" s="923"/>
      <c r="AA180" s="897"/>
      <c r="AB180" s="897"/>
    </row>
    <row r="181" spans="1:28" s="921" customFormat="1">
      <c r="A181" s="924"/>
      <c r="B181" s="924"/>
      <c r="C181" s="981"/>
      <c r="D181" s="900"/>
      <c r="E181" s="900"/>
      <c r="G181" s="927"/>
      <c r="H181" s="928"/>
      <c r="I181" s="928"/>
      <c r="J181" s="928"/>
      <c r="K181" s="922"/>
      <c r="Y181" s="923"/>
      <c r="AA181" s="897"/>
      <c r="AB181" s="897"/>
    </row>
    <row r="182" spans="1:28" s="921" customFormat="1">
      <c r="A182" s="924"/>
      <c r="B182" s="924"/>
      <c r="C182" s="981"/>
      <c r="D182" s="900"/>
      <c r="E182" s="900"/>
      <c r="G182" s="927"/>
      <c r="H182" s="928"/>
      <c r="I182" s="928"/>
      <c r="J182" s="928"/>
      <c r="K182" s="922"/>
      <c r="Y182" s="923"/>
      <c r="AA182" s="897"/>
      <c r="AB182" s="897"/>
    </row>
    <row r="183" spans="1:28" s="921" customFormat="1">
      <c r="A183" s="924"/>
      <c r="B183" s="924"/>
      <c r="C183" s="981"/>
      <c r="D183" s="900"/>
      <c r="E183" s="900"/>
      <c r="G183" s="927"/>
      <c r="H183" s="928"/>
      <c r="I183" s="928"/>
      <c r="J183" s="928"/>
      <c r="K183" s="922"/>
      <c r="Y183" s="923"/>
      <c r="AA183" s="897"/>
      <c r="AB183" s="897"/>
    </row>
    <row r="184" spans="1:28" s="921" customFormat="1">
      <c r="A184" s="924"/>
      <c r="B184" s="924"/>
      <c r="C184" s="981"/>
      <c r="D184" s="900"/>
      <c r="E184" s="900"/>
      <c r="G184" s="927"/>
      <c r="H184" s="928"/>
      <c r="I184" s="928"/>
      <c r="J184" s="928"/>
      <c r="K184" s="922"/>
      <c r="Y184" s="923"/>
      <c r="AA184" s="897"/>
      <c r="AB184" s="897"/>
    </row>
    <row r="185" spans="1:28" s="921" customFormat="1">
      <c r="A185" s="924"/>
      <c r="B185" s="924"/>
      <c r="C185" s="981"/>
      <c r="D185" s="900"/>
      <c r="E185" s="900"/>
      <c r="G185" s="927"/>
      <c r="H185" s="928"/>
      <c r="I185" s="928"/>
      <c r="J185" s="928"/>
      <c r="K185" s="922"/>
      <c r="Y185" s="923"/>
      <c r="AA185" s="897"/>
      <c r="AB185" s="897"/>
    </row>
    <row r="186" spans="1:28" s="921" customFormat="1">
      <c r="A186" s="924"/>
      <c r="B186" s="924"/>
      <c r="C186" s="981"/>
      <c r="D186" s="900"/>
      <c r="E186" s="900"/>
      <c r="G186" s="927"/>
      <c r="H186" s="928"/>
      <c r="I186" s="928"/>
      <c r="J186" s="928"/>
      <c r="K186" s="922"/>
      <c r="Y186" s="923"/>
      <c r="AA186" s="897"/>
      <c r="AB186" s="897"/>
    </row>
    <row r="187" spans="1:28" s="921" customFormat="1">
      <c r="A187" s="924"/>
      <c r="B187" s="924"/>
      <c r="C187" s="981"/>
      <c r="D187" s="900"/>
      <c r="E187" s="900"/>
      <c r="G187" s="927"/>
      <c r="H187" s="928"/>
      <c r="I187" s="928"/>
      <c r="J187" s="928"/>
      <c r="K187" s="922"/>
      <c r="Y187" s="923"/>
      <c r="AA187" s="897"/>
      <c r="AB187" s="897"/>
    </row>
    <row r="188" spans="1:28" s="921" customFormat="1">
      <c r="A188" s="924"/>
      <c r="B188" s="924"/>
      <c r="C188" s="981"/>
      <c r="D188" s="900"/>
      <c r="E188" s="900"/>
      <c r="G188" s="927"/>
      <c r="H188" s="928"/>
      <c r="I188" s="928"/>
      <c r="J188" s="928"/>
      <c r="K188" s="922"/>
      <c r="Y188" s="923"/>
      <c r="AA188" s="897"/>
      <c r="AB188" s="897"/>
    </row>
    <row r="189" spans="1:28" s="921" customFormat="1">
      <c r="A189" s="924"/>
      <c r="B189" s="924"/>
      <c r="C189" s="981"/>
      <c r="D189" s="900"/>
      <c r="E189" s="900">
        <f>24+13+19</f>
        <v>56</v>
      </c>
      <c r="G189" s="927"/>
      <c r="H189" s="928"/>
      <c r="I189" s="928"/>
      <c r="J189" s="928"/>
      <c r="K189" s="922"/>
      <c r="Y189" s="923"/>
      <c r="AA189" s="897"/>
      <c r="AB189" s="897"/>
    </row>
    <row r="190" spans="1:28" s="921" customFormat="1">
      <c r="A190" s="924"/>
      <c r="B190" s="924"/>
      <c r="C190" s="981"/>
      <c r="D190" s="900"/>
      <c r="E190" s="900"/>
      <c r="G190" s="927"/>
      <c r="H190" s="930"/>
      <c r="I190" s="930"/>
      <c r="J190" s="930"/>
      <c r="K190" s="922"/>
      <c r="Y190" s="923"/>
      <c r="AA190" s="897"/>
      <c r="AB190" s="897"/>
    </row>
    <row r="191" spans="1:28" s="921" customFormat="1">
      <c r="A191" s="924"/>
      <c r="B191" s="924"/>
      <c r="C191" s="981"/>
      <c r="D191" s="900"/>
      <c r="E191" s="900"/>
      <c r="G191" s="927"/>
      <c r="K191" s="922"/>
      <c r="Y191" s="923"/>
      <c r="AA191" s="897"/>
      <c r="AB191" s="897"/>
    </row>
    <row r="192" spans="1:28" s="921" customFormat="1">
      <c r="A192" s="924"/>
      <c r="B192" s="924"/>
      <c r="C192" s="981"/>
      <c r="D192" s="900"/>
      <c r="E192" s="900"/>
      <c r="G192" s="927"/>
      <c r="K192" s="922"/>
      <c r="Y192" s="923"/>
      <c r="AA192" s="897"/>
      <c r="AB192" s="897"/>
    </row>
    <row r="193" spans="1:28" s="921" customFormat="1">
      <c r="A193" s="924"/>
      <c r="B193" s="924"/>
      <c r="C193" s="981"/>
      <c r="D193" s="900"/>
      <c r="E193" s="900"/>
      <c r="G193" s="927"/>
      <c r="K193" s="922"/>
      <c r="Y193" s="923"/>
      <c r="AA193" s="897"/>
      <c r="AB193" s="897"/>
    </row>
    <row r="194" spans="1:28" s="921" customFormat="1">
      <c r="A194" s="924"/>
      <c r="B194" s="924"/>
      <c r="C194" s="981"/>
      <c r="D194" s="900"/>
      <c r="E194" s="900"/>
      <c r="G194" s="927"/>
      <c r="K194" s="922"/>
      <c r="Y194" s="923"/>
      <c r="AA194" s="897"/>
      <c r="AB194" s="897"/>
    </row>
    <row r="195" spans="1:28" s="921" customFormat="1">
      <c r="A195" s="924"/>
      <c r="B195" s="924"/>
      <c r="C195" s="981"/>
      <c r="D195" s="900"/>
      <c r="E195" s="900"/>
      <c r="G195" s="927"/>
      <c r="K195" s="922"/>
      <c r="Y195" s="923"/>
      <c r="AA195" s="897"/>
      <c r="AB195" s="897"/>
    </row>
    <row r="196" spans="1:28" s="921" customFormat="1">
      <c r="A196" s="924"/>
      <c r="B196" s="924"/>
      <c r="C196" s="981"/>
      <c r="D196" s="900"/>
      <c r="E196" s="900"/>
      <c r="G196" s="927"/>
      <c r="K196" s="922"/>
      <c r="Y196" s="923"/>
      <c r="AA196" s="897"/>
      <c r="AB196" s="897"/>
    </row>
    <row r="197" spans="1:28" s="921" customFormat="1">
      <c r="A197" s="924"/>
      <c r="B197" s="924"/>
      <c r="C197" s="981"/>
      <c r="D197" s="900"/>
      <c r="E197" s="900"/>
      <c r="G197" s="927"/>
      <c r="K197" s="922"/>
      <c r="Y197" s="923"/>
      <c r="AA197" s="897"/>
      <c r="AB197" s="897"/>
    </row>
  </sheetData>
  <autoFilter ref="A9:AA169"/>
  <mergeCells count="55">
    <mergeCell ref="A168:C168"/>
    <mergeCell ref="AA137:AA138"/>
    <mergeCell ref="A129:A130"/>
    <mergeCell ref="C129:C130"/>
    <mergeCell ref="AA164:AA165"/>
    <mergeCell ref="AA134:AA136"/>
    <mergeCell ref="A36:A38"/>
    <mergeCell ref="A115:A116"/>
    <mergeCell ref="C115:C116"/>
    <mergeCell ref="AA115:AA116"/>
    <mergeCell ref="AA144:AA156"/>
    <mergeCell ref="AA118:AA121"/>
    <mergeCell ref="C36:C38"/>
    <mergeCell ref="AA36:AA38"/>
    <mergeCell ref="A39:A40"/>
    <mergeCell ref="A66:A68"/>
    <mergeCell ref="A63:A65"/>
    <mergeCell ref="AA129:AA130"/>
    <mergeCell ref="A48:A55"/>
    <mergeCell ref="A41:A43"/>
    <mergeCell ref="A46:A47"/>
    <mergeCell ref="Z4:Z7"/>
    <mergeCell ref="A1:AA1"/>
    <mergeCell ref="A2:AA2"/>
    <mergeCell ref="A3:AA3"/>
    <mergeCell ref="A4:A7"/>
    <mergeCell ref="C4:C7"/>
    <mergeCell ref="D4:D7"/>
    <mergeCell ref="F4:F7"/>
    <mergeCell ref="G4:G7"/>
    <mergeCell ref="H4:X6"/>
    <mergeCell ref="Y4:Y7"/>
    <mergeCell ref="AA4:AA7"/>
    <mergeCell ref="E4:E7"/>
    <mergeCell ref="AA16:AA27"/>
    <mergeCell ref="AA110:AA113"/>
    <mergeCell ref="AA48:AA55"/>
    <mergeCell ref="C48:C55"/>
    <mergeCell ref="C39:C40"/>
    <mergeCell ref="AA39:AA40"/>
    <mergeCell ref="C46:C47"/>
    <mergeCell ref="AA46:AA47"/>
    <mergeCell ref="C66:C68"/>
    <mergeCell ref="AA66:AA68"/>
    <mergeCell ref="C63:C65"/>
    <mergeCell ref="AA63:AA65"/>
    <mergeCell ref="C41:C43"/>
    <mergeCell ref="AA41:AA43"/>
    <mergeCell ref="AB36:AB38"/>
    <mergeCell ref="AB129:AB130"/>
    <mergeCell ref="AB4:AB7"/>
    <mergeCell ref="AB39:AB40"/>
    <mergeCell ref="AB46:AB47"/>
    <mergeCell ref="AB48:AB55"/>
    <mergeCell ref="AB41:AB43"/>
  </mergeCells>
  <printOptions horizontalCentered="1"/>
  <pageMargins left="0.17" right="0.19685039370078741" top="0.57999999999999996" bottom="0.31496062992125984" header="0" footer="0.31496062992125984"/>
  <pageSetup paperSize="8"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3"/>
  <sheetViews>
    <sheetView topLeftCell="A40" workbookViewId="0">
      <selection activeCell="B9" sqref="B9"/>
    </sheetView>
  </sheetViews>
  <sheetFormatPr defaultColWidth="9.140625" defaultRowHeight="15.75"/>
  <cols>
    <col min="1" max="1" width="5.28515625" style="135" customWidth="1"/>
    <col min="2" max="2" width="33.85546875" style="135" customWidth="1"/>
    <col min="3" max="3" width="8.42578125" style="335" customWidth="1"/>
    <col min="4" max="4" width="13.5703125" style="135" customWidth="1"/>
    <col min="5" max="5" width="12.42578125" style="135" bestFit="1" customWidth="1"/>
    <col min="6" max="6" width="11.85546875" style="30" customWidth="1"/>
    <col min="7" max="7" width="13.7109375" style="135" customWidth="1"/>
    <col min="8" max="8" width="9.140625" style="135"/>
    <col min="9" max="10" width="9.85546875" style="135" bestFit="1" customWidth="1"/>
    <col min="11" max="16384" width="9.140625" style="135"/>
  </cols>
  <sheetData>
    <row r="1" spans="1:10" ht="63">
      <c r="A1" s="1018" t="s">
        <v>1</v>
      </c>
      <c r="B1" s="1018" t="s">
        <v>2</v>
      </c>
      <c r="C1" s="1018" t="s">
        <v>3</v>
      </c>
      <c r="D1" s="370" t="s">
        <v>983</v>
      </c>
      <c r="E1" s="370" t="s">
        <v>984</v>
      </c>
      <c r="F1" s="372" t="s">
        <v>342</v>
      </c>
      <c r="G1" s="141"/>
      <c r="H1" s="141"/>
    </row>
    <row r="2" spans="1:10" s="10" customFormat="1">
      <c r="A2" s="370"/>
      <c r="B2" s="370" t="s">
        <v>131</v>
      </c>
      <c r="C2" s="370"/>
      <c r="D2" s="319">
        <f>'B1'!D8</f>
        <v>143172.85999999999</v>
      </c>
      <c r="E2" s="319">
        <f>'B6'!H6</f>
        <v>143172.85999999999</v>
      </c>
      <c r="F2" s="414">
        <f>E2-D2</f>
        <v>0</v>
      </c>
      <c r="G2" s="138">
        <f t="shared" ref="G2:G41" si="0">E2-F2</f>
        <v>143172.85999999999</v>
      </c>
      <c r="H2" s="138"/>
      <c r="J2" s="138">
        <f>E3-131431.1</f>
        <v>3070.4699999999721</v>
      </c>
    </row>
    <row r="3" spans="1:10" s="10" customFormat="1">
      <c r="A3" s="370">
        <v>1</v>
      </c>
      <c r="B3" s="322" t="s">
        <v>6</v>
      </c>
      <c r="C3" s="370" t="s">
        <v>7</v>
      </c>
      <c r="D3" s="319">
        <f>'B1'!D10</f>
        <v>134734.37</v>
      </c>
      <c r="E3" s="319">
        <f>'B6'!H8</f>
        <v>134501.56999999998</v>
      </c>
      <c r="F3" s="414">
        <f t="shared" ref="F3:F53" si="1">E3-D3</f>
        <v>-232.80000000001746</v>
      </c>
      <c r="G3" s="138">
        <f t="shared" si="0"/>
        <v>134734.37</v>
      </c>
      <c r="H3" s="138"/>
    </row>
    <row r="4" spans="1:10">
      <c r="A4" s="323" t="s">
        <v>139</v>
      </c>
      <c r="B4" s="324" t="s">
        <v>8</v>
      </c>
      <c r="C4" s="323" t="s">
        <v>9</v>
      </c>
      <c r="D4" s="320">
        <f>'B1'!D11</f>
        <v>1206.1199999999999</v>
      </c>
      <c r="E4" s="320">
        <f>'B6'!H9</f>
        <v>1203.32</v>
      </c>
      <c r="F4" s="371">
        <f t="shared" si="1"/>
        <v>-2.7999999999999545</v>
      </c>
      <c r="G4" s="138">
        <f t="shared" si="0"/>
        <v>1206.1199999999999</v>
      </c>
      <c r="H4" s="138"/>
      <c r="I4" s="135" t="str">
        <f>D1</f>
        <v>Hiện trạng sử dụng đất đến năm 2023</v>
      </c>
      <c r="J4" s="135" t="str">
        <f>E1</f>
        <v>Kế hoạch sử dụng đất năm 2024</v>
      </c>
    </row>
    <row r="5" spans="1:10" ht="31.5">
      <c r="A5" s="323"/>
      <c r="B5" s="326" t="s">
        <v>10</v>
      </c>
      <c r="C5" s="327" t="s">
        <v>11</v>
      </c>
      <c r="D5" s="336">
        <f>'B1'!D12</f>
        <v>737.82999999999993</v>
      </c>
      <c r="E5" s="336">
        <f>'B6'!H10</f>
        <v>736.53</v>
      </c>
      <c r="F5" s="371">
        <f t="shared" si="1"/>
        <v>-1.2999999999999545</v>
      </c>
      <c r="G5" s="138">
        <f t="shared" si="0"/>
        <v>737.82999999999993</v>
      </c>
      <c r="H5" s="138" t="str">
        <f>B3</f>
        <v>Đất nông nghiệp</v>
      </c>
      <c r="I5" s="140">
        <f>D3</f>
        <v>134734.37</v>
      </c>
      <c r="J5" s="140">
        <f>E3</f>
        <v>134501.56999999998</v>
      </c>
    </row>
    <row r="6" spans="1:10" s="105" customFormat="1">
      <c r="A6" s="329" t="s">
        <v>140</v>
      </c>
      <c r="B6" s="330" t="s">
        <v>12</v>
      </c>
      <c r="C6" s="329" t="s">
        <v>13</v>
      </c>
      <c r="D6" s="320">
        <f>'B1'!D13</f>
        <v>15432.95</v>
      </c>
      <c r="E6" s="320">
        <f>'B6'!H11</f>
        <v>15053.07</v>
      </c>
      <c r="F6" s="371">
        <f t="shared" si="1"/>
        <v>-379.88000000000102</v>
      </c>
      <c r="G6" s="136">
        <f t="shared" si="0"/>
        <v>15432.95</v>
      </c>
      <c r="H6" s="136" t="str">
        <f>B15</f>
        <v>Đất phi nông nghiệp</v>
      </c>
      <c r="I6" s="137">
        <f>D15</f>
        <v>8267.58</v>
      </c>
      <c r="J6" s="137">
        <f>E15</f>
        <v>8516.7099999999991</v>
      </c>
    </row>
    <row r="7" spans="1:10">
      <c r="A7" s="323" t="s">
        <v>141</v>
      </c>
      <c r="B7" s="324" t="s">
        <v>14</v>
      </c>
      <c r="C7" s="323" t="s">
        <v>15</v>
      </c>
      <c r="D7" s="320">
        <f>'B1'!D14</f>
        <v>27265.360000000001</v>
      </c>
      <c r="E7" s="320">
        <f>'B6'!H12</f>
        <v>27446.910000000003</v>
      </c>
      <c r="F7" s="371">
        <f t="shared" si="1"/>
        <v>181.55000000000291</v>
      </c>
      <c r="G7" s="138">
        <f t="shared" si="0"/>
        <v>27265.360000000001</v>
      </c>
      <c r="H7" s="138" t="str">
        <f>B53</f>
        <v>Đất chưa sử dụng</v>
      </c>
      <c r="I7" s="140">
        <f>D53</f>
        <v>170.91000000000003</v>
      </c>
      <c r="J7" s="140">
        <f>E53</f>
        <v>154.58000000000001</v>
      </c>
    </row>
    <row r="8" spans="1:10">
      <c r="A8" s="323" t="s">
        <v>142</v>
      </c>
      <c r="B8" s="324" t="s">
        <v>16</v>
      </c>
      <c r="C8" s="323" t="s">
        <v>17</v>
      </c>
      <c r="D8" s="320">
        <f>'B1'!D15</f>
        <v>13311.81</v>
      </c>
      <c r="E8" s="320">
        <f>'B6'!H13</f>
        <v>13276.07</v>
      </c>
      <c r="F8" s="371">
        <f t="shared" si="1"/>
        <v>-35.739999999999782</v>
      </c>
      <c r="G8" s="138">
        <f t="shared" si="0"/>
        <v>13311.81</v>
      </c>
      <c r="H8" s="138"/>
    </row>
    <row r="9" spans="1:10">
      <c r="A9" s="323" t="s">
        <v>143</v>
      </c>
      <c r="B9" s="324" t="s">
        <v>18</v>
      </c>
      <c r="C9" s="323" t="s">
        <v>19</v>
      </c>
      <c r="D9" s="320">
        <f>'B1'!D16</f>
        <v>43026.239999999998</v>
      </c>
      <c r="E9" s="320">
        <f>'B6'!H14</f>
        <v>43026.239999999998</v>
      </c>
      <c r="F9" s="371">
        <f t="shared" si="1"/>
        <v>0</v>
      </c>
      <c r="G9" s="138">
        <f t="shared" si="0"/>
        <v>43026.239999999998</v>
      </c>
      <c r="H9" s="138"/>
    </row>
    <row r="10" spans="1:10">
      <c r="A10" s="323" t="s">
        <v>144</v>
      </c>
      <c r="B10" s="324" t="s">
        <v>20</v>
      </c>
      <c r="C10" s="323" t="s">
        <v>21</v>
      </c>
      <c r="D10" s="320">
        <f>'B1'!D17</f>
        <v>34255.949999999997</v>
      </c>
      <c r="E10" s="320">
        <f>'B6'!H15</f>
        <v>34235.089999999997</v>
      </c>
      <c r="F10" s="371">
        <f t="shared" si="1"/>
        <v>-20.860000000000582</v>
      </c>
      <c r="G10" s="138">
        <f t="shared" si="0"/>
        <v>34255.949999999997</v>
      </c>
      <c r="H10" s="138"/>
    </row>
    <row r="11" spans="1:10" s="110" customFormat="1" ht="15" customHeight="1">
      <c r="A11" s="327"/>
      <c r="B11" s="326" t="s">
        <v>243</v>
      </c>
      <c r="C11" s="327" t="s">
        <v>247</v>
      </c>
      <c r="D11" s="336">
        <f>'B1'!D18</f>
        <v>29661.960000000003</v>
      </c>
      <c r="E11" s="336">
        <f>'B6'!H16</f>
        <v>29661.960000000003</v>
      </c>
      <c r="F11" s="371">
        <f t="shared" si="1"/>
        <v>0</v>
      </c>
      <c r="G11" s="338">
        <f t="shared" si="0"/>
        <v>29661.960000000003</v>
      </c>
      <c r="H11" s="338"/>
    </row>
    <row r="12" spans="1:10">
      <c r="A12" s="323" t="s">
        <v>145</v>
      </c>
      <c r="B12" s="324" t="s">
        <v>22</v>
      </c>
      <c r="C12" s="323" t="s">
        <v>23</v>
      </c>
      <c r="D12" s="320">
        <f>'B1'!D19</f>
        <v>122.69</v>
      </c>
      <c r="E12" s="320">
        <f>'B6'!H17</f>
        <v>122.26</v>
      </c>
      <c r="F12" s="371">
        <f t="shared" si="1"/>
        <v>-0.42999999999999261</v>
      </c>
      <c r="G12" s="138">
        <f t="shared" si="0"/>
        <v>122.69</v>
      </c>
      <c r="H12" s="138"/>
    </row>
    <row r="13" spans="1:10">
      <c r="A13" s="323" t="s">
        <v>146</v>
      </c>
      <c r="B13" s="324" t="s">
        <v>24</v>
      </c>
      <c r="C13" s="323" t="s">
        <v>25</v>
      </c>
      <c r="D13" s="320">
        <f>'B1'!D20</f>
        <v>0</v>
      </c>
      <c r="E13" s="320">
        <f>'B6'!H18</f>
        <v>0</v>
      </c>
      <c r="F13" s="371">
        <f t="shared" si="1"/>
        <v>0</v>
      </c>
      <c r="G13" s="138">
        <f t="shared" si="0"/>
        <v>0</v>
      </c>
      <c r="H13" s="138"/>
    </row>
    <row r="14" spans="1:10">
      <c r="A14" s="323" t="s">
        <v>147</v>
      </c>
      <c r="B14" s="324" t="s">
        <v>26</v>
      </c>
      <c r="C14" s="323" t="s">
        <v>27</v>
      </c>
      <c r="D14" s="320">
        <f>'B1'!D21</f>
        <v>113.24999999999999</v>
      </c>
      <c r="E14" s="320">
        <f>'B6'!H19</f>
        <v>138.61000000000001</v>
      </c>
      <c r="F14" s="371">
        <f t="shared" si="1"/>
        <v>25.360000000000028</v>
      </c>
      <c r="G14" s="140">
        <f t="shared" si="0"/>
        <v>113.24999999999999</v>
      </c>
      <c r="H14" s="140"/>
    </row>
    <row r="15" spans="1:10" s="10" customFormat="1">
      <c r="A15" s="370">
        <v>2</v>
      </c>
      <c r="B15" s="322" t="s">
        <v>28</v>
      </c>
      <c r="C15" s="370" t="s">
        <v>29</v>
      </c>
      <c r="D15" s="319">
        <f>'B1'!D22</f>
        <v>8267.58</v>
      </c>
      <c r="E15" s="319">
        <f>'B6'!H20</f>
        <v>8516.7099999999991</v>
      </c>
      <c r="F15" s="414">
        <f t="shared" si="1"/>
        <v>249.1299999999992</v>
      </c>
      <c r="G15" s="138">
        <f t="shared" si="0"/>
        <v>8267.58</v>
      </c>
      <c r="H15" s="138"/>
    </row>
    <row r="16" spans="1:10">
      <c r="A16" s="323" t="s">
        <v>148</v>
      </c>
      <c r="B16" s="324" t="s">
        <v>30</v>
      </c>
      <c r="C16" s="323" t="s">
        <v>31</v>
      </c>
      <c r="D16" s="320">
        <f>'B1'!D23</f>
        <v>117.88</v>
      </c>
      <c r="E16" s="320">
        <f>'B6'!H21</f>
        <v>123.28</v>
      </c>
      <c r="F16" s="371">
        <f t="shared" si="1"/>
        <v>5.4000000000000057</v>
      </c>
      <c r="G16" s="138">
        <f t="shared" si="0"/>
        <v>117.88</v>
      </c>
      <c r="H16" s="138"/>
    </row>
    <row r="17" spans="1:11">
      <c r="A17" s="323" t="s">
        <v>138</v>
      </c>
      <c r="B17" s="324" t="s">
        <v>32</v>
      </c>
      <c r="C17" s="323" t="s">
        <v>33</v>
      </c>
      <c r="D17" s="320">
        <f>'B1'!D24</f>
        <v>0.97</v>
      </c>
      <c r="E17" s="320">
        <f>'B6'!H22</f>
        <v>4.2700000000000005</v>
      </c>
      <c r="F17" s="371">
        <f t="shared" si="1"/>
        <v>3.3000000000000007</v>
      </c>
      <c r="G17" s="138">
        <f t="shared" si="0"/>
        <v>0.96999999999999975</v>
      </c>
      <c r="H17" s="138"/>
    </row>
    <row r="18" spans="1:11">
      <c r="A18" s="323" t="s">
        <v>149</v>
      </c>
      <c r="B18" s="324" t="s">
        <v>34</v>
      </c>
      <c r="C18" s="323" t="s">
        <v>35</v>
      </c>
      <c r="D18" s="320">
        <f>'B1'!D25</f>
        <v>0</v>
      </c>
      <c r="E18" s="320">
        <f>'B6'!H23</f>
        <v>0</v>
      </c>
      <c r="F18" s="371">
        <f t="shared" si="1"/>
        <v>0</v>
      </c>
      <c r="G18" s="138">
        <f t="shared" si="0"/>
        <v>0</v>
      </c>
      <c r="H18" s="138"/>
    </row>
    <row r="19" spans="1:11">
      <c r="A19" s="323" t="s">
        <v>150</v>
      </c>
      <c r="B19" s="324" t="s">
        <v>36</v>
      </c>
      <c r="C19" s="323" t="s">
        <v>37</v>
      </c>
      <c r="D19" s="320">
        <f>'B1'!D26</f>
        <v>0</v>
      </c>
      <c r="E19" s="320">
        <f>'B6'!H24</f>
        <v>1.01</v>
      </c>
      <c r="F19" s="371">
        <f t="shared" si="1"/>
        <v>1.01</v>
      </c>
      <c r="G19" s="138">
        <f t="shared" si="0"/>
        <v>0</v>
      </c>
      <c r="H19" s="138"/>
    </row>
    <row r="20" spans="1:11">
      <c r="A20" s="323" t="s">
        <v>151</v>
      </c>
      <c r="B20" s="324" t="s">
        <v>38</v>
      </c>
      <c r="C20" s="323" t="s">
        <v>39</v>
      </c>
      <c r="D20" s="320">
        <f>'B1'!D27</f>
        <v>5.26</v>
      </c>
      <c r="E20" s="320">
        <f>'B6'!H25</f>
        <v>5.83</v>
      </c>
      <c r="F20" s="371">
        <f t="shared" si="1"/>
        <v>0.57000000000000028</v>
      </c>
      <c r="G20" s="138">
        <f t="shared" si="0"/>
        <v>5.26</v>
      </c>
      <c r="H20" s="138"/>
    </row>
    <row r="21" spans="1:11">
      <c r="A21" s="323" t="s">
        <v>152</v>
      </c>
      <c r="B21" s="324" t="s">
        <v>40</v>
      </c>
      <c r="C21" s="323" t="s">
        <v>41</v>
      </c>
      <c r="D21" s="320">
        <f>'B1'!D28</f>
        <v>56.789999999999992</v>
      </c>
      <c r="E21" s="320">
        <f>'B6'!H26</f>
        <v>61.519999999999996</v>
      </c>
      <c r="F21" s="371">
        <f t="shared" si="1"/>
        <v>4.730000000000004</v>
      </c>
      <c r="G21" s="138">
        <f t="shared" si="0"/>
        <v>56.789999999999992</v>
      </c>
      <c r="H21" s="138"/>
    </row>
    <row r="22" spans="1:11" ht="31.5">
      <c r="A22" s="323" t="s">
        <v>153</v>
      </c>
      <c r="B22" s="324" t="s">
        <v>42</v>
      </c>
      <c r="C22" s="323" t="s">
        <v>43</v>
      </c>
      <c r="D22" s="320">
        <f>'B1'!D29</f>
        <v>4.66</v>
      </c>
      <c r="E22" s="320">
        <f>'B6'!H27</f>
        <v>4.66</v>
      </c>
      <c r="F22" s="371">
        <f t="shared" si="1"/>
        <v>0</v>
      </c>
      <c r="G22" s="138">
        <f t="shared" si="0"/>
        <v>4.66</v>
      </c>
      <c r="H22" s="138"/>
    </row>
    <row r="23" spans="1:11">
      <c r="A23" s="323" t="s">
        <v>154</v>
      </c>
      <c r="B23" s="324" t="s">
        <v>179</v>
      </c>
      <c r="C23" s="323" t="s">
        <v>66</v>
      </c>
      <c r="D23" s="320">
        <f>'B1'!D30</f>
        <v>22.73</v>
      </c>
      <c r="E23" s="320">
        <f>'B6'!H28</f>
        <v>25.19</v>
      </c>
      <c r="F23" s="371">
        <f t="shared" si="1"/>
        <v>2.4600000000000009</v>
      </c>
      <c r="G23" s="138">
        <f t="shared" si="0"/>
        <v>22.73</v>
      </c>
      <c r="H23" s="138"/>
    </row>
    <row r="24" spans="1:11" ht="31.5">
      <c r="A24" s="323" t="s">
        <v>155</v>
      </c>
      <c r="B24" s="324" t="s">
        <v>180</v>
      </c>
      <c r="C24" s="323" t="s">
        <v>45</v>
      </c>
      <c r="D24" s="320">
        <f>'B1'!D31</f>
        <v>6099.9</v>
      </c>
      <c r="E24" s="320">
        <f>'B6'!H29</f>
        <v>6260.7400000000016</v>
      </c>
      <c r="F24" s="371">
        <f t="shared" si="1"/>
        <v>160.84000000000196</v>
      </c>
      <c r="G24" s="138">
        <f t="shared" si="0"/>
        <v>6099.9</v>
      </c>
      <c r="H24" s="138"/>
    </row>
    <row r="25" spans="1:11">
      <c r="A25" s="323"/>
      <c r="B25" s="324" t="s">
        <v>216</v>
      </c>
      <c r="C25" s="323" t="s">
        <v>196</v>
      </c>
      <c r="D25" s="320">
        <f>'B1'!D32</f>
        <v>1158.3399999999999</v>
      </c>
      <c r="E25" s="320">
        <f>'B6'!H30</f>
        <v>1249.18</v>
      </c>
      <c r="F25" s="371">
        <f t="shared" si="1"/>
        <v>90.840000000000146</v>
      </c>
      <c r="G25" s="138">
        <f t="shared" si="0"/>
        <v>1158.3399999999999</v>
      </c>
      <c r="H25" s="138"/>
    </row>
    <row r="26" spans="1:11">
      <c r="A26" s="323"/>
      <c r="B26" s="324" t="s">
        <v>217</v>
      </c>
      <c r="C26" s="323" t="s">
        <v>194</v>
      </c>
      <c r="D26" s="320">
        <f>'B1'!D33</f>
        <v>90.080000000000013</v>
      </c>
      <c r="E26" s="320">
        <f>'B6'!H31</f>
        <v>133.47999999999999</v>
      </c>
      <c r="F26" s="371">
        <f t="shared" si="1"/>
        <v>43.399999999999977</v>
      </c>
      <c r="G26" s="138">
        <f t="shared" si="0"/>
        <v>90.080000000000013</v>
      </c>
      <c r="H26" s="138"/>
      <c r="K26" s="135">
        <f>12000*12</f>
        <v>144000</v>
      </c>
    </row>
    <row r="27" spans="1:11">
      <c r="A27" s="323"/>
      <c r="B27" s="324" t="s">
        <v>210</v>
      </c>
      <c r="C27" s="323" t="s">
        <v>220</v>
      </c>
      <c r="D27" s="320">
        <f>'B1'!D34</f>
        <v>6.19</v>
      </c>
      <c r="E27" s="320">
        <f>'B6'!H32</f>
        <v>6.19</v>
      </c>
      <c r="F27" s="371">
        <f t="shared" si="1"/>
        <v>0</v>
      </c>
      <c r="G27" s="138">
        <f t="shared" si="0"/>
        <v>6.19</v>
      </c>
      <c r="H27" s="138"/>
      <c r="J27" s="140">
        <f>8050.81-E14</f>
        <v>7912.2000000000007</v>
      </c>
      <c r="K27" s="135">
        <f>K26/10000</f>
        <v>14.4</v>
      </c>
    </row>
    <row r="28" spans="1:11">
      <c r="A28" s="323"/>
      <c r="B28" s="324" t="s">
        <v>211</v>
      </c>
      <c r="C28" s="323" t="s">
        <v>221</v>
      </c>
      <c r="D28" s="320">
        <f>'B1'!D35</f>
        <v>4.96</v>
      </c>
      <c r="E28" s="320">
        <f>'B6'!H33</f>
        <v>4.96</v>
      </c>
      <c r="F28" s="371">
        <f t="shared" si="1"/>
        <v>0</v>
      </c>
      <c r="G28" s="138">
        <f t="shared" si="0"/>
        <v>4.96</v>
      </c>
      <c r="H28" s="138"/>
    </row>
    <row r="29" spans="1:11">
      <c r="A29" s="323"/>
      <c r="B29" s="324" t="s">
        <v>212</v>
      </c>
      <c r="C29" s="323" t="s">
        <v>192</v>
      </c>
      <c r="D29" s="320">
        <f>'B1'!D36</f>
        <v>63.25</v>
      </c>
      <c r="E29" s="320">
        <f>'B6'!H34</f>
        <v>63.89</v>
      </c>
      <c r="F29" s="371">
        <f t="shared" si="1"/>
        <v>0.64000000000000057</v>
      </c>
      <c r="G29" s="138">
        <f t="shared" si="0"/>
        <v>63.25</v>
      </c>
      <c r="H29" s="138"/>
    </row>
    <row r="30" spans="1:11">
      <c r="A30" s="323"/>
      <c r="B30" s="324" t="s">
        <v>213</v>
      </c>
      <c r="C30" s="323" t="s">
        <v>195</v>
      </c>
      <c r="D30" s="320">
        <f>'B1'!D37</f>
        <v>16.670000000000002</v>
      </c>
      <c r="E30" s="320">
        <f>'B6'!H35</f>
        <v>16.670000000000002</v>
      </c>
      <c r="F30" s="371">
        <f t="shared" si="1"/>
        <v>0</v>
      </c>
      <c r="G30" s="138">
        <f t="shared" si="0"/>
        <v>16.670000000000002</v>
      </c>
      <c r="H30" s="138"/>
    </row>
    <row r="31" spans="1:11">
      <c r="A31" s="323"/>
      <c r="B31" s="324" t="s">
        <v>248</v>
      </c>
      <c r="C31" s="323" t="s">
        <v>193</v>
      </c>
      <c r="D31" s="320">
        <f>'B1'!D38</f>
        <v>4625.3500000000004</v>
      </c>
      <c r="E31" s="320">
        <f>'B6'!H36</f>
        <v>4651.7300000000005</v>
      </c>
      <c r="F31" s="371">
        <f t="shared" si="1"/>
        <v>26.380000000000109</v>
      </c>
      <c r="G31" s="138">
        <f t="shared" si="0"/>
        <v>4625.3500000000004</v>
      </c>
      <c r="H31" s="138"/>
    </row>
    <row r="32" spans="1:11">
      <c r="A32" s="323"/>
      <c r="B32" s="324" t="s">
        <v>218</v>
      </c>
      <c r="C32" s="323" t="s">
        <v>224</v>
      </c>
      <c r="D32" s="320">
        <f>'B1'!D39</f>
        <v>1.02</v>
      </c>
      <c r="E32" s="320">
        <f>'B6'!H37</f>
        <v>1.02</v>
      </c>
      <c r="F32" s="371">
        <f t="shared" si="1"/>
        <v>0</v>
      </c>
      <c r="G32" s="138">
        <f t="shared" si="0"/>
        <v>1.02</v>
      </c>
      <c r="H32" s="138"/>
    </row>
    <row r="33" spans="1:10">
      <c r="A33" s="323"/>
      <c r="B33" s="324" t="s">
        <v>244</v>
      </c>
      <c r="C33" s="323" t="s">
        <v>245</v>
      </c>
      <c r="D33" s="320">
        <f>'B1'!D40</f>
        <v>0</v>
      </c>
      <c r="E33" s="320">
        <f>'B6'!H38</f>
        <v>0</v>
      </c>
      <c r="F33" s="371">
        <f t="shared" si="1"/>
        <v>0</v>
      </c>
      <c r="G33" s="138">
        <f t="shared" si="0"/>
        <v>0</v>
      </c>
      <c r="H33" s="138"/>
    </row>
    <row r="34" spans="1:10">
      <c r="A34" s="323"/>
      <c r="B34" s="324" t="s">
        <v>46</v>
      </c>
      <c r="C34" s="323" t="s">
        <v>47</v>
      </c>
      <c r="D34" s="320">
        <f>'B1'!D41</f>
        <v>3.86</v>
      </c>
      <c r="E34" s="320">
        <f>'B6'!H39</f>
        <v>3.86</v>
      </c>
      <c r="F34" s="371">
        <f t="shared" si="1"/>
        <v>0</v>
      </c>
      <c r="G34" s="138">
        <f t="shared" si="0"/>
        <v>3.86</v>
      </c>
      <c r="H34" s="138"/>
    </row>
    <row r="35" spans="1:10">
      <c r="A35" s="323"/>
      <c r="B35" s="324" t="s">
        <v>50</v>
      </c>
      <c r="C35" s="323" t="s">
        <v>51</v>
      </c>
      <c r="D35" s="320">
        <f>'B1'!D42</f>
        <v>2.66</v>
      </c>
      <c r="E35" s="320">
        <f>'B6'!H40</f>
        <v>2.66</v>
      </c>
      <c r="F35" s="371">
        <f t="shared" si="1"/>
        <v>0</v>
      </c>
      <c r="G35" s="138">
        <f t="shared" si="0"/>
        <v>2.66</v>
      </c>
      <c r="H35" s="138"/>
    </row>
    <row r="36" spans="1:10" ht="17.25" thickBot="1">
      <c r="A36" s="323"/>
      <c r="B36" s="324" t="s">
        <v>62</v>
      </c>
      <c r="C36" s="323" t="s">
        <v>63</v>
      </c>
      <c r="D36" s="320">
        <f>'B1'!D43</f>
        <v>6.8500000000000005</v>
      </c>
      <c r="E36" s="320">
        <f>'B6'!H41</f>
        <v>6.8500000000000005</v>
      </c>
      <c r="F36" s="371">
        <f t="shared" si="1"/>
        <v>0</v>
      </c>
      <c r="G36" s="138">
        <f t="shared" si="0"/>
        <v>6.8500000000000005</v>
      </c>
      <c r="H36" s="138"/>
      <c r="J36" s="1099"/>
    </row>
    <row r="37" spans="1:10" ht="32.25" thickBot="1">
      <c r="A37" s="323"/>
      <c r="B37" s="324" t="s">
        <v>246</v>
      </c>
      <c r="C37" s="323" t="s">
        <v>64</v>
      </c>
      <c r="D37" s="320">
        <f>'B1'!D44</f>
        <v>116.26</v>
      </c>
      <c r="E37" s="320">
        <f>'B6'!H42</f>
        <v>115.92999999999999</v>
      </c>
      <c r="F37" s="371">
        <f t="shared" si="1"/>
        <v>-0.33000000000001251</v>
      </c>
      <c r="G37" s="138">
        <f t="shared" si="0"/>
        <v>116.26</v>
      </c>
      <c r="H37" s="138"/>
      <c r="J37" s="1099"/>
    </row>
    <row r="38" spans="1:10" ht="32.25" thickBot="1">
      <c r="A38" s="323"/>
      <c r="B38" s="324" t="s">
        <v>214</v>
      </c>
      <c r="C38" s="323" t="s">
        <v>222</v>
      </c>
      <c r="D38" s="320">
        <f>'B1'!D45</f>
        <v>0</v>
      </c>
      <c r="E38" s="320">
        <f>'B6'!H43</f>
        <v>0</v>
      </c>
      <c r="F38" s="371">
        <f t="shared" si="1"/>
        <v>0</v>
      </c>
      <c r="G38" s="138">
        <f t="shared" si="0"/>
        <v>0</v>
      </c>
      <c r="H38" s="138"/>
      <c r="J38" s="1099"/>
    </row>
    <row r="39" spans="1:10" ht="17.25" thickBot="1">
      <c r="A39" s="323"/>
      <c r="B39" s="324" t="s">
        <v>215</v>
      </c>
      <c r="C39" s="323" t="s">
        <v>223</v>
      </c>
      <c r="D39" s="320">
        <f>'B1'!D46</f>
        <v>0.66</v>
      </c>
      <c r="E39" s="320">
        <f>'B6'!H44</f>
        <v>0.66</v>
      </c>
      <c r="F39" s="371">
        <f t="shared" si="1"/>
        <v>0</v>
      </c>
      <c r="G39" s="138">
        <f t="shared" si="0"/>
        <v>0.66</v>
      </c>
      <c r="H39" s="138"/>
      <c r="J39" s="1099"/>
    </row>
    <row r="40" spans="1:10" ht="17.25" thickBot="1">
      <c r="A40" s="323"/>
      <c r="B40" s="324" t="s">
        <v>219</v>
      </c>
      <c r="C40" s="323" t="s">
        <v>204</v>
      </c>
      <c r="D40" s="320">
        <f>'B1'!D47</f>
        <v>3.7499999999999996</v>
      </c>
      <c r="E40" s="320">
        <f>'B6'!H45</f>
        <v>3.6599999999999997</v>
      </c>
      <c r="F40" s="371">
        <f t="shared" si="1"/>
        <v>-8.9999999999999858E-2</v>
      </c>
      <c r="G40" s="138">
        <f t="shared" si="0"/>
        <v>3.7499999999999996</v>
      </c>
      <c r="H40" s="138"/>
      <c r="J40" s="1099"/>
    </row>
    <row r="41" spans="1:10" ht="17.25" thickBot="1">
      <c r="A41" s="323" t="s">
        <v>156</v>
      </c>
      <c r="B41" s="324" t="s">
        <v>48</v>
      </c>
      <c r="C41" s="323" t="s">
        <v>49</v>
      </c>
      <c r="D41" s="320">
        <f>'B1'!D48</f>
        <v>0</v>
      </c>
      <c r="E41" s="320">
        <f>'B6'!H46</f>
        <v>0</v>
      </c>
      <c r="F41" s="371">
        <f t="shared" si="1"/>
        <v>0</v>
      </c>
      <c r="G41" s="140">
        <f t="shared" si="0"/>
        <v>0</v>
      </c>
      <c r="H41" s="140"/>
      <c r="J41" s="1099"/>
    </row>
    <row r="42" spans="1:10">
      <c r="A42" s="323" t="s">
        <v>157</v>
      </c>
      <c r="B42" s="324" t="s">
        <v>67</v>
      </c>
      <c r="C42" s="323" t="s">
        <v>68</v>
      </c>
      <c r="D42" s="320">
        <f>'B1'!D49</f>
        <v>13.11</v>
      </c>
      <c r="E42" s="320">
        <f>'B6'!H47</f>
        <v>13.11</v>
      </c>
      <c r="F42" s="371">
        <f t="shared" si="1"/>
        <v>0</v>
      </c>
    </row>
    <row r="43" spans="1:10">
      <c r="A43" s="323" t="s">
        <v>158</v>
      </c>
      <c r="B43" s="324" t="s">
        <v>69</v>
      </c>
      <c r="C43" s="323" t="s">
        <v>70</v>
      </c>
      <c r="D43" s="320">
        <f>'B1'!D50</f>
        <v>3.08</v>
      </c>
      <c r="E43" s="320">
        <f>'B6'!H48</f>
        <v>5.82</v>
      </c>
      <c r="F43" s="371">
        <f t="shared" si="1"/>
        <v>2.74</v>
      </c>
    </row>
    <row r="44" spans="1:10">
      <c r="A44" s="323" t="s">
        <v>159</v>
      </c>
      <c r="B44" s="324" t="s">
        <v>52</v>
      </c>
      <c r="C44" s="323" t="s">
        <v>53</v>
      </c>
      <c r="D44" s="320">
        <f>'B1'!D51</f>
        <v>726.61</v>
      </c>
      <c r="E44" s="320">
        <f>'B6'!H49</f>
        <v>785.7600000000001</v>
      </c>
      <c r="F44" s="371">
        <f t="shared" si="1"/>
        <v>59.150000000000091</v>
      </c>
    </row>
    <row r="45" spans="1:10">
      <c r="A45" s="331" t="s">
        <v>160</v>
      </c>
      <c r="B45" s="331" t="s">
        <v>54</v>
      </c>
      <c r="C45" s="333" t="s">
        <v>55</v>
      </c>
      <c r="D45" s="320">
        <f>'B1'!D52</f>
        <v>122.77000000000001</v>
      </c>
      <c r="E45" s="320">
        <f>'B6'!H50</f>
        <v>132.91999999999999</v>
      </c>
      <c r="F45" s="371">
        <f t="shared" si="1"/>
        <v>10.149999999999977</v>
      </c>
    </row>
    <row r="46" spans="1:10">
      <c r="A46" s="331" t="s">
        <v>161</v>
      </c>
      <c r="B46" s="331" t="s">
        <v>56</v>
      </c>
      <c r="C46" s="333" t="s">
        <v>57</v>
      </c>
      <c r="D46" s="320">
        <f>'B1'!D53</f>
        <v>21.6</v>
      </c>
      <c r="E46" s="320">
        <f>'B6'!H51</f>
        <v>19.62</v>
      </c>
      <c r="F46" s="371">
        <f t="shared" si="1"/>
        <v>-1.9800000000000004</v>
      </c>
    </row>
    <row r="47" spans="1:10">
      <c r="A47" s="331" t="s">
        <v>162</v>
      </c>
      <c r="B47" s="331" t="s">
        <v>58</v>
      </c>
      <c r="C47" s="333" t="s">
        <v>59</v>
      </c>
      <c r="D47" s="320">
        <f>'B1'!D54</f>
        <v>5.03</v>
      </c>
      <c r="E47" s="320">
        <f>'B6'!H52</f>
        <v>5.03</v>
      </c>
      <c r="F47" s="371">
        <f t="shared" si="1"/>
        <v>0</v>
      </c>
    </row>
    <row r="48" spans="1:10">
      <c r="A48" s="331" t="s">
        <v>163</v>
      </c>
      <c r="B48" s="331" t="s">
        <v>60</v>
      </c>
      <c r="C48" s="333" t="s">
        <v>61</v>
      </c>
      <c r="D48" s="320">
        <f>'B1'!D55</f>
        <v>0</v>
      </c>
      <c r="E48" s="320">
        <f>'B6'!H53</f>
        <v>0</v>
      </c>
      <c r="F48" s="371">
        <f t="shared" si="1"/>
        <v>0</v>
      </c>
    </row>
    <row r="49" spans="1:6">
      <c r="A49" s="331" t="s">
        <v>164</v>
      </c>
      <c r="B49" s="331" t="s">
        <v>71</v>
      </c>
      <c r="C49" s="333" t="s">
        <v>72</v>
      </c>
      <c r="D49" s="320">
        <f>'B1'!D56</f>
        <v>0.27</v>
      </c>
      <c r="E49" s="320">
        <f>'B6'!H54</f>
        <v>0.27</v>
      </c>
      <c r="F49" s="371">
        <f t="shared" si="1"/>
        <v>0</v>
      </c>
    </row>
    <row r="50" spans="1:6">
      <c r="A50" s="331" t="s">
        <v>165</v>
      </c>
      <c r="B50" s="331" t="s">
        <v>181</v>
      </c>
      <c r="C50" s="333" t="s">
        <v>74</v>
      </c>
      <c r="D50" s="320">
        <f>'B1'!D57</f>
        <v>1000.5</v>
      </c>
      <c r="E50" s="320">
        <f>'B6'!H55</f>
        <v>1000.5</v>
      </c>
      <c r="F50" s="371">
        <f t="shared" si="1"/>
        <v>0</v>
      </c>
    </row>
    <row r="51" spans="1:6">
      <c r="A51" s="331" t="s">
        <v>166</v>
      </c>
      <c r="B51" s="331" t="s">
        <v>75</v>
      </c>
      <c r="C51" s="333" t="s">
        <v>76</v>
      </c>
      <c r="D51" s="320">
        <f>'B1'!D58</f>
        <v>64.550000000000011</v>
      </c>
      <c r="E51" s="320">
        <f>'B6'!H56</f>
        <v>64.550000000000011</v>
      </c>
      <c r="F51" s="371">
        <f t="shared" si="1"/>
        <v>0</v>
      </c>
    </row>
    <row r="52" spans="1:6">
      <c r="A52" s="331" t="s">
        <v>167</v>
      </c>
      <c r="B52" s="331" t="s">
        <v>77</v>
      </c>
      <c r="C52" s="333" t="s">
        <v>78</v>
      </c>
      <c r="D52" s="320">
        <f>'B1'!D59</f>
        <v>1.8699999999999999</v>
      </c>
      <c r="E52" s="320">
        <f>'B6'!H57</f>
        <v>2.6300000000000003</v>
      </c>
      <c r="F52" s="371">
        <f t="shared" si="1"/>
        <v>0.76000000000000045</v>
      </c>
    </row>
    <row r="53" spans="1:6" s="10" customFormat="1">
      <c r="A53" s="332">
        <v>3</v>
      </c>
      <c r="B53" s="332" t="s">
        <v>79</v>
      </c>
      <c r="C53" s="334" t="s">
        <v>80</v>
      </c>
      <c r="D53" s="319">
        <f>'B1'!D60</f>
        <v>170.91000000000003</v>
      </c>
      <c r="E53" s="319">
        <f>'B6'!H58</f>
        <v>154.58000000000001</v>
      </c>
      <c r="F53" s="414">
        <f t="shared" si="1"/>
        <v>-16.330000000000013</v>
      </c>
    </row>
  </sheetData>
  <pageMargins left="0.7" right="0.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topLeftCell="A5" zoomScale="81" zoomScaleNormal="81" workbookViewId="0">
      <pane ySplit="1" topLeftCell="A9" activePane="bottomLeft" state="frozen"/>
      <selection activeCell="A5" sqref="A5"/>
      <selection pane="bottomLeft" activeCell="J20" sqref="J20"/>
    </sheetView>
  </sheetViews>
  <sheetFormatPr defaultRowHeight="12.75"/>
  <cols>
    <col min="1" max="1" width="6.7109375" style="79" customWidth="1"/>
    <col min="2" max="2" width="35.85546875" customWidth="1"/>
    <col min="3" max="3" width="7.42578125" customWidth="1"/>
    <col min="4" max="4" width="12.42578125" hidden="1" customWidth="1"/>
    <col min="5" max="7" width="13.85546875" hidden="1" customWidth="1"/>
    <col min="8" max="8" width="13.7109375" customWidth="1"/>
    <col min="9" max="9" width="14.42578125" customWidth="1"/>
    <col min="10" max="19" width="14.42578125" style="135" customWidth="1"/>
    <col min="20" max="20" width="18.5703125" style="11" customWidth="1"/>
    <col min="21" max="21" width="11.28515625" bestFit="1" customWidth="1"/>
    <col min="22" max="22" width="8.28515625" customWidth="1"/>
    <col min="23" max="23" width="17" customWidth="1"/>
    <col min="24" max="25" width="8.42578125" customWidth="1"/>
    <col min="26" max="26" width="8.5703125" customWidth="1"/>
  </cols>
  <sheetData>
    <row r="1" spans="1:26" ht="15" customHeight="1">
      <c r="A1" s="1234" t="s">
        <v>462</v>
      </c>
      <c r="B1" s="1234"/>
      <c r="C1" s="1234"/>
      <c r="D1" s="1234"/>
      <c r="E1" s="1234"/>
      <c r="F1" s="1234"/>
      <c r="G1" s="1234"/>
      <c r="H1" s="1234"/>
      <c r="I1" s="1234"/>
      <c r="J1" s="1234"/>
      <c r="K1" s="1234"/>
      <c r="L1" s="1234"/>
      <c r="M1" s="1234"/>
      <c r="N1" s="1234"/>
      <c r="O1" s="1234"/>
      <c r="P1" s="1234"/>
      <c r="Q1" s="1234"/>
      <c r="R1" s="1234"/>
      <c r="S1" s="1234"/>
      <c r="V1" s="4"/>
      <c r="W1" s="4"/>
      <c r="X1" s="4"/>
      <c r="Y1" s="4"/>
    </row>
    <row r="2" spans="1:26" ht="15.75">
      <c r="A2" s="1235" t="s">
        <v>463</v>
      </c>
      <c r="B2" s="1235"/>
      <c r="C2" s="1235"/>
      <c r="D2" s="1235"/>
      <c r="E2" s="1235"/>
      <c r="F2" s="1235"/>
      <c r="G2" s="1235"/>
      <c r="H2" s="1235"/>
      <c r="I2" s="1235"/>
      <c r="J2" s="1235"/>
      <c r="K2" s="1235"/>
      <c r="L2" s="1235"/>
      <c r="M2" s="1235"/>
      <c r="N2" s="1235"/>
      <c r="O2" s="1235"/>
      <c r="P2" s="1235"/>
      <c r="Q2" s="1235"/>
      <c r="R2" s="1235"/>
      <c r="S2" s="1235"/>
      <c r="Y2" s="2"/>
    </row>
    <row r="3" spans="1:26" ht="15.75" customHeight="1">
      <c r="A3" s="76"/>
      <c r="B3" s="1236" t="s">
        <v>0</v>
      </c>
      <c r="C3" s="1236"/>
      <c r="D3" s="1236"/>
      <c r="E3" s="1236"/>
      <c r="F3" s="1236"/>
      <c r="G3" s="1236"/>
      <c r="H3" s="1236"/>
      <c r="I3" s="1236"/>
      <c r="J3" s="1236"/>
      <c r="K3" s="1236"/>
      <c r="L3" s="1236"/>
      <c r="M3" s="1236"/>
      <c r="N3" s="1236"/>
      <c r="O3" s="1236"/>
      <c r="P3" s="1236"/>
      <c r="Q3" s="1236"/>
      <c r="R3" s="1236"/>
      <c r="S3" s="1236"/>
      <c r="V3" s="6"/>
      <c r="W3" s="6"/>
      <c r="X3" s="6"/>
      <c r="Y3" s="6"/>
      <c r="Z3" s="6"/>
    </row>
    <row r="4" spans="1:26" ht="13.5" customHeight="1">
      <c r="A4" s="1237" t="s">
        <v>1</v>
      </c>
      <c r="B4" s="1237" t="s">
        <v>2</v>
      </c>
      <c r="C4" s="1237" t="s">
        <v>3</v>
      </c>
      <c r="D4" s="447"/>
      <c r="E4" s="447"/>
      <c r="F4" s="1237" t="s">
        <v>249</v>
      </c>
      <c r="G4" s="1237" t="s">
        <v>250</v>
      </c>
      <c r="H4" s="1237" t="s">
        <v>4</v>
      </c>
      <c r="I4" s="1239" t="s">
        <v>5</v>
      </c>
      <c r="J4" s="1240"/>
      <c r="K4" s="1240"/>
      <c r="L4" s="1240"/>
      <c r="M4" s="1240"/>
      <c r="N4" s="1240"/>
      <c r="O4" s="1240"/>
      <c r="P4" s="1240"/>
      <c r="Q4" s="1240"/>
      <c r="R4" s="1240"/>
      <c r="S4" s="1241"/>
      <c r="V4" s="6"/>
      <c r="W4" s="6"/>
      <c r="X4" s="6"/>
      <c r="Y4" s="6"/>
      <c r="Z4" s="6"/>
    </row>
    <row r="5" spans="1:26" s="3" customFormat="1" ht="28.5">
      <c r="A5" s="1238"/>
      <c r="B5" s="1238"/>
      <c r="C5" s="1238"/>
      <c r="D5" s="448"/>
      <c r="E5" s="448"/>
      <c r="F5" s="1238"/>
      <c r="G5" s="1238"/>
      <c r="H5" s="1238"/>
      <c r="I5" s="13" t="s">
        <v>111</v>
      </c>
      <c r="J5" s="14" t="s">
        <v>190</v>
      </c>
      <c r="K5" s="14" t="s">
        <v>169</v>
      </c>
      <c r="L5" s="14" t="s">
        <v>170</v>
      </c>
      <c r="M5" s="14" t="s">
        <v>172</v>
      </c>
      <c r="N5" s="14" t="s">
        <v>198</v>
      </c>
      <c r="O5" s="14" t="s">
        <v>197</v>
      </c>
      <c r="P5" s="14" t="s">
        <v>191</v>
      </c>
      <c r="Q5" s="14" t="s">
        <v>189</v>
      </c>
      <c r="R5" s="14" t="s">
        <v>174</v>
      </c>
      <c r="S5" s="14" t="s">
        <v>173</v>
      </c>
      <c r="T5" s="11"/>
      <c r="U5"/>
      <c r="V5" s="7"/>
      <c r="W5" s="7"/>
      <c r="X5" s="7"/>
      <c r="Y5" s="7"/>
      <c r="Z5" s="7"/>
    </row>
    <row r="6" spans="1:26" s="10" customFormat="1" ht="15.75">
      <c r="A6" s="172" t="s">
        <v>251</v>
      </c>
      <c r="B6" s="209" t="s">
        <v>131</v>
      </c>
      <c r="C6" s="173"/>
      <c r="D6" s="174"/>
      <c r="E6" s="173"/>
      <c r="F6" s="173"/>
      <c r="G6" s="173"/>
      <c r="H6" s="175">
        <f>SUM(I6:S6)</f>
        <v>143172.86000000002</v>
      </c>
      <c r="I6" s="47">
        <f>I9+I21+I59</f>
        <v>1393.13</v>
      </c>
      <c r="J6" s="175">
        <f t="shared" ref="J6:S6" si="0">J9+J21+J59</f>
        <v>6258.5999999999995</v>
      </c>
      <c r="K6" s="175">
        <f t="shared" si="0"/>
        <v>58391.789999999994</v>
      </c>
      <c r="L6" s="175">
        <f t="shared" si="0"/>
        <v>29828.790000000005</v>
      </c>
      <c r="M6" s="175">
        <f t="shared" si="0"/>
        <v>4035.36</v>
      </c>
      <c r="N6" s="175">
        <f t="shared" si="0"/>
        <v>3737.9900000000002</v>
      </c>
      <c r="O6" s="175">
        <f t="shared" si="0"/>
        <v>5846.21</v>
      </c>
      <c r="P6" s="175">
        <f t="shared" si="0"/>
        <v>6549.5700000000006</v>
      </c>
      <c r="Q6" s="175">
        <f t="shared" si="0"/>
        <v>3842.34</v>
      </c>
      <c r="R6" s="175">
        <f t="shared" si="0"/>
        <v>18520.399999999998</v>
      </c>
      <c r="S6" s="175">
        <f t="shared" si="0"/>
        <v>4768.6799999999985</v>
      </c>
      <c r="T6" s="449"/>
      <c r="U6" s="450"/>
      <c r="V6" s="27"/>
      <c r="W6" s="27"/>
      <c r="X6" s="27"/>
      <c r="Y6" s="27"/>
      <c r="Z6" s="27"/>
    </row>
    <row r="7" spans="1:26" s="10" customFormat="1" ht="15.75">
      <c r="A7" s="172" t="s">
        <v>251</v>
      </c>
      <c r="B7" s="209" t="s">
        <v>234</v>
      </c>
      <c r="C7" s="173"/>
      <c r="D7" s="174"/>
      <c r="E7" s="173"/>
      <c r="F7" s="173"/>
      <c r="G7" s="173"/>
      <c r="H7" s="175"/>
      <c r="I7" s="175"/>
      <c r="J7" s="175"/>
      <c r="K7" s="175"/>
      <c r="L7" s="175"/>
      <c r="M7" s="175"/>
      <c r="N7" s="175"/>
      <c r="O7" s="175"/>
      <c r="P7" s="175"/>
      <c r="Q7" s="175"/>
      <c r="R7" s="175"/>
      <c r="S7" s="175"/>
      <c r="T7" s="449"/>
      <c r="U7" s="450"/>
      <c r="V7" s="27"/>
      <c r="W7" s="27"/>
      <c r="X7" s="27"/>
      <c r="Y7" s="27"/>
      <c r="Z7" s="27"/>
    </row>
    <row r="8" spans="1:26" s="10" customFormat="1" ht="15.75">
      <c r="A8" s="172"/>
      <c r="B8" s="209"/>
      <c r="C8" s="173"/>
      <c r="D8" s="174"/>
      <c r="E8" s="173"/>
      <c r="F8" s="173"/>
      <c r="G8" s="173"/>
      <c r="H8" s="175"/>
      <c r="I8" s="47"/>
      <c r="J8" s="47"/>
      <c r="K8" s="47"/>
      <c r="L8" s="47"/>
      <c r="M8" s="47"/>
      <c r="N8" s="47"/>
      <c r="O8" s="47"/>
      <c r="P8" s="47"/>
      <c r="Q8" s="47"/>
      <c r="R8" s="47"/>
      <c r="S8" s="47"/>
      <c r="T8" s="449"/>
      <c r="U8" s="450"/>
      <c r="V8" s="27"/>
      <c r="W8" s="27"/>
      <c r="X8" s="27"/>
      <c r="Y8" s="27"/>
      <c r="Z8" s="27"/>
    </row>
    <row r="9" spans="1:26" s="10" customFormat="1" ht="15.75">
      <c r="A9" s="77">
        <v>1</v>
      </c>
      <c r="B9" s="18" t="s">
        <v>6</v>
      </c>
      <c r="C9" s="19" t="s">
        <v>7</v>
      </c>
      <c r="D9" s="95">
        <v>133277.03</v>
      </c>
      <c r="E9" s="99">
        <f t="shared" ref="E9:E29" si="1">H9-D9</f>
        <v>-37.660000000003492</v>
      </c>
      <c r="F9" s="99"/>
      <c r="G9" s="99"/>
      <c r="H9" s="43">
        <f>SUM(I9:S9)</f>
        <v>133239.37</v>
      </c>
      <c r="I9" s="342">
        <f>[1]B1!E10+'[1]CÔng Tăng'!E8-'[1]Cộng giảm'!E8</f>
        <v>849.55</v>
      </c>
      <c r="J9" s="342">
        <f t="shared" ref="J9:S9" si="2">J10+SUM(J12:J16)+SUM(J18:J20)</f>
        <v>4627.7999999999993</v>
      </c>
      <c r="K9" s="342">
        <f t="shared" si="2"/>
        <v>57371.14</v>
      </c>
      <c r="L9" s="342">
        <f t="shared" si="2"/>
        <v>29158.870000000003</v>
      </c>
      <c r="M9" s="342">
        <f t="shared" si="2"/>
        <v>3131.26</v>
      </c>
      <c r="N9" s="342">
        <f t="shared" si="2"/>
        <v>2881.59</v>
      </c>
      <c r="O9" s="342">
        <f t="shared" si="2"/>
        <v>5476.38</v>
      </c>
      <c r="P9" s="342">
        <f t="shared" si="2"/>
        <v>6211.3200000000006</v>
      </c>
      <c r="Q9" s="342">
        <f t="shared" si="2"/>
        <v>2300.3300000000004</v>
      </c>
      <c r="R9" s="342">
        <f t="shared" si="2"/>
        <v>16998.009999999998</v>
      </c>
      <c r="S9" s="342">
        <f t="shared" si="2"/>
        <v>4233.119999999999</v>
      </c>
      <c r="T9" s="449"/>
      <c r="U9" s="450"/>
      <c r="V9" s="28"/>
      <c r="W9" s="28"/>
      <c r="X9" s="28"/>
      <c r="Y9" s="28"/>
      <c r="Z9" s="28"/>
    </row>
    <row r="10" spans="1:26" s="135" customFormat="1" ht="15.75">
      <c r="A10" s="78" t="s">
        <v>139</v>
      </c>
      <c r="B10" s="20" t="s">
        <v>8</v>
      </c>
      <c r="C10" s="21" t="s">
        <v>9</v>
      </c>
      <c r="D10" s="96">
        <v>1148.8500000000001</v>
      </c>
      <c r="E10" s="99">
        <f t="shared" si="1"/>
        <v>40.769999999999754</v>
      </c>
      <c r="F10" s="200"/>
      <c r="G10" s="200"/>
      <c r="H10" s="44">
        <f>SUM(I10:S10)</f>
        <v>1189.6199999999999</v>
      </c>
      <c r="I10" s="44">
        <f>[1]B1!E11+'[1]CÔng Tăng'!E9-'[1]Cộng giảm'!E9</f>
        <v>93.25</v>
      </c>
      <c r="J10" s="44">
        <f>[1]B1!F11+'[1]CÔng Tăng'!F9-'[1]Cộng giảm'!F9</f>
        <v>89.95</v>
      </c>
      <c r="K10" s="44">
        <f>[1]B1!G11+'[1]CÔng Tăng'!G9-'[1]Cộng giảm'!G9</f>
        <v>87.13</v>
      </c>
      <c r="L10" s="44">
        <f>[1]B1!H11+'[1]CÔng Tăng'!H9-'[1]Cộng giảm'!H9</f>
        <v>209.35</v>
      </c>
      <c r="M10" s="44">
        <f>[1]B1!I11+'[1]CÔng Tăng'!I9-'[1]Cộng giảm'!I9</f>
        <v>59.34</v>
      </c>
      <c r="N10" s="44">
        <f>[1]B1!J11+'[1]CÔng Tăng'!J9-'[1]Cộng giảm'!J9</f>
        <v>78.63</v>
      </c>
      <c r="O10" s="44">
        <f>[1]B1!K11+'[1]CÔng Tăng'!K9-'[1]Cộng giảm'!K9</f>
        <v>139.66999999999999</v>
      </c>
      <c r="P10" s="44">
        <f>[1]B1!L11+'[1]CÔng Tăng'!L9-'[1]Cộng giảm'!L9</f>
        <v>142.88999999999999</v>
      </c>
      <c r="Q10" s="44">
        <f>[1]B1!M11+'[1]CÔng Tăng'!M9-'[1]Cộng giảm'!M9</f>
        <v>94.44</v>
      </c>
      <c r="R10" s="44">
        <f>[1]B1!N11+'[1]CÔng Tăng'!N9-'[1]Cộng giảm'!N9</f>
        <v>45.8</v>
      </c>
      <c r="S10" s="44">
        <f>[1]B1!O11+'[1]CÔng Tăng'!O9-'[1]Cộng giảm'!O9</f>
        <v>149.16999999999999</v>
      </c>
      <c r="T10" s="451"/>
      <c r="U10" s="450"/>
      <c r="V10" s="8"/>
      <c r="W10" s="8"/>
      <c r="X10" s="8"/>
      <c r="Y10" s="8"/>
      <c r="Z10" s="8"/>
    </row>
    <row r="11" spans="1:26" s="110" customFormat="1" ht="13.5" customHeight="1">
      <c r="A11" s="108"/>
      <c r="B11" s="22" t="s">
        <v>10</v>
      </c>
      <c r="C11" s="23" t="s">
        <v>11</v>
      </c>
      <c r="D11" s="97">
        <v>474.21</v>
      </c>
      <c r="E11" s="109">
        <f t="shared" si="1"/>
        <v>258.11999999999995</v>
      </c>
      <c r="F11" s="201"/>
      <c r="G11" s="201"/>
      <c r="H11" s="339">
        <f t="shared" ref="H11:H73" si="3">SUM(I11:S11)</f>
        <v>732.32999999999993</v>
      </c>
      <c r="I11" s="339">
        <f>[1]B1!E12+'[1]CÔng Tăng'!E10-'[1]Cộng giảm'!E10</f>
        <v>85.31</v>
      </c>
      <c r="J11" s="339">
        <f>[1]B1!F12+'[1]CÔng Tăng'!F10-'[1]Cộng giảm'!F10</f>
        <v>39.06</v>
      </c>
      <c r="K11" s="339">
        <f>[1]B1!G12+'[1]CÔng Tăng'!G10-'[1]Cộng giảm'!G10</f>
        <v>37.83</v>
      </c>
      <c r="L11" s="339">
        <f>[1]B1!H12+'[1]CÔng Tăng'!H10-'[1]Cộng giảm'!H10</f>
        <v>69.12</v>
      </c>
      <c r="M11" s="339">
        <f>[1]B1!I12+'[1]CÔng Tăng'!I10-'[1]Cộng giảm'!I10</f>
        <v>34.01</v>
      </c>
      <c r="N11" s="339">
        <f>[1]B1!J12+'[1]CÔng Tăng'!J10-'[1]Cộng giảm'!J10</f>
        <v>43.38</v>
      </c>
      <c r="O11" s="339">
        <f>[1]B1!K12+'[1]CÔng Tăng'!K10-'[1]Cộng giảm'!K10</f>
        <v>139.36000000000001</v>
      </c>
      <c r="P11" s="339">
        <f>[1]B1!L12+'[1]CÔng Tăng'!L10-'[1]Cộng giảm'!L10</f>
        <v>82.81</v>
      </c>
      <c r="Q11" s="339">
        <f>[1]B1!M12+'[1]CÔng Tăng'!M10-'[1]Cộng giảm'!M10</f>
        <v>19.97</v>
      </c>
      <c r="R11" s="339">
        <f>[1]B1!N12+'[1]CÔng Tăng'!N10-'[1]Cộng giảm'!N10</f>
        <v>37.67</v>
      </c>
      <c r="S11" s="339">
        <f>[1]B1!O12+'[1]CÔng Tăng'!O10-'[1]Cộng giảm'!O10</f>
        <v>143.81</v>
      </c>
      <c r="T11" s="452"/>
      <c r="U11" s="453"/>
      <c r="V11" s="111"/>
      <c r="W11" s="111"/>
      <c r="X11" s="111"/>
      <c r="Y11" s="111"/>
      <c r="Z11" s="111"/>
    </row>
    <row r="12" spans="1:26" s="11" customFormat="1" ht="15.75">
      <c r="A12" s="78" t="s">
        <v>140</v>
      </c>
      <c r="B12" s="20" t="s">
        <v>12</v>
      </c>
      <c r="C12" s="21" t="s">
        <v>13</v>
      </c>
      <c r="D12" s="96">
        <v>8503.5</v>
      </c>
      <c r="E12" s="99">
        <f t="shared" si="1"/>
        <v>3956.8499999999985</v>
      </c>
      <c r="F12" s="200"/>
      <c r="G12" s="200"/>
      <c r="H12" s="44">
        <f t="shared" si="3"/>
        <v>12460.349999999999</v>
      </c>
      <c r="I12" s="44">
        <f>[1]B1!E13+'[1]CÔng Tăng'!E11-'[1]Cộng giảm'!E11</f>
        <v>11.61999999999999</v>
      </c>
      <c r="J12" s="44">
        <f>[1]B1!F13+'[1]CÔng Tăng'!F11-'[1]Cộng giảm'!F11</f>
        <v>275.68</v>
      </c>
      <c r="K12" s="44">
        <f>[1]B1!G13+'[1]CÔng Tăng'!G11-'[1]Cộng giảm'!G11</f>
        <v>1212.3399999999999</v>
      </c>
      <c r="L12" s="44">
        <f>[1]B1!H13+'[1]CÔng Tăng'!H11-'[1]Cộng giảm'!H11</f>
        <v>1287.48</v>
      </c>
      <c r="M12" s="44">
        <f>[1]B1!I13+'[1]CÔng Tăng'!I11-'[1]Cộng giảm'!I11</f>
        <v>1529.28</v>
      </c>
      <c r="N12" s="44">
        <f>[1]B1!J13+'[1]CÔng Tăng'!J11-'[1]Cộng giảm'!J11</f>
        <v>538.6400000000001</v>
      </c>
      <c r="O12" s="44">
        <f>[1]B1!K13+'[1]CÔng Tăng'!K11-'[1]Cộng giảm'!K11</f>
        <v>419.11</v>
      </c>
      <c r="P12" s="44">
        <f>[1]B1!L13+'[1]CÔng Tăng'!L11-'[1]Cộng giảm'!L11</f>
        <v>768.78</v>
      </c>
      <c r="Q12" s="44">
        <f>[1]B1!M13+'[1]CÔng Tăng'!M11-'[1]Cộng giảm'!M11</f>
        <v>882.32</v>
      </c>
      <c r="R12" s="44">
        <f>[1]B1!N13+'[1]CÔng Tăng'!N11-'[1]Cộng giảm'!N11</f>
        <v>3582.88</v>
      </c>
      <c r="S12" s="44">
        <f>[1]B1!O13+'[1]CÔng Tăng'!O11-'[1]Cộng giảm'!O11</f>
        <v>1952.2199999999998</v>
      </c>
      <c r="T12" s="451"/>
      <c r="U12" s="450"/>
      <c r="V12" s="33"/>
      <c r="W12" s="33"/>
      <c r="X12" s="33"/>
      <c r="Y12" s="33"/>
      <c r="Z12" s="33"/>
    </row>
    <row r="13" spans="1:26" s="11" customFormat="1" ht="15.75">
      <c r="A13" s="78" t="s">
        <v>141</v>
      </c>
      <c r="B13" s="20" t="s">
        <v>14</v>
      </c>
      <c r="C13" s="21" t="s">
        <v>15</v>
      </c>
      <c r="D13" s="96">
        <v>17879.13</v>
      </c>
      <c r="E13" s="99">
        <f t="shared" si="1"/>
        <v>9245.0299999999988</v>
      </c>
      <c r="F13" s="200"/>
      <c r="G13" s="200"/>
      <c r="H13" s="44">
        <f t="shared" si="3"/>
        <v>27124.16</v>
      </c>
      <c r="I13" s="44">
        <f>[1]B1!E14+'[1]CÔng Tăng'!E12-'[1]Cộng giảm'!E12</f>
        <v>644.6</v>
      </c>
      <c r="J13" s="44">
        <f>[1]B1!F14+'[1]CÔng Tăng'!F12-'[1]Cộng giảm'!F12</f>
        <v>2880.64</v>
      </c>
      <c r="K13" s="44">
        <f>[1]B1!G14+'[1]CÔng Tăng'!G12-'[1]Cộng giảm'!G12</f>
        <v>8205.08</v>
      </c>
      <c r="L13" s="44">
        <f>[1]B1!H14+'[1]CÔng Tăng'!H12-'[1]Cộng giảm'!H12</f>
        <v>3454.72</v>
      </c>
      <c r="M13" s="44">
        <f>[1]B1!I14+'[1]CÔng Tăng'!I12-'[1]Cộng giảm'!I12</f>
        <v>1431.0700000000002</v>
      </c>
      <c r="N13" s="44">
        <f>[1]B1!J14+'[1]CÔng Tăng'!J12-'[1]Cộng giảm'!J12</f>
        <v>1921.53</v>
      </c>
      <c r="O13" s="44">
        <f>[1]B1!K14+'[1]CÔng Tăng'!K12-'[1]Cộng giảm'!K12</f>
        <v>2351.75</v>
      </c>
      <c r="P13" s="44">
        <f>[1]B1!L14+'[1]CÔng Tăng'!L12-'[1]Cộng giảm'!L12</f>
        <v>2510.7399999999998</v>
      </c>
      <c r="Q13" s="44">
        <f>[1]B1!M14+'[1]CÔng Tăng'!M12-'[1]Cộng giảm'!M12</f>
        <v>1257.31</v>
      </c>
      <c r="R13" s="44">
        <f>[1]B1!N14+'[1]CÔng Tăng'!N12-'[1]Cộng giảm'!N12</f>
        <v>772.74</v>
      </c>
      <c r="S13" s="44">
        <f>[1]B1!O14+'[1]CÔng Tăng'!O12-'[1]Cộng giảm'!O12</f>
        <v>1693.98</v>
      </c>
      <c r="T13" s="451"/>
      <c r="U13" s="450"/>
      <c r="V13" s="34"/>
      <c r="W13" s="34"/>
      <c r="X13" s="34"/>
      <c r="Y13" s="34"/>
      <c r="Z13" s="34"/>
    </row>
    <row r="14" spans="1:26" s="135" customFormat="1" ht="15.75">
      <c r="A14" s="78" t="s">
        <v>142</v>
      </c>
      <c r="B14" s="20" t="s">
        <v>16</v>
      </c>
      <c r="C14" s="21" t="s">
        <v>17</v>
      </c>
      <c r="D14" s="96">
        <v>15274.499999999998</v>
      </c>
      <c r="E14" s="99">
        <f t="shared" si="1"/>
        <v>-1989.2599999999984</v>
      </c>
      <c r="F14" s="200"/>
      <c r="G14" s="200"/>
      <c r="H14" s="44">
        <f t="shared" si="3"/>
        <v>13285.24</v>
      </c>
      <c r="I14" s="44">
        <f>[1]B1!E15+'[1]CÔng Tăng'!E13-'[1]Cộng giảm'!E13</f>
        <v>0</v>
      </c>
      <c r="J14" s="44">
        <f>[1]B1!F15+'[1]CÔng Tăng'!F13-'[1]Cộng giảm'!F13</f>
        <v>0</v>
      </c>
      <c r="K14" s="44">
        <f>[1]B1!G15+'[1]CÔng Tăng'!G13-'[1]Cộng giảm'!G13</f>
        <v>3830.66</v>
      </c>
      <c r="L14" s="44">
        <f>[1]B1!H15+'[1]CÔng Tăng'!H13-'[1]Cộng giảm'!H13</f>
        <v>0</v>
      </c>
      <c r="M14" s="44">
        <f>[1]B1!I15+'[1]CÔng Tăng'!I13-'[1]Cộng giảm'!I13</f>
        <v>0</v>
      </c>
      <c r="N14" s="44">
        <f>[1]B1!J15+'[1]CÔng Tăng'!J13-'[1]Cộng giảm'!J13</f>
        <v>0</v>
      </c>
      <c r="O14" s="44">
        <f>[1]B1!K15+'[1]CÔng Tăng'!K13-'[1]Cộng giảm'!K13</f>
        <v>0</v>
      </c>
      <c r="P14" s="44">
        <f>[1]B1!L15+'[1]CÔng Tăng'!L13-'[1]Cộng giảm'!L13</f>
        <v>0</v>
      </c>
      <c r="Q14" s="44">
        <f>[1]B1!M15+'[1]CÔng Tăng'!M13-'[1]Cộng giảm'!M13</f>
        <v>0</v>
      </c>
      <c r="R14" s="44">
        <f>[1]B1!N15+'[1]CÔng Tăng'!N13-'[1]Cộng giảm'!N13</f>
        <v>9380.68</v>
      </c>
      <c r="S14" s="44">
        <f>[1]B1!O15+'[1]CÔng Tăng'!O13-'[1]Cộng giảm'!O13</f>
        <v>73.900000000000006</v>
      </c>
      <c r="T14" s="451"/>
      <c r="U14" s="450"/>
      <c r="V14" s="8"/>
      <c r="W14" s="8"/>
      <c r="X14" s="8"/>
      <c r="Y14" s="8"/>
      <c r="Z14" s="8"/>
    </row>
    <row r="15" spans="1:26" s="135" customFormat="1" ht="15.75">
      <c r="A15" s="78" t="s">
        <v>143</v>
      </c>
      <c r="B15" s="20" t="s">
        <v>18</v>
      </c>
      <c r="C15" s="21" t="s">
        <v>19</v>
      </c>
      <c r="D15" s="96">
        <v>44138.469999999994</v>
      </c>
      <c r="E15" s="99">
        <f t="shared" si="1"/>
        <v>-1134.2299999999959</v>
      </c>
      <c r="F15" s="200"/>
      <c r="G15" s="200"/>
      <c r="H15" s="44">
        <f t="shared" si="3"/>
        <v>43004.24</v>
      </c>
      <c r="I15" s="44">
        <f>[1]B1!E16+'[1]CÔng Tăng'!E14-'[1]Cộng giảm'!E14</f>
        <v>73.260000000000005</v>
      </c>
      <c r="J15" s="44">
        <f>[1]B1!F16+'[1]CÔng Tăng'!F14-'[1]Cộng giảm'!F14</f>
        <v>0</v>
      </c>
      <c r="K15" s="44">
        <f>[1]B1!G16+'[1]CÔng Tăng'!G14-'[1]Cộng giảm'!G14</f>
        <v>17584</v>
      </c>
      <c r="L15" s="44">
        <f>[1]B1!H16+'[1]CÔng Tăng'!H14-'[1]Cộng giảm'!H14</f>
        <v>21330.13</v>
      </c>
      <c r="M15" s="44">
        <f>[1]B1!I16+'[1]CÔng Tăng'!I14-'[1]Cộng giảm'!I14</f>
        <v>0</v>
      </c>
      <c r="N15" s="44">
        <f>[1]B1!J16+'[1]CÔng Tăng'!J14-'[1]Cộng giảm'!J14</f>
        <v>0</v>
      </c>
      <c r="O15" s="44">
        <f>[1]B1!K16+'[1]CÔng Tăng'!K14-'[1]Cộng giảm'!K14</f>
        <v>1538.22</v>
      </c>
      <c r="P15" s="44">
        <f>[1]B1!L16+'[1]CÔng Tăng'!L14-'[1]Cộng giảm'!L14</f>
        <v>2478.63</v>
      </c>
      <c r="Q15" s="44">
        <f>[1]B1!M16+'[1]CÔng Tăng'!M14-'[1]Cộng giảm'!M14</f>
        <v>0</v>
      </c>
      <c r="R15" s="44">
        <f>[1]B1!N16+'[1]CÔng Tăng'!N14-'[1]Cộng giảm'!N14</f>
        <v>0</v>
      </c>
      <c r="S15" s="44">
        <f>[1]B1!O16+'[1]CÔng Tăng'!O14-'[1]Cộng giảm'!O14</f>
        <v>0</v>
      </c>
      <c r="T15" s="451"/>
      <c r="U15" s="450"/>
      <c r="V15" s="9"/>
      <c r="W15" s="9"/>
      <c r="X15" s="9"/>
      <c r="Y15" s="9"/>
      <c r="Z15" s="9"/>
    </row>
    <row r="16" spans="1:26" s="11" customFormat="1" ht="15.75">
      <c r="A16" s="78" t="s">
        <v>144</v>
      </c>
      <c r="B16" s="20" t="s">
        <v>20</v>
      </c>
      <c r="C16" s="21" t="s">
        <v>21</v>
      </c>
      <c r="D16" s="96">
        <v>45769.380000000005</v>
      </c>
      <c r="E16" s="99">
        <f t="shared" si="1"/>
        <v>-9986.7500000000073</v>
      </c>
      <c r="F16" s="200"/>
      <c r="G16" s="200"/>
      <c r="H16" s="44">
        <f t="shared" si="3"/>
        <v>35782.629999999997</v>
      </c>
      <c r="I16" s="44">
        <f>[1]B1!E17+'[1]CÔng Tăng'!E15-'[1]Cộng giảm'!E15</f>
        <v>14.5</v>
      </c>
      <c r="J16" s="44">
        <f>[1]B1!F17+'[1]CÔng Tăng'!F15-'[1]Cộng giảm'!F15</f>
        <v>1336.05</v>
      </c>
      <c r="K16" s="44">
        <f>[1]B1!G17+'[1]CÔng Tăng'!G15-'[1]Cộng giảm'!G15</f>
        <v>26351.66</v>
      </c>
      <c r="L16" s="44">
        <f>[1]B1!H17+'[1]CÔng Tăng'!H15-'[1]Cộng giảm'!H15</f>
        <v>2816.08</v>
      </c>
      <c r="M16" s="44">
        <f>[1]B1!I17+'[1]CÔng Tăng'!I15-'[1]Cộng giảm'!I15</f>
        <v>87.14</v>
      </c>
      <c r="N16" s="44">
        <f>[1]B1!J17+'[1]CÔng Tăng'!J15-'[1]Cộng giảm'!J15</f>
        <v>316.3</v>
      </c>
      <c r="O16" s="44">
        <f>[1]B1!K17+'[1]CÔng Tăng'!K15-'[1]Cộng giảm'!K15</f>
        <v>1010.0600000000001</v>
      </c>
      <c r="P16" s="44">
        <f>[1]B1!L17+'[1]CÔng Tăng'!L15-'[1]Cộng giảm'!L15</f>
        <v>276.81</v>
      </c>
      <c r="Q16" s="44">
        <f>[1]B1!M17+'[1]CÔng Tăng'!M15-'[1]Cộng giảm'!M15</f>
        <v>41.21</v>
      </c>
      <c r="R16" s="44">
        <f>[1]B1!N17+'[1]CÔng Tăng'!N15-'[1]Cộng giảm'!N15</f>
        <v>3171.87</v>
      </c>
      <c r="S16" s="44">
        <f>[1]B1!O17+'[1]CÔng Tăng'!O15-'[1]Cộng giảm'!O15</f>
        <v>360.95</v>
      </c>
      <c r="T16" s="451"/>
      <c r="U16" s="450"/>
      <c r="V16" s="34"/>
      <c r="W16" s="34"/>
      <c r="X16" s="34"/>
      <c r="Y16" s="34"/>
      <c r="Z16" s="34"/>
    </row>
    <row r="17" spans="1:26" s="110" customFormat="1" ht="30">
      <c r="A17" s="108"/>
      <c r="B17" s="22" t="s">
        <v>243</v>
      </c>
      <c r="C17" s="23" t="s">
        <v>247</v>
      </c>
      <c r="D17" s="97">
        <v>111.01000000000002</v>
      </c>
      <c r="E17" s="109">
        <f t="shared" si="1"/>
        <v>29550.940000000002</v>
      </c>
      <c r="F17" s="201"/>
      <c r="G17" s="201"/>
      <c r="H17" s="339">
        <f t="shared" si="3"/>
        <v>29661.95</v>
      </c>
      <c r="I17" s="339">
        <f>[1]B1!E18+'[1]CÔng Tăng'!E16-'[1]Cộng giảm'!E16</f>
        <v>9.57</v>
      </c>
      <c r="J17" s="339">
        <f>[1]B1!F18+'[1]CÔng Tăng'!F16-'[1]Cộng giảm'!F16</f>
        <v>622.98</v>
      </c>
      <c r="K17" s="339">
        <f>[1]B1!G18+'[1]CÔng Tăng'!G16-'[1]Cộng giảm'!G16</f>
        <v>24452.27</v>
      </c>
      <c r="L17" s="339">
        <f>[1]B1!H18+'[1]CÔng Tăng'!H16-'[1]Cộng giảm'!H16</f>
        <v>1344.23</v>
      </c>
      <c r="M17" s="339">
        <f>[1]B1!I18+'[1]CÔng Tăng'!I16-'[1]Cộng giảm'!I16</f>
        <v>58.8</v>
      </c>
      <c r="N17" s="339">
        <f>[1]B1!J18+'[1]CÔng Tăng'!J16-'[1]Cộng giảm'!J16</f>
        <v>314.8</v>
      </c>
      <c r="O17" s="339">
        <f>[1]B1!K18+'[1]CÔng Tăng'!K16-'[1]Cộng giảm'!K16</f>
        <v>740.52</v>
      </c>
      <c r="P17" s="339">
        <f>[1]B1!L18+'[1]CÔng Tăng'!L16-'[1]Cộng giảm'!L16</f>
        <v>279.31</v>
      </c>
      <c r="Q17" s="339">
        <f>[1]B1!M18+'[1]CÔng Tăng'!M16-'[1]Cộng giảm'!M16</f>
        <v>41.21</v>
      </c>
      <c r="R17" s="339">
        <f>[1]B1!N18+'[1]CÔng Tăng'!N16-'[1]Cộng giảm'!N16</f>
        <v>1790.9</v>
      </c>
      <c r="S17" s="339">
        <f>[1]B1!O18+'[1]CÔng Tăng'!O16-'[1]Cộng giảm'!O16</f>
        <v>7.36</v>
      </c>
      <c r="T17" s="452"/>
      <c r="U17" s="453"/>
      <c r="V17" s="203"/>
      <c r="W17" s="203"/>
      <c r="X17" s="203"/>
      <c r="Y17" s="203"/>
      <c r="Z17" s="203"/>
    </row>
    <row r="18" spans="1:26" s="135" customFormat="1" ht="15.75">
      <c r="A18" s="78" t="s">
        <v>145</v>
      </c>
      <c r="B18" s="20" t="s">
        <v>22</v>
      </c>
      <c r="C18" s="21" t="s">
        <v>23</v>
      </c>
      <c r="D18" s="96"/>
      <c r="E18" s="99">
        <f t="shared" si="1"/>
        <v>134.86000000000001</v>
      </c>
      <c r="F18" s="200"/>
      <c r="G18" s="200"/>
      <c r="H18" s="44">
        <f t="shared" si="3"/>
        <v>134.86000000000001</v>
      </c>
      <c r="I18" s="44">
        <f>[1]B1!E19+'[1]CÔng Tăng'!E17-'[1]Cộng giảm'!E17</f>
        <v>8.5100000000000016</v>
      </c>
      <c r="J18" s="44">
        <f>[1]B1!F19+'[1]CÔng Tăng'!F17-'[1]Cộng giảm'!F17</f>
        <v>7.37</v>
      </c>
      <c r="K18" s="44">
        <f>[1]B1!G19+'[1]CÔng Tăng'!G17-'[1]Cộng giảm'!G17</f>
        <v>13.47</v>
      </c>
      <c r="L18" s="44">
        <f>[1]B1!H19+'[1]CÔng Tăng'!H17-'[1]Cộng giảm'!H17</f>
        <v>25.23</v>
      </c>
      <c r="M18" s="44">
        <f>[1]B1!I19+'[1]CÔng Tăng'!I17-'[1]Cộng giảm'!I17</f>
        <v>6.1999999999999993</v>
      </c>
      <c r="N18" s="44">
        <f>[1]B1!J19+'[1]CÔng Tăng'!J17-'[1]Cộng giảm'!J17</f>
        <v>17.190000000000001</v>
      </c>
      <c r="O18" s="44">
        <f>[1]B1!K19+'[1]CÔng Tăng'!K17-'[1]Cộng giảm'!K17</f>
        <v>16.97</v>
      </c>
      <c r="P18" s="44">
        <f>[1]B1!L19+'[1]CÔng Tăng'!L17-'[1]Cộng giảm'!L17</f>
        <v>23.47</v>
      </c>
      <c r="Q18" s="44">
        <f>[1]B1!M19+'[1]CÔng Tăng'!M17-'[1]Cộng giảm'!M17</f>
        <v>9.11</v>
      </c>
      <c r="R18" s="44">
        <f>[1]B1!N19+'[1]CÔng Tăng'!N17-'[1]Cộng giảm'!N17</f>
        <v>4.4400000000000004</v>
      </c>
      <c r="S18" s="44">
        <f>[1]B1!O19+'[1]CÔng Tăng'!O17-'[1]Cộng giảm'!O17</f>
        <v>2.9</v>
      </c>
      <c r="T18" s="451"/>
      <c r="U18" s="450"/>
      <c r="V18" s="8"/>
      <c r="W18" s="8"/>
      <c r="X18" s="8"/>
      <c r="Y18" s="8"/>
      <c r="Z18" s="8"/>
    </row>
    <row r="19" spans="1:26" s="135" customFormat="1" ht="15.75">
      <c r="A19" s="78" t="s">
        <v>146</v>
      </c>
      <c r="B19" s="20" t="s">
        <v>24</v>
      </c>
      <c r="C19" s="21" t="s">
        <v>25</v>
      </c>
      <c r="D19" s="96">
        <v>452.19</v>
      </c>
      <c r="E19" s="99">
        <f t="shared" si="1"/>
        <v>-452.19</v>
      </c>
      <c r="F19" s="200"/>
      <c r="G19" s="200"/>
      <c r="H19" s="44">
        <f t="shared" si="3"/>
        <v>0</v>
      </c>
      <c r="I19" s="44">
        <f>[1]B1!E20+'[1]CÔng Tăng'!E18-'[1]Cộng giảm'!E18</f>
        <v>0</v>
      </c>
      <c r="J19" s="44">
        <f>[1]B1!F20+'[1]CÔng Tăng'!F18-'[1]Cộng giảm'!F18</f>
        <v>0</v>
      </c>
      <c r="K19" s="44">
        <f>[1]B1!G20+'[1]CÔng Tăng'!G18-'[1]Cộng giảm'!G18</f>
        <v>0</v>
      </c>
      <c r="L19" s="44">
        <f>[1]B1!H20+'[1]CÔng Tăng'!H18-'[1]Cộng giảm'!H18</f>
        <v>0</v>
      </c>
      <c r="M19" s="44">
        <f>[1]B1!I20+'[1]CÔng Tăng'!I18-'[1]Cộng giảm'!I18</f>
        <v>0</v>
      </c>
      <c r="N19" s="44">
        <f>[1]B1!J20+'[1]CÔng Tăng'!J18-'[1]Cộng giảm'!J18</f>
        <v>0</v>
      </c>
      <c r="O19" s="44">
        <f>[1]B1!K20+'[1]CÔng Tăng'!K18-'[1]Cộng giảm'!K18</f>
        <v>0</v>
      </c>
      <c r="P19" s="44">
        <f>[1]B1!L20+'[1]CÔng Tăng'!L18-'[1]Cộng giảm'!L18</f>
        <v>0</v>
      </c>
      <c r="Q19" s="44">
        <f>[1]B1!M20+'[1]CÔng Tăng'!M18-'[1]Cộng giảm'!M18</f>
        <v>0</v>
      </c>
      <c r="R19" s="44">
        <f>[1]B1!N20+'[1]CÔng Tăng'!N18-'[1]Cộng giảm'!N18</f>
        <v>0</v>
      </c>
      <c r="S19" s="44">
        <f>[1]B1!O20+'[1]CÔng Tăng'!O18-'[1]Cộng giảm'!O18</f>
        <v>0</v>
      </c>
      <c r="T19" s="451"/>
      <c r="U19" s="450"/>
      <c r="V19" s="8"/>
      <c r="W19" s="8"/>
      <c r="X19" s="8"/>
      <c r="Y19" s="8"/>
      <c r="Z19" s="8"/>
    </row>
    <row r="20" spans="1:26" s="135" customFormat="1" ht="15.75">
      <c r="A20" s="78" t="s">
        <v>147</v>
      </c>
      <c r="B20" s="20" t="s">
        <v>26</v>
      </c>
      <c r="C20" s="21" t="s">
        <v>27</v>
      </c>
      <c r="D20" s="96">
        <v>9759.39</v>
      </c>
      <c r="E20" s="204">
        <f t="shared" si="1"/>
        <v>-9501.119999999999</v>
      </c>
      <c r="F20" s="205"/>
      <c r="G20" s="205"/>
      <c r="H20" s="44">
        <f t="shared" si="3"/>
        <v>258.27</v>
      </c>
      <c r="I20" s="44">
        <f>[1]B1!E21+'[1]CÔng Tăng'!E19-'[1]Cộng giảm'!E19</f>
        <v>3.81</v>
      </c>
      <c r="J20" s="44">
        <f>[1]B1!F21+'[1]CÔng Tăng'!F19-'[1]Cộng giảm'!F19</f>
        <v>38.11</v>
      </c>
      <c r="K20" s="44">
        <f>[1]B1!G21+'[1]CÔng Tăng'!G19-'[1]Cộng giảm'!G19</f>
        <v>86.8</v>
      </c>
      <c r="L20" s="44">
        <f>[1]B1!H21+'[1]CÔng Tăng'!H19-'[1]Cộng giảm'!H19</f>
        <v>35.880000000000003</v>
      </c>
      <c r="M20" s="44">
        <f>[1]B1!I21+'[1]CÔng Tăng'!I19-'[1]Cộng giảm'!I19</f>
        <v>18.23</v>
      </c>
      <c r="N20" s="44">
        <f>[1]B1!J21+'[1]CÔng Tăng'!J19-'[1]Cộng giảm'!J19</f>
        <v>9.3000000000000007</v>
      </c>
      <c r="O20" s="44">
        <f>[1]B1!K21+'[1]CÔng Tăng'!K19-'[1]Cộng giảm'!K19</f>
        <v>0.6</v>
      </c>
      <c r="P20" s="44">
        <f>[1]B1!L21+'[1]CÔng Tăng'!L19-'[1]Cộng giảm'!L19</f>
        <v>10</v>
      </c>
      <c r="Q20" s="44">
        <f>[1]B1!M21+'[1]CÔng Tăng'!M19-'[1]Cộng giảm'!M19</f>
        <v>15.94</v>
      </c>
      <c r="R20" s="44">
        <f>[1]B1!N21+'[1]CÔng Tăng'!N19-'[1]Cộng giảm'!N19</f>
        <v>39.6</v>
      </c>
      <c r="S20" s="44">
        <f>[1]B1!O21+'[1]CÔng Tăng'!O19-'[1]Cộng giảm'!O19</f>
        <v>0</v>
      </c>
      <c r="T20" s="451"/>
      <c r="U20" s="454"/>
      <c r="V20" s="8"/>
      <c r="W20" s="8"/>
      <c r="X20" s="8"/>
      <c r="Y20" s="8"/>
      <c r="Z20" s="8"/>
    </row>
    <row r="21" spans="1:26" s="10" customFormat="1" ht="15.75">
      <c r="A21" s="41">
        <v>2</v>
      </c>
      <c r="B21" s="24" t="s">
        <v>28</v>
      </c>
      <c r="C21" s="25" t="s">
        <v>29</v>
      </c>
      <c r="D21" s="98">
        <v>380.49</v>
      </c>
      <c r="E21" s="99">
        <f t="shared" si="1"/>
        <v>9472.3599999999988</v>
      </c>
      <c r="F21" s="200"/>
      <c r="G21" s="200"/>
      <c r="H21" s="45">
        <f t="shared" si="3"/>
        <v>9852.8499999999985</v>
      </c>
      <c r="I21" s="45">
        <f>[1]B1!E22+'[1]CÔng Tăng'!E20-'[1]Cộng giảm'!E20</f>
        <v>543.58000000000004</v>
      </c>
      <c r="J21" s="45">
        <f>[1]B1!F22+'[1]CÔng Tăng'!F20-'[1]Cộng giảm'!F20</f>
        <v>1630.8000000000002</v>
      </c>
      <c r="K21" s="45">
        <f>[1]B1!G22+'[1]CÔng Tăng'!G20-'[1]Cộng giảm'!G20</f>
        <v>1015.56</v>
      </c>
      <c r="L21" s="45">
        <f>[1]B1!H22+'[1]CÔng Tăng'!H20-'[1]Cộng giảm'!H20</f>
        <v>655.97</v>
      </c>
      <c r="M21" s="45">
        <f>[1]B1!I22+'[1]CÔng Tăng'!I20-'[1]Cộng giảm'!I20</f>
        <v>895.96000000000015</v>
      </c>
      <c r="N21" s="45">
        <f>[1]B1!J22+'[1]CÔng Tăng'!J20-'[1]Cộng giảm'!J20</f>
        <v>846.75000000000011</v>
      </c>
      <c r="O21" s="45">
        <f>[1]B1!K22+'[1]CÔng Tăng'!K20-'[1]Cộng giảm'!K20</f>
        <v>358.03</v>
      </c>
      <c r="P21" s="45">
        <f>[1]B1!L22+'[1]CÔng Tăng'!L20-'[1]Cộng giảm'!L20</f>
        <v>325.96999999999997</v>
      </c>
      <c r="Q21" s="45">
        <f>[1]B1!M22+'[1]CÔng Tăng'!M20-'[1]Cộng giảm'!M20</f>
        <v>1542.0099999999998</v>
      </c>
      <c r="R21" s="45">
        <f>[1]B1!N22+'[1]CÔng Tăng'!N20-'[1]Cộng giảm'!N20</f>
        <v>1522.3899999999999</v>
      </c>
      <c r="S21" s="45">
        <f>[1]B1!O22+'[1]CÔng Tăng'!O20-'[1]Cộng giảm'!O20</f>
        <v>515.83000000000004</v>
      </c>
      <c r="T21" s="449"/>
      <c r="U21" s="450"/>
      <c r="V21" s="28"/>
      <c r="W21" s="28"/>
      <c r="X21" s="28"/>
      <c r="Y21" s="28"/>
      <c r="Z21" s="28"/>
    </row>
    <row r="22" spans="1:26" s="135" customFormat="1" ht="15.75">
      <c r="A22" s="78" t="s">
        <v>148</v>
      </c>
      <c r="B22" s="20" t="s">
        <v>30</v>
      </c>
      <c r="C22" s="21" t="s">
        <v>31</v>
      </c>
      <c r="D22" s="96">
        <v>2.63</v>
      </c>
      <c r="E22" s="99">
        <f t="shared" si="1"/>
        <v>221.50999999999996</v>
      </c>
      <c r="F22" s="200"/>
      <c r="G22" s="200"/>
      <c r="H22" s="44">
        <f t="shared" si="3"/>
        <v>224.13999999999996</v>
      </c>
      <c r="I22" s="44">
        <f>[1]B1!E23+'[1]CÔng Tăng'!E21-'[1]Cộng giảm'!E21</f>
        <v>41.33</v>
      </c>
      <c r="J22" s="44">
        <f>[1]B1!F23+'[1]CÔng Tăng'!F21-'[1]Cộng giảm'!F21</f>
        <v>103.32</v>
      </c>
      <c r="K22" s="44">
        <f>[1]B1!G23+'[1]CÔng Tăng'!G21-'[1]Cộng giảm'!G21</f>
        <v>42.39</v>
      </c>
      <c r="L22" s="44">
        <f>[1]B1!H23+'[1]CÔng Tăng'!H21-'[1]Cộng giảm'!H21</f>
        <v>28.509999999999998</v>
      </c>
      <c r="M22" s="44">
        <f>[1]B1!I23+'[1]CÔng Tăng'!I21-'[1]Cộng giảm'!I21</f>
        <v>5.53</v>
      </c>
      <c r="N22" s="44">
        <f>[1]B1!J23+'[1]CÔng Tăng'!J21-'[1]Cộng giảm'!J21</f>
        <v>0.15</v>
      </c>
      <c r="O22" s="44">
        <f>[1]B1!K23+'[1]CÔng Tăng'!K21-'[1]Cộng giảm'!K21</f>
        <v>2.5</v>
      </c>
      <c r="P22" s="44">
        <f>[1]B1!L23+'[1]CÔng Tăng'!L21-'[1]Cộng giảm'!L21</f>
        <v>7.0000000000000007E-2</v>
      </c>
      <c r="Q22" s="44">
        <f>[1]B1!M23+'[1]CÔng Tăng'!M21-'[1]Cộng giảm'!M21</f>
        <v>0.1</v>
      </c>
      <c r="R22" s="44">
        <f>[1]B1!N23+'[1]CÔng Tăng'!N21-'[1]Cộng giảm'!N21</f>
        <v>0.16</v>
      </c>
      <c r="S22" s="44">
        <f>[1]B1!O23+'[1]CÔng Tăng'!O21-'[1]Cộng giảm'!O21</f>
        <v>0.08</v>
      </c>
      <c r="T22" s="451"/>
      <c r="U22" s="450"/>
      <c r="V22" s="8"/>
      <c r="W22" s="8"/>
      <c r="X22" s="8"/>
      <c r="Y22" s="8"/>
      <c r="Z22" s="8"/>
    </row>
    <row r="23" spans="1:26" s="135" customFormat="1" ht="15.75">
      <c r="A23" s="78" t="s">
        <v>138</v>
      </c>
      <c r="B23" s="20" t="s">
        <v>32</v>
      </c>
      <c r="C23" s="21" t="s">
        <v>33</v>
      </c>
      <c r="D23" s="96"/>
      <c r="E23" s="99">
        <f t="shared" si="1"/>
        <v>4.32</v>
      </c>
      <c r="F23" s="200"/>
      <c r="G23" s="200"/>
      <c r="H23" s="44">
        <f t="shared" si="3"/>
        <v>4.32</v>
      </c>
      <c r="I23" s="44">
        <f>[1]B1!E24+'[1]CÔng Tăng'!E22-'[1]Cộng giảm'!E22</f>
        <v>3.2699999999999996</v>
      </c>
      <c r="J23" s="44">
        <f>[1]B1!F24+'[1]CÔng Tăng'!F22-'[1]Cộng giảm'!F22</f>
        <v>0.06</v>
      </c>
      <c r="K23" s="44">
        <f>[1]B1!G24+'[1]CÔng Tăng'!G22-'[1]Cộng giảm'!G22</f>
        <v>0.1</v>
      </c>
      <c r="L23" s="44">
        <f>[1]B1!H24+'[1]CÔng Tăng'!H22-'[1]Cộng giảm'!H22</f>
        <v>0.12</v>
      </c>
      <c r="M23" s="44">
        <f>[1]B1!I24+'[1]CÔng Tăng'!I22-'[1]Cộng giảm'!I22</f>
        <v>0.14000000000000001</v>
      </c>
      <c r="N23" s="44">
        <f>[1]B1!J24+'[1]CÔng Tăng'!J22-'[1]Cộng giảm'!J22</f>
        <v>0.1</v>
      </c>
      <c r="O23" s="44">
        <f>[1]B1!K24+'[1]CÔng Tăng'!K22-'[1]Cộng giảm'!K22</f>
        <v>0.1</v>
      </c>
      <c r="P23" s="44">
        <f>[1]B1!L24+'[1]CÔng Tăng'!L22-'[1]Cộng giảm'!L22</f>
        <v>0.1</v>
      </c>
      <c r="Q23" s="44">
        <f>[1]B1!M24+'[1]CÔng Tăng'!M22-'[1]Cộng giảm'!M22</f>
        <v>0.1</v>
      </c>
      <c r="R23" s="44">
        <f>[1]B1!N24+'[1]CÔng Tăng'!N22-'[1]Cộng giảm'!N22</f>
        <v>0.15</v>
      </c>
      <c r="S23" s="44">
        <f>[1]B1!O24+'[1]CÔng Tăng'!O22-'[1]Cộng giảm'!O22</f>
        <v>0.08</v>
      </c>
      <c r="T23" s="451"/>
      <c r="U23" s="450"/>
      <c r="V23" s="9"/>
      <c r="W23" s="9"/>
      <c r="X23" s="9"/>
      <c r="Y23" s="9"/>
      <c r="Z23" s="9"/>
    </row>
    <row r="24" spans="1:26" s="135" customFormat="1" ht="15.75">
      <c r="A24" s="78" t="s">
        <v>149</v>
      </c>
      <c r="B24" s="20" t="s">
        <v>34</v>
      </c>
      <c r="C24" s="21" t="s">
        <v>35</v>
      </c>
      <c r="D24" s="96"/>
      <c r="E24" s="99">
        <f t="shared" si="1"/>
        <v>0</v>
      </c>
      <c r="F24" s="200"/>
      <c r="G24" s="200"/>
      <c r="H24" s="44">
        <f t="shared" si="3"/>
        <v>0</v>
      </c>
      <c r="I24" s="44">
        <f>[1]B1!E25+'[1]CÔng Tăng'!E23-'[1]Cộng giảm'!E23</f>
        <v>0</v>
      </c>
      <c r="J24" s="44">
        <f>[1]B1!F25+'[1]CÔng Tăng'!F23-'[1]Cộng giảm'!F23</f>
        <v>0</v>
      </c>
      <c r="K24" s="44">
        <f>[1]B1!G25+'[1]CÔng Tăng'!G23-'[1]Cộng giảm'!G23</f>
        <v>0</v>
      </c>
      <c r="L24" s="44">
        <f>[1]B1!H25+'[1]CÔng Tăng'!H23-'[1]Cộng giảm'!H23</f>
        <v>0</v>
      </c>
      <c r="M24" s="44">
        <f>[1]B1!I25+'[1]CÔng Tăng'!I23-'[1]Cộng giảm'!I23</f>
        <v>0</v>
      </c>
      <c r="N24" s="44">
        <f>[1]B1!J25+'[1]CÔng Tăng'!J23-'[1]Cộng giảm'!J23</f>
        <v>0</v>
      </c>
      <c r="O24" s="44">
        <f>[1]B1!K25+'[1]CÔng Tăng'!K23-'[1]Cộng giảm'!K23</f>
        <v>0</v>
      </c>
      <c r="P24" s="44">
        <f>[1]B1!L25+'[1]CÔng Tăng'!L23-'[1]Cộng giảm'!L23</f>
        <v>0</v>
      </c>
      <c r="Q24" s="44">
        <f>[1]B1!M25+'[1]CÔng Tăng'!M23-'[1]Cộng giảm'!M23</f>
        <v>0</v>
      </c>
      <c r="R24" s="44">
        <f>[1]B1!N25+'[1]CÔng Tăng'!N23-'[1]Cộng giảm'!N23</f>
        <v>0</v>
      </c>
      <c r="S24" s="44">
        <f>[1]B1!O25+'[1]CÔng Tăng'!O23-'[1]Cộng giảm'!O23</f>
        <v>0</v>
      </c>
      <c r="T24" s="451"/>
      <c r="U24" s="450"/>
      <c r="V24" s="9"/>
      <c r="W24" s="9"/>
      <c r="X24" s="9"/>
      <c r="Y24" s="9"/>
      <c r="Z24" s="9"/>
    </row>
    <row r="25" spans="1:26" s="135" customFormat="1" ht="15.75">
      <c r="A25" s="78" t="s">
        <v>150</v>
      </c>
      <c r="B25" s="20" t="s">
        <v>36</v>
      </c>
      <c r="C25" s="21" t="s">
        <v>37</v>
      </c>
      <c r="D25" s="96">
        <v>25</v>
      </c>
      <c r="E25" s="99">
        <f t="shared" si="1"/>
        <v>75</v>
      </c>
      <c r="F25" s="200"/>
      <c r="G25" s="200"/>
      <c r="H25" s="44">
        <f t="shared" si="3"/>
        <v>100</v>
      </c>
      <c r="I25" s="44">
        <f>[1]B1!E26+'[1]CÔng Tăng'!E24-'[1]Cộng giảm'!E24</f>
        <v>50</v>
      </c>
      <c r="J25" s="44">
        <f>[1]B1!F26+'[1]CÔng Tăng'!F24-'[1]Cộng giảm'!F24</f>
        <v>0</v>
      </c>
      <c r="K25" s="44">
        <f>[1]B1!G26+'[1]CÔng Tăng'!G24-'[1]Cộng giảm'!G24</f>
        <v>0</v>
      </c>
      <c r="L25" s="44">
        <f>[1]B1!H26+'[1]CÔng Tăng'!H24-'[1]Cộng giảm'!H24</f>
        <v>0</v>
      </c>
      <c r="M25" s="44">
        <f>[1]B1!I26+'[1]CÔng Tăng'!I24-'[1]Cộng giảm'!I24</f>
        <v>0</v>
      </c>
      <c r="N25" s="44">
        <f>[1]B1!J26+'[1]CÔng Tăng'!J24-'[1]Cộng giảm'!J24</f>
        <v>0</v>
      </c>
      <c r="O25" s="44">
        <f>[1]B1!K26+'[1]CÔng Tăng'!K24-'[1]Cộng giảm'!K24</f>
        <v>50</v>
      </c>
      <c r="P25" s="44">
        <f>[1]B1!L26+'[1]CÔng Tăng'!L24-'[1]Cộng giảm'!L24</f>
        <v>0</v>
      </c>
      <c r="Q25" s="44">
        <f>[1]B1!M26+'[1]CÔng Tăng'!M24-'[1]Cộng giảm'!M24</f>
        <v>0</v>
      </c>
      <c r="R25" s="44">
        <f>[1]B1!N26+'[1]CÔng Tăng'!N24-'[1]Cộng giảm'!N24</f>
        <v>0</v>
      </c>
      <c r="S25" s="44">
        <f>[1]B1!O26+'[1]CÔng Tăng'!O24-'[1]Cộng giảm'!O24</f>
        <v>0</v>
      </c>
      <c r="T25" s="451"/>
      <c r="U25" s="450"/>
      <c r="V25" s="8"/>
      <c r="W25" s="8"/>
      <c r="X25" s="8"/>
      <c r="Y25" s="8"/>
      <c r="Z25" s="8"/>
    </row>
    <row r="26" spans="1:26" s="135" customFormat="1" ht="15.75">
      <c r="A26" s="78" t="s">
        <v>151</v>
      </c>
      <c r="B26" s="20" t="s">
        <v>38</v>
      </c>
      <c r="C26" s="21" t="s">
        <v>39</v>
      </c>
      <c r="D26" s="96">
        <v>41.9</v>
      </c>
      <c r="E26" s="99">
        <f t="shared" si="1"/>
        <v>-20.509999999999998</v>
      </c>
      <c r="F26" s="200"/>
      <c r="G26" s="200"/>
      <c r="H26" s="44">
        <f t="shared" si="3"/>
        <v>21.39</v>
      </c>
      <c r="I26" s="44">
        <f>[1]B1!E27+'[1]CÔng Tăng'!E25-'[1]Cộng giảm'!E25</f>
        <v>2.0499999999999998</v>
      </c>
      <c r="J26" s="44">
        <f>[1]B1!F27+'[1]CÔng Tăng'!F25-'[1]Cộng giảm'!F25</f>
        <v>0.52</v>
      </c>
      <c r="K26" s="44">
        <f>[1]B1!G27+'[1]CÔng Tăng'!G25-'[1]Cộng giảm'!G25</f>
        <v>0.46</v>
      </c>
      <c r="L26" s="44">
        <f>[1]B1!H27+'[1]CÔng Tăng'!H25-'[1]Cộng giảm'!H25</f>
        <v>0.65</v>
      </c>
      <c r="M26" s="44">
        <f>[1]B1!I27+'[1]CÔng Tăng'!I25-'[1]Cộng giảm'!I25</f>
        <v>0.89999999999999991</v>
      </c>
      <c r="N26" s="44">
        <f>[1]B1!J27+'[1]CÔng Tăng'!J25-'[1]Cộng giảm'!J25</f>
        <v>4.22</v>
      </c>
      <c r="O26" s="44">
        <f>[1]B1!K27+'[1]CÔng Tăng'!K25-'[1]Cộng giảm'!K25</f>
        <v>0.71</v>
      </c>
      <c r="P26" s="44">
        <f>[1]B1!L27+'[1]CÔng Tăng'!L25-'[1]Cộng giảm'!L25</f>
        <v>1.54</v>
      </c>
      <c r="Q26" s="44">
        <f>[1]B1!M27+'[1]CÔng Tăng'!M25-'[1]Cộng giảm'!M25</f>
        <v>6</v>
      </c>
      <c r="R26" s="44">
        <f>[1]B1!N27+'[1]CÔng Tăng'!N25-'[1]Cộng giảm'!N25</f>
        <v>0.64</v>
      </c>
      <c r="S26" s="44">
        <f>[1]B1!O27+'[1]CÔng Tăng'!O25-'[1]Cộng giảm'!O25</f>
        <v>3.7</v>
      </c>
      <c r="T26" s="451"/>
      <c r="U26" s="450"/>
      <c r="V26" s="8"/>
      <c r="W26" s="8"/>
      <c r="X26" s="8"/>
      <c r="Y26" s="8"/>
      <c r="Z26" s="8"/>
    </row>
    <row r="27" spans="1:26" s="135" customFormat="1" ht="15.75">
      <c r="A27" s="78" t="s">
        <v>152</v>
      </c>
      <c r="B27" s="20" t="s">
        <v>40</v>
      </c>
      <c r="C27" s="21" t="s">
        <v>41</v>
      </c>
      <c r="D27" s="96">
        <v>264.85000000000002</v>
      </c>
      <c r="E27" s="99">
        <f t="shared" si="1"/>
        <v>-167.99000000000004</v>
      </c>
      <c r="F27" s="200"/>
      <c r="G27" s="200"/>
      <c r="H27" s="44">
        <f t="shared" si="3"/>
        <v>96.859999999999985</v>
      </c>
      <c r="I27" s="44">
        <f>[1]B1!E28+'[1]CÔng Tăng'!E26-'[1]Cộng giảm'!E26</f>
        <v>0</v>
      </c>
      <c r="J27" s="44">
        <f>[1]B1!F28+'[1]CÔng Tăng'!F26-'[1]Cộng giảm'!F26</f>
        <v>9.6900000000000013</v>
      </c>
      <c r="K27" s="44">
        <f>[1]B1!G28+'[1]CÔng Tăng'!G26-'[1]Cộng giảm'!G26</f>
        <v>7.77</v>
      </c>
      <c r="L27" s="44">
        <f>[1]B1!H28+'[1]CÔng Tăng'!H26-'[1]Cộng giảm'!H26</f>
        <v>1.31</v>
      </c>
      <c r="M27" s="44">
        <f>[1]B1!I28+'[1]CÔng Tăng'!I26-'[1]Cộng giảm'!I26</f>
        <v>38.07</v>
      </c>
      <c r="N27" s="44">
        <f>[1]B1!J28+'[1]CÔng Tăng'!J26-'[1]Cộng giảm'!J26</f>
        <v>0.41</v>
      </c>
      <c r="O27" s="44">
        <f>[1]B1!K28+'[1]CÔng Tăng'!K26-'[1]Cộng giảm'!K26</f>
        <v>18.79</v>
      </c>
      <c r="P27" s="44">
        <f>[1]B1!L28+'[1]CÔng Tăng'!L26-'[1]Cộng giảm'!L26</f>
        <v>0.32</v>
      </c>
      <c r="Q27" s="44">
        <f>[1]B1!M28+'[1]CÔng Tăng'!M26-'[1]Cộng giảm'!M26</f>
        <v>0.5</v>
      </c>
      <c r="R27" s="44">
        <f>[1]B1!N28+'[1]CÔng Tăng'!N26-'[1]Cộng giảm'!N26</f>
        <v>20</v>
      </c>
      <c r="S27" s="44">
        <f>[1]B1!O28+'[1]CÔng Tăng'!O26-'[1]Cộng giảm'!O26</f>
        <v>0</v>
      </c>
      <c r="T27" s="451"/>
      <c r="U27" s="450"/>
      <c r="V27" s="8"/>
      <c r="W27" s="8"/>
      <c r="X27" s="8"/>
      <c r="Y27" s="8"/>
      <c r="Z27" s="8"/>
    </row>
    <row r="28" spans="1:26" s="5" customFormat="1" ht="15.75">
      <c r="A28" s="78" t="s">
        <v>153</v>
      </c>
      <c r="B28" s="20" t="s">
        <v>42</v>
      </c>
      <c r="C28" s="21" t="s">
        <v>43</v>
      </c>
      <c r="D28" s="96">
        <v>27.7</v>
      </c>
      <c r="E28" s="99">
        <f t="shared" si="1"/>
        <v>-23.04</v>
      </c>
      <c r="F28" s="200"/>
      <c r="G28" s="200"/>
      <c r="H28" s="44">
        <f t="shared" si="3"/>
        <v>4.66</v>
      </c>
      <c r="I28" s="44">
        <f>[1]B1!E29+'[1]CÔng Tăng'!E27-'[1]Cộng giảm'!E27</f>
        <v>0</v>
      </c>
      <c r="J28" s="44">
        <f>[1]B1!F29+'[1]CÔng Tăng'!F27-'[1]Cộng giảm'!F27</f>
        <v>0</v>
      </c>
      <c r="K28" s="44">
        <f>[1]B1!G29+'[1]CÔng Tăng'!G27-'[1]Cộng giảm'!G27</f>
        <v>0</v>
      </c>
      <c r="L28" s="44">
        <f>[1]B1!H29+'[1]CÔng Tăng'!H27-'[1]Cộng giảm'!H27</f>
        <v>0</v>
      </c>
      <c r="M28" s="44">
        <f>[1]B1!I29+'[1]CÔng Tăng'!I27-'[1]Cộng giảm'!I27</f>
        <v>0</v>
      </c>
      <c r="N28" s="44">
        <f>[1]B1!J29+'[1]CÔng Tăng'!J27-'[1]Cộng giảm'!J27</f>
        <v>0</v>
      </c>
      <c r="O28" s="44">
        <f>[1]B1!K29+'[1]CÔng Tăng'!K27-'[1]Cộng giảm'!K27</f>
        <v>4.66</v>
      </c>
      <c r="P28" s="44">
        <f>[1]B1!L29+'[1]CÔng Tăng'!L27-'[1]Cộng giảm'!L27</f>
        <v>0</v>
      </c>
      <c r="Q28" s="44">
        <f>[1]B1!M29+'[1]CÔng Tăng'!M27-'[1]Cộng giảm'!M27</f>
        <v>0</v>
      </c>
      <c r="R28" s="44">
        <f>[1]B1!N29+'[1]CÔng Tăng'!N27-'[1]Cộng giảm'!N27</f>
        <v>0</v>
      </c>
      <c r="S28" s="44">
        <f>[1]B1!O29+'[1]CÔng Tăng'!O27-'[1]Cộng giảm'!O27</f>
        <v>0</v>
      </c>
      <c r="T28" s="451"/>
      <c r="U28" s="450"/>
    </row>
    <row r="29" spans="1:26" s="11" customFormat="1" ht="18.75" customHeight="1">
      <c r="A29" s="78" t="s">
        <v>154</v>
      </c>
      <c r="B29" s="20" t="s">
        <v>179</v>
      </c>
      <c r="C29" s="21" t="s">
        <v>66</v>
      </c>
      <c r="D29" s="96">
        <v>6426.77</v>
      </c>
      <c r="E29" s="99">
        <f t="shared" si="1"/>
        <v>-6267.6600000000008</v>
      </c>
      <c r="F29" s="200"/>
      <c r="G29" s="200"/>
      <c r="H29" s="44">
        <f t="shared" si="3"/>
        <v>159.10999999999999</v>
      </c>
      <c r="I29" s="44">
        <f>[1]B1!E30+'[1]CÔng Tăng'!E28-'[1]Cộng giảm'!E28</f>
        <v>0.4</v>
      </c>
      <c r="J29" s="44">
        <f>[1]B1!F30+'[1]CÔng Tăng'!F28-'[1]Cộng giảm'!F28</f>
        <v>14.6</v>
      </c>
      <c r="K29" s="44">
        <f>[1]B1!G30+'[1]CÔng Tăng'!G28-'[1]Cộng giảm'!G28</f>
        <v>47.55</v>
      </c>
      <c r="L29" s="44">
        <f>[1]B1!H30+'[1]CÔng Tăng'!H28-'[1]Cộng giảm'!H28</f>
        <v>10</v>
      </c>
      <c r="M29" s="44">
        <f>[1]B1!I30+'[1]CÔng Tăng'!I28-'[1]Cộng giảm'!I28</f>
        <v>69.59</v>
      </c>
      <c r="N29" s="44">
        <f>[1]B1!J30+'[1]CÔng Tăng'!J28-'[1]Cộng giảm'!J28</f>
        <v>5.04</v>
      </c>
      <c r="O29" s="44">
        <f>[1]B1!K30+'[1]CÔng Tăng'!K28-'[1]Cộng giảm'!K28</f>
        <v>0</v>
      </c>
      <c r="P29" s="44">
        <f>[1]B1!L30+'[1]CÔng Tăng'!L28-'[1]Cộng giảm'!L28</f>
        <v>8.9</v>
      </c>
      <c r="Q29" s="44">
        <f>[1]B1!M30+'[1]CÔng Tăng'!M28-'[1]Cộng giảm'!M28</f>
        <v>0.1</v>
      </c>
      <c r="R29" s="44">
        <f>[1]B1!N30+'[1]CÔng Tăng'!N28-'[1]Cộng giảm'!N28</f>
        <v>0</v>
      </c>
      <c r="S29" s="44">
        <f>[1]B1!O30+'[1]CÔng Tăng'!O28-'[1]Cộng giảm'!O28</f>
        <v>2.9299999999999997</v>
      </c>
      <c r="T29" s="451"/>
      <c r="U29" s="450"/>
    </row>
    <row r="30" spans="1:26" s="274" customFormat="1" ht="30">
      <c r="A30" s="270" t="s">
        <v>155</v>
      </c>
      <c r="B30" s="271" t="s">
        <v>180</v>
      </c>
      <c r="C30" s="455" t="s">
        <v>45</v>
      </c>
      <c r="D30" s="206">
        <f t="shared" ref="D30:D40" si="4">SUM(E30:Q30)</f>
        <v>12077.850000000002</v>
      </c>
      <c r="E30" s="81">
        <v>5.85</v>
      </c>
      <c r="F30" s="207"/>
      <c r="G30" s="207"/>
      <c r="H30" s="44">
        <f t="shared" si="3"/>
        <v>6817.2300000000005</v>
      </c>
      <c r="I30" s="44">
        <f>[1]B1!E31+'[1]CÔng Tăng'!E29-'[1]Cộng giảm'!E29</f>
        <v>173.87</v>
      </c>
      <c r="J30" s="44">
        <f>[1]B1!F31+'[1]CÔng Tăng'!F29-'[1]Cộng giảm'!F29</f>
        <v>1260.9400000000003</v>
      </c>
      <c r="K30" s="44">
        <f>[1]B1!G31+'[1]CÔng Tăng'!G29-'[1]Cộng giảm'!G29</f>
        <v>468.21000000000004</v>
      </c>
      <c r="L30" s="44">
        <f>[1]B1!H31+'[1]CÔng Tăng'!H29-'[1]Cộng giảm'!H29</f>
        <v>371.61000000000007</v>
      </c>
      <c r="M30" s="44">
        <f>[1]B1!I31+'[1]CÔng Tăng'!I29-'[1]Cộng giảm'!I29</f>
        <v>641.54000000000008</v>
      </c>
      <c r="N30" s="44">
        <f>[1]B1!J31+'[1]CÔng Tăng'!J29-'[1]Cộng giảm'!J29</f>
        <v>709.3</v>
      </c>
      <c r="O30" s="44">
        <f>[1]B1!K31+'[1]CÔng Tăng'!K29-'[1]Cộng giảm'!K29</f>
        <v>118.33</v>
      </c>
      <c r="P30" s="44">
        <f>[1]B1!L31+'[1]CÔng Tăng'!L29-'[1]Cộng giảm'!L29</f>
        <v>110.84</v>
      </c>
      <c r="Q30" s="44">
        <f>[1]B1!M31+'[1]CÔng Tăng'!M29-'[1]Cộng giảm'!M29</f>
        <v>1400.13</v>
      </c>
      <c r="R30" s="44">
        <f>[1]B1!N31+'[1]CÔng Tăng'!N29-'[1]Cộng giảm'!N29</f>
        <v>1343.5</v>
      </c>
      <c r="S30" s="44">
        <f>[1]B1!O31+'[1]CÔng Tăng'!O29-'[1]Cộng giảm'!O29</f>
        <v>218.96000000000004</v>
      </c>
      <c r="U30" s="450"/>
    </row>
    <row r="31" spans="1:26" s="151" customFormat="1" ht="15.75">
      <c r="A31" s="154"/>
      <c r="B31" s="153" t="s">
        <v>216</v>
      </c>
      <c r="C31" s="456" t="s">
        <v>196</v>
      </c>
      <c r="D31" s="101">
        <f t="shared" si="4"/>
        <v>2574.8900000000008</v>
      </c>
      <c r="E31" s="101">
        <v>1.93</v>
      </c>
      <c r="F31" s="202"/>
      <c r="G31" s="202"/>
      <c r="H31" s="339">
        <f t="shared" si="3"/>
        <v>1393.9400000000003</v>
      </c>
      <c r="I31" s="339">
        <f>[1]B1!E32+'[1]CÔng Tăng'!E30-'[1]Cộng giảm'!E30</f>
        <v>109.28999999999999</v>
      </c>
      <c r="J31" s="339">
        <f>[1]B1!F32+'[1]CÔng Tăng'!F30-'[1]Cộng giảm'!F30</f>
        <v>152.46</v>
      </c>
      <c r="K31" s="339">
        <f>[1]B1!G32+'[1]CÔng Tăng'!G30-'[1]Cộng giảm'!G30</f>
        <v>429.17</v>
      </c>
      <c r="L31" s="339">
        <f>[1]B1!H32+'[1]CÔng Tăng'!H30-'[1]Cộng giảm'!H30</f>
        <v>199.22</v>
      </c>
      <c r="M31" s="339">
        <f>[1]B1!I32+'[1]CÔng Tăng'!I30-'[1]Cộng giảm'!I30</f>
        <v>63.36</v>
      </c>
      <c r="N31" s="339">
        <f>[1]B1!J32+'[1]CÔng Tăng'!J30-'[1]Cộng giảm'!J30</f>
        <v>55.029999999999994</v>
      </c>
      <c r="O31" s="339">
        <f>[1]B1!K32+'[1]CÔng Tăng'!K30-'[1]Cộng giảm'!K30</f>
        <v>43.04</v>
      </c>
      <c r="P31" s="339">
        <f>[1]B1!L32+'[1]CÔng Tăng'!L30-'[1]Cộng giảm'!L30</f>
        <v>75.069999999999993</v>
      </c>
      <c r="Q31" s="339">
        <f>[1]B1!M32+'[1]CÔng Tăng'!M30-'[1]Cộng giảm'!M30</f>
        <v>52.38</v>
      </c>
      <c r="R31" s="339">
        <f>[1]B1!N32+'[1]CÔng Tăng'!N30-'[1]Cộng giảm'!N30</f>
        <v>138.45999999999998</v>
      </c>
      <c r="S31" s="339">
        <f>[1]B1!O32+'[1]CÔng Tăng'!O30-'[1]Cộng giảm'!O30</f>
        <v>76.459999999999994</v>
      </c>
      <c r="U31" s="453"/>
    </row>
    <row r="32" spans="1:26" s="151" customFormat="1" ht="13.5" customHeight="1">
      <c r="A32" s="154"/>
      <c r="B32" s="153" t="s">
        <v>217</v>
      </c>
      <c r="C32" s="457" t="s">
        <v>194</v>
      </c>
      <c r="D32" s="101">
        <f t="shared" si="4"/>
        <v>357.77000000000004</v>
      </c>
      <c r="E32" s="101">
        <f>17.21+0.6</f>
        <v>17.810000000000002</v>
      </c>
      <c r="F32" s="202"/>
      <c r="G32" s="202"/>
      <c r="H32" s="339">
        <f t="shared" si="3"/>
        <v>177.51</v>
      </c>
      <c r="I32" s="339">
        <f>[1]B1!E33+'[1]CÔng Tăng'!E31-'[1]Cộng giảm'!E31</f>
        <v>6.67</v>
      </c>
      <c r="J32" s="339">
        <f>[1]B1!F33+'[1]CÔng Tăng'!F31-'[1]Cộng giảm'!F31</f>
        <v>6.91</v>
      </c>
      <c r="K32" s="339">
        <f>[1]B1!G33+'[1]CÔng Tăng'!G31-'[1]Cộng giảm'!G31</f>
        <v>13.180000000000001</v>
      </c>
      <c r="L32" s="339">
        <f>[1]B1!H33+'[1]CÔng Tăng'!H31-'[1]Cộng giảm'!H31</f>
        <v>37.909999999999997</v>
      </c>
      <c r="M32" s="339">
        <f>[1]B1!I33+'[1]CÔng Tăng'!I31-'[1]Cộng giảm'!I31</f>
        <v>37.61</v>
      </c>
      <c r="N32" s="339">
        <f>[1]B1!J33+'[1]CÔng Tăng'!J31-'[1]Cộng giảm'!J31</f>
        <v>29.1</v>
      </c>
      <c r="O32" s="339">
        <f>[1]B1!K33+'[1]CÔng Tăng'!K31-'[1]Cộng giảm'!K31</f>
        <v>12.54</v>
      </c>
      <c r="P32" s="339">
        <f>[1]B1!L33+'[1]CÔng Tăng'!L31-'[1]Cộng giảm'!L31</f>
        <v>3.8299999999999996</v>
      </c>
      <c r="Q32" s="339">
        <f>[1]B1!M33+'[1]CÔng Tăng'!M31-'[1]Cộng giảm'!M31</f>
        <v>14.7</v>
      </c>
      <c r="R32" s="339">
        <f>[1]B1!N33+'[1]CÔng Tăng'!N31-'[1]Cộng giảm'!N31</f>
        <v>7.0600000000000005</v>
      </c>
      <c r="S32" s="339">
        <f>[1]B1!O33+'[1]CÔng Tăng'!O31-'[1]Cộng giảm'!O31</f>
        <v>8</v>
      </c>
      <c r="U32" s="453"/>
    </row>
    <row r="33" spans="1:21" s="151" customFormat="1" ht="15.75">
      <c r="A33" s="154"/>
      <c r="B33" s="153" t="s">
        <v>210</v>
      </c>
      <c r="C33" s="457" t="s">
        <v>220</v>
      </c>
      <c r="D33" s="101">
        <f t="shared" si="4"/>
        <v>18.430000000000003</v>
      </c>
      <c r="E33" s="101">
        <v>4.08</v>
      </c>
      <c r="F33" s="202"/>
      <c r="G33" s="202"/>
      <c r="H33" s="339">
        <f t="shared" si="3"/>
        <v>7.2799999999999994</v>
      </c>
      <c r="I33" s="339">
        <f>[1]B1!E34+'[1]CÔng Tăng'!E32-'[1]Cộng giảm'!E32</f>
        <v>5.85</v>
      </c>
      <c r="J33" s="339">
        <f>[1]B1!F34+'[1]CÔng Tăng'!F32-'[1]Cộng giảm'!F32</f>
        <v>0.6</v>
      </c>
      <c r="K33" s="339">
        <f>[1]B1!G34+'[1]CÔng Tăng'!G32-'[1]Cộng giảm'!G32</f>
        <v>0</v>
      </c>
      <c r="L33" s="339">
        <f>[1]B1!H34+'[1]CÔng Tăng'!H32-'[1]Cộng giảm'!H32</f>
        <v>0</v>
      </c>
      <c r="M33" s="339">
        <f>[1]B1!I34+'[1]CÔng Tăng'!I32-'[1]Cộng giảm'!I32</f>
        <v>0</v>
      </c>
      <c r="N33" s="339">
        <f>[1]B1!J34+'[1]CÔng Tăng'!J32-'[1]Cộng giảm'!J32</f>
        <v>0</v>
      </c>
      <c r="O33" s="339">
        <f>[1]B1!K34+'[1]CÔng Tăng'!K32-'[1]Cộng giảm'!K32</f>
        <v>0.12</v>
      </c>
      <c r="P33" s="339">
        <f>[1]B1!L34+'[1]CÔng Tăng'!L32-'[1]Cộng giảm'!L32</f>
        <v>0</v>
      </c>
      <c r="Q33" s="339">
        <f>[1]B1!M34+'[1]CÔng Tăng'!M32-'[1]Cộng giảm'!M32</f>
        <v>0.5</v>
      </c>
      <c r="R33" s="339">
        <f>[1]B1!N34+'[1]CÔng Tăng'!N32-'[1]Cộng giảm'!N32</f>
        <v>0</v>
      </c>
      <c r="S33" s="339">
        <f>[1]B1!O34+'[1]CÔng Tăng'!O32-'[1]Cộng giảm'!O32</f>
        <v>0.21</v>
      </c>
      <c r="U33" s="453"/>
    </row>
    <row r="34" spans="1:21" s="151" customFormat="1" ht="14.25" customHeight="1">
      <c r="A34" s="154"/>
      <c r="B34" s="153" t="s">
        <v>211</v>
      </c>
      <c r="C34" s="457" t="s">
        <v>221</v>
      </c>
      <c r="D34" s="101">
        <f t="shared" si="4"/>
        <v>19.13</v>
      </c>
      <c r="E34" s="101" t="s">
        <v>209</v>
      </c>
      <c r="F34" s="202"/>
      <c r="G34" s="202"/>
      <c r="H34" s="339">
        <f t="shared" si="3"/>
        <v>9.9600000000000009</v>
      </c>
      <c r="I34" s="339">
        <f>[1]B1!E35+'[1]CÔng Tăng'!E33-'[1]Cộng giảm'!E33</f>
        <v>6.93</v>
      </c>
      <c r="J34" s="339">
        <f>[1]B1!F35+'[1]CÔng Tăng'!F33-'[1]Cộng giảm'!F33</f>
        <v>0.21</v>
      </c>
      <c r="K34" s="339">
        <f>[1]B1!G35+'[1]CÔng Tăng'!G33-'[1]Cộng giảm'!G33</f>
        <v>1</v>
      </c>
      <c r="L34" s="339">
        <f>[1]B1!H35+'[1]CÔng Tăng'!H33-'[1]Cộng giảm'!H33</f>
        <v>0.22</v>
      </c>
      <c r="M34" s="339">
        <f>[1]B1!I35+'[1]CÔng Tăng'!I33-'[1]Cộng giảm'!I33</f>
        <v>0.17</v>
      </c>
      <c r="N34" s="339">
        <f>[1]B1!J35+'[1]CÔng Tăng'!J33-'[1]Cộng giảm'!J33</f>
        <v>0.15</v>
      </c>
      <c r="O34" s="339">
        <f>[1]B1!K35+'[1]CÔng Tăng'!K33-'[1]Cộng giảm'!K33</f>
        <v>0.16</v>
      </c>
      <c r="P34" s="339">
        <f>[1]B1!L35+'[1]CÔng Tăng'!L33-'[1]Cộng giảm'!L33</f>
        <v>0.15</v>
      </c>
      <c r="Q34" s="339">
        <f>[1]B1!M35+'[1]CÔng Tăng'!M33-'[1]Cộng giảm'!M33</f>
        <v>0.18</v>
      </c>
      <c r="R34" s="339">
        <f>[1]B1!N35+'[1]CÔng Tăng'!N33-'[1]Cộng giảm'!N33</f>
        <v>0.45</v>
      </c>
      <c r="S34" s="339">
        <f>[1]B1!O35+'[1]CÔng Tăng'!O33-'[1]Cộng giảm'!O33</f>
        <v>0.34</v>
      </c>
      <c r="U34" s="453"/>
    </row>
    <row r="35" spans="1:21" s="151" customFormat="1" ht="31.5">
      <c r="A35" s="154"/>
      <c r="B35" s="153" t="s">
        <v>212</v>
      </c>
      <c r="C35" s="457" t="s">
        <v>192</v>
      </c>
      <c r="D35" s="101">
        <f t="shared" si="4"/>
        <v>120.74</v>
      </c>
      <c r="E35" s="101">
        <v>0.66</v>
      </c>
      <c r="F35" s="202"/>
      <c r="G35" s="202"/>
      <c r="H35" s="339">
        <f t="shared" si="3"/>
        <v>64.53</v>
      </c>
      <c r="I35" s="339">
        <f>[1]B1!E36+'[1]CÔng Tăng'!E34-'[1]Cộng giảm'!E34</f>
        <v>20.170000000000002</v>
      </c>
      <c r="J35" s="339">
        <f>[1]B1!F36+'[1]CÔng Tăng'!F34-'[1]Cộng giảm'!F34</f>
        <v>6.59</v>
      </c>
      <c r="K35" s="339">
        <f>[1]B1!G36+'[1]CÔng Tăng'!G34-'[1]Cộng giảm'!G34</f>
        <v>6.1899999999999995</v>
      </c>
      <c r="L35" s="339">
        <f>[1]B1!H36+'[1]CÔng Tăng'!H34-'[1]Cộng giảm'!H34</f>
        <v>3.14</v>
      </c>
      <c r="M35" s="339">
        <f>[1]B1!I36+'[1]CÔng Tăng'!I34-'[1]Cộng giảm'!I34</f>
        <v>5.22</v>
      </c>
      <c r="N35" s="339">
        <f>[1]B1!J36+'[1]CÔng Tăng'!J34-'[1]Cộng giảm'!J34</f>
        <v>2.2399999999999998</v>
      </c>
      <c r="O35" s="339">
        <f>[1]B1!K36+'[1]CÔng Tăng'!K34-'[1]Cộng giảm'!K34</f>
        <v>4.8499999999999996</v>
      </c>
      <c r="P35" s="339">
        <f>[1]B1!L36+'[1]CÔng Tăng'!L34-'[1]Cộng giảm'!L34</f>
        <v>4.26</v>
      </c>
      <c r="Q35" s="339">
        <f>[1]B1!M36+'[1]CÔng Tăng'!M34-'[1]Cộng giảm'!M34</f>
        <v>2.89</v>
      </c>
      <c r="R35" s="339">
        <f>[1]B1!N36+'[1]CÔng Tăng'!N34-'[1]Cộng giảm'!N34</f>
        <v>4.05</v>
      </c>
      <c r="S35" s="339">
        <f>[1]B1!O36+'[1]CÔng Tăng'!O34-'[1]Cộng giảm'!O34</f>
        <v>4.93</v>
      </c>
      <c r="U35" s="453"/>
    </row>
    <row r="36" spans="1:21" s="151" customFormat="1" ht="15.75">
      <c r="A36" s="154"/>
      <c r="B36" s="153" t="s">
        <v>213</v>
      </c>
      <c r="C36" s="457" t="s">
        <v>195</v>
      </c>
      <c r="D36" s="104">
        <f t="shared" si="4"/>
        <v>111.44</v>
      </c>
      <c r="E36" s="101">
        <f>71.92+0.11</f>
        <v>72.03</v>
      </c>
      <c r="F36" s="202"/>
      <c r="G36" s="202"/>
      <c r="H36" s="339">
        <f t="shared" si="3"/>
        <v>21.270000000000003</v>
      </c>
      <c r="I36" s="339">
        <f>[1]B1!E37+'[1]CÔng Tăng'!E35-'[1]Cộng giảm'!E35</f>
        <v>4.08</v>
      </c>
      <c r="J36" s="339">
        <f>[1]B1!F37+'[1]CÔng Tăng'!F35-'[1]Cộng giảm'!F35</f>
        <v>3.41</v>
      </c>
      <c r="K36" s="339">
        <f>[1]B1!G37+'[1]CÔng Tăng'!G35-'[1]Cộng giảm'!G35</f>
        <v>1.63</v>
      </c>
      <c r="L36" s="339">
        <f>[1]B1!H37+'[1]CÔng Tăng'!H35-'[1]Cộng giảm'!H35</f>
        <v>1.28</v>
      </c>
      <c r="M36" s="339">
        <f>[1]B1!I37+'[1]CÔng Tăng'!I35-'[1]Cộng giảm'!I35</f>
        <v>1.23</v>
      </c>
      <c r="N36" s="339">
        <f>[1]B1!J37+'[1]CÔng Tăng'!J35-'[1]Cộng giảm'!J35</f>
        <v>2.91</v>
      </c>
      <c r="O36" s="339">
        <f>[1]B1!K37+'[1]CÔng Tăng'!K35-'[1]Cộng giảm'!K35</f>
        <v>1.32</v>
      </c>
      <c r="P36" s="339">
        <f>[1]B1!L37+'[1]CÔng Tăng'!L35-'[1]Cộng giảm'!L35</f>
        <v>0.68</v>
      </c>
      <c r="Q36" s="339">
        <f>[1]B1!M37+'[1]CÔng Tăng'!M35-'[1]Cộng giảm'!M35</f>
        <v>1.6</v>
      </c>
      <c r="R36" s="339">
        <f>[1]B1!N37+'[1]CÔng Tăng'!N35-'[1]Cộng giảm'!N35</f>
        <v>0</v>
      </c>
      <c r="S36" s="339">
        <f>[1]B1!O37+'[1]CÔng Tăng'!O35-'[1]Cộng giảm'!O35</f>
        <v>3.13</v>
      </c>
      <c r="U36" s="453"/>
    </row>
    <row r="37" spans="1:21" s="151" customFormat="1" ht="15.75">
      <c r="A37" s="154"/>
      <c r="B37" s="153" t="s">
        <v>248</v>
      </c>
      <c r="C37" s="457" t="s">
        <v>193</v>
      </c>
      <c r="D37" s="101">
        <f t="shared" si="4"/>
        <v>8620.15</v>
      </c>
      <c r="E37" s="101">
        <f>3.57+1</f>
        <v>4.57</v>
      </c>
      <c r="F37" s="202"/>
      <c r="G37" s="202"/>
      <c r="H37" s="339">
        <f t="shared" si="3"/>
        <v>4948.42</v>
      </c>
      <c r="I37" s="339">
        <f>[1]B1!E38+'[1]CÔng Tăng'!E36-'[1]Cộng giảm'!E36</f>
        <v>0.33999999999999997</v>
      </c>
      <c r="J37" s="339">
        <f>[1]B1!F38+'[1]CÔng Tăng'!F36-'[1]Cộng giảm'!F36</f>
        <v>1073.54</v>
      </c>
      <c r="K37" s="339">
        <f>[1]B1!G38+'[1]CÔng Tăng'!G36-'[1]Cộng giảm'!G36</f>
        <v>1.31</v>
      </c>
      <c r="L37" s="339">
        <f>[1]B1!H38+'[1]CÔng Tăng'!H36-'[1]Cộng giảm'!H36</f>
        <v>103.44</v>
      </c>
      <c r="M37" s="339">
        <f>[1]B1!I38+'[1]CÔng Tăng'!I36-'[1]Cộng giảm'!I36</f>
        <v>506.24</v>
      </c>
      <c r="N37" s="339">
        <f>[1]B1!J38+'[1]CÔng Tăng'!J36-'[1]Cộng giảm'!J36</f>
        <v>610.96</v>
      </c>
      <c r="O37" s="339">
        <f>[1]B1!K38+'[1]CÔng Tăng'!K36-'[1]Cộng giảm'!K36</f>
        <v>46.48</v>
      </c>
      <c r="P37" s="339">
        <f>[1]B1!L38+'[1]CÔng Tăng'!L36-'[1]Cộng giảm'!L36</f>
        <v>0</v>
      </c>
      <c r="Q37" s="339">
        <f>[1]B1!M38+'[1]CÔng Tăng'!M36-'[1]Cộng giảm'!M36</f>
        <v>1324.85</v>
      </c>
      <c r="R37" s="339">
        <f>[1]B1!N38+'[1]CÔng Tăng'!N36-'[1]Cộng giảm'!N36</f>
        <v>1171.1300000000001</v>
      </c>
      <c r="S37" s="339">
        <f>[1]B1!O38+'[1]CÔng Tăng'!O36-'[1]Cộng giảm'!O36</f>
        <v>110.13000000000001</v>
      </c>
      <c r="U37" s="453"/>
    </row>
    <row r="38" spans="1:21" s="151" customFormat="1" ht="15.75">
      <c r="A38" s="154"/>
      <c r="B38" s="153" t="s">
        <v>218</v>
      </c>
      <c r="C38" s="457" t="s">
        <v>224</v>
      </c>
      <c r="D38" s="101">
        <f t="shared" si="4"/>
        <v>2.2800000000000002</v>
      </c>
      <c r="E38" s="101">
        <v>0.28999999999999998</v>
      </c>
      <c r="F38" s="202"/>
      <c r="G38" s="202"/>
      <c r="H38" s="339">
        <f t="shared" si="3"/>
        <v>1.02</v>
      </c>
      <c r="I38" s="339">
        <f>[1]B1!E39+'[1]CÔng Tăng'!E37-'[1]Cộng giảm'!E37</f>
        <v>0.3</v>
      </c>
      <c r="J38" s="339">
        <f>[1]B1!F39+'[1]CÔng Tăng'!F37-'[1]Cộng giảm'!F37</f>
        <v>0.3</v>
      </c>
      <c r="K38" s="339">
        <f>[1]B1!G39+'[1]CÔng Tăng'!G37-'[1]Cộng giảm'!G37</f>
        <v>0.04</v>
      </c>
      <c r="L38" s="339">
        <f>[1]B1!H39+'[1]CÔng Tăng'!H37-'[1]Cộng giảm'!H37</f>
        <v>0</v>
      </c>
      <c r="M38" s="339">
        <f>[1]B1!I39+'[1]CÔng Tăng'!I37-'[1]Cộng giảm'!I37</f>
        <v>0.02</v>
      </c>
      <c r="N38" s="339">
        <f>[1]B1!J39+'[1]CÔng Tăng'!J37-'[1]Cộng giảm'!J37</f>
        <v>0.22</v>
      </c>
      <c r="O38" s="339">
        <f>[1]B1!K39+'[1]CÔng Tăng'!K37-'[1]Cộng giảm'!K37</f>
        <v>0.04</v>
      </c>
      <c r="P38" s="339">
        <f>[1]B1!L39+'[1]CÔng Tăng'!L37-'[1]Cộng giảm'!L37</f>
        <v>0.05</v>
      </c>
      <c r="Q38" s="339">
        <f>[1]B1!M39+'[1]CÔng Tăng'!M37-'[1]Cộng giảm'!M37</f>
        <v>0</v>
      </c>
      <c r="R38" s="339">
        <f>[1]B1!N39+'[1]CÔng Tăng'!N37-'[1]Cộng giảm'!N37</f>
        <v>0.03</v>
      </c>
      <c r="S38" s="339">
        <f>[1]B1!O39+'[1]CÔng Tăng'!O37-'[1]Cộng giảm'!O37</f>
        <v>0.02</v>
      </c>
      <c r="U38" s="453"/>
    </row>
    <row r="39" spans="1:21" s="151" customFormat="1" ht="15" customHeight="1">
      <c r="A39" s="154"/>
      <c r="B39" s="153" t="s">
        <v>244</v>
      </c>
      <c r="C39" s="457" t="s">
        <v>245</v>
      </c>
      <c r="D39" s="101">
        <f t="shared" si="4"/>
        <v>0.31</v>
      </c>
      <c r="E39" s="101">
        <v>0.31</v>
      </c>
      <c r="F39" s="202"/>
      <c r="G39" s="202"/>
      <c r="H39" s="339">
        <f t="shared" si="3"/>
        <v>0</v>
      </c>
      <c r="I39" s="339">
        <f>[1]B1!E40+'[1]CÔng Tăng'!E38-'[1]Cộng giảm'!E38</f>
        <v>0</v>
      </c>
      <c r="J39" s="339">
        <f>[1]B1!F40+'[1]CÔng Tăng'!F38-'[1]Cộng giảm'!F38</f>
        <v>0</v>
      </c>
      <c r="K39" s="339">
        <f>[1]B1!G40+'[1]CÔng Tăng'!G38-'[1]Cộng giảm'!G38</f>
        <v>0</v>
      </c>
      <c r="L39" s="339">
        <f>[1]B1!H40+'[1]CÔng Tăng'!H38-'[1]Cộng giảm'!H38</f>
        <v>0</v>
      </c>
      <c r="M39" s="339">
        <f>[1]B1!I40+'[1]CÔng Tăng'!I38-'[1]Cộng giảm'!I38</f>
        <v>0</v>
      </c>
      <c r="N39" s="339">
        <f>[1]B1!J40+'[1]CÔng Tăng'!J38-'[1]Cộng giảm'!J38</f>
        <v>0</v>
      </c>
      <c r="O39" s="339">
        <f>[1]B1!K40+'[1]CÔng Tăng'!K38-'[1]Cộng giảm'!K38</f>
        <v>0</v>
      </c>
      <c r="P39" s="339">
        <f>[1]B1!L40+'[1]CÔng Tăng'!L38-'[1]Cộng giảm'!L38</f>
        <v>0</v>
      </c>
      <c r="Q39" s="339">
        <f>[1]B1!M40+'[1]CÔng Tăng'!M38-'[1]Cộng giảm'!M38</f>
        <v>0</v>
      </c>
      <c r="R39" s="339">
        <f>[1]B1!N40+'[1]CÔng Tăng'!N38-'[1]Cộng giảm'!N38</f>
        <v>0</v>
      </c>
      <c r="S39" s="339">
        <f>[1]B1!O40+'[1]CÔng Tăng'!O38-'[1]Cộng giảm'!O38</f>
        <v>0</v>
      </c>
      <c r="U39" s="453"/>
    </row>
    <row r="40" spans="1:21" s="151" customFormat="1" ht="15.75" customHeight="1">
      <c r="A40" s="154"/>
      <c r="B40" s="153" t="s">
        <v>46</v>
      </c>
      <c r="C40" s="457" t="s">
        <v>47</v>
      </c>
      <c r="D40" s="101">
        <f t="shared" si="4"/>
        <v>20.459999999999997</v>
      </c>
      <c r="E40" s="101">
        <v>1.48</v>
      </c>
      <c r="F40" s="202"/>
      <c r="G40" s="202"/>
      <c r="H40" s="339">
        <f t="shared" si="3"/>
        <v>11.16</v>
      </c>
      <c r="I40" s="339">
        <f>[1]B1!E41+'[1]CÔng Tăng'!E39-'[1]Cộng giảm'!E39</f>
        <v>0</v>
      </c>
      <c r="J40" s="339">
        <f>[1]B1!F41+'[1]CÔng Tăng'!F39-'[1]Cộng giảm'!F39</f>
        <v>5.47</v>
      </c>
      <c r="K40" s="339">
        <f>[1]B1!G41+'[1]CÔng Tăng'!G39-'[1]Cộng giảm'!G39</f>
        <v>0.22</v>
      </c>
      <c r="L40" s="339">
        <f>[1]B1!H41+'[1]CÔng Tăng'!H39-'[1]Cộng giảm'!H39</f>
        <v>2.13</v>
      </c>
      <c r="M40" s="339">
        <f>[1]B1!I41+'[1]CÔng Tăng'!I39-'[1]Cộng giảm'!I39</f>
        <v>0</v>
      </c>
      <c r="N40" s="339">
        <f>[1]B1!J41+'[1]CÔng Tăng'!J39-'[1]Cộng giảm'!J39</f>
        <v>0</v>
      </c>
      <c r="O40" s="339">
        <f>[1]B1!K41+'[1]CÔng Tăng'!K39-'[1]Cộng giảm'!K39</f>
        <v>0</v>
      </c>
      <c r="P40" s="339">
        <f>[1]B1!L41+'[1]CÔng Tăng'!L39-'[1]Cộng giảm'!L39</f>
        <v>0</v>
      </c>
      <c r="Q40" s="339">
        <f>[1]B1!M41+'[1]CÔng Tăng'!M39-'[1]Cộng giảm'!M39</f>
        <v>0</v>
      </c>
      <c r="R40" s="339">
        <f>[1]B1!N41+'[1]CÔng Tăng'!N39-'[1]Cộng giảm'!N39</f>
        <v>0</v>
      </c>
      <c r="S40" s="339">
        <f>[1]B1!O41+'[1]CÔng Tăng'!O39-'[1]Cộng giảm'!O39</f>
        <v>3.34</v>
      </c>
      <c r="U40" s="453"/>
    </row>
    <row r="41" spans="1:21" s="110" customFormat="1" ht="15.75">
      <c r="A41" s="108"/>
      <c r="B41" s="22" t="s">
        <v>50</v>
      </c>
      <c r="C41" s="23" t="s">
        <v>51</v>
      </c>
      <c r="D41" s="97">
        <v>20.9</v>
      </c>
      <c r="E41" s="109">
        <f t="shared" ref="E41:E58" si="5">H41-D41</f>
        <v>4.6500000000000021</v>
      </c>
      <c r="F41" s="201"/>
      <c r="G41" s="201"/>
      <c r="H41" s="339">
        <f t="shared" si="3"/>
        <v>25.55</v>
      </c>
      <c r="I41" s="339">
        <f>[1]B1!E42+'[1]CÔng Tăng'!E40-'[1]Cộng giảm'!E40</f>
        <v>0.93</v>
      </c>
      <c r="J41" s="339">
        <f>[1]B1!F42+'[1]CÔng Tăng'!F40-'[1]Cộng giảm'!F40</f>
        <v>2</v>
      </c>
      <c r="K41" s="339">
        <f>[1]B1!G42+'[1]CÔng Tăng'!G40-'[1]Cộng giảm'!G40</f>
        <v>0</v>
      </c>
      <c r="L41" s="339">
        <f>[1]B1!H42+'[1]CÔng Tăng'!H40-'[1]Cộng giảm'!H40</f>
        <v>2.4</v>
      </c>
      <c r="M41" s="339">
        <f>[1]B1!I42+'[1]CÔng Tăng'!I40-'[1]Cộng giảm'!I40</f>
        <v>1.72</v>
      </c>
      <c r="N41" s="339">
        <f>[1]B1!J42+'[1]CÔng Tăng'!J40-'[1]Cộng giảm'!J40</f>
        <v>0</v>
      </c>
      <c r="O41" s="339">
        <f>[1]B1!K42+'[1]CÔng Tăng'!K40-'[1]Cộng giảm'!K40</f>
        <v>0</v>
      </c>
      <c r="P41" s="339">
        <f>[1]B1!L42+'[1]CÔng Tăng'!L40-'[1]Cộng giảm'!L40</f>
        <v>0</v>
      </c>
      <c r="Q41" s="339">
        <f>[1]B1!M42+'[1]CÔng Tăng'!M40-'[1]Cộng giảm'!M40</f>
        <v>0</v>
      </c>
      <c r="R41" s="339">
        <f>[1]B1!N42+'[1]CÔng Tăng'!N40-'[1]Cộng giảm'!N40</f>
        <v>18.5</v>
      </c>
      <c r="S41" s="339">
        <f>[1]B1!O42+'[1]CÔng Tăng'!O40-'[1]Cộng giảm'!O40</f>
        <v>0</v>
      </c>
      <c r="T41" s="452"/>
      <c r="U41" s="453"/>
    </row>
    <row r="42" spans="1:21" s="110" customFormat="1" ht="15.75">
      <c r="A42" s="108"/>
      <c r="B42" s="22" t="s">
        <v>62</v>
      </c>
      <c r="C42" s="23" t="s">
        <v>63</v>
      </c>
      <c r="D42" s="97"/>
      <c r="E42" s="109">
        <f t="shared" si="5"/>
        <v>12.33</v>
      </c>
      <c r="F42" s="201"/>
      <c r="G42" s="201"/>
      <c r="H42" s="339">
        <f t="shared" si="3"/>
        <v>12.33</v>
      </c>
      <c r="I42" s="339">
        <f>[1]B1!E43+'[1]CÔng Tăng'!E41-'[1]Cộng giảm'!E41</f>
        <v>4.99</v>
      </c>
      <c r="J42" s="339">
        <f>[1]B1!F43+'[1]CÔng Tăng'!F41-'[1]Cộng giảm'!F41</f>
        <v>2.64</v>
      </c>
      <c r="K42" s="339">
        <f>[1]B1!G43+'[1]CÔng Tăng'!G41-'[1]Cộng giảm'!G41</f>
        <v>0</v>
      </c>
      <c r="L42" s="339">
        <f>[1]B1!H43+'[1]CÔng Tăng'!H41-'[1]Cộng giảm'!H41</f>
        <v>3.96</v>
      </c>
      <c r="M42" s="339">
        <f>[1]B1!I43+'[1]CÔng Tăng'!I41-'[1]Cộng giảm'!I41</f>
        <v>0.23</v>
      </c>
      <c r="N42" s="339">
        <f>[1]B1!J43+'[1]CÔng Tăng'!J41-'[1]Cộng giảm'!J41</f>
        <v>0.25</v>
      </c>
      <c r="O42" s="339">
        <f>[1]B1!K43+'[1]CÔng Tăng'!K41-'[1]Cộng giảm'!K41</f>
        <v>0</v>
      </c>
      <c r="P42" s="339">
        <f>[1]B1!L43+'[1]CÔng Tăng'!L41-'[1]Cộng giảm'!L41</f>
        <v>0</v>
      </c>
      <c r="Q42" s="339">
        <f>[1]B1!M43+'[1]CÔng Tăng'!M41-'[1]Cộng giảm'!M41</f>
        <v>0</v>
      </c>
      <c r="R42" s="339">
        <f>[1]B1!N43+'[1]CÔng Tăng'!N41-'[1]Cộng giảm'!N41</f>
        <v>0</v>
      </c>
      <c r="S42" s="339">
        <f>[1]B1!O43+'[1]CÔng Tăng'!O41-'[1]Cộng giảm'!O41</f>
        <v>0.26</v>
      </c>
      <c r="T42" s="452"/>
      <c r="U42" s="453"/>
    </row>
    <row r="43" spans="1:21" s="110" customFormat="1" ht="30">
      <c r="A43" s="108"/>
      <c r="B43" s="22" t="s">
        <v>246</v>
      </c>
      <c r="C43" s="23" t="s">
        <v>64</v>
      </c>
      <c r="D43" s="97">
        <v>28.5</v>
      </c>
      <c r="E43" s="109">
        <f t="shared" si="5"/>
        <v>111.35</v>
      </c>
      <c r="F43" s="201"/>
      <c r="G43" s="201"/>
      <c r="H43" s="339">
        <f t="shared" si="3"/>
        <v>139.85</v>
      </c>
      <c r="I43" s="339">
        <f>[1]B1!E44+'[1]CÔng Tăng'!E42-'[1]Cộng giảm'!E42</f>
        <v>12.18</v>
      </c>
      <c r="J43" s="339">
        <f>[1]B1!F44+'[1]CÔng Tăng'!F42-'[1]Cộng giảm'!F42</f>
        <v>6.41</v>
      </c>
      <c r="K43" s="339">
        <f>[1]B1!G44+'[1]CÔng Tăng'!G42-'[1]Cộng giảm'!G42</f>
        <v>15.17</v>
      </c>
      <c r="L43" s="339">
        <f>[1]B1!H44+'[1]CÔng Tăng'!H42-'[1]Cộng giảm'!H42</f>
        <v>17.61</v>
      </c>
      <c r="M43" s="339">
        <f>[1]B1!I44+'[1]CÔng Tăng'!I42-'[1]Cộng giảm'!I42</f>
        <v>25.65</v>
      </c>
      <c r="N43" s="339">
        <f>[1]B1!J44+'[1]CÔng Tăng'!J42-'[1]Cộng giảm'!J42</f>
        <v>8.4400000000000013</v>
      </c>
      <c r="O43" s="339">
        <f>[1]B1!K44+'[1]CÔng Tăng'!K42-'[1]Cộng giảm'!K42</f>
        <v>9.7799999999999994</v>
      </c>
      <c r="P43" s="339">
        <f>[1]B1!L44+'[1]CÔng Tăng'!L42-'[1]Cộng giảm'!L42</f>
        <v>26.8</v>
      </c>
      <c r="Q43" s="339">
        <f>[1]B1!M44+'[1]CÔng Tăng'!M42-'[1]Cộng giảm'!M42</f>
        <v>3.03</v>
      </c>
      <c r="R43" s="339">
        <f>[1]B1!N44+'[1]CÔng Tăng'!N42-'[1]Cộng giảm'!N42</f>
        <v>3.8200000000000003</v>
      </c>
      <c r="S43" s="339">
        <f>[1]B1!O44+'[1]CÔng Tăng'!O42-'[1]Cộng giảm'!O42</f>
        <v>10.96</v>
      </c>
      <c r="T43" s="452"/>
      <c r="U43" s="453"/>
    </row>
    <row r="44" spans="1:21" s="110" customFormat="1" ht="18" customHeight="1">
      <c r="A44" s="108"/>
      <c r="B44" s="22" t="s">
        <v>214</v>
      </c>
      <c r="C44" s="23" t="s">
        <v>222</v>
      </c>
      <c r="D44" s="97">
        <v>880.71000000000015</v>
      </c>
      <c r="E44" s="109">
        <f t="shared" si="5"/>
        <v>-880.71000000000015</v>
      </c>
      <c r="F44" s="201"/>
      <c r="G44" s="201"/>
      <c r="H44" s="339">
        <f t="shared" si="3"/>
        <v>0</v>
      </c>
      <c r="I44" s="339">
        <f>[1]B1!E45+'[1]CÔng Tăng'!E43-'[1]Cộng giảm'!E43</f>
        <v>0</v>
      </c>
      <c r="J44" s="339">
        <f>[1]B1!F45+'[1]CÔng Tăng'!F43-'[1]Cộng giảm'!F43</f>
        <v>0</v>
      </c>
      <c r="K44" s="339">
        <f>[1]B1!G45+'[1]CÔng Tăng'!G43-'[1]Cộng giảm'!G43</f>
        <v>0</v>
      </c>
      <c r="L44" s="339">
        <f>[1]B1!H45+'[1]CÔng Tăng'!H43-'[1]Cộng giảm'!H43</f>
        <v>0</v>
      </c>
      <c r="M44" s="339">
        <f>[1]B1!I45+'[1]CÔng Tăng'!I43-'[1]Cộng giảm'!I43</f>
        <v>0</v>
      </c>
      <c r="N44" s="339">
        <f>[1]B1!J45+'[1]CÔng Tăng'!J43-'[1]Cộng giảm'!J43</f>
        <v>0</v>
      </c>
      <c r="O44" s="339">
        <f>[1]B1!K45+'[1]CÔng Tăng'!K43-'[1]Cộng giảm'!K43</f>
        <v>0</v>
      </c>
      <c r="P44" s="339">
        <f>[1]B1!L45+'[1]CÔng Tăng'!L43-'[1]Cộng giảm'!L43</f>
        <v>0</v>
      </c>
      <c r="Q44" s="339">
        <f>[1]B1!M45+'[1]CÔng Tăng'!M43-'[1]Cộng giảm'!M43</f>
        <v>0</v>
      </c>
      <c r="R44" s="339">
        <f>[1]B1!N45+'[1]CÔng Tăng'!N43-'[1]Cộng giảm'!N43</f>
        <v>0</v>
      </c>
      <c r="S44" s="339">
        <f>[1]B1!O45+'[1]CÔng Tăng'!O43-'[1]Cộng giảm'!O43</f>
        <v>0</v>
      </c>
      <c r="T44" s="452"/>
      <c r="U44" s="453"/>
    </row>
    <row r="45" spans="1:21" s="110" customFormat="1" ht="12.75" customHeight="1">
      <c r="A45" s="108"/>
      <c r="B45" s="22" t="s">
        <v>215</v>
      </c>
      <c r="C45" s="23" t="s">
        <v>223</v>
      </c>
      <c r="D45" s="97">
        <v>111.30000000000001</v>
      </c>
      <c r="E45" s="109">
        <f t="shared" si="5"/>
        <v>-110.64000000000001</v>
      </c>
      <c r="F45" s="201"/>
      <c r="G45" s="201"/>
      <c r="H45" s="339">
        <f t="shared" si="3"/>
        <v>0.66</v>
      </c>
      <c r="I45" s="339">
        <f>[1]B1!E46+'[1]CÔng Tăng'!E44-'[1]Cộng giảm'!E44</f>
        <v>0.66</v>
      </c>
      <c r="J45" s="339">
        <f>[1]B1!F46+'[1]CÔng Tăng'!F44-'[1]Cộng giảm'!F44</f>
        <v>0</v>
      </c>
      <c r="K45" s="339">
        <f>[1]B1!G46+'[1]CÔng Tăng'!G44-'[1]Cộng giảm'!G44</f>
        <v>0</v>
      </c>
      <c r="L45" s="339">
        <f>[1]B1!H46+'[1]CÔng Tăng'!H44-'[1]Cộng giảm'!H44</f>
        <v>0</v>
      </c>
      <c r="M45" s="339">
        <f>[1]B1!I46+'[1]CÔng Tăng'!I44-'[1]Cộng giảm'!I44</f>
        <v>0</v>
      </c>
      <c r="N45" s="339">
        <f>[1]B1!J46+'[1]CÔng Tăng'!J44-'[1]Cộng giảm'!J44</f>
        <v>0</v>
      </c>
      <c r="O45" s="339">
        <f>[1]B1!K46+'[1]CÔng Tăng'!K44-'[1]Cộng giảm'!K44</f>
        <v>0</v>
      </c>
      <c r="P45" s="339">
        <f>[1]B1!L46+'[1]CÔng Tăng'!L44-'[1]Cộng giảm'!L44</f>
        <v>0</v>
      </c>
      <c r="Q45" s="339">
        <f>[1]B1!M46+'[1]CÔng Tăng'!M44-'[1]Cộng giảm'!M44</f>
        <v>0</v>
      </c>
      <c r="R45" s="339">
        <f>[1]B1!N46+'[1]CÔng Tăng'!N44-'[1]Cộng giảm'!N44</f>
        <v>0</v>
      </c>
      <c r="S45" s="339">
        <f>[1]B1!O46+'[1]CÔng Tăng'!O44-'[1]Cộng giảm'!O44</f>
        <v>0</v>
      </c>
      <c r="T45" s="452"/>
      <c r="U45" s="453"/>
    </row>
    <row r="46" spans="1:21" s="208" customFormat="1" ht="15.75">
      <c r="A46" s="108"/>
      <c r="B46" s="22" t="s">
        <v>219</v>
      </c>
      <c r="C46" s="23" t="s">
        <v>204</v>
      </c>
      <c r="D46" s="97">
        <v>33.309999999999995</v>
      </c>
      <c r="E46" s="109">
        <f t="shared" si="5"/>
        <v>-29.559999999999995</v>
      </c>
      <c r="F46" s="201"/>
      <c r="G46" s="201"/>
      <c r="H46" s="339">
        <f t="shared" si="3"/>
        <v>3.7499999999999991</v>
      </c>
      <c r="I46" s="339">
        <f>[1]B1!E47+'[1]CÔng Tăng'!E45-'[1]Cộng giảm'!E45</f>
        <v>1.48</v>
      </c>
      <c r="J46" s="339">
        <f>[1]B1!F47+'[1]CÔng Tăng'!F45-'[1]Cộng giảm'!F45</f>
        <v>0.4</v>
      </c>
      <c r="K46" s="339">
        <f>[1]B1!G47+'[1]CÔng Tăng'!G45-'[1]Cộng giảm'!G45</f>
        <v>0.3</v>
      </c>
      <c r="L46" s="339">
        <f>[1]B1!H47+'[1]CÔng Tăng'!H45-'[1]Cộng giảm'!H45</f>
        <v>0.3</v>
      </c>
      <c r="M46" s="339">
        <f>[1]B1!I47+'[1]CÔng Tăng'!I45-'[1]Cộng giảm'!I45</f>
        <v>0.09</v>
      </c>
      <c r="N46" s="339">
        <f>[1]B1!J47+'[1]CÔng Tăng'!J45-'[1]Cộng giảm'!J45</f>
        <v>0</v>
      </c>
      <c r="O46" s="339">
        <f>[1]B1!K47+'[1]CÔng Tăng'!K45-'[1]Cộng giảm'!K45</f>
        <v>0</v>
      </c>
      <c r="P46" s="339">
        <f>[1]B1!L47+'[1]CÔng Tăng'!L45-'[1]Cộng giảm'!L45</f>
        <v>0</v>
      </c>
      <c r="Q46" s="339">
        <f>[1]B1!M47+'[1]CÔng Tăng'!M45-'[1]Cộng giảm'!M45</f>
        <v>0</v>
      </c>
      <c r="R46" s="339">
        <f>[1]B1!N47+'[1]CÔng Tăng'!N45-'[1]Cộng giảm'!N45</f>
        <v>0</v>
      </c>
      <c r="S46" s="339">
        <f>[1]B1!O47+'[1]CÔng Tăng'!O45-'[1]Cộng giảm'!O45</f>
        <v>1.18</v>
      </c>
      <c r="T46" s="452"/>
      <c r="U46" s="453"/>
    </row>
    <row r="47" spans="1:21" s="135" customFormat="1" ht="15.75">
      <c r="A47" s="78" t="s">
        <v>156</v>
      </c>
      <c r="B47" s="20" t="s">
        <v>48</v>
      </c>
      <c r="C47" s="21" t="s">
        <v>49</v>
      </c>
      <c r="D47" s="96">
        <v>1</v>
      </c>
      <c r="E47" s="99">
        <f t="shared" si="5"/>
        <v>-1</v>
      </c>
      <c r="F47" s="200"/>
      <c r="G47" s="200"/>
      <c r="H47" s="44">
        <f t="shared" si="3"/>
        <v>0</v>
      </c>
      <c r="I47" s="44">
        <f>[1]B1!E48+'[1]CÔng Tăng'!E46-'[1]Cộng giảm'!E46</f>
        <v>0</v>
      </c>
      <c r="J47" s="44">
        <f>[1]B1!F48+'[1]CÔng Tăng'!F46-'[1]Cộng giảm'!F46</f>
        <v>0</v>
      </c>
      <c r="K47" s="44">
        <f>[1]B1!G48+'[1]CÔng Tăng'!G46-'[1]Cộng giảm'!G46</f>
        <v>0</v>
      </c>
      <c r="L47" s="44">
        <f>[1]B1!H48+'[1]CÔng Tăng'!H46-'[1]Cộng giảm'!H46</f>
        <v>0</v>
      </c>
      <c r="M47" s="44">
        <f>[1]B1!I48+'[1]CÔng Tăng'!I46-'[1]Cộng giảm'!I46</f>
        <v>0</v>
      </c>
      <c r="N47" s="44">
        <f>[1]B1!J48+'[1]CÔng Tăng'!J46-'[1]Cộng giảm'!J46</f>
        <v>0</v>
      </c>
      <c r="O47" s="44">
        <f>[1]B1!K48+'[1]CÔng Tăng'!K46-'[1]Cộng giảm'!K46</f>
        <v>0</v>
      </c>
      <c r="P47" s="44">
        <f>[1]B1!L48+'[1]CÔng Tăng'!L46-'[1]Cộng giảm'!L46</f>
        <v>0</v>
      </c>
      <c r="Q47" s="44">
        <f>[1]B1!M48+'[1]CÔng Tăng'!M46-'[1]Cộng giảm'!M46</f>
        <v>0</v>
      </c>
      <c r="R47" s="44">
        <f>[1]B1!N48+'[1]CÔng Tăng'!N46-'[1]Cộng giảm'!N46</f>
        <v>0</v>
      </c>
      <c r="S47" s="44">
        <f>[1]B1!O48+'[1]CÔng Tăng'!O46-'[1]Cộng giảm'!O46</f>
        <v>0</v>
      </c>
      <c r="T47" s="451"/>
      <c r="U47" s="450"/>
    </row>
    <row r="48" spans="1:21" s="135" customFormat="1" ht="15.75">
      <c r="A48" s="78" t="s">
        <v>157</v>
      </c>
      <c r="B48" s="20" t="s">
        <v>67</v>
      </c>
      <c r="C48" s="21" t="s">
        <v>68</v>
      </c>
      <c r="D48" s="96"/>
      <c r="E48" s="99">
        <f t="shared" si="5"/>
        <v>13.720000000000002</v>
      </c>
      <c r="F48" s="200"/>
      <c r="G48" s="200"/>
      <c r="H48" s="44">
        <f t="shared" si="3"/>
        <v>13.720000000000002</v>
      </c>
      <c r="I48" s="44">
        <f>[1]B1!E49+'[1]CÔng Tăng'!E47-'[1]Cộng giảm'!E47</f>
        <v>2.16</v>
      </c>
      <c r="J48" s="44">
        <f>[1]B1!F49+'[1]CÔng Tăng'!F47-'[1]Cộng giảm'!F47</f>
        <v>1.35</v>
      </c>
      <c r="K48" s="44">
        <f>[1]B1!G49+'[1]CÔng Tăng'!G47-'[1]Cộng giảm'!G47</f>
        <v>1.97</v>
      </c>
      <c r="L48" s="44">
        <f>[1]B1!H49+'[1]CÔng Tăng'!H47-'[1]Cộng giảm'!H47</f>
        <v>0.49</v>
      </c>
      <c r="M48" s="44">
        <f>[1]B1!I49+'[1]CÔng Tăng'!I47-'[1]Cộng giảm'!I47</f>
        <v>0.92000000000000015</v>
      </c>
      <c r="N48" s="44">
        <f>[1]B1!J49+'[1]CÔng Tăng'!J47-'[1]Cộng giảm'!J47</f>
        <v>1.96</v>
      </c>
      <c r="O48" s="44">
        <f>[1]B1!K49+'[1]CÔng Tăng'!K47-'[1]Cộng giảm'!K47</f>
        <v>0.26</v>
      </c>
      <c r="P48" s="44">
        <f>[1]B1!L49+'[1]CÔng Tăng'!L47-'[1]Cộng giảm'!L47</f>
        <v>0.79</v>
      </c>
      <c r="Q48" s="44">
        <f>[1]B1!M49+'[1]CÔng Tăng'!M47-'[1]Cộng giảm'!M47</f>
        <v>0.89</v>
      </c>
      <c r="R48" s="44">
        <f>[1]B1!N49+'[1]CÔng Tăng'!N47-'[1]Cộng giảm'!N47</f>
        <v>1.38</v>
      </c>
      <c r="S48" s="44">
        <f>[1]B1!O49+'[1]CÔng Tăng'!O47-'[1]Cộng giảm'!O47</f>
        <v>1.55</v>
      </c>
      <c r="T48" s="451"/>
      <c r="U48" s="450"/>
    </row>
    <row r="49" spans="1:21" s="135" customFormat="1" ht="15.75">
      <c r="A49" s="78" t="s">
        <v>158</v>
      </c>
      <c r="B49" s="20" t="s">
        <v>69</v>
      </c>
      <c r="C49" s="21" t="s">
        <v>70</v>
      </c>
      <c r="D49" s="96">
        <v>9.3400000000000016</v>
      </c>
      <c r="E49" s="99">
        <f t="shared" si="5"/>
        <v>-3.490000000000002</v>
      </c>
      <c r="F49" s="200"/>
      <c r="G49" s="200"/>
      <c r="H49" s="44">
        <f t="shared" si="3"/>
        <v>5.85</v>
      </c>
      <c r="I49" s="44">
        <f>[1]B1!E50+'[1]CÔng Tăng'!E48-'[1]Cộng giảm'!E48</f>
        <v>2.4</v>
      </c>
      <c r="J49" s="44">
        <f>[1]B1!F50+'[1]CÔng Tăng'!F48-'[1]Cộng giảm'!F48</f>
        <v>0</v>
      </c>
      <c r="K49" s="44">
        <f>[1]B1!G50+'[1]CÔng Tăng'!G48-'[1]Cộng giảm'!G48</f>
        <v>2.77</v>
      </c>
      <c r="L49" s="44">
        <f>[1]B1!H50+'[1]CÔng Tăng'!H48-'[1]Cộng giảm'!H48</f>
        <v>0</v>
      </c>
      <c r="M49" s="44">
        <f>[1]B1!I50+'[1]CÔng Tăng'!I48-'[1]Cộng giảm'!I48</f>
        <v>0.68</v>
      </c>
      <c r="N49" s="44">
        <f>[1]B1!J50+'[1]CÔng Tăng'!J48-'[1]Cộng giảm'!J48</f>
        <v>0</v>
      </c>
      <c r="O49" s="44">
        <f>[1]B1!K50+'[1]CÔng Tăng'!K48-'[1]Cộng giảm'!K48</f>
        <v>0</v>
      </c>
      <c r="P49" s="44">
        <f>[1]B1!L50+'[1]CÔng Tăng'!L48-'[1]Cộng giảm'!L48</f>
        <v>0</v>
      </c>
      <c r="Q49" s="44">
        <f>[1]B1!M50+'[1]CÔng Tăng'!M48-'[1]Cộng giảm'!M48</f>
        <v>0</v>
      </c>
      <c r="R49" s="44">
        <f>[1]B1!N50+'[1]CÔng Tăng'!N48-'[1]Cộng giảm'!N48</f>
        <v>0</v>
      </c>
      <c r="S49" s="44">
        <f>[1]B1!O50+'[1]CÔng Tăng'!O48-'[1]Cộng giảm'!O48</f>
        <v>0</v>
      </c>
      <c r="T49" s="451"/>
      <c r="U49" s="450"/>
    </row>
    <row r="50" spans="1:21" s="135" customFormat="1" ht="15.75">
      <c r="A50" s="78" t="s">
        <v>159</v>
      </c>
      <c r="B50" s="20" t="s">
        <v>52</v>
      </c>
      <c r="C50" s="21" t="s">
        <v>53</v>
      </c>
      <c r="D50" s="96">
        <v>170.36</v>
      </c>
      <c r="E50" s="99">
        <f t="shared" si="5"/>
        <v>892.84000000000026</v>
      </c>
      <c r="F50" s="200"/>
      <c r="G50" s="200"/>
      <c r="H50" s="44">
        <f t="shared" si="3"/>
        <v>1063.2000000000003</v>
      </c>
      <c r="I50" s="44">
        <f>[1]B1!E51+'[1]CÔng Tăng'!E49-'[1]Cộng giảm'!E49</f>
        <v>0</v>
      </c>
      <c r="J50" s="44">
        <f>[1]B1!F51+'[1]CÔng Tăng'!F49-'[1]Cộng giảm'!F49</f>
        <v>115.19000000000001</v>
      </c>
      <c r="K50" s="44">
        <f>[1]B1!G51+'[1]CÔng Tăng'!G49-'[1]Cộng giảm'!G49</f>
        <v>221.64999999999998</v>
      </c>
      <c r="L50" s="44">
        <f>[1]B1!H51+'[1]CÔng Tăng'!H49-'[1]Cộng giảm'!H49</f>
        <v>81.439999999999984</v>
      </c>
      <c r="M50" s="44">
        <f>[1]B1!I51+'[1]CÔng Tăng'!I49-'[1]Cộng giảm'!I49</f>
        <v>95.920000000000016</v>
      </c>
      <c r="N50" s="44">
        <f>[1]B1!J51+'[1]CÔng Tăng'!J49-'[1]Cộng giảm'!J49</f>
        <v>67.190000000000012</v>
      </c>
      <c r="O50" s="44">
        <f>[1]B1!K51+'[1]CÔng Tăng'!K49-'[1]Cộng giảm'!K49</f>
        <v>72.830000000000013</v>
      </c>
      <c r="P50" s="44">
        <f>[1]B1!L51+'[1]CÔng Tăng'!L49-'[1]Cộng giảm'!L49</f>
        <v>60.480000000000004</v>
      </c>
      <c r="Q50" s="44">
        <f>[1]B1!M51+'[1]CÔng Tăng'!M49-'[1]Cộng giảm'!M49</f>
        <v>89.75</v>
      </c>
      <c r="R50" s="44">
        <f>[1]B1!N51+'[1]CÔng Tăng'!N49-'[1]Cộng giảm'!N49</f>
        <v>64.12</v>
      </c>
      <c r="S50" s="44">
        <f>[1]B1!O51+'[1]CÔng Tăng'!O49-'[1]Cộng giảm'!O49</f>
        <v>194.63</v>
      </c>
      <c r="T50" s="451"/>
      <c r="U50" s="450"/>
    </row>
    <row r="51" spans="1:21" s="135" customFormat="1" ht="15.75">
      <c r="A51" s="78" t="s">
        <v>160</v>
      </c>
      <c r="B51" s="20" t="s">
        <v>54</v>
      </c>
      <c r="C51" s="21" t="s">
        <v>55</v>
      </c>
      <c r="D51" s="96">
        <v>203.18</v>
      </c>
      <c r="E51" s="99">
        <f t="shared" si="5"/>
        <v>10.360000000000014</v>
      </c>
      <c r="F51" s="200"/>
      <c r="G51" s="200"/>
      <c r="H51" s="44">
        <f t="shared" si="3"/>
        <v>213.54000000000002</v>
      </c>
      <c r="I51" s="44">
        <f>[1]B1!E52+'[1]CÔng Tăng'!E50-'[1]Cộng giảm'!E50</f>
        <v>213.54000000000002</v>
      </c>
      <c r="J51" s="44">
        <f>[1]B1!F52+'[1]CÔng Tăng'!F50-'[1]Cộng giảm'!F50</f>
        <v>0</v>
      </c>
      <c r="K51" s="44">
        <f>[1]B1!G52+'[1]CÔng Tăng'!G50-'[1]Cộng giảm'!G50</f>
        <v>0</v>
      </c>
      <c r="L51" s="44">
        <f>[1]B1!H52+'[1]CÔng Tăng'!H50-'[1]Cộng giảm'!H50</f>
        <v>0</v>
      </c>
      <c r="M51" s="44">
        <f>[1]B1!I52+'[1]CÔng Tăng'!I50-'[1]Cộng giảm'!I50</f>
        <v>0</v>
      </c>
      <c r="N51" s="44">
        <f>[1]B1!J52+'[1]CÔng Tăng'!J50-'[1]Cộng giảm'!J50</f>
        <v>0</v>
      </c>
      <c r="O51" s="44">
        <f>[1]B1!K52+'[1]CÔng Tăng'!K50-'[1]Cộng giảm'!K50</f>
        <v>0</v>
      </c>
      <c r="P51" s="44">
        <f>[1]B1!L52+'[1]CÔng Tăng'!L50-'[1]Cộng giảm'!L50</f>
        <v>0</v>
      </c>
      <c r="Q51" s="44">
        <f>[1]B1!M52+'[1]CÔng Tăng'!M50-'[1]Cộng giảm'!M50</f>
        <v>0</v>
      </c>
      <c r="R51" s="44">
        <f>[1]B1!N52+'[1]CÔng Tăng'!N50-'[1]Cộng giảm'!N50</f>
        <v>0</v>
      </c>
      <c r="S51" s="44">
        <f>[1]B1!O52+'[1]CÔng Tăng'!O50-'[1]Cộng giảm'!O50</f>
        <v>0</v>
      </c>
      <c r="T51" s="451"/>
      <c r="U51" s="450"/>
    </row>
    <row r="52" spans="1:21" s="135" customFormat="1" ht="15.75">
      <c r="A52" s="78" t="s">
        <v>161</v>
      </c>
      <c r="B52" s="20" t="s">
        <v>56</v>
      </c>
      <c r="C52" s="21" t="s">
        <v>57</v>
      </c>
      <c r="D52" s="96">
        <v>17.209999999999997</v>
      </c>
      <c r="E52" s="99">
        <f t="shared" si="5"/>
        <v>5.1400000000000077</v>
      </c>
      <c r="F52" s="200"/>
      <c r="G52" s="200"/>
      <c r="H52" s="44">
        <f t="shared" si="3"/>
        <v>22.350000000000005</v>
      </c>
      <c r="I52" s="44">
        <f>[1]B1!E53+'[1]CÔng Tăng'!E51-'[1]Cộng giảm'!E51</f>
        <v>14.02</v>
      </c>
      <c r="J52" s="44">
        <f>[1]B1!F53+'[1]CÔng Tăng'!F51-'[1]Cộng giảm'!F51</f>
        <v>0.49</v>
      </c>
      <c r="K52" s="44">
        <f>[1]B1!G53+'[1]CÔng Tăng'!G51-'[1]Cộng giảm'!G51</f>
        <v>3.4499999999999997</v>
      </c>
      <c r="L52" s="44">
        <f>[1]B1!H53+'[1]CÔng Tăng'!H51-'[1]Cộng giảm'!H51</f>
        <v>0.36</v>
      </c>
      <c r="M52" s="44">
        <f>[1]B1!I53+'[1]CÔng Tăng'!I51-'[1]Cộng giảm'!I51</f>
        <v>0.48000000000000004</v>
      </c>
      <c r="N52" s="44">
        <f>[1]B1!J53+'[1]CÔng Tăng'!J51-'[1]Cộng giảm'!J51</f>
        <v>0.27</v>
      </c>
      <c r="O52" s="44">
        <f>[1]B1!K53+'[1]CÔng Tăng'!K51-'[1]Cộng giảm'!K51</f>
        <v>0.92</v>
      </c>
      <c r="P52" s="44">
        <f>[1]B1!L53+'[1]CÔng Tăng'!L51-'[1]Cộng giảm'!L51</f>
        <v>0.32</v>
      </c>
      <c r="Q52" s="44">
        <f>[1]B1!M53+'[1]CÔng Tăng'!M51-'[1]Cộng giảm'!M51</f>
        <v>0.69</v>
      </c>
      <c r="R52" s="44">
        <f>[1]B1!N53+'[1]CÔng Tăng'!N51-'[1]Cộng giảm'!N51</f>
        <v>1.01</v>
      </c>
      <c r="S52" s="44">
        <f>[1]B1!O53+'[1]CÔng Tăng'!O51-'[1]Cộng giảm'!O51</f>
        <v>0.34</v>
      </c>
      <c r="T52" s="451"/>
      <c r="U52" s="450"/>
    </row>
    <row r="53" spans="1:21" s="135" customFormat="1" ht="30">
      <c r="A53" s="78" t="s">
        <v>162</v>
      </c>
      <c r="B53" s="20" t="s">
        <v>58</v>
      </c>
      <c r="C53" s="21" t="s">
        <v>59</v>
      </c>
      <c r="D53" s="96">
        <v>23.57</v>
      </c>
      <c r="E53" s="99">
        <f t="shared" si="5"/>
        <v>-18.53</v>
      </c>
      <c r="F53" s="200"/>
      <c r="G53" s="200"/>
      <c r="H53" s="44">
        <f t="shared" si="3"/>
        <v>5.04</v>
      </c>
      <c r="I53" s="44">
        <f>[1]B1!E54+'[1]CÔng Tăng'!E52-'[1]Cộng giảm'!E52</f>
        <v>0.14000000000000001</v>
      </c>
      <c r="J53" s="44">
        <f>[1]B1!F54+'[1]CÔng Tăng'!F52-'[1]Cộng giảm'!F52</f>
        <v>0</v>
      </c>
      <c r="K53" s="44">
        <f>[1]B1!G54+'[1]CÔng Tăng'!G52-'[1]Cộng giảm'!G52</f>
        <v>3.04</v>
      </c>
      <c r="L53" s="44">
        <f>[1]B1!H54+'[1]CÔng Tăng'!H52-'[1]Cộng giảm'!H52</f>
        <v>0.77</v>
      </c>
      <c r="M53" s="44">
        <f>[1]B1!I54+'[1]CÔng Tăng'!I52-'[1]Cộng giảm'!I52</f>
        <v>0</v>
      </c>
      <c r="N53" s="44">
        <f>[1]B1!J54+'[1]CÔng Tăng'!J52-'[1]Cộng giảm'!J52</f>
        <v>0</v>
      </c>
      <c r="O53" s="44">
        <f>[1]B1!K54+'[1]CÔng Tăng'!K52-'[1]Cộng giảm'!K52</f>
        <v>0</v>
      </c>
      <c r="P53" s="44">
        <f>[1]B1!L54+'[1]CÔng Tăng'!L52-'[1]Cộng giảm'!L52</f>
        <v>1.0900000000000001</v>
      </c>
      <c r="Q53" s="44">
        <f>[1]B1!M54+'[1]CÔng Tăng'!M52-'[1]Cộng giảm'!M52</f>
        <v>0</v>
      </c>
      <c r="R53" s="44">
        <f>[1]B1!N54+'[1]CÔng Tăng'!N52-'[1]Cộng giảm'!N52</f>
        <v>0</v>
      </c>
      <c r="S53" s="44">
        <f>[1]B1!O54+'[1]CÔng Tăng'!O52-'[1]Cộng giảm'!O52</f>
        <v>0</v>
      </c>
      <c r="T53" s="451"/>
      <c r="U53" s="450"/>
    </row>
    <row r="54" spans="1:21" s="135" customFormat="1" ht="15.75">
      <c r="A54" s="78" t="s">
        <v>163</v>
      </c>
      <c r="B54" s="20" t="s">
        <v>60</v>
      </c>
      <c r="C54" s="21" t="s">
        <v>61</v>
      </c>
      <c r="D54" s="96">
        <v>1.45</v>
      </c>
      <c r="E54" s="99">
        <f t="shared" si="5"/>
        <v>-1.45</v>
      </c>
      <c r="F54" s="200"/>
      <c r="G54" s="200"/>
      <c r="H54" s="44">
        <f t="shared" si="3"/>
        <v>0</v>
      </c>
      <c r="I54" s="44">
        <f>[1]B1!E55+'[1]CÔng Tăng'!E53-'[1]Cộng giảm'!E53</f>
        <v>0</v>
      </c>
      <c r="J54" s="44">
        <f>[1]B1!F55+'[1]CÔng Tăng'!F53-'[1]Cộng giảm'!F53</f>
        <v>0</v>
      </c>
      <c r="K54" s="44">
        <f>[1]B1!G55+'[1]CÔng Tăng'!G53-'[1]Cộng giảm'!G53</f>
        <v>0</v>
      </c>
      <c r="L54" s="44">
        <f>[1]B1!H55+'[1]CÔng Tăng'!H53-'[1]Cộng giảm'!H53</f>
        <v>0</v>
      </c>
      <c r="M54" s="44">
        <f>[1]B1!I55+'[1]CÔng Tăng'!I53-'[1]Cộng giảm'!I53</f>
        <v>0</v>
      </c>
      <c r="N54" s="44">
        <f>[1]B1!J55+'[1]CÔng Tăng'!J53-'[1]Cộng giảm'!J53</f>
        <v>0</v>
      </c>
      <c r="O54" s="44">
        <f>[1]B1!K55+'[1]CÔng Tăng'!K53-'[1]Cộng giảm'!K53</f>
        <v>0</v>
      </c>
      <c r="P54" s="44">
        <f>[1]B1!L55+'[1]CÔng Tăng'!L53-'[1]Cộng giảm'!L53</f>
        <v>0</v>
      </c>
      <c r="Q54" s="44">
        <f>[1]B1!M55+'[1]CÔng Tăng'!M53-'[1]Cộng giảm'!M53</f>
        <v>0</v>
      </c>
      <c r="R54" s="44">
        <f>[1]B1!N55+'[1]CÔng Tăng'!N53-'[1]Cộng giảm'!N53</f>
        <v>0</v>
      </c>
      <c r="S54" s="44">
        <f>[1]B1!O55+'[1]CÔng Tăng'!O53-'[1]Cộng giảm'!O53</f>
        <v>0</v>
      </c>
      <c r="T54" s="451"/>
      <c r="U54" s="450"/>
    </row>
    <row r="55" spans="1:21" s="135" customFormat="1" ht="15.75">
      <c r="A55" s="78" t="s">
        <v>164</v>
      </c>
      <c r="B55" s="20" t="s">
        <v>71</v>
      </c>
      <c r="C55" s="21" t="s">
        <v>72</v>
      </c>
      <c r="D55" s="96">
        <v>1031.26</v>
      </c>
      <c r="E55" s="99">
        <f t="shared" si="5"/>
        <v>-1030.98</v>
      </c>
      <c r="F55" s="200"/>
      <c r="G55" s="200"/>
      <c r="H55" s="44">
        <f t="shared" si="3"/>
        <v>0.27999999999999997</v>
      </c>
      <c r="I55" s="44">
        <f>[1]B1!E56+'[1]CÔng Tăng'!E54-'[1]Cộng giảm'!E54</f>
        <v>0</v>
      </c>
      <c r="J55" s="44">
        <f>[1]B1!F56+'[1]CÔng Tăng'!F54-'[1]Cộng giảm'!F54</f>
        <v>0</v>
      </c>
      <c r="K55" s="44">
        <f>[1]B1!G56+'[1]CÔng Tăng'!G54-'[1]Cộng giảm'!G54</f>
        <v>0</v>
      </c>
      <c r="L55" s="44">
        <f>[1]B1!H56+'[1]CÔng Tăng'!H54-'[1]Cộng giảm'!H54</f>
        <v>0</v>
      </c>
      <c r="M55" s="44">
        <f>[1]B1!I56+'[1]CÔng Tăng'!I54-'[1]Cộng giảm'!I54</f>
        <v>0</v>
      </c>
      <c r="N55" s="44">
        <f>[1]B1!J56+'[1]CÔng Tăng'!J54-'[1]Cộng giảm'!J54</f>
        <v>0</v>
      </c>
      <c r="O55" s="44">
        <f>[1]B1!K56+'[1]CÔng Tăng'!K54-'[1]Cộng giảm'!K54</f>
        <v>0</v>
      </c>
      <c r="P55" s="44">
        <f>[1]B1!L56+'[1]CÔng Tăng'!L54-'[1]Cộng giảm'!L54</f>
        <v>0</v>
      </c>
      <c r="Q55" s="44">
        <f>[1]B1!M56+'[1]CÔng Tăng'!M54-'[1]Cộng giảm'!M54</f>
        <v>0</v>
      </c>
      <c r="R55" s="44">
        <f>[1]B1!N56+'[1]CÔng Tăng'!N54-'[1]Cộng giảm'!N54</f>
        <v>0.24</v>
      </c>
      <c r="S55" s="44">
        <f>[1]B1!O56+'[1]CÔng Tăng'!O54-'[1]Cộng giảm'!O54</f>
        <v>0.04</v>
      </c>
      <c r="T55" s="451"/>
      <c r="U55" s="450"/>
    </row>
    <row r="56" spans="1:21" s="135" customFormat="1" ht="15.75">
      <c r="A56" s="78" t="s">
        <v>165</v>
      </c>
      <c r="B56" s="20" t="s">
        <v>181</v>
      </c>
      <c r="C56" s="21" t="s">
        <v>74</v>
      </c>
      <c r="D56" s="96">
        <v>57.489999999999995</v>
      </c>
      <c r="E56" s="99">
        <f t="shared" si="5"/>
        <v>935.05</v>
      </c>
      <c r="F56" s="200"/>
      <c r="G56" s="200"/>
      <c r="H56" s="44">
        <f t="shared" si="3"/>
        <v>992.54</v>
      </c>
      <c r="I56" s="44">
        <f>[1]B1!E57+'[1]CÔng Tăng'!E55-'[1]Cộng giảm'!E55</f>
        <v>38.339999999999996</v>
      </c>
      <c r="J56" s="44">
        <f>[1]B1!F57+'[1]CÔng Tăng'!F55-'[1]Cộng giảm'!F55</f>
        <v>105.01</v>
      </c>
      <c r="K56" s="44">
        <f>[1]B1!G57+'[1]CÔng Tăng'!G55-'[1]Cộng giảm'!G55</f>
        <v>186.6</v>
      </c>
      <c r="L56" s="44">
        <f>[1]B1!H57+'[1]CÔng Tăng'!H55-'[1]Cộng giảm'!H55</f>
        <v>152.11000000000001</v>
      </c>
      <c r="M56" s="44">
        <f>[1]B1!I57+'[1]CÔng Tăng'!I55-'[1]Cộng giảm'!I55</f>
        <v>36.880000000000003</v>
      </c>
      <c r="N56" s="44">
        <f>[1]B1!J57+'[1]CÔng Tăng'!J55-'[1]Cộng giảm'!J55</f>
        <v>56.61</v>
      </c>
      <c r="O56" s="44">
        <f>[1]B1!K57+'[1]CÔng Tăng'!K55-'[1]Cộng giảm'!K55</f>
        <v>84.62</v>
      </c>
      <c r="P56" s="44">
        <f>[1]B1!L57+'[1]CÔng Tăng'!L55-'[1]Cộng giảm'!L55</f>
        <v>139.01999999999998</v>
      </c>
      <c r="Q56" s="44">
        <f>[1]B1!M57+'[1]CÔng Tăng'!M55-'[1]Cộng giảm'!M55</f>
        <v>38.92</v>
      </c>
      <c r="R56" s="44">
        <f>[1]B1!N57+'[1]CÔng Tăng'!N55-'[1]Cộng giảm'!N55</f>
        <v>80.990000000000009</v>
      </c>
      <c r="S56" s="44">
        <f>[1]B1!O57+'[1]CÔng Tăng'!O55-'[1]Cộng giảm'!O55</f>
        <v>73.44</v>
      </c>
      <c r="T56" s="451"/>
      <c r="U56" s="450"/>
    </row>
    <row r="57" spans="1:21" s="135" customFormat="1" ht="15.75">
      <c r="A57" s="78" t="s">
        <v>166</v>
      </c>
      <c r="B57" s="20" t="s">
        <v>75</v>
      </c>
      <c r="C57" s="21" t="s">
        <v>76</v>
      </c>
      <c r="D57" s="96">
        <v>0.47</v>
      </c>
      <c r="E57" s="99">
        <f t="shared" si="5"/>
        <v>64.080000000000013</v>
      </c>
      <c r="F57" s="200"/>
      <c r="G57" s="200"/>
      <c r="H57" s="44">
        <f t="shared" si="3"/>
        <v>64.550000000000011</v>
      </c>
      <c r="I57" s="44">
        <f>[1]B1!E58+'[1]CÔng Tăng'!E56-'[1]Cộng giảm'!E56</f>
        <v>2.06</v>
      </c>
      <c r="J57" s="44">
        <f>[1]B1!F58+'[1]CÔng Tăng'!F56-'[1]Cộng giảm'!F56</f>
        <v>16.07</v>
      </c>
      <c r="K57" s="44">
        <f>[1]B1!G58+'[1]CÔng Tăng'!G56-'[1]Cộng giảm'!G56</f>
        <v>21.31</v>
      </c>
      <c r="L57" s="44">
        <f>[1]B1!H58+'[1]CÔng Tăng'!H56-'[1]Cộng giảm'!H56</f>
        <v>0</v>
      </c>
      <c r="M57" s="44">
        <f>[1]B1!I58+'[1]CÔng Tăng'!I56-'[1]Cộng giảm'!I56</f>
        <v>0.31</v>
      </c>
      <c r="N57" s="44">
        <f>[1]B1!J58+'[1]CÔng Tăng'!J56-'[1]Cộng giảm'!J56</f>
        <v>0</v>
      </c>
      <c r="O57" s="44">
        <f>[1]B1!K58+'[1]CÔng Tăng'!K56-'[1]Cộng giảm'!K56</f>
        <v>4.3099999999999996</v>
      </c>
      <c r="P57" s="44">
        <f>[1]B1!L58+'[1]CÔng Tăng'!L56-'[1]Cộng giảm'!L56</f>
        <v>0</v>
      </c>
      <c r="Q57" s="44">
        <f>[1]B1!M58+'[1]CÔng Tăng'!M56-'[1]Cộng giảm'!M56</f>
        <v>0.84</v>
      </c>
      <c r="R57" s="44">
        <f>[1]B1!N58+'[1]CÔng Tăng'!N56-'[1]Cộng giảm'!N56</f>
        <v>0</v>
      </c>
      <c r="S57" s="44">
        <f>[1]B1!O58+'[1]CÔng Tăng'!O56-'[1]Cộng giảm'!O56</f>
        <v>19.649999999999999</v>
      </c>
      <c r="T57" s="451"/>
      <c r="U57" s="450"/>
    </row>
    <row r="58" spans="1:21" s="135" customFormat="1" ht="15.75">
      <c r="A58" s="78" t="s">
        <v>167</v>
      </c>
      <c r="B58" s="20" t="s">
        <v>77</v>
      </c>
      <c r="C58" s="21" t="s">
        <v>78</v>
      </c>
      <c r="D58" s="96">
        <v>136.43999999999988</v>
      </c>
      <c r="E58" s="204">
        <f t="shared" si="5"/>
        <v>-92.369999999999891</v>
      </c>
      <c r="F58" s="205"/>
      <c r="G58" s="205"/>
      <c r="H58" s="44">
        <f t="shared" si="3"/>
        <v>44.07</v>
      </c>
      <c r="I58" s="44">
        <f>[1]B1!E59+'[1]CÔng Tăng'!E57-'[1]Cộng giảm'!E57</f>
        <v>0</v>
      </c>
      <c r="J58" s="44">
        <f>[1]B1!F59+'[1]CÔng Tăng'!F57-'[1]Cộng giảm'!F57</f>
        <v>3.56</v>
      </c>
      <c r="K58" s="44">
        <f>[1]B1!G59+'[1]CÔng Tăng'!G57-'[1]Cộng giảm'!G57</f>
        <v>8.2899999999999991</v>
      </c>
      <c r="L58" s="44">
        <f>[1]B1!H59+'[1]CÔng Tăng'!H57-'[1]Cộng giảm'!H57</f>
        <v>8.6</v>
      </c>
      <c r="M58" s="44">
        <f>[1]B1!I59+'[1]CÔng Tăng'!I57-'[1]Cộng giảm'!I57</f>
        <v>5</v>
      </c>
      <c r="N58" s="44">
        <f>[1]B1!J59+'[1]CÔng Tăng'!J57-'[1]Cộng giảm'!J57</f>
        <v>1.5</v>
      </c>
      <c r="O58" s="44">
        <f>[1]B1!K59+'[1]CÔng Tăng'!K57-'[1]Cộng giảm'!K57</f>
        <v>0</v>
      </c>
      <c r="P58" s="44">
        <f>[1]B1!L59+'[1]CÔng Tăng'!L57-'[1]Cộng giảm'!L57</f>
        <v>2.5</v>
      </c>
      <c r="Q58" s="44">
        <f>[1]B1!M59+'[1]CÔng Tăng'!M57-'[1]Cộng giảm'!M57</f>
        <v>3.99</v>
      </c>
      <c r="R58" s="44">
        <f>[1]B1!N59+'[1]CÔng Tăng'!N57-'[1]Cộng giảm'!N57</f>
        <v>10.199999999999999</v>
      </c>
      <c r="S58" s="44">
        <f>[1]B1!O59+'[1]CÔng Tăng'!O57-'[1]Cộng giảm'!O57</f>
        <v>0.43</v>
      </c>
      <c r="T58" s="451"/>
    </row>
    <row r="59" spans="1:21" s="10" customFormat="1" ht="14.25">
      <c r="A59" s="41">
        <v>3</v>
      </c>
      <c r="B59" s="24" t="s">
        <v>79</v>
      </c>
      <c r="C59" s="25" t="s">
        <v>80</v>
      </c>
      <c r="D59" s="25"/>
      <c r="E59" s="25"/>
      <c r="F59" s="25"/>
      <c r="G59" s="25"/>
      <c r="H59" s="45">
        <f t="shared" si="3"/>
        <v>80.64</v>
      </c>
      <c r="I59" s="45">
        <f>[1]B1!E60+'[1]CÔng Tăng'!E58-'[1]Cộng giảm'!E58</f>
        <v>0</v>
      </c>
      <c r="J59" s="45">
        <f>[1]B1!F60+'[1]CÔng Tăng'!F58-'[1]Cộng giảm'!F58</f>
        <v>0</v>
      </c>
      <c r="K59" s="45">
        <f>[1]B1!G60+'[1]CÔng Tăng'!G58-'[1]Cộng giảm'!G58</f>
        <v>5.09</v>
      </c>
      <c r="L59" s="45">
        <f>[1]B1!H60+'[1]CÔng Tăng'!H58-'[1]Cộng giảm'!H58</f>
        <v>13.95</v>
      </c>
      <c r="M59" s="45">
        <f>[1]B1!I60+'[1]CÔng Tăng'!I58-'[1]Cộng giảm'!I58</f>
        <v>8.14</v>
      </c>
      <c r="N59" s="45">
        <f>[1]B1!J60+'[1]CÔng Tăng'!J58-'[1]Cộng giảm'!J58</f>
        <v>9.65</v>
      </c>
      <c r="O59" s="45">
        <f>[1]B1!K60+'[1]CÔng Tăng'!K58-'[1]Cộng giảm'!K58</f>
        <v>11.8</v>
      </c>
      <c r="P59" s="45">
        <f>[1]B1!L60+'[1]CÔng Tăng'!L58-'[1]Cộng giảm'!L58</f>
        <v>12.280000000000001</v>
      </c>
      <c r="Q59" s="45">
        <f>[1]B1!M60+'[1]CÔng Tăng'!M58-'[1]Cộng giảm'!M58</f>
        <v>0</v>
      </c>
      <c r="R59" s="45">
        <f>[1]B1!N60+'[1]CÔng Tăng'!N58-'[1]Cộng giảm'!N58</f>
        <v>0</v>
      </c>
      <c r="S59" s="45">
        <f>[1]B1!O60+'[1]CÔng Tăng'!O58-'[1]Cộng giảm'!O58</f>
        <v>19.730000000000004</v>
      </c>
      <c r="T59" s="449"/>
    </row>
    <row r="60" spans="1:21" ht="15">
      <c r="A60" s="41" t="s">
        <v>252</v>
      </c>
      <c r="B60" s="24" t="s">
        <v>253</v>
      </c>
      <c r="C60" s="21"/>
      <c r="D60" s="21"/>
      <c r="E60" s="21"/>
      <c r="F60" s="21"/>
      <c r="G60" s="21"/>
      <c r="H60" s="44">
        <f t="shared" si="3"/>
        <v>0</v>
      </c>
      <c r="I60" s="44"/>
      <c r="J60" s="44"/>
      <c r="K60" s="44"/>
      <c r="L60" s="44"/>
      <c r="M60" s="44"/>
      <c r="N60" s="44"/>
      <c r="O60" s="44"/>
      <c r="P60" s="44"/>
      <c r="Q60" s="44"/>
      <c r="R60" s="44"/>
      <c r="S60" s="44"/>
      <c r="T60" s="451"/>
    </row>
    <row r="61" spans="1:21" ht="15">
      <c r="A61" s="210">
        <v>1</v>
      </c>
      <c r="B61" s="211" t="s">
        <v>254</v>
      </c>
      <c r="C61" s="212"/>
      <c r="D61" s="212"/>
      <c r="E61" s="212"/>
      <c r="F61" s="212"/>
      <c r="G61" s="212"/>
      <c r="H61" s="44">
        <f t="shared" si="3"/>
        <v>0</v>
      </c>
      <c r="I61" s="44"/>
      <c r="J61" s="44"/>
      <c r="K61" s="44"/>
      <c r="L61" s="44"/>
      <c r="M61" s="44"/>
      <c r="N61" s="44"/>
      <c r="O61" s="44"/>
      <c r="P61" s="44"/>
      <c r="Q61" s="44"/>
      <c r="R61" s="44"/>
      <c r="S61" s="44"/>
      <c r="T61" s="451"/>
    </row>
    <row r="62" spans="1:21" ht="15">
      <c r="A62" s="210">
        <v>2</v>
      </c>
      <c r="B62" s="211" t="s">
        <v>255</v>
      </c>
      <c r="C62" s="212"/>
      <c r="D62" s="212"/>
      <c r="E62" s="212"/>
      <c r="F62" s="212"/>
      <c r="G62" s="212"/>
      <c r="H62" s="44">
        <f t="shared" si="3"/>
        <v>0</v>
      </c>
      <c r="I62" s="44"/>
      <c r="J62" s="44"/>
      <c r="K62" s="44"/>
      <c r="L62" s="44"/>
      <c r="M62" s="44"/>
      <c r="N62" s="44"/>
      <c r="O62" s="44"/>
      <c r="P62" s="44"/>
      <c r="Q62" s="44"/>
      <c r="R62" s="44"/>
      <c r="S62" s="44"/>
      <c r="T62" s="451"/>
    </row>
    <row r="63" spans="1:21" ht="15">
      <c r="A63" s="210">
        <v>3</v>
      </c>
      <c r="B63" s="211" t="s">
        <v>128</v>
      </c>
      <c r="C63" s="212"/>
      <c r="D63" s="212"/>
      <c r="E63" s="212"/>
      <c r="F63" s="212"/>
      <c r="G63" s="212"/>
      <c r="H63" s="44">
        <f t="shared" si="3"/>
        <v>0</v>
      </c>
      <c r="I63" s="44"/>
      <c r="J63" s="44"/>
      <c r="K63" s="44"/>
      <c r="L63" s="44"/>
      <c r="M63" s="44"/>
      <c r="N63" s="44"/>
      <c r="O63" s="44"/>
      <c r="P63" s="44"/>
      <c r="Q63" s="44"/>
      <c r="R63" s="44"/>
      <c r="S63" s="44"/>
      <c r="T63" s="451"/>
    </row>
    <row r="64" spans="1:21" ht="57">
      <c r="A64" s="210">
        <v>4</v>
      </c>
      <c r="B64" s="211" t="s">
        <v>256</v>
      </c>
      <c r="C64" s="212"/>
      <c r="D64" s="212"/>
      <c r="E64" s="212"/>
      <c r="F64" s="212"/>
      <c r="G64" s="212"/>
      <c r="H64" s="44">
        <f t="shared" si="3"/>
        <v>0</v>
      </c>
      <c r="I64" s="213"/>
      <c r="J64" s="213"/>
      <c r="K64" s="213"/>
      <c r="L64" s="213"/>
      <c r="M64" s="213"/>
      <c r="N64" s="213"/>
      <c r="O64" s="213"/>
      <c r="P64" s="213"/>
      <c r="Q64" s="213"/>
      <c r="R64" s="213"/>
      <c r="S64" s="213"/>
      <c r="T64" s="451"/>
    </row>
    <row r="65" spans="1:20" ht="42.75">
      <c r="A65" s="210">
        <v>5</v>
      </c>
      <c r="B65" s="211" t="s">
        <v>257</v>
      </c>
      <c r="C65" s="212"/>
      <c r="D65" s="212"/>
      <c r="E65" s="212"/>
      <c r="F65" s="212"/>
      <c r="G65" s="212"/>
      <c r="H65" s="44">
        <f t="shared" si="3"/>
        <v>42947.19</v>
      </c>
      <c r="I65" s="213">
        <f>I14+I17</f>
        <v>9.57</v>
      </c>
      <c r="J65" s="213">
        <f t="shared" ref="J65:S65" si="6">J14+J17</f>
        <v>622.98</v>
      </c>
      <c r="K65" s="213">
        <f t="shared" si="6"/>
        <v>28282.93</v>
      </c>
      <c r="L65" s="213">
        <f t="shared" si="6"/>
        <v>1344.23</v>
      </c>
      <c r="M65" s="213">
        <f t="shared" si="6"/>
        <v>58.8</v>
      </c>
      <c r="N65" s="213">
        <f t="shared" si="6"/>
        <v>314.8</v>
      </c>
      <c r="O65" s="213">
        <f t="shared" si="6"/>
        <v>740.52</v>
      </c>
      <c r="P65" s="213">
        <f t="shared" si="6"/>
        <v>279.31</v>
      </c>
      <c r="Q65" s="213">
        <f t="shared" si="6"/>
        <v>41.21</v>
      </c>
      <c r="R65" s="213">
        <f t="shared" si="6"/>
        <v>11171.58</v>
      </c>
      <c r="S65" s="213">
        <f t="shared" si="6"/>
        <v>81.260000000000005</v>
      </c>
      <c r="T65" s="451"/>
    </row>
    <row r="66" spans="1:20" ht="15">
      <c r="A66" s="210">
        <v>6</v>
      </c>
      <c r="B66" s="211" t="s">
        <v>258</v>
      </c>
      <c r="C66" s="212"/>
      <c r="D66" s="212"/>
      <c r="E66" s="212"/>
      <c r="F66" s="212"/>
      <c r="G66" s="212"/>
      <c r="H66" s="44">
        <f t="shared" si="3"/>
        <v>0</v>
      </c>
      <c r="I66" s="213"/>
      <c r="J66" s="213"/>
      <c r="K66" s="213"/>
      <c r="L66" s="213"/>
      <c r="M66" s="213"/>
      <c r="N66" s="213"/>
      <c r="O66" s="213"/>
      <c r="P66" s="213"/>
      <c r="Q66" s="213"/>
      <c r="R66" s="213"/>
      <c r="S66" s="213"/>
      <c r="T66" s="451"/>
    </row>
    <row r="67" spans="1:20" ht="28.5">
      <c r="A67" s="210">
        <v>7</v>
      </c>
      <c r="B67" s="211" t="s">
        <v>259</v>
      </c>
      <c r="C67" s="212"/>
      <c r="D67" s="212"/>
      <c r="E67" s="212"/>
      <c r="F67" s="212"/>
      <c r="G67" s="212"/>
      <c r="H67" s="44">
        <f t="shared" si="3"/>
        <v>44657.45</v>
      </c>
      <c r="I67" s="213">
        <v>73.260000000000005</v>
      </c>
      <c r="J67" s="213"/>
      <c r="K67" s="213">
        <v>19237.21</v>
      </c>
      <c r="L67" s="213">
        <f>21352.13-22</f>
        <v>21330.13</v>
      </c>
      <c r="M67" s="213"/>
      <c r="N67" s="213"/>
      <c r="O67" s="213">
        <v>1538.22</v>
      </c>
      <c r="P67" s="213">
        <v>2478.63</v>
      </c>
      <c r="Q67" s="213"/>
      <c r="R67" s="213"/>
      <c r="S67" s="213"/>
      <c r="T67" s="451"/>
    </row>
    <row r="68" spans="1:20" ht="28.5">
      <c r="A68" s="210">
        <v>8</v>
      </c>
      <c r="B68" s="211" t="s">
        <v>260</v>
      </c>
      <c r="C68" s="212"/>
      <c r="D68" s="212"/>
      <c r="E68" s="212"/>
      <c r="F68" s="212"/>
      <c r="G68" s="212"/>
      <c r="H68" s="44">
        <f t="shared" si="3"/>
        <v>100</v>
      </c>
      <c r="I68" s="213">
        <f>I25</f>
        <v>50</v>
      </c>
      <c r="J68" s="213">
        <f t="shared" ref="J68:S68" si="7">J25</f>
        <v>0</v>
      </c>
      <c r="K68" s="213">
        <f t="shared" si="7"/>
        <v>0</v>
      </c>
      <c r="L68" s="213">
        <f t="shared" si="7"/>
        <v>0</v>
      </c>
      <c r="M68" s="213">
        <f t="shared" si="7"/>
        <v>0</v>
      </c>
      <c r="N68" s="213">
        <f t="shared" si="7"/>
        <v>0</v>
      </c>
      <c r="O68" s="213">
        <f t="shared" si="7"/>
        <v>50</v>
      </c>
      <c r="P68" s="213">
        <f t="shared" si="7"/>
        <v>0</v>
      </c>
      <c r="Q68" s="213">
        <f t="shared" si="7"/>
        <v>0</v>
      </c>
      <c r="R68" s="213">
        <f t="shared" si="7"/>
        <v>0</v>
      </c>
      <c r="S68" s="213">
        <f t="shared" si="7"/>
        <v>0</v>
      </c>
      <c r="T68" s="451"/>
    </row>
    <row r="69" spans="1:20" ht="28.5">
      <c r="A69" s="210">
        <v>9</v>
      </c>
      <c r="B69" s="211" t="s">
        <v>264</v>
      </c>
      <c r="C69" s="212"/>
      <c r="D69" s="212"/>
      <c r="E69" s="212"/>
      <c r="F69" s="212"/>
      <c r="G69" s="212"/>
      <c r="H69" s="44">
        <f t="shared" si="3"/>
        <v>0</v>
      </c>
      <c r="I69" s="213"/>
      <c r="J69" s="213"/>
      <c r="K69" s="213"/>
      <c r="L69" s="213"/>
      <c r="M69" s="213"/>
      <c r="N69" s="213"/>
      <c r="O69" s="213"/>
      <c r="P69" s="213"/>
      <c r="Q69" s="213"/>
      <c r="R69" s="213"/>
      <c r="S69" s="213"/>
      <c r="T69" s="451"/>
    </row>
    <row r="70" spans="1:20" ht="15">
      <c r="A70" s="210">
        <v>10</v>
      </c>
      <c r="B70" s="211" t="s">
        <v>261</v>
      </c>
      <c r="C70" s="212"/>
      <c r="D70" s="212"/>
      <c r="E70" s="212"/>
      <c r="F70" s="212"/>
      <c r="G70" s="212"/>
      <c r="H70" s="44">
        <f t="shared" si="3"/>
        <v>0</v>
      </c>
      <c r="I70" s="213"/>
      <c r="J70" s="213"/>
      <c r="K70" s="213"/>
      <c r="L70" s="213"/>
      <c r="M70" s="213"/>
      <c r="N70" s="213"/>
      <c r="O70" s="213"/>
      <c r="P70" s="213"/>
      <c r="Q70" s="213"/>
      <c r="R70" s="213"/>
      <c r="S70" s="213"/>
      <c r="T70" s="451"/>
    </row>
    <row r="71" spans="1:20" ht="15">
      <c r="A71" s="210">
        <v>11</v>
      </c>
      <c r="B71" s="214" t="s">
        <v>265</v>
      </c>
      <c r="C71" s="212"/>
      <c r="D71" s="212"/>
      <c r="E71" s="212"/>
      <c r="F71" s="212"/>
      <c r="G71" s="212"/>
      <c r="H71" s="44">
        <f t="shared" si="3"/>
        <v>0</v>
      </c>
      <c r="I71" s="213"/>
      <c r="J71" s="213"/>
      <c r="K71" s="213"/>
      <c r="L71" s="213"/>
      <c r="M71" s="213"/>
      <c r="N71" s="213"/>
      <c r="O71" s="213"/>
      <c r="P71" s="213"/>
      <c r="Q71" s="213"/>
      <c r="R71" s="213"/>
      <c r="S71" s="213"/>
      <c r="T71" s="451"/>
    </row>
    <row r="72" spans="1:20" ht="15">
      <c r="A72" s="210">
        <v>12</v>
      </c>
      <c r="B72" s="211" t="s">
        <v>262</v>
      </c>
      <c r="C72" s="212"/>
      <c r="D72" s="212"/>
      <c r="E72" s="212"/>
      <c r="F72" s="212"/>
      <c r="G72" s="212"/>
      <c r="H72" s="44">
        <f t="shared" si="3"/>
        <v>2367.5</v>
      </c>
      <c r="I72" s="213"/>
      <c r="J72" s="213">
        <f>J75+J77</f>
        <v>110.47999999999999</v>
      </c>
      <c r="K72" s="213">
        <f>K75+K77-58.19</f>
        <v>509.86000000000007</v>
      </c>
      <c r="L72" s="213">
        <f>L75+L77</f>
        <v>298.99</v>
      </c>
      <c r="M72" s="213">
        <f t="shared" ref="M72:S72" si="8">M75+M77</f>
        <v>146.35999999999999</v>
      </c>
      <c r="N72" s="213">
        <f t="shared" si="8"/>
        <v>106.33</v>
      </c>
      <c r="O72" s="213">
        <f t="shared" si="8"/>
        <v>338.22</v>
      </c>
      <c r="P72" s="213">
        <f t="shared" si="8"/>
        <v>477.77000000000004</v>
      </c>
      <c r="Q72" s="213">
        <f t="shared" si="8"/>
        <v>100.54</v>
      </c>
      <c r="R72" s="213">
        <f t="shared" si="8"/>
        <v>64.47</v>
      </c>
      <c r="S72" s="213">
        <f t="shared" si="8"/>
        <v>214.48</v>
      </c>
      <c r="T72" s="451"/>
    </row>
    <row r="73" spans="1:20" ht="28.5">
      <c r="A73" s="42">
        <v>13</v>
      </c>
      <c r="B73" s="26" t="s">
        <v>263</v>
      </c>
      <c r="C73" s="38"/>
      <c r="D73" s="38"/>
      <c r="E73" s="38"/>
      <c r="F73" s="38"/>
      <c r="G73" s="38"/>
      <c r="H73" s="48">
        <f t="shared" si="3"/>
        <v>0</v>
      </c>
      <c r="I73" s="48"/>
      <c r="J73" s="48"/>
      <c r="K73" s="48"/>
      <c r="L73" s="48"/>
      <c r="M73" s="48"/>
      <c r="N73" s="48"/>
      <c r="O73" s="48"/>
      <c r="P73" s="48"/>
      <c r="Q73" s="48"/>
      <c r="R73" s="48"/>
      <c r="S73" s="48"/>
      <c r="T73" s="451"/>
    </row>
    <row r="74" spans="1:20" ht="23.25" customHeight="1">
      <c r="A74" s="1233" t="s">
        <v>266</v>
      </c>
      <c r="B74" s="1233"/>
      <c r="C74" s="1233"/>
      <c r="D74" s="1233"/>
      <c r="E74" s="1233"/>
      <c r="F74" s="1233"/>
      <c r="G74" s="1233"/>
      <c r="H74" s="458"/>
      <c r="I74" s="458"/>
      <c r="J74" s="459"/>
      <c r="K74" s="458"/>
      <c r="L74" s="458"/>
      <c r="M74" s="458"/>
      <c r="N74" s="458"/>
      <c r="O74" s="458"/>
      <c r="P74" s="458"/>
      <c r="Q74" s="458"/>
      <c r="R74" s="458"/>
      <c r="S74" s="458"/>
    </row>
    <row r="75" spans="1:20">
      <c r="I75" s="92"/>
      <c r="J75" s="454"/>
      <c r="K75" s="454"/>
      <c r="L75" s="454"/>
      <c r="M75" s="454"/>
      <c r="N75" s="454"/>
      <c r="O75" s="454"/>
      <c r="P75" s="454"/>
      <c r="Q75" s="454"/>
      <c r="R75" s="454"/>
      <c r="S75" s="454"/>
    </row>
    <row r="76" spans="1:20">
      <c r="I76" s="92"/>
      <c r="J76" s="139"/>
    </row>
    <row r="77" spans="1:20" hidden="1">
      <c r="J77" s="139">
        <v>110.47999999999999</v>
      </c>
      <c r="K77" s="139">
        <v>568.05000000000007</v>
      </c>
      <c r="L77" s="139">
        <v>298.99</v>
      </c>
      <c r="M77" s="139">
        <v>146.35999999999999</v>
      </c>
      <c r="N77" s="139">
        <v>106.33</v>
      </c>
      <c r="O77" s="139">
        <v>338.22</v>
      </c>
      <c r="P77" s="139">
        <v>477.77000000000004</v>
      </c>
      <c r="Q77" s="139">
        <v>100.54</v>
      </c>
      <c r="R77" s="139">
        <v>64.47</v>
      </c>
      <c r="S77" s="139">
        <v>214.48</v>
      </c>
    </row>
    <row r="78" spans="1:20">
      <c r="J78" s="139"/>
    </row>
    <row r="81" spans="9:19">
      <c r="I81" s="92"/>
      <c r="J81" s="92"/>
      <c r="K81" s="92"/>
      <c r="L81" s="92"/>
      <c r="M81" s="92"/>
      <c r="N81" s="92"/>
      <c r="O81" s="92"/>
      <c r="P81" s="92"/>
      <c r="Q81" s="92"/>
      <c r="R81" s="92"/>
      <c r="S81" s="92"/>
    </row>
    <row r="85" spans="9:19">
      <c r="J85" s="454"/>
    </row>
  </sheetData>
  <mergeCells count="11">
    <mergeCell ref="A74:G74"/>
    <mergeCell ref="A1:S1"/>
    <mergeCell ref="A2:S2"/>
    <mergeCell ref="B3:S3"/>
    <mergeCell ref="A4:A5"/>
    <mergeCell ref="B4:B5"/>
    <mergeCell ref="C4:C5"/>
    <mergeCell ref="F4:F5"/>
    <mergeCell ref="G4:G5"/>
    <mergeCell ref="H4:H5"/>
    <mergeCell ref="I4:S4"/>
  </mergeCells>
  <pageMargins left="0.64" right="0.2" top="0.61" bottom="0.25" header="0.24" footer="0.2"/>
  <pageSetup paperSize="8" fitToWidth="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G65"/>
  <sheetViews>
    <sheetView tabSelected="1" topLeftCell="A5" zoomScale="80" zoomScaleNormal="80" workbookViewId="0">
      <pane xSplit="3" ySplit="1" topLeftCell="AY6" activePane="bottomRight" state="frozen"/>
      <selection activeCell="A5" sqref="A5"/>
      <selection pane="topRight" activeCell="D5" sqref="D5"/>
      <selection pane="bottomLeft" activeCell="A6" sqref="A6"/>
      <selection pane="bottomRight" activeCell="AZ6" sqref="AZ5:BA6"/>
    </sheetView>
  </sheetViews>
  <sheetFormatPr defaultColWidth="9.140625" defaultRowHeight="16.5"/>
  <cols>
    <col min="1" max="1" width="6.28515625" style="443" customWidth="1"/>
    <col min="2" max="2" width="55.28515625" style="419" customWidth="1"/>
    <col min="3" max="3" width="7.5703125" style="419" customWidth="1"/>
    <col min="4" max="4" width="16.140625" style="419" customWidth="1"/>
    <col min="5" max="5" width="15.5703125" style="421" customWidth="1"/>
    <col min="6" max="6" width="12.85546875" style="419" customWidth="1"/>
    <col min="7" max="7" width="11.7109375" style="418" customWidth="1"/>
    <col min="8" max="8" width="14.28515625" style="419" customWidth="1"/>
    <col min="9" max="9" width="14" style="419" customWidth="1"/>
    <col min="10" max="10" width="15.42578125" style="419" customWidth="1"/>
    <col min="11" max="11" width="13.5703125" style="419" customWidth="1"/>
    <col min="12" max="12" width="13.28515625" style="419" customWidth="1"/>
    <col min="13" max="13" width="14.140625" style="418" customWidth="1"/>
    <col min="14" max="14" width="10.85546875" style="419" customWidth="1"/>
    <col min="15" max="15" width="7" style="419" customWidth="1"/>
    <col min="16" max="16" width="12.28515625" style="421" customWidth="1"/>
    <col min="17" max="17" width="13.42578125" style="419" customWidth="1"/>
    <col min="18" max="18" width="10.42578125" style="419" customWidth="1"/>
    <col min="19" max="19" width="7.140625" style="419" customWidth="1"/>
    <col min="20" max="20" width="6.28515625" style="419" customWidth="1"/>
    <col min="21" max="21" width="9.42578125" style="419" customWidth="1"/>
    <col min="22" max="22" width="7.7109375" style="419" customWidth="1"/>
    <col min="23" max="23" width="9.85546875" style="419" customWidth="1"/>
    <col min="24" max="24" width="7.5703125" style="419" customWidth="1"/>
    <col min="25" max="25" width="9.85546875" style="419" customWidth="1"/>
    <col min="26" max="26" width="12.42578125" style="418" customWidth="1"/>
    <col min="27" max="27" width="11.28515625" style="419" customWidth="1"/>
    <col min="28" max="28" width="10" style="419" customWidth="1"/>
    <col min="29" max="29" width="7" style="419" customWidth="1"/>
    <col min="30" max="30" width="7.42578125" style="419" customWidth="1"/>
    <col min="31" max="32" width="8.85546875" style="419" customWidth="1"/>
    <col min="33" max="33" width="11.42578125" style="419" customWidth="1"/>
    <col min="34" max="34" width="6.42578125" style="419" customWidth="1"/>
    <col min="35" max="35" width="8.42578125" style="419" customWidth="1"/>
    <col min="36" max="36" width="9.42578125" style="419" customWidth="1"/>
    <col min="37" max="37" width="8.42578125" style="419" customWidth="1"/>
    <col min="38" max="38" width="8" style="419" customWidth="1"/>
    <col min="39" max="39" width="8.7109375" style="419" customWidth="1"/>
    <col min="40" max="40" width="11.5703125" style="419" customWidth="1"/>
    <col min="41" max="41" width="7.28515625" style="419" customWidth="1"/>
    <col min="42" max="42" width="7.140625" style="419" customWidth="1"/>
    <col min="43" max="43" width="11.5703125" style="419" customWidth="1"/>
    <col min="44" max="44" width="13" style="419" customWidth="1"/>
    <col min="45" max="45" width="12.42578125" style="419" customWidth="1"/>
    <col min="46" max="46" width="9.5703125" style="419" bestFit="1" customWidth="1"/>
    <col min="47" max="47" width="13" style="419" bestFit="1" customWidth="1"/>
    <col min="48" max="49" width="9.28515625" style="419" bestFit="1" customWidth="1"/>
    <col min="50" max="50" width="9.28515625" style="419" hidden="1" customWidth="1"/>
    <col min="51" max="51" width="9.28515625" style="419" bestFit="1" customWidth="1"/>
    <col min="52" max="52" width="13.42578125" style="419" customWidth="1"/>
    <col min="53" max="54" width="9.28515625" style="419" bestFit="1" customWidth="1"/>
    <col min="55" max="55" width="11" style="419" bestFit="1" customWidth="1"/>
    <col min="56" max="56" width="11.42578125" style="420" customWidth="1"/>
    <col min="57" max="57" width="13.85546875" style="421" customWidth="1"/>
    <col min="58" max="58" width="11.140625" style="419" customWidth="1"/>
    <col min="59" max="59" width="12.7109375" style="419" bestFit="1" customWidth="1"/>
    <col min="60" max="16384" width="9.140625" style="419"/>
  </cols>
  <sheetData>
    <row r="1" spans="1:59">
      <c r="A1" s="1349" t="s">
        <v>317</v>
      </c>
      <c r="B1" s="1349"/>
      <c r="C1" s="416"/>
      <c r="D1" s="416"/>
      <c r="E1" s="417"/>
      <c r="F1" s="416"/>
      <c r="H1" s="416"/>
      <c r="I1" s="416"/>
      <c r="J1" s="416"/>
      <c r="K1" s="416"/>
      <c r="L1" s="416"/>
      <c r="N1" s="416"/>
      <c r="O1" s="416"/>
      <c r="P1" s="417"/>
      <c r="Q1" s="416"/>
      <c r="R1" s="416"/>
      <c r="S1" s="416"/>
      <c r="T1" s="416"/>
      <c r="U1" s="416"/>
      <c r="V1" s="416"/>
      <c r="W1" s="416"/>
      <c r="X1" s="416"/>
      <c r="Y1" s="416"/>
      <c r="AA1" s="416"/>
      <c r="AB1" s="416"/>
      <c r="AC1" s="416"/>
      <c r="AD1" s="416"/>
      <c r="AE1" s="416"/>
      <c r="AF1" s="416"/>
      <c r="AG1" s="416"/>
      <c r="AH1" s="416"/>
      <c r="AI1" s="416"/>
      <c r="AJ1" s="416"/>
      <c r="AK1" s="416"/>
      <c r="AL1" s="416"/>
      <c r="AM1" s="416"/>
      <c r="AN1" s="416"/>
      <c r="AO1" s="416"/>
      <c r="AP1" s="416"/>
      <c r="AQ1" s="416"/>
      <c r="AR1" s="416"/>
      <c r="AS1" s="416"/>
    </row>
    <row r="2" spans="1:59">
      <c r="A2" s="1350" t="s">
        <v>982</v>
      </c>
      <c r="B2" s="1350"/>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0"/>
      <c r="AI2" s="1350"/>
      <c r="AJ2" s="1350"/>
      <c r="AK2" s="1350"/>
      <c r="AL2" s="1350"/>
      <c r="AM2" s="1350"/>
      <c r="AN2" s="1350"/>
      <c r="AO2" s="1350"/>
      <c r="AP2" s="1350"/>
      <c r="AQ2" s="1350"/>
      <c r="AR2" s="1350"/>
      <c r="AS2" s="1350"/>
    </row>
    <row r="3" spans="1:59">
      <c r="A3" s="1351" t="s">
        <v>0</v>
      </c>
      <c r="B3" s="1351"/>
      <c r="C3" s="1351"/>
      <c r="D3" s="1351"/>
      <c r="E3" s="1351"/>
      <c r="F3" s="1351"/>
      <c r="G3" s="1351"/>
      <c r="H3" s="1351"/>
      <c r="I3" s="1351"/>
      <c r="J3" s="1351"/>
      <c r="K3" s="1351"/>
      <c r="L3" s="1351"/>
      <c r="M3" s="1351"/>
      <c r="N3" s="1351"/>
      <c r="O3" s="1351"/>
      <c r="P3" s="1351"/>
      <c r="Q3" s="1351"/>
      <c r="R3" s="1351"/>
      <c r="S3" s="1351"/>
      <c r="T3" s="1351"/>
      <c r="U3" s="1351"/>
      <c r="V3" s="1351"/>
      <c r="W3" s="1351"/>
      <c r="X3" s="1351"/>
      <c r="Y3" s="1351"/>
      <c r="Z3" s="1351"/>
      <c r="AA3" s="1351"/>
      <c r="AB3" s="1351"/>
      <c r="AC3" s="1351"/>
      <c r="AD3" s="1351"/>
      <c r="AE3" s="1351"/>
      <c r="AF3" s="1351"/>
      <c r="AG3" s="1351"/>
      <c r="AH3" s="1351"/>
      <c r="AI3" s="1351"/>
      <c r="AJ3" s="1351"/>
      <c r="AK3" s="1351"/>
      <c r="AL3" s="1351"/>
      <c r="AM3" s="1351"/>
      <c r="AN3" s="1351"/>
      <c r="AO3" s="1351"/>
      <c r="AP3" s="1351"/>
      <c r="AQ3" s="1351"/>
      <c r="AR3" s="1351"/>
      <c r="AS3" s="1351"/>
      <c r="AT3" s="1351"/>
      <c r="AU3" s="1351"/>
      <c r="AV3" s="1351"/>
      <c r="AW3" s="1351"/>
      <c r="AX3" s="1351"/>
      <c r="AY3" s="1351"/>
      <c r="AZ3" s="1351"/>
      <c r="BA3" s="1351"/>
      <c r="BB3" s="1351"/>
      <c r="BC3" s="1351"/>
      <c r="BD3" s="1351"/>
      <c r="BE3" s="1351"/>
    </row>
    <row r="4" spans="1:59" ht="30.75" customHeight="1">
      <c r="A4" s="1352" t="s">
        <v>1</v>
      </c>
      <c r="B4" s="1352" t="s">
        <v>2</v>
      </c>
      <c r="C4" s="1352" t="s">
        <v>3</v>
      </c>
      <c r="D4" s="1352" t="s">
        <v>985</v>
      </c>
      <c r="E4" s="1353" t="s">
        <v>987</v>
      </c>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c r="AE4" s="1353"/>
      <c r="AF4" s="1353"/>
      <c r="AG4" s="1353"/>
      <c r="AH4" s="1353"/>
      <c r="AI4" s="1353"/>
      <c r="AJ4" s="1353"/>
      <c r="AK4" s="1353"/>
      <c r="AL4" s="1353"/>
      <c r="AM4" s="1353"/>
      <c r="AN4" s="1353"/>
      <c r="AO4" s="1353"/>
      <c r="AP4" s="1353"/>
      <c r="AQ4" s="1353"/>
      <c r="AR4" s="1353"/>
      <c r="AS4" s="1353"/>
      <c r="AT4" s="1353"/>
      <c r="AU4" s="1353"/>
      <c r="AV4" s="1353"/>
      <c r="AW4" s="1353"/>
      <c r="AX4" s="1353"/>
      <c r="AY4" s="1353"/>
      <c r="AZ4" s="1353"/>
      <c r="BA4" s="1353"/>
      <c r="BB4" s="1353"/>
      <c r="BC4" s="1353"/>
      <c r="BD4" s="1354" t="s">
        <v>108</v>
      </c>
      <c r="BE4" s="1352" t="s">
        <v>986</v>
      </c>
    </row>
    <row r="5" spans="1:59" s="421" customFormat="1" ht="30.75" customHeight="1">
      <c r="A5" s="1352"/>
      <c r="B5" s="1352"/>
      <c r="C5" s="1352"/>
      <c r="D5" s="1352"/>
      <c r="E5" s="1109" t="s">
        <v>7</v>
      </c>
      <c r="F5" s="1109" t="s">
        <v>9</v>
      </c>
      <c r="G5" s="1111" t="s">
        <v>11</v>
      </c>
      <c r="H5" s="1109" t="s">
        <v>13</v>
      </c>
      <c r="I5" s="1109" t="s">
        <v>15</v>
      </c>
      <c r="J5" s="1109" t="s">
        <v>17</v>
      </c>
      <c r="K5" s="1109" t="s">
        <v>19</v>
      </c>
      <c r="L5" s="1109" t="s">
        <v>21</v>
      </c>
      <c r="M5" s="1111" t="s">
        <v>247</v>
      </c>
      <c r="N5" s="1109" t="s">
        <v>23</v>
      </c>
      <c r="O5" s="1109" t="s">
        <v>25</v>
      </c>
      <c r="P5" s="1109" t="s">
        <v>27</v>
      </c>
      <c r="Q5" s="1109" t="s">
        <v>29</v>
      </c>
      <c r="R5" s="1109" t="s">
        <v>31</v>
      </c>
      <c r="S5" s="1109" t="s">
        <v>33</v>
      </c>
      <c r="T5" s="1109" t="s">
        <v>35</v>
      </c>
      <c r="U5" s="1109" t="s">
        <v>37</v>
      </c>
      <c r="V5" s="1109" t="s">
        <v>39</v>
      </c>
      <c r="W5" s="1109" t="s">
        <v>41</v>
      </c>
      <c r="X5" s="1109" t="s">
        <v>43</v>
      </c>
      <c r="Y5" s="1109" t="s">
        <v>66</v>
      </c>
      <c r="Z5" s="1111" t="s">
        <v>45</v>
      </c>
      <c r="AA5" s="1109" t="s">
        <v>196</v>
      </c>
      <c r="AB5" s="1109" t="s">
        <v>194</v>
      </c>
      <c r="AC5" s="1109" t="s">
        <v>220</v>
      </c>
      <c r="AD5" s="1109" t="s">
        <v>221</v>
      </c>
      <c r="AE5" s="1109" t="s">
        <v>192</v>
      </c>
      <c r="AF5" s="1109" t="s">
        <v>195</v>
      </c>
      <c r="AG5" s="1109" t="s">
        <v>193</v>
      </c>
      <c r="AH5" s="1109" t="s">
        <v>224</v>
      </c>
      <c r="AI5" s="1109" t="s">
        <v>245</v>
      </c>
      <c r="AJ5" s="1109" t="s">
        <v>47</v>
      </c>
      <c r="AK5" s="1109" t="s">
        <v>51</v>
      </c>
      <c r="AL5" s="1109" t="s">
        <v>63</v>
      </c>
      <c r="AM5" s="1109" t="s">
        <v>64</v>
      </c>
      <c r="AN5" s="1109" t="s">
        <v>222</v>
      </c>
      <c r="AO5" s="1109" t="s">
        <v>223</v>
      </c>
      <c r="AP5" s="1109" t="s">
        <v>204</v>
      </c>
      <c r="AQ5" s="1109" t="s">
        <v>49</v>
      </c>
      <c r="AR5" s="1109" t="s">
        <v>68</v>
      </c>
      <c r="AS5" s="1109" t="s">
        <v>70</v>
      </c>
      <c r="AT5" s="1109" t="s">
        <v>53</v>
      </c>
      <c r="AU5" s="1109" t="s">
        <v>55</v>
      </c>
      <c r="AV5" s="1109" t="s">
        <v>57</v>
      </c>
      <c r="AW5" s="1109" t="s">
        <v>59</v>
      </c>
      <c r="AX5" s="1109" t="s">
        <v>61</v>
      </c>
      <c r="AY5" s="1109" t="s">
        <v>72</v>
      </c>
      <c r="AZ5" s="1109" t="s">
        <v>74</v>
      </c>
      <c r="BA5" s="1109" t="s">
        <v>76</v>
      </c>
      <c r="BB5" s="1109" t="s">
        <v>78</v>
      </c>
      <c r="BC5" s="1109" t="s">
        <v>80</v>
      </c>
      <c r="BD5" s="1354"/>
      <c r="BE5" s="1352"/>
    </row>
    <row r="6" spans="1:59" ht="18.75" customHeight="1">
      <c r="A6" s="1110"/>
      <c r="B6" s="422" t="s">
        <v>109</v>
      </c>
      <c r="C6" s="1110"/>
      <c r="D6" s="1110">
        <f>'B1'!D8</f>
        <v>143172.85999999999</v>
      </c>
      <c r="E6" s="1110">
        <f>E7</f>
        <v>134183.21</v>
      </c>
      <c r="F6" s="1110">
        <f>F8</f>
        <v>1203.32</v>
      </c>
      <c r="G6" s="423">
        <f>G9</f>
        <v>736.53</v>
      </c>
      <c r="H6" s="1110">
        <f>H10</f>
        <v>15053.070000000002</v>
      </c>
      <c r="I6" s="1110">
        <f>I11</f>
        <v>27153.91</v>
      </c>
      <c r="J6" s="1110">
        <f>J12</f>
        <v>13276.07</v>
      </c>
      <c r="K6" s="1110">
        <f>K13</f>
        <v>43026.239999999998</v>
      </c>
      <c r="L6" s="1110">
        <f>L14</f>
        <v>34235.089999999997</v>
      </c>
      <c r="M6" s="423">
        <f>M15</f>
        <v>29661.960000000003</v>
      </c>
      <c r="N6" s="1110">
        <f>N16</f>
        <v>122.25999999999999</v>
      </c>
      <c r="O6" s="1110">
        <f>O17</f>
        <v>0</v>
      </c>
      <c r="P6" s="1110">
        <f>P18</f>
        <v>113.24999999999999</v>
      </c>
      <c r="Q6" s="1110">
        <f>Q19</f>
        <v>8259.82</v>
      </c>
      <c r="R6" s="1110">
        <f>R20</f>
        <v>117.88</v>
      </c>
      <c r="S6" s="1110">
        <f>S21</f>
        <v>0.97</v>
      </c>
      <c r="T6" s="1110">
        <f>T22</f>
        <v>0</v>
      </c>
      <c r="U6" s="1110">
        <f>U23</f>
        <v>0</v>
      </c>
      <c r="V6" s="1110">
        <f>V24</f>
        <v>5.26</v>
      </c>
      <c r="W6" s="1110">
        <f>W25</f>
        <v>56.789999999999992</v>
      </c>
      <c r="X6" s="1110">
        <f>X26</f>
        <v>4.66</v>
      </c>
      <c r="Y6" s="1110">
        <f>Y27</f>
        <v>22.73</v>
      </c>
      <c r="Z6" s="423">
        <f>Z28</f>
        <v>6097.7199999999993</v>
      </c>
      <c r="AA6" s="1110">
        <f>AA29</f>
        <v>1158.3399999999999</v>
      </c>
      <c r="AB6" s="1110">
        <f>AB30</f>
        <v>90.080000000000013</v>
      </c>
      <c r="AC6" s="1110">
        <f>AC31</f>
        <v>6.19</v>
      </c>
      <c r="AD6" s="1110">
        <f>AD32</f>
        <v>4.96</v>
      </c>
      <c r="AE6" s="1110">
        <f>AE33</f>
        <v>62.69</v>
      </c>
      <c r="AF6" s="1110">
        <f>AF34</f>
        <v>16.670000000000002</v>
      </c>
      <c r="AG6" s="1110">
        <f>AG35</f>
        <v>4625.29</v>
      </c>
      <c r="AH6" s="1110">
        <f>AH36</f>
        <v>1.02</v>
      </c>
      <c r="AI6" s="1110">
        <f>AI37</f>
        <v>0</v>
      </c>
      <c r="AJ6" s="1110">
        <f>AJ38</f>
        <v>3.86</v>
      </c>
      <c r="AK6" s="1110">
        <f>AK39</f>
        <v>2.66</v>
      </c>
      <c r="AL6" s="1110">
        <f>AL40</f>
        <v>6.8500000000000005</v>
      </c>
      <c r="AM6" s="1110">
        <f>AM41</f>
        <v>114.79</v>
      </c>
      <c r="AN6" s="1110">
        <f>AN42</f>
        <v>0</v>
      </c>
      <c r="AO6" s="1110">
        <f>AO43</f>
        <v>0.66</v>
      </c>
      <c r="AP6" s="1110">
        <f>AP44</f>
        <v>3.6599999999999997</v>
      </c>
      <c r="AQ6" s="1110">
        <f>AQ45</f>
        <v>0</v>
      </c>
      <c r="AR6" s="1110">
        <f>AR46</f>
        <v>13.11</v>
      </c>
      <c r="AS6" s="1110">
        <f>AS47</f>
        <v>3.0500000000000003</v>
      </c>
      <c r="AT6" s="1110">
        <f>AT48</f>
        <v>725.37</v>
      </c>
      <c r="AU6" s="1110">
        <f>AU49</f>
        <v>120.44000000000001</v>
      </c>
      <c r="AV6" s="1110">
        <f>AV50</f>
        <v>19.62</v>
      </c>
      <c r="AW6" s="1110">
        <f>AW51</f>
        <v>5.03</v>
      </c>
      <c r="AX6" s="1110">
        <f>AX52</f>
        <v>0</v>
      </c>
      <c r="AY6" s="1110">
        <f>AY53</f>
        <v>0.27</v>
      </c>
      <c r="AZ6" s="1110">
        <f>AZ54</f>
        <v>1000.5</v>
      </c>
      <c r="BA6" s="1110">
        <f>BA55</f>
        <v>64.550000000000011</v>
      </c>
      <c r="BB6" s="1110">
        <f>BB56</f>
        <v>1.8699999999999999</v>
      </c>
      <c r="BC6" s="1110">
        <f>BC57</f>
        <v>154.58000000000001</v>
      </c>
      <c r="BD6" s="1111">
        <f>BD7+BD19+BD57</f>
        <v>575.24999999999989</v>
      </c>
      <c r="BE6" s="1109">
        <f>'B6'!H6</f>
        <v>143172.85999999999</v>
      </c>
    </row>
    <row r="7" spans="1:59" ht="18.75" customHeight="1">
      <c r="A7" s="424">
        <v>1</v>
      </c>
      <c r="B7" s="425" t="s">
        <v>6</v>
      </c>
      <c r="C7" s="424" t="s">
        <v>7</v>
      </c>
      <c r="D7" s="1110">
        <f>'B1'!D10</f>
        <v>134734.37</v>
      </c>
      <c r="E7" s="1005">
        <f>D7-BD7</f>
        <v>134183.21</v>
      </c>
      <c r="F7" s="427"/>
      <c r="G7" s="428"/>
      <c r="H7" s="427"/>
      <c r="I7" s="427"/>
      <c r="J7" s="427"/>
      <c r="K7" s="427"/>
      <c r="L7" s="427"/>
      <c r="M7" s="428"/>
      <c r="N7" s="427"/>
      <c r="O7" s="427"/>
      <c r="P7" s="427"/>
      <c r="Q7" s="427"/>
      <c r="R7" s="427"/>
      <c r="S7" s="427"/>
      <c r="T7" s="427"/>
      <c r="U7" s="427"/>
      <c r="V7" s="427"/>
      <c r="W7" s="427"/>
      <c r="X7" s="427"/>
      <c r="Y7" s="427"/>
      <c r="Z7" s="428"/>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9">
        <f>BD8+SUM(BD10:BD14)+SUM(BD16:BD18)</f>
        <v>551.15999999999985</v>
      </c>
      <c r="BE7" s="1109">
        <f>'B6'!H8</f>
        <v>134501.56999999998</v>
      </c>
    </row>
    <row r="8" spans="1:59" ht="18.75" customHeight="1">
      <c r="A8" s="1110" t="s">
        <v>139</v>
      </c>
      <c r="B8" s="422" t="s">
        <v>8</v>
      </c>
      <c r="C8" s="1110" t="s">
        <v>9</v>
      </c>
      <c r="D8" s="1110">
        <f>'B1'!D11</f>
        <v>1206.1199999999999</v>
      </c>
      <c r="E8" s="427"/>
      <c r="F8" s="1005">
        <f>D8-BD8</f>
        <v>1203.32</v>
      </c>
      <c r="G8" s="428"/>
      <c r="H8" s="427"/>
      <c r="I8" s="427"/>
      <c r="J8" s="427"/>
      <c r="K8" s="427"/>
      <c r="L8" s="427"/>
      <c r="M8" s="428"/>
      <c r="N8" s="427"/>
      <c r="O8" s="427"/>
      <c r="P8" s="427"/>
      <c r="Q8" s="427"/>
      <c r="R8" s="427"/>
      <c r="S8" s="427"/>
      <c r="T8" s="427"/>
      <c r="U8" s="427"/>
      <c r="V8" s="427"/>
      <c r="W8" s="427"/>
      <c r="X8" s="427"/>
      <c r="Y8" s="427"/>
      <c r="Z8" s="428">
        <f>SUM(AA8:AP8)</f>
        <v>2.8</v>
      </c>
      <c r="AA8" s="427">
        <v>0.8</v>
      </c>
      <c r="AB8" s="427">
        <v>0.5</v>
      </c>
      <c r="AC8" s="427"/>
      <c r="AD8" s="427"/>
      <c r="AE8" s="427"/>
      <c r="AF8" s="427"/>
      <c r="AG8" s="427">
        <v>1.5</v>
      </c>
      <c r="AH8" s="427"/>
      <c r="AI8" s="427"/>
      <c r="AJ8" s="427"/>
      <c r="AK8" s="427"/>
      <c r="AL8" s="427"/>
      <c r="AM8" s="427"/>
      <c r="AN8" s="427"/>
      <c r="AO8" s="427"/>
      <c r="AP8" s="427"/>
      <c r="AQ8" s="427"/>
      <c r="AR8" s="427"/>
      <c r="AS8" s="427"/>
      <c r="AT8" s="427"/>
      <c r="AU8" s="427"/>
      <c r="AV8" s="427"/>
      <c r="AW8" s="427"/>
      <c r="AX8" s="427"/>
      <c r="AY8" s="427"/>
      <c r="AZ8" s="427"/>
      <c r="BA8" s="427"/>
      <c r="BB8" s="427"/>
      <c r="BC8" s="427"/>
      <c r="BD8" s="428">
        <f>SUM(AA8:BC8)+SUM(N8:Y8)+SUM(H8:L8)</f>
        <v>2.8</v>
      </c>
      <c r="BE8" s="1110">
        <f>'B6'!H9</f>
        <v>1203.32</v>
      </c>
    </row>
    <row r="9" spans="1:59" s="418" customFormat="1" ht="18.75" customHeight="1">
      <c r="A9" s="423"/>
      <c r="B9" s="430" t="s">
        <v>10</v>
      </c>
      <c r="C9" s="431" t="s">
        <v>11</v>
      </c>
      <c r="D9" s="423">
        <f>'B1'!D12</f>
        <v>737.82999999999993</v>
      </c>
      <c r="E9" s="428"/>
      <c r="F9" s="428"/>
      <c r="G9" s="1005">
        <f>D9-BD9</f>
        <v>736.53</v>
      </c>
      <c r="H9" s="428"/>
      <c r="I9" s="428"/>
      <c r="J9" s="428"/>
      <c r="K9" s="428"/>
      <c r="L9" s="428"/>
      <c r="M9" s="428"/>
      <c r="N9" s="428"/>
      <c r="O9" s="428"/>
      <c r="P9" s="428"/>
      <c r="Q9" s="428"/>
      <c r="R9" s="428"/>
      <c r="S9" s="428"/>
      <c r="T9" s="428"/>
      <c r="U9" s="428"/>
      <c r="V9" s="428"/>
      <c r="W9" s="428"/>
      <c r="X9" s="428"/>
      <c r="Y9" s="428"/>
      <c r="Z9" s="428">
        <f t="shared" ref="Z9:Z27" si="0">SUM(AA9:AP9)</f>
        <v>1.3</v>
      </c>
      <c r="AA9" s="428">
        <v>0.8</v>
      </c>
      <c r="AB9" s="428">
        <v>0.5</v>
      </c>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f>SUM(H9:L9)+SUM(N9:Y9)+SUM(AA9:BC9)</f>
        <v>1.3</v>
      </c>
      <c r="BE9" s="1110">
        <f>'B6'!H10</f>
        <v>736.53</v>
      </c>
      <c r="BG9" s="419"/>
    </row>
    <row r="10" spans="1:59" ht="18.75" customHeight="1">
      <c r="A10" s="1110" t="s">
        <v>140</v>
      </c>
      <c r="B10" s="422" t="s">
        <v>12</v>
      </c>
      <c r="C10" s="1110" t="s">
        <v>13</v>
      </c>
      <c r="D10" s="1110">
        <f>'B1'!D13</f>
        <v>15432.95</v>
      </c>
      <c r="E10" s="427"/>
      <c r="F10" s="427"/>
      <c r="G10" s="428"/>
      <c r="H10" s="1005">
        <f>D10-BD10</f>
        <v>15053.070000000002</v>
      </c>
      <c r="I10" s="427">
        <v>278</v>
      </c>
      <c r="J10" s="427"/>
      <c r="K10" s="427"/>
      <c r="L10" s="427"/>
      <c r="M10" s="428"/>
      <c r="N10" s="427"/>
      <c r="O10" s="427"/>
      <c r="P10" s="427">
        <v>3.96</v>
      </c>
      <c r="Q10" s="427"/>
      <c r="R10" s="427">
        <v>5.39</v>
      </c>
      <c r="S10" s="427">
        <f>1.2</f>
        <v>1.2</v>
      </c>
      <c r="T10" s="427"/>
      <c r="U10" s="427">
        <v>1.01</v>
      </c>
      <c r="V10" s="427">
        <v>0.33</v>
      </c>
      <c r="W10" s="427">
        <v>3.7</v>
      </c>
      <c r="X10" s="427"/>
      <c r="Y10" s="427">
        <v>1.46</v>
      </c>
      <c r="Z10" s="428">
        <f t="shared" si="0"/>
        <v>46.680000000000007</v>
      </c>
      <c r="AA10" s="428">
        <v>20.440000000000001</v>
      </c>
      <c r="AB10" s="427">
        <v>19.399999999999999</v>
      </c>
      <c r="AC10" s="427"/>
      <c r="AD10" s="427"/>
      <c r="AE10" s="427">
        <v>0.5</v>
      </c>
      <c r="AF10" s="427"/>
      <c r="AG10" s="427">
        <v>5.2</v>
      </c>
      <c r="AH10" s="427"/>
      <c r="AI10" s="427"/>
      <c r="AJ10" s="427"/>
      <c r="AK10" s="427"/>
      <c r="AL10" s="427"/>
      <c r="AM10" s="427">
        <v>1.1399999999999999</v>
      </c>
      <c r="AN10" s="427"/>
      <c r="AO10" s="427"/>
      <c r="AP10" s="427"/>
      <c r="AQ10" s="427"/>
      <c r="AR10" s="427"/>
      <c r="AS10" s="427">
        <v>1.31</v>
      </c>
      <c r="AT10" s="427">
        <v>31.04</v>
      </c>
      <c r="AU10" s="427">
        <v>5.7</v>
      </c>
      <c r="AV10" s="427"/>
      <c r="AW10" s="427"/>
      <c r="AX10" s="427"/>
      <c r="AY10" s="427"/>
      <c r="AZ10" s="427"/>
      <c r="BA10" s="427"/>
      <c r="BB10" s="427">
        <v>0.1</v>
      </c>
      <c r="BC10" s="427"/>
      <c r="BD10" s="428">
        <f>F10+SUM(I10:L10)+SUM(N10:Y10)+SUM(AA10:BC10)</f>
        <v>379.88</v>
      </c>
      <c r="BE10" s="1110">
        <f>'B6'!H11</f>
        <v>15053.07</v>
      </c>
    </row>
    <row r="11" spans="1:59" ht="18.75" customHeight="1">
      <c r="A11" s="1110" t="s">
        <v>141</v>
      </c>
      <c r="B11" s="422" t="s">
        <v>14</v>
      </c>
      <c r="C11" s="1110" t="s">
        <v>15</v>
      </c>
      <c r="D11" s="1110">
        <f>'B1'!D14</f>
        <v>27265.360000000001</v>
      </c>
      <c r="E11" s="427"/>
      <c r="F11" s="427"/>
      <c r="G11" s="428"/>
      <c r="H11" s="427"/>
      <c r="I11" s="1005">
        <f>D11-BD11</f>
        <v>27153.91</v>
      </c>
      <c r="J11" s="427"/>
      <c r="K11" s="427"/>
      <c r="L11" s="427"/>
      <c r="M11" s="428"/>
      <c r="N11" s="427"/>
      <c r="O11" s="427"/>
      <c r="P11" s="427">
        <v>21.4</v>
      </c>
      <c r="Q11" s="427"/>
      <c r="R11" s="427"/>
      <c r="S11" s="427">
        <v>1.58</v>
      </c>
      <c r="T11" s="427"/>
      <c r="U11" s="427"/>
      <c r="V11" s="427"/>
      <c r="W11" s="427"/>
      <c r="X11" s="427"/>
      <c r="Y11" s="427">
        <v>1</v>
      </c>
      <c r="Z11" s="428">
        <f t="shared" si="0"/>
        <v>51.84</v>
      </c>
      <c r="AA11" s="427">
        <v>27.64</v>
      </c>
      <c r="AB11" s="427">
        <v>23.5</v>
      </c>
      <c r="AC11" s="427"/>
      <c r="AD11" s="427"/>
      <c r="AE11" s="427">
        <v>0.7</v>
      </c>
      <c r="AF11" s="427"/>
      <c r="AG11" s="427"/>
      <c r="AH11" s="427"/>
      <c r="AI11" s="427"/>
      <c r="AJ11" s="427"/>
      <c r="AK11" s="427"/>
      <c r="AL11" s="427"/>
      <c r="AM11" s="427"/>
      <c r="AN11" s="427"/>
      <c r="AO11" s="427"/>
      <c r="AP11" s="427"/>
      <c r="AQ11" s="427"/>
      <c r="AR11" s="427"/>
      <c r="AS11" s="427">
        <v>1.2</v>
      </c>
      <c r="AT11" s="427">
        <v>27.45</v>
      </c>
      <c r="AU11" s="427">
        <v>6.32</v>
      </c>
      <c r="AV11" s="427"/>
      <c r="AW11" s="427"/>
      <c r="AX11" s="427"/>
      <c r="AY11" s="427"/>
      <c r="AZ11" s="427"/>
      <c r="BA11" s="427"/>
      <c r="BB11" s="427">
        <v>0.66</v>
      </c>
      <c r="BC11" s="427"/>
      <c r="BD11" s="428">
        <f>F11+SUM(J11:L11)+H11+SUM(N11:Y11)+SUM(AA11:BC11)</f>
        <v>111.44999999999999</v>
      </c>
      <c r="BE11" s="1110">
        <f>'B6'!H12</f>
        <v>27446.910000000003</v>
      </c>
    </row>
    <row r="12" spans="1:59" ht="18.75" customHeight="1">
      <c r="A12" s="1110" t="s">
        <v>142</v>
      </c>
      <c r="B12" s="422" t="s">
        <v>16</v>
      </c>
      <c r="C12" s="1110" t="s">
        <v>17</v>
      </c>
      <c r="D12" s="1110">
        <f>'B1'!D15</f>
        <v>13311.81</v>
      </c>
      <c r="E12" s="427"/>
      <c r="F12" s="427"/>
      <c r="G12" s="428"/>
      <c r="H12" s="427"/>
      <c r="I12" s="427"/>
      <c r="J12" s="1005">
        <f>D12-BD12</f>
        <v>13276.07</v>
      </c>
      <c r="K12" s="427"/>
      <c r="L12" s="427"/>
      <c r="M12" s="428"/>
      <c r="N12" s="427"/>
      <c r="O12" s="427"/>
      <c r="P12" s="427"/>
      <c r="Q12" s="427"/>
      <c r="R12" s="427"/>
      <c r="S12" s="427"/>
      <c r="T12" s="427"/>
      <c r="U12" s="427"/>
      <c r="V12" s="427"/>
      <c r="W12" s="427"/>
      <c r="X12" s="427"/>
      <c r="Y12" s="427"/>
      <c r="Z12" s="428">
        <f t="shared" si="0"/>
        <v>35.739999999999995</v>
      </c>
      <c r="AA12" s="427">
        <v>16</v>
      </c>
      <c r="AB12" s="427"/>
      <c r="AC12" s="427"/>
      <c r="AD12" s="427"/>
      <c r="AE12" s="427"/>
      <c r="AF12" s="427"/>
      <c r="AG12" s="427">
        <v>19.739999999999998</v>
      </c>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8">
        <f>SUM(H12:I12)+F12+SUM(K12:L12)+SUM(N12:Y12)+SUM(AA12:BC12)</f>
        <v>35.739999999999995</v>
      </c>
      <c r="BE12" s="1110">
        <f>'B6'!H13</f>
        <v>13276.07</v>
      </c>
    </row>
    <row r="13" spans="1:59" ht="18.75" customHeight="1">
      <c r="A13" s="1110" t="s">
        <v>143</v>
      </c>
      <c r="B13" s="422" t="s">
        <v>18</v>
      </c>
      <c r="C13" s="1110" t="s">
        <v>19</v>
      </c>
      <c r="D13" s="1110">
        <f>'B1'!D16</f>
        <v>43026.239999999998</v>
      </c>
      <c r="E13" s="427"/>
      <c r="F13" s="427"/>
      <c r="G13" s="428"/>
      <c r="H13" s="427"/>
      <c r="I13" s="427"/>
      <c r="J13" s="427"/>
      <c r="K13" s="1005">
        <f>D13-BD13</f>
        <v>43026.239999999998</v>
      </c>
      <c r="L13" s="427"/>
      <c r="M13" s="428"/>
      <c r="N13" s="427"/>
      <c r="O13" s="427"/>
      <c r="P13" s="427"/>
      <c r="Q13" s="427"/>
      <c r="R13" s="427"/>
      <c r="S13" s="427"/>
      <c r="T13" s="427"/>
      <c r="U13" s="427"/>
      <c r="V13" s="427"/>
      <c r="W13" s="427"/>
      <c r="X13" s="427"/>
      <c r="Y13" s="427"/>
      <c r="Z13" s="428">
        <f t="shared" si="0"/>
        <v>0</v>
      </c>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7"/>
      <c r="BD13" s="428">
        <f>F13+SUM(H13:J13)+L13+SUM(N13:Y13)+SUM(AA13:BC13)</f>
        <v>0</v>
      </c>
      <c r="BE13" s="1110">
        <f>'B6'!H14</f>
        <v>43026.239999999998</v>
      </c>
    </row>
    <row r="14" spans="1:59" ht="18.75" customHeight="1">
      <c r="A14" s="1110" t="s">
        <v>144</v>
      </c>
      <c r="B14" s="422" t="s">
        <v>20</v>
      </c>
      <c r="C14" s="1110" t="s">
        <v>21</v>
      </c>
      <c r="D14" s="1110">
        <f>'B1'!D17</f>
        <v>34255.949999999997</v>
      </c>
      <c r="E14" s="427"/>
      <c r="F14" s="427"/>
      <c r="G14" s="428"/>
      <c r="H14" s="427"/>
      <c r="I14" s="427"/>
      <c r="J14" s="427"/>
      <c r="K14" s="427"/>
      <c r="L14" s="1005">
        <f>D14-BD14</f>
        <v>34235.089999999997</v>
      </c>
      <c r="M14" s="428"/>
      <c r="N14" s="427"/>
      <c r="O14" s="427"/>
      <c r="P14" s="427"/>
      <c r="Q14" s="427"/>
      <c r="R14" s="427"/>
      <c r="S14" s="427"/>
      <c r="T14" s="427"/>
      <c r="U14" s="427"/>
      <c r="V14" s="427"/>
      <c r="W14" s="427"/>
      <c r="X14" s="427"/>
      <c r="Y14" s="427"/>
      <c r="Z14" s="428">
        <f t="shared" si="0"/>
        <v>20.86</v>
      </c>
      <c r="AA14" s="427">
        <v>20.86</v>
      </c>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8">
        <f>F14+SUM(H14:K14)+SUM(N14:Y14)+SUM(AA14:BC14)</f>
        <v>20.86</v>
      </c>
      <c r="BE14" s="1110">
        <f>'B6'!H15</f>
        <v>34235.089999999997</v>
      </c>
    </row>
    <row r="15" spans="1:59" s="434" customFormat="1" ht="18.75" customHeight="1">
      <c r="A15" s="431"/>
      <c r="B15" s="430" t="s">
        <v>243</v>
      </c>
      <c r="C15" s="431" t="s">
        <v>247</v>
      </c>
      <c r="D15" s="431">
        <f>'B1'!D18</f>
        <v>29661.960000000003</v>
      </c>
      <c r="E15" s="432"/>
      <c r="F15" s="432"/>
      <c r="G15" s="432"/>
      <c r="H15" s="432"/>
      <c r="I15" s="432"/>
      <c r="J15" s="432"/>
      <c r="K15" s="432"/>
      <c r="L15" s="432"/>
      <c r="M15" s="1006">
        <f>D15-BD15</f>
        <v>29661.960000000003</v>
      </c>
      <c r="N15" s="432"/>
      <c r="O15" s="432"/>
      <c r="P15" s="432"/>
      <c r="Q15" s="432"/>
      <c r="R15" s="432"/>
      <c r="S15" s="432"/>
      <c r="T15" s="432"/>
      <c r="U15" s="432"/>
      <c r="V15" s="432"/>
      <c r="W15" s="432"/>
      <c r="X15" s="432"/>
      <c r="Y15" s="432"/>
      <c r="Z15" s="432">
        <f t="shared" si="0"/>
        <v>0</v>
      </c>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f>F15+SUM(H15:L15)+SUM(N15:Y15)+SUM(AA15:BC15)</f>
        <v>0</v>
      </c>
      <c r="BE15" s="433">
        <f>'B6'!H16</f>
        <v>29661.960000000003</v>
      </c>
      <c r="BG15" s="419"/>
    </row>
    <row r="16" spans="1:59" ht="18.75" customHeight="1">
      <c r="A16" s="1110" t="s">
        <v>145</v>
      </c>
      <c r="B16" s="422" t="s">
        <v>22</v>
      </c>
      <c r="C16" s="1110" t="s">
        <v>23</v>
      </c>
      <c r="D16" s="1110">
        <f>'B1'!D19</f>
        <v>122.69</v>
      </c>
      <c r="E16" s="427"/>
      <c r="F16" s="427"/>
      <c r="G16" s="428"/>
      <c r="H16" s="427"/>
      <c r="I16" s="427"/>
      <c r="J16" s="427"/>
      <c r="K16" s="427"/>
      <c r="L16" s="427"/>
      <c r="M16" s="428"/>
      <c r="N16" s="1005">
        <f>D16-BD16</f>
        <v>122.25999999999999</v>
      </c>
      <c r="O16" s="427"/>
      <c r="P16" s="427"/>
      <c r="Q16" s="427"/>
      <c r="R16" s="427"/>
      <c r="S16" s="427"/>
      <c r="T16" s="427"/>
      <c r="U16" s="427"/>
      <c r="V16" s="427"/>
      <c r="W16" s="427"/>
      <c r="X16" s="427"/>
      <c r="Y16" s="427"/>
      <c r="Z16" s="428">
        <f t="shared" si="0"/>
        <v>0.19</v>
      </c>
      <c r="AA16" s="427">
        <v>0.19</v>
      </c>
      <c r="AB16" s="427"/>
      <c r="AC16" s="427"/>
      <c r="AD16" s="427"/>
      <c r="AE16" s="427"/>
      <c r="AF16" s="427"/>
      <c r="AG16" s="427"/>
      <c r="AH16" s="427"/>
      <c r="AI16" s="427"/>
      <c r="AJ16" s="427"/>
      <c r="AK16" s="427"/>
      <c r="AL16" s="427"/>
      <c r="AM16" s="427"/>
      <c r="AN16" s="427"/>
      <c r="AO16" s="427"/>
      <c r="AP16" s="427"/>
      <c r="AQ16" s="427"/>
      <c r="AR16" s="427"/>
      <c r="AS16" s="427"/>
      <c r="AT16" s="427">
        <v>0.24</v>
      </c>
      <c r="AU16" s="427"/>
      <c r="AV16" s="427"/>
      <c r="AW16" s="427"/>
      <c r="AX16" s="427"/>
      <c r="AY16" s="427"/>
      <c r="AZ16" s="427"/>
      <c r="BA16" s="427"/>
      <c r="BB16" s="427"/>
      <c r="BC16" s="427"/>
      <c r="BD16" s="428">
        <f>F16+SUM(H16:L16)+SUM(O16:Y16)+SUM(AA16:BC16)</f>
        <v>0.43</v>
      </c>
      <c r="BE16" s="1110">
        <f>'B6'!H17</f>
        <v>122.26</v>
      </c>
    </row>
    <row r="17" spans="1:59" ht="18.75" customHeight="1">
      <c r="A17" s="1110" t="s">
        <v>146</v>
      </c>
      <c r="B17" s="422" t="s">
        <v>24</v>
      </c>
      <c r="C17" s="1110" t="s">
        <v>25</v>
      </c>
      <c r="D17" s="1110">
        <f>'B1'!D20</f>
        <v>0</v>
      </c>
      <c r="E17" s="427"/>
      <c r="F17" s="427"/>
      <c r="G17" s="428"/>
      <c r="H17" s="427"/>
      <c r="I17" s="427"/>
      <c r="J17" s="427"/>
      <c r="K17" s="427"/>
      <c r="L17" s="427"/>
      <c r="M17" s="428"/>
      <c r="N17" s="427"/>
      <c r="O17" s="1005">
        <f>D17-BD17</f>
        <v>0</v>
      </c>
      <c r="P17" s="427"/>
      <c r="Q17" s="427"/>
      <c r="R17" s="427"/>
      <c r="S17" s="427"/>
      <c r="T17" s="427"/>
      <c r="U17" s="427"/>
      <c r="V17" s="427"/>
      <c r="W17" s="427"/>
      <c r="X17" s="427"/>
      <c r="Y17" s="427"/>
      <c r="Z17" s="428">
        <f t="shared" si="0"/>
        <v>0</v>
      </c>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8">
        <f>F17+SUM(H17:L17)+N17+SUM(P17:Y17)+SUM(AA17:BC17)</f>
        <v>0</v>
      </c>
      <c r="BE17" s="1110">
        <f>'B6'!H18</f>
        <v>0</v>
      </c>
    </row>
    <row r="18" spans="1:59" ht="18.75" customHeight="1">
      <c r="A18" s="1110" t="s">
        <v>147</v>
      </c>
      <c r="B18" s="422" t="s">
        <v>26</v>
      </c>
      <c r="C18" s="1110" t="s">
        <v>27</v>
      </c>
      <c r="D18" s="1110">
        <f>'B1'!D21</f>
        <v>113.24999999999999</v>
      </c>
      <c r="E18" s="427"/>
      <c r="F18" s="427"/>
      <c r="G18" s="428"/>
      <c r="H18" s="427"/>
      <c r="I18" s="427"/>
      <c r="J18" s="427"/>
      <c r="K18" s="427"/>
      <c r="L18" s="427"/>
      <c r="M18" s="428"/>
      <c r="N18" s="427"/>
      <c r="O18" s="427"/>
      <c r="P18" s="1005">
        <f>D18-BD18</f>
        <v>113.24999999999999</v>
      </c>
      <c r="Q18" s="427"/>
      <c r="R18" s="427"/>
      <c r="S18" s="427"/>
      <c r="T18" s="427"/>
      <c r="U18" s="427"/>
      <c r="V18" s="427"/>
      <c r="W18" s="427"/>
      <c r="X18" s="427"/>
      <c r="Y18" s="427"/>
      <c r="Z18" s="428">
        <f t="shared" si="0"/>
        <v>0</v>
      </c>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8">
        <f>F18+SUM(H18:L18)+SUM(N18:O18)+SUM(Q18:Y18)+SUM(AA18:BC18)</f>
        <v>0</v>
      </c>
      <c r="BE18" s="1110">
        <f>'B6'!H19</f>
        <v>138.61000000000001</v>
      </c>
    </row>
    <row r="19" spans="1:59" s="437" customFormat="1" ht="18.75" customHeight="1">
      <c r="A19" s="424">
        <v>2</v>
      </c>
      <c r="B19" s="425" t="s">
        <v>28</v>
      </c>
      <c r="C19" s="424" t="s">
        <v>29</v>
      </c>
      <c r="D19" s="424">
        <f>'B1'!D22</f>
        <v>8267.58</v>
      </c>
      <c r="E19" s="435"/>
      <c r="F19" s="435"/>
      <c r="G19" s="436"/>
      <c r="H19" s="435"/>
      <c r="I19" s="435"/>
      <c r="J19" s="435"/>
      <c r="K19" s="435"/>
      <c r="L19" s="435"/>
      <c r="M19" s="436"/>
      <c r="N19" s="435"/>
      <c r="O19" s="435"/>
      <c r="P19" s="435"/>
      <c r="Q19" s="1007">
        <f>D19-BD19</f>
        <v>8259.82</v>
      </c>
      <c r="R19" s="435"/>
      <c r="S19" s="435"/>
      <c r="T19" s="435"/>
      <c r="U19" s="435"/>
      <c r="V19" s="435"/>
      <c r="W19" s="435"/>
      <c r="X19" s="435"/>
      <c r="Y19" s="435"/>
      <c r="Z19" s="436">
        <f t="shared" si="0"/>
        <v>0</v>
      </c>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6">
        <f>SUM(BD20:BD56)-BD28</f>
        <v>7.76</v>
      </c>
      <c r="BE19" s="424">
        <f>'B6'!H20</f>
        <v>8516.7099999999991</v>
      </c>
      <c r="BG19" s="419"/>
    </row>
    <row r="20" spans="1:59" ht="18.75" customHeight="1">
      <c r="A20" s="1110" t="s">
        <v>148</v>
      </c>
      <c r="B20" s="422" t="s">
        <v>30</v>
      </c>
      <c r="C20" s="1110" t="s">
        <v>31</v>
      </c>
      <c r="D20" s="1110">
        <f>'B1'!D23</f>
        <v>117.88</v>
      </c>
      <c r="E20" s="427"/>
      <c r="F20" s="427"/>
      <c r="G20" s="428"/>
      <c r="H20" s="427"/>
      <c r="I20" s="427"/>
      <c r="J20" s="427"/>
      <c r="K20" s="427"/>
      <c r="L20" s="427"/>
      <c r="M20" s="428"/>
      <c r="N20" s="427"/>
      <c r="O20" s="427"/>
      <c r="P20" s="427"/>
      <c r="Q20" s="427"/>
      <c r="R20" s="1005">
        <f>D20-BD20</f>
        <v>117.88</v>
      </c>
      <c r="S20" s="427"/>
      <c r="T20" s="427"/>
      <c r="U20" s="427"/>
      <c r="V20" s="427"/>
      <c r="W20" s="427"/>
      <c r="X20" s="427"/>
      <c r="Y20" s="427"/>
      <c r="Z20" s="428">
        <f t="shared" si="0"/>
        <v>0</v>
      </c>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8">
        <f>F20+SUM(H20:L20)+SUM(N20:Q20)+SUM(S20:Y20)+SUM(AA20:BC20)</f>
        <v>0</v>
      </c>
      <c r="BE20" s="1110">
        <f>'B6'!H21</f>
        <v>123.28</v>
      </c>
      <c r="BG20" s="419">
        <f>43880+131855</f>
        <v>175735</v>
      </c>
    </row>
    <row r="21" spans="1:59" ht="18.75" customHeight="1">
      <c r="A21" s="1110" t="s">
        <v>138</v>
      </c>
      <c r="B21" s="422" t="s">
        <v>32</v>
      </c>
      <c r="C21" s="1110" t="s">
        <v>33</v>
      </c>
      <c r="D21" s="1110">
        <f>'B1'!D24</f>
        <v>0.97</v>
      </c>
      <c r="E21" s="427"/>
      <c r="F21" s="427"/>
      <c r="G21" s="428"/>
      <c r="H21" s="427"/>
      <c r="I21" s="427"/>
      <c r="J21" s="427"/>
      <c r="K21" s="427"/>
      <c r="L21" s="427"/>
      <c r="M21" s="428"/>
      <c r="N21" s="427"/>
      <c r="O21" s="427"/>
      <c r="P21" s="427"/>
      <c r="Q21" s="427"/>
      <c r="R21" s="427"/>
      <c r="S21" s="1005">
        <f>D21-BD21</f>
        <v>0.97</v>
      </c>
      <c r="T21" s="427"/>
      <c r="U21" s="427"/>
      <c r="V21" s="427"/>
      <c r="W21" s="427"/>
      <c r="X21" s="427"/>
      <c r="Y21" s="427"/>
      <c r="Z21" s="428">
        <f t="shared" si="0"/>
        <v>0</v>
      </c>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8">
        <f>F21+SUM(H21:L21)+SUM(N21:R21)+SUM(T21:Y21)+SUM(AA21:BC21)</f>
        <v>0</v>
      </c>
      <c r="BE21" s="1110">
        <f>'B6'!H22</f>
        <v>4.2700000000000005</v>
      </c>
    </row>
    <row r="22" spans="1:59" ht="18.75" customHeight="1">
      <c r="A22" s="1110" t="s">
        <v>149</v>
      </c>
      <c r="B22" s="422" t="s">
        <v>34</v>
      </c>
      <c r="C22" s="1110" t="s">
        <v>35</v>
      </c>
      <c r="D22" s="1110">
        <f>'B1'!D25</f>
        <v>0</v>
      </c>
      <c r="E22" s="427"/>
      <c r="F22" s="427"/>
      <c r="G22" s="428"/>
      <c r="H22" s="427"/>
      <c r="I22" s="427"/>
      <c r="J22" s="427"/>
      <c r="K22" s="427"/>
      <c r="L22" s="427"/>
      <c r="M22" s="428"/>
      <c r="N22" s="427"/>
      <c r="O22" s="427"/>
      <c r="P22" s="427"/>
      <c r="Q22" s="427" t="s">
        <v>279</v>
      </c>
      <c r="R22" s="427"/>
      <c r="S22" s="427"/>
      <c r="T22" s="1005">
        <f>D22-BD22</f>
        <v>0</v>
      </c>
      <c r="U22" s="427"/>
      <c r="V22" s="427"/>
      <c r="W22" s="427"/>
      <c r="X22" s="427"/>
      <c r="Y22" s="427"/>
      <c r="Z22" s="428">
        <f t="shared" si="0"/>
        <v>0</v>
      </c>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8">
        <f>F22+SUM(H22:L22)+SUM(N22:S22)+SUM(U22:Y22)+SUM(AA22:BC22)</f>
        <v>0</v>
      </c>
      <c r="BE22" s="1110">
        <f>'B6'!H23</f>
        <v>0</v>
      </c>
    </row>
    <row r="23" spans="1:59" ht="18.75" customHeight="1">
      <c r="A23" s="1110" t="s">
        <v>150</v>
      </c>
      <c r="B23" s="422" t="s">
        <v>36</v>
      </c>
      <c r="C23" s="1110" t="s">
        <v>37</v>
      </c>
      <c r="D23" s="1110">
        <f>'B1'!D26</f>
        <v>0</v>
      </c>
      <c r="E23" s="427"/>
      <c r="F23" s="427"/>
      <c r="G23" s="428"/>
      <c r="H23" s="427"/>
      <c r="I23" s="427"/>
      <c r="J23" s="427"/>
      <c r="K23" s="427"/>
      <c r="L23" s="427"/>
      <c r="M23" s="428"/>
      <c r="N23" s="427"/>
      <c r="O23" s="427"/>
      <c r="P23" s="427"/>
      <c r="Q23" s="427"/>
      <c r="R23" s="427"/>
      <c r="S23" s="427"/>
      <c r="T23" s="427"/>
      <c r="U23" s="1005">
        <f>D23-BD23</f>
        <v>0</v>
      </c>
      <c r="V23" s="427"/>
      <c r="W23" s="427"/>
      <c r="X23" s="427"/>
      <c r="Y23" s="427"/>
      <c r="Z23" s="428">
        <f t="shared" si="0"/>
        <v>0</v>
      </c>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8">
        <f>SUM(AA23:BC23)+SUM(V23:Y23)+SUM(N23:T23)+SUM(H23:L23)+F23</f>
        <v>0</v>
      </c>
      <c r="BE23" s="1110">
        <f>'B6'!H24</f>
        <v>1.01</v>
      </c>
    </row>
    <row r="24" spans="1:59" ht="18.75" customHeight="1">
      <c r="A24" s="1110" t="s">
        <v>151</v>
      </c>
      <c r="B24" s="422" t="s">
        <v>38</v>
      </c>
      <c r="C24" s="1110" t="s">
        <v>39</v>
      </c>
      <c r="D24" s="1110">
        <f>'B1'!D27</f>
        <v>5.26</v>
      </c>
      <c r="E24" s="427"/>
      <c r="F24" s="427"/>
      <c r="G24" s="428"/>
      <c r="H24" s="427"/>
      <c r="I24" s="427"/>
      <c r="J24" s="427"/>
      <c r="K24" s="427"/>
      <c r="L24" s="427"/>
      <c r="M24" s="428"/>
      <c r="N24" s="427"/>
      <c r="O24" s="427"/>
      <c r="P24" s="427"/>
      <c r="Q24" s="427"/>
      <c r="R24" s="427"/>
      <c r="S24" s="427"/>
      <c r="T24" s="427"/>
      <c r="U24" s="427"/>
      <c r="V24" s="1005">
        <f>D24-BD24</f>
        <v>5.26</v>
      </c>
      <c r="W24" s="427"/>
      <c r="X24" s="427"/>
      <c r="Y24" s="427"/>
      <c r="Z24" s="428">
        <f t="shared" si="0"/>
        <v>0</v>
      </c>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8">
        <f>F24+SUM(H24:L24)+SUM(N24:U24)+SUM(W24:Y24)+SUM(AA24:BC24)</f>
        <v>0</v>
      </c>
      <c r="BE24" s="1110">
        <f>'B6'!H25</f>
        <v>5.83</v>
      </c>
    </row>
    <row r="25" spans="1:59" ht="18.75" customHeight="1">
      <c r="A25" s="1110" t="s">
        <v>152</v>
      </c>
      <c r="B25" s="422" t="s">
        <v>40</v>
      </c>
      <c r="C25" s="1110" t="s">
        <v>41</v>
      </c>
      <c r="D25" s="1110">
        <f>'B1'!D28</f>
        <v>56.789999999999992</v>
      </c>
      <c r="E25" s="427"/>
      <c r="F25" s="427"/>
      <c r="G25" s="428"/>
      <c r="H25" s="427"/>
      <c r="I25" s="427"/>
      <c r="J25" s="427"/>
      <c r="K25" s="427"/>
      <c r="L25" s="427"/>
      <c r="M25" s="428"/>
      <c r="N25" s="427"/>
      <c r="O25" s="427"/>
      <c r="P25" s="427"/>
      <c r="Q25" s="427"/>
      <c r="R25" s="427"/>
      <c r="S25" s="427"/>
      <c r="T25" s="427"/>
      <c r="U25" s="427"/>
      <c r="V25" s="427"/>
      <c r="W25" s="1005">
        <f>D25-BD25</f>
        <v>56.789999999999992</v>
      </c>
      <c r="X25" s="427"/>
      <c r="Y25" s="427"/>
      <c r="Z25" s="428">
        <f t="shared" si="0"/>
        <v>0</v>
      </c>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8">
        <f>F25+SUM(H25:L25)+SUM(N25:V25)+SUM(X25:Y25)+SUM(AA25:BC25)</f>
        <v>0</v>
      </c>
      <c r="BE25" s="1110">
        <f>'B6'!H26</f>
        <v>61.519999999999996</v>
      </c>
    </row>
    <row r="26" spans="1:59" ht="18.75" customHeight="1">
      <c r="A26" s="1110" t="s">
        <v>153</v>
      </c>
      <c r="B26" s="422" t="s">
        <v>42</v>
      </c>
      <c r="C26" s="1110" t="s">
        <v>43</v>
      </c>
      <c r="D26" s="1110">
        <f>'B1'!D29</f>
        <v>4.66</v>
      </c>
      <c r="E26" s="427"/>
      <c r="F26" s="427"/>
      <c r="G26" s="428"/>
      <c r="H26" s="427"/>
      <c r="I26" s="427"/>
      <c r="J26" s="427"/>
      <c r="K26" s="427"/>
      <c r="L26" s="427"/>
      <c r="M26" s="428"/>
      <c r="N26" s="427"/>
      <c r="O26" s="427"/>
      <c r="P26" s="427"/>
      <c r="Q26" s="427"/>
      <c r="R26" s="427"/>
      <c r="S26" s="427"/>
      <c r="T26" s="427"/>
      <c r="U26" s="427"/>
      <c r="V26" s="427"/>
      <c r="W26" s="427"/>
      <c r="X26" s="1005">
        <f>D26-BD26</f>
        <v>4.66</v>
      </c>
      <c r="Y26" s="427"/>
      <c r="Z26" s="428">
        <f t="shared" si="0"/>
        <v>0</v>
      </c>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8">
        <f>F26+SUM(H26:L26)+SUM(N26:W26)+Y26+SUM(AA26:BC26)</f>
        <v>0</v>
      </c>
      <c r="BE26" s="1110">
        <f>'B6'!H27</f>
        <v>4.66</v>
      </c>
    </row>
    <row r="27" spans="1:59" ht="18.75" customHeight="1">
      <c r="A27" s="1110" t="s">
        <v>154</v>
      </c>
      <c r="B27" s="422" t="s">
        <v>179</v>
      </c>
      <c r="C27" s="1110" t="s">
        <v>66</v>
      </c>
      <c r="D27" s="1110">
        <f>'B1'!D30</f>
        <v>22.73</v>
      </c>
      <c r="E27" s="427"/>
      <c r="F27" s="427"/>
      <c r="G27" s="428"/>
      <c r="H27" s="427"/>
      <c r="I27" s="427"/>
      <c r="J27" s="427"/>
      <c r="K27" s="427"/>
      <c r="L27" s="427"/>
      <c r="M27" s="428"/>
      <c r="N27" s="427"/>
      <c r="O27" s="427"/>
      <c r="P27" s="427"/>
      <c r="Q27" s="427"/>
      <c r="R27" s="427"/>
      <c r="S27" s="427"/>
      <c r="T27" s="427"/>
      <c r="U27" s="427"/>
      <c r="V27" s="427"/>
      <c r="W27" s="427"/>
      <c r="X27" s="427"/>
      <c r="Y27" s="1005">
        <f>D27-BD27</f>
        <v>22.73</v>
      </c>
      <c r="Z27" s="428">
        <f t="shared" si="0"/>
        <v>0</v>
      </c>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8">
        <f>F27+SUM(H27:L27)+SUM(N27:X27)+SUM(AA27:BC27)</f>
        <v>0</v>
      </c>
      <c r="BE27" s="1110">
        <f>'B6'!H28</f>
        <v>25.19</v>
      </c>
    </row>
    <row r="28" spans="1:59" s="416" customFormat="1" ht="18.75" customHeight="1">
      <c r="A28" s="438" t="s">
        <v>155</v>
      </c>
      <c r="B28" s="439" t="s">
        <v>180</v>
      </c>
      <c r="C28" s="438" t="s">
        <v>45</v>
      </c>
      <c r="D28" s="1110">
        <f>'B1'!D31</f>
        <v>6099.9</v>
      </c>
      <c r="E28" s="440">
        <f>SUM(E29:E44)</f>
        <v>0</v>
      </c>
      <c r="F28" s="440">
        <f t="shared" ref="F28:X28" si="1">SUM(F29:F44)</f>
        <v>0</v>
      </c>
      <c r="G28" s="440">
        <f t="shared" si="1"/>
        <v>0</v>
      </c>
      <c r="H28" s="440">
        <f t="shared" si="1"/>
        <v>0</v>
      </c>
      <c r="I28" s="440">
        <f t="shared" si="1"/>
        <v>0</v>
      </c>
      <c r="J28" s="440">
        <f t="shared" si="1"/>
        <v>0</v>
      </c>
      <c r="K28" s="440">
        <f t="shared" si="1"/>
        <v>0</v>
      </c>
      <c r="L28" s="440">
        <f t="shared" si="1"/>
        <v>0</v>
      </c>
      <c r="M28" s="440">
        <f t="shared" si="1"/>
        <v>0</v>
      </c>
      <c r="N28" s="440"/>
      <c r="O28" s="440"/>
      <c r="P28" s="440">
        <f t="shared" si="1"/>
        <v>0</v>
      </c>
      <c r="Q28" s="440">
        <f t="shared" si="1"/>
        <v>0</v>
      </c>
      <c r="R28" s="440"/>
      <c r="S28" s="440">
        <f>S33+S44</f>
        <v>0.15</v>
      </c>
      <c r="T28" s="440"/>
      <c r="U28" s="440"/>
      <c r="V28" s="440"/>
      <c r="W28" s="440">
        <f t="shared" si="1"/>
        <v>0</v>
      </c>
      <c r="X28" s="440">
        <f t="shared" si="1"/>
        <v>0</v>
      </c>
      <c r="Y28" s="440"/>
      <c r="Z28" s="1005">
        <f>D28-BD28</f>
        <v>6097.7199999999993</v>
      </c>
      <c r="AA28" s="440">
        <f>AA35+AA33</f>
        <v>0.22</v>
      </c>
      <c r="AB28" s="440"/>
      <c r="AC28" s="440"/>
      <c r="AD28" s="440">
        <f>SUM(AD29:AD44)-AD32</f>
        <v>0</v>
      </c>
      <c r="AE28" s="440">
        <f>SUM(AE29:AE44)-AE33</f>
        <v>0</v>
      </c>
      <c r="AF28" s="440">
        <f>SUM(AF29:AF44)-AF34</f>
        <v>0</v>
      </c>
      <c r="AG28" s="440">
        <f>SUM(AG29:AG44)-AG35</f>
        <v>0</v>
      </c>
      <c r="AH28" s="440">
        <f>SUM(AH29:AH44)-AH36</f>
        <v>0</v>
      </c>
      <c r="AI28" s="440">
        <f>SUM(AI29:AI44)-AI37</f>
        <v>0</v>
      </c>
      <c r="AJ28" s="440">
        <f>SUM(AJ29:AJ44)-AJ38</f>
        <v>0</v>
      </c>
      <c r="AK28" s="440">
        <f>SUM(AK29:AK44)-AK39</f>
        <v>0</v>
      </c>
      <c r="AL28" s="440">
        <f>SUM(AL29:AL44)-AL40</f>
        <v>0</v>
      </c>
      <c r="AM28" s="440">
        <f>SUM(AM29:AM44)-AM41</f>
        <v>0</v>
      </c>
      <c r="AN28" s="440">
        <f>SUM(AN29:AN44)-AN42</f>
        <v>0</v>
      </c>
      <c r="AO28" s="440">
        <f>SUM(AO29:AO44)-AO43</f>
        <v>0</v>
      </c>
      <c r="AP28" s="440">
        <f>SUM(AP29:AP44)-AP44</f>
        <v>0</v>
      </c>
      <c r="AQ28" s="440">
        <f t="shared" ref="AQ28:BC28" si="2">SUM(AQ29:AQ44)</f>
        <v>0</v>
      </c>
      <c r="AR28" s="440">
        <f t="shared" si="2"/>
        <v>0</v>
      </c>
      <c r="AS28" s="440">
        <f t="shared" si="2"/>
        <v>0</v>
      </c>
      <c r="AT28" s="440">
        <f t="shared" si="2"/>
        <v>1.47</v>
      </c>
      <c r="AU28" s="440">
        <f t="shared" si="2"/>
        <v>0.34</v>
      </c>
      <c r="AV28" s="440">
        <f t="shared" si="2"/>
        <v>0</v>
      </c>
      <c r="AW28" s="440">
        <f t="shared" si="2"/>
        <v>0</v>
      </c>
      <c r="AX28" s="440">
        <f t="shared" si="2"/>
        <v>0</v>
      </c>
      <c r="AY28" s="440">
        <f t="shared" si="2"/>
        <v>0</v>
      </c>
      <c r="AZ28" s="440">
        <f t="shared" si="2"/>
        <v>0</v>
      </c>
      <c r="BA28" s="440">
        <f t="shared" si="2"/>
        <v>0</v>
      </c>
      <c r="BB28" s="440">
        <f t="shared" si="2"/>
        <v>0</v>
      </c>
      <c r="BC28" s="440">
        <f t="shared" si="2"/>
        <v>0</v>
      </c>
      <c r="BD28" s="428">
        <f>F28+SUM(H28:L28)+SUM(N28:Y28)+SUM(AA28:BC28)</f>
        <v>2.1799999999999997</v>
      </c>
      <c r="BE28" s="1110">
        <f>'B6'!H29</f>
        <v>6260.7400000000016</v>
      </c>
      <c r="BG28" s="419"/>
    </row>
    <row r="29" spans="1:59" ht="18.75" customHeight="1">
      <c r="A29" s="1110"/>
      <c r="B29" s="422" t="s">
        <v>216</v>
      </c>
      <c r="C29" s="1110" t="s">
        <v>196</v>
      </c>
      <c r="D29" s="1110">
        <f>'B1'!D32</f>
        <v>1158.3399999999999</v>
      </c>
      <c r="E29" s="427"/>
      <c r="F29" s="427"/>
      <c r="G29" s="428"/>
      <c r="H29" s="427"/>
      <c r="I29" s="427"/>
      <c r="J29" s="427"/>
      <c r="K29" s="427"/>
      <c r="L29" s="427"/>
      <c r="M29" s="428"/>
      <c r="N29" s="427"/>
      <c r="O29" s="427"/>
      <c r="P29" s="427"/>
      <c r="Q29" s="427"/>
      <c r="R29" s="427"/>
      <c r="S29" s="427"/>
      <c r="T29" s="427"/>
      <c r="U29" s="427"/>
      <c r="V29" s="427"/>
      <c r="W29" s="427"/>
      <c r="X29" s="427"/>
      <c r="Y29" s="427"/>
      <c r="Z29" s="428">
        <f>SUM(AA29:AP29)-AA29</f>
        <v>0</v>
      </c>
      <c r="AA29" s="1005">
        <f>D29-BD29</f>
        <v>1158.3399999999999</v>
      </c>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8">
        <f>F29+SUM(H29:L29)+SUM(N29:Y29)+SUM(AB29:BC29)</f>
        <v>0</v>
      </c>
      <c r="BE29" s="1110">
        <f>'B6'!H30</f>
        <v>1249.18</v>
      </c>
    </row>
    <row r="30" spans="1:59" ht="18.75" customHeight="1">
      <c r="A30" s="1110"/>
      <c r="B30" s="422" t="s">
        <v>217</v>
      </c>
      <c r="C30" s="1110" t="s">
        <v>194</v>
      </c>
      <c r="D30" s="1110">
        <f>'B1'!D33</f>
        <v>90.080000000000013</v>
      </c>
      <c r="E30" s="427"/>
      <c r="F30" s="427"/>
      <c r="G30" s="428"/>
      <c r="H30" s="427"/>
      <c r="I30" s="427"/>
      <c r="J30" s="427"/>
      <c r="K30" s="427"/>
      <c r="L30" s="427"/>
      <c r="M30" s="428"/>
      <c r="N30" s="427"/>
      <c r="O30" s="427"/>
      <c r="P30" s="427"/>
      <c r="Q30" s="427"/>
      <c r="R30" s="427"/>
      <c r="S30" s="427"/>
      <c r="T30" s="427"/>
      <c r="U30" s="427"/>
      <c r="V30" s="427"/>
      <c r="W30" s="427"/>
      <c r="X30" s="427"/>
      <c r="Y30" s="427"/>
      <c r="Z30" s="428">
        <f>SUM(AA30:AP30)-AB30</f>
        <v>0</v>
      </c>
      <c r="AA30" s="427"/>
      <c r="AB30" s="1005">
        <f>D30-BD30</f>
        <v>90.080000000000013</v>
      </c>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8">
        <f>F30+SUM(H30:L30)+SUM(N30:Y30)+AA30+SUM(AC30:BC30)</f>
        <v>0</v>
      </c>
      <c r="BE30" s="1110">
        <f>'B6'!H31</f>
        <v>133.47999999999999</v>
      </c>
    </row>
    <row r="31" spans="1:59" ht="18.75" customHeight="1">
      <c r="A31" s="1110"/>
      <c r="B31" s="422" t="s">
        <v>210</v>
      </c>
      <c r="C31" s="1110" t="s">
        <v>220</v>
      </c>
      <c r="D31" s="1110">
        <f>'B1'!D34</f>
        <v>6.19</v>
      </c>
      <c r="E31" s="427"/>
      <c r="F31" s="427"/>
      <c r="G31" s="428"/>
      <c r="H31" s="427"/>
      <c r="I31" s="427"/>
      <c r="J31" s="427"/>
      <c r="K31" s="427"/>
      <c r="L31" s="427"/>
      <c r="M31" s="428"/>
      <c r="N31" s="427"/>
      <c r="O31" s="427"/>
      <c r="P31" s="427"/>
      <c r="Q31" s="427"/>
      <c r="R31" s="427"/>
      <c r="S31" s="427"/>
      <c r="T31" s="427"/>
      <c r="U31" s="427"/>
      <c r="V31" s="427"/>
      <c r="W31" s="427"/>
      <c r="X31" s="427"/>
      <c r="Y31" s="427"/>
      <c r="Z31" s="428">
        <f>SUM(AA31:AP31)-AC31</f>
        <v>0</v>
      </c>
      <c r="AA31" s="427"/>
      <c r="AB31" s="427"/>
      <c r="AC31" s="1005">
        <f>D31-BD31</f>
        <v>6.19</v>
      </c>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8">
        <f>F31+SUM(H31:L31)+SUM(N31:Y31)+SUM(AA31:AB31)+SUM(AD31:BC31)</f>
        <v>0</v>
      </c>
      <c r="BE31" s="1110">
        <f>'B6'!H32</f>
        <v>6.19</v>
      </c>
    </row>
    <row r="32" spans="1:59" ht="18.75" customHeight="1">
      <c r="A32" s="1110"/>
      <c r="B32" s="422" t="s">
        <v>211</v>
      </c>
      <c r="C32" s="1110" t="s">
        <v>221</v>
      </c>
      <c r="D32" s="1110">
        <f>'B1'!D35</f>
        <v>4.96</v>
      </c>
      <c r="E32" s="427"/>
      <c r="F32" s="427"/>
      <c r="G32" s="428"/>
      <c r="H32" s="427"/>
      <c r="I32" s="427"/>
      <c r="J32" s="427"/>
      <c r="K32" s="427"/>
      <c r="L32" s="427"/>
      <c r="M32" s="428"/>
      <c r="N32" s="427"/>
      <c r="O32" s="427"/>
      <c r="P32" s="427"/>
      <c r="Q32" s="427"/>
      <c r="R32" s="427"/>
      <c r="S32" s="427"/>
      <c r="T32" s="427"/>
      <c r="U32" s="427"/>
      <c r="V32" s="427"/>
      <c r="W32" s="427"/>
      <c r="X32" s="427"/>
      <c r="Y32" s="427"/>
      <c r="Z32" s="428">
        <f>SUM(AA32:AP32)-AD32</f>
        <v>0</v>
      </c>
      <c r="AA32" s="427"/>
      <c r="AB32" s="427"/>
      <c r="AC32" s="427"/>
      <c r="AD32" s="1005">
        <f>D32-BD32</f>
        <v>4.96</v>
      </c>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8">
        <f>F32+SUM(H32:L32)+SUM(N32:Y32)+SUM(AA32:AC32)+SUM(AE32:BC32)</f>
        <v>0</v>
      </c>
      <c r="BE32" s="1110">
        <f>'B6'!H33</f>
        <v>4.96</v>
      </c>
    </row>
    <row r="33" spans="1:57" ht="18.75" customHeight="1">
      <c r="A33" s="1110"/>
      <c r="B33" s="422" t="s">
        <v>212</v>
      </c>
      <c r="C33" s="1110" t="s">
        <v>192</v>
      </c>
      <c r="D33" s="1110">
        <f>'B1'!D36</f>
        <v>63.25</v>
      </c>
      <c r="E33" s="427"/>
      <c r="F33" s="427"/>
      <c r="G33" s="428"/>
      <c r="H33" s="427"/>
      <c r="I33" s="427"/>
      <c r="J33" s="427"/>
      <c r="K33" s="427"/>
      <c r="L33" s="427"/>
      <c r="M33" s="428"/>
      <c r="N33" s="427"/>
      <c r="O33" s="427"/>
      <c r="P33" s="427"/>
      <c r="Q33" s="427"/>
      <c r="R33" s="427"/>
      <c r="S33" s="427">
        <v>0.06</v>
      </c>
      <c r="T33" s="427"/>
      <c r="U33" s="427"/>
      <c r="V33" s="427"/>
      <c r="W33" s="427"/>
      <c r="X33" s="427"/>
      <c r="Y33" s="427"/>
      <c r="Z33" s="428">
        <f>SUM(AA33:AP33)-AE33</f>
        <v>0.15999999999999659</v>
      </c>
      <c r="AA33" s="427">
        <v>0.16</v>
      </c>
      <c r="AB33" s="427"/>
      <c r="AC33" s="427"/>
      <c r="AD33" s="427"/>
      <c r="AE33" s="1005">
        <f>D33-BD33</f>
        <v>62.69</v>
      </c>
      <c r="AF33" s="427"/>
      <c r="AG33" s="427"/>
      <c r="AH33" s="427"/>
      <c r="AI33" s="427"/>
      <c r="AJ33" s="427"/>
      <c r="AK33" s="427"/>
      <c r="AL33" s="427"/>
      <c r="AM33" s="427"/>
      <c r="AN33" s="427"/>
      <c r="AO33" s="427"/>
      <c r="AP33" s="427"/>
      <c r="AQ33" s="427"/>
      <c r="AR33" s="427"/>
      <c r="AS33" s="427"/>
      <c r="AT33" s="427"/>
      <c r="AU33" s="427">
        <v>0.34</v>
      </c>
      <c r="AV33" s="427"/>
      <c r="AW33" s="427"/>
      <c r="AX33" s="427"/>
      <c r="AY33" s="427"/>
      <c r="AZ33" s="427"/>
      <c r="BA33" s="427"/>
      <c r="BB33" s="427"/>
      <c r="BC33" s="427"/>
      <c r="BD33" s="428">
        <f>F33+SUM(H33:L33)+SUM(N33:Y33)+SUM(AA33:AD33)+SUM(AF33:BC33)</f>
        <v>0.56000000000000005</v>
      </c>
      <c r="BE33" s="1110">
        <f>'B6'!H34</f>
        <v>63.89</v>
      </c>
    </row>
    <row r="34" spans="1:57" ht="18.75" customHeight="1">
      <c r="A34" s="1110"/>
      <c r="B34" s="422" t="s">
        <v>213</v>
      </c>
      <c r="C34" s="1110" t="s">
        <v>195</v>
      </c>
      <c r="D34" s="1110">
        <f>'B1'!D37</f>
        <v>16.670000000000002</v>
      </c>
      <c r="E34" s="427"/>
      <c r="F34" s="427"/>
      <c r="G34" s="428"/>
      <c r="H34" s="427"/>
      <c r="I34" s="427"/>
      <c r="J34" s="427"/>
      <c r="K34" s="427"/>
      <c r="L34" s="427"/>
      <c r="M34" s="428"/>
      <c r="N34" s="427"/>
      <c r="O34" s="427"/>
      <c r="P34" s="427"/>
      <c r="Q34" s="427"/>
      <c r="R34" s="427"/>
      <c r="S34" s="427"/>
      <c r="T34" s="427"/>
      <c r="U34" s="427"/>
      <c r="V34" s="427"/>
      <c r="W34" s="427"/>
      <c r="X34" s="427"/>
      <c r="Y34" s="427"/>
      <c r="Z34" s="428">
        <f>SUM(AA34:AP34)-AF34</f>
        <v>0</v>
      </c>
      <c r="AA34" s="427"/>
      <c r="AB34" s="427"/>
      <c r="AC34" s="427"/>
      <c r="AD34" s="427"/>
      <c r="AE34" s="427"/>
      <c r="AF34" s="1005">
        <f>D34-BD34</f>
        <v>16.670000000000002</v>
      </c>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8">
        <f>F34+SUM(H34:L34)+SUM(N34:Y34)+SUM(AA34:AE34)+SUM(AG34:BC34)</f>
        <v>0</v>
      </c>
      <c r="BE34" s="1110">
        <f>'B6'!H35</f>
        <v>16.670000000000002</v>
      </c>
    </row>
    <row r="35" spans="1:57" ht="18.75" customHeight="1">
      <c r="A35" s="1110"/>
      <c r="B35" s="422" t="s">
        <v>248</v>
      </c>
      <c r="C35" s="1110" t="s">
        <v>193</v>
      </c>
      <c r="D35" s="1110">
        <f>'B1'!D38</f>
        <v>4625.3500000000004</v>
      </c>
      <c r="E35" s="427"/>
      <c r="F35" s="427"/>
      <c r="G35" s="428"/>
      <c r="H35" s="427"/>
      <c r="I35" s="427"/>
      <c r="J35" s="427"/>
      <c r="K35" s="427"/>
      <c r="L35" s="427"/>
      <c r="M35" s="428"/>
      <c r="N35" s="427"/>
      <c r="O35" s="427"/>
      <c r="P35" s="427"/>
      <c r="Q35" s="427"/>
      <c r="R35" s="427"/>
      <c r="S35" s="427"/>
      <c r="T35" s="427"/>
      <c r="U35" s="427"/>
      <c r="V35" s="427"/>
      <c r="W35" s="427"/>
      <c r="X35" s="427"/>
      <c r="Y35" s="427"/>
      <c r="Z35" s="428">
        <f>SUM(AA35:AP35)-AG35</f>
        <v>6.0000000000400178E-2</v>
      </c>
      <c r="AA35" s="427">
        <v>0.06</v>
      </c>
      <c r="AB35" s="427"/>
      <c r="AC35" s="427"/>
      <c r="AD35" s="427"/>
      <c r="AE35" s="427"/>
      <c r="AF35" s="427"/>
      <c r="AG35" s="1005">
        <f>D35-BD35</f>
        <v>4625.29</v>
      </c>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8">
        <f>F35+SUM(H35:L35)+SUM(N35:Y35)+SUM(AA35:AF35)+SUM(AH35:BC35)</f>
        <v>0.06</v>
      </c>
      <c r="BE35" s="1110">
        <f>'B6'!H36</f>
        <v>4651.7300000000005</v>
      </c>
    </row>
    <row r="36" spans="1:57" ht="18.75" customHeight="1">
      <c r="A36" s="1110"/>
      <c r="B36" s="422" t="s">
        <v>218</v>
      </c>
      <c r="C36" s="1110" t="s">
        <v>224</v>
      </c>
      <c r="D36" s="1110">
        <f>'B1'!D39</f>
        <v>1.02</v>
      </c>
      <c r="E36" s="427"/>
      <c r="F36" s="427"/>
      <c r="G36" s="428"/>
      <c r="H36" s="427"/>
      <c r="I36" s="427"/>
      <c r="J36" s="427"/>
      <c r="K36" s="427"/>
      <c r="L36" s="427"/>
      <c r="M36" s="428"/>
      <c r="N36" s="427"/>
      <c r="O36" s="427"/>
      <c r="P36" s="427"/>
      <c r="Q36" s="427"/>
      <c r="R36" s="427"/>
      <c r="S36" s="427"/>
      <c r="T36" s="427"/>
      <c r="U36" s="427"/>
      <c r="V36" s="427"/>
      <c r="W36" s="427"/>
      <c r="X36" s="427"/>
      <c r="Y36" s="427"/>
      <c r="Z36" s="428">
        <f>SUM(AA36:AP36)-AH36</f>
        <v>0</v>
      </c>
      <c r="AA36" s="427"/>
      <c r="AB36" s="427"/>
      <c r="AC36" s="427"/>
      <c r="AD36" s="427"/>
      <c r="AE36" s="427"/>
      <c r="AF36" s="427"/>
      <c r="AG36" s="427"/>
      <c r="AH36" s="1005">
        <f>D36-BD36</f>
        <v>1.02</v>
      </c>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8">
        <f>F36+SUM(H36:L36)+SUM(N36:Y36)+SUM(AA36:AG36)+SUM(AI36:BC36)</f>
        <v>0</v>
      </c>
      <c r="BE36" s="1110">
        <f>'B6'!H37</f>
        <v>1.02</v>
      </c>
    </row>
    <row r="37" spans="1:57" ht="18.75" customHeight="1">
      <c r="A37" s="1110"/>
      <c r="B37" s="422" t="s">
        <v>244</v>
      </c>
      <c r="C37" s="1110" t="s">
        <v>245</v>
      </c>
      <c r="D37" s="1110">
        <f>'B1'!D40</f>
        <v>0</v>
      </c>
      <c r="E37" s="427"/>
      <c r="F37" s="427"/>
      <c r="G37" s="428"/>
      <c r="H37" s="427"/>
      <c r="I37" s="427"/>
      <c r="J37" s="427"/>
      <c r="K37" s="427"/>
      <c r="L37" s="427"/>
      <c r="M37" s="428"/>
      <c r="N37" s="427"/>
      <c r="O37" s="427"/>
      <c r="P37" s="427"/>
      <c r="Q37" s="427"/>
      <c r="R37" s="427"/>
      <c r="S37" s="427"/>
      <c r="T37" s="427"/>
      <c r="U37" s="427"/>
      <c r="V37" s="427"/>
      <c r="W37" s="427"/>
      <c r="X37" s="427"/>
      <c r="Y37" s="427"/>
      <c r="Z37" s="428">
        <f>SUM(AA37:AP37)-AI37</f>
        <v>0</v>
      </c>
      <c r="AA37" s="427"/>
      <c r="AB37" s="427"/>
      <c r="AC37" s="427"/>
      <c r="AD37" s="427"/>
      <c r="AE37" s="427"/>
      <c r="AF37" s="427"/>
      <c r="AG37" s="427"/>
      <c r="AH37" s="427"/>
      <c r="AI37" s="1005">
        <f>D37-BD37</f>
        <v>0</v>
      </c>
      <c r="AJ37" s="427"/>
      <c r="AK37" s="427"/>
      <c r="AL37" s="427"/>
      <c r="AM37" s="427"/>
      <c r="AN37" s="427"/>
      <c r="AO37" s="427"/>
      <c r="AP37" s="427"/>
      <c r="AQ37" s="427"/>
      <c r="AR37" s="427"/>
      <c r="AS37" s="427"/>
      <c r="AT37" s="427"/>
      <c r="AU37" s="427"/>
      <c r="AV37" s="427"/>
      <c r="AW37" s="427"/>
      <c r="AX37" s="427"/>
      <c r="AY37" s="427"/>
      <c r="AZ37" s="427"/>
      <c r="BA37" s="427"/>
      <c r="BB37" s="427"/>
      <c r="BC37" s="427"/>
      <c r="BD37" s="428"/>
      <c r="BE37" s="1110">
        <f>'B6'!H38</f>
        <v>0</v>
      </c>
    </row>
    <row r="38" spans="1:57" ht="18.75" customHeight="1">
      <c r="A38" s="1110"/>
      <c r="B38" s="422" t="s">
        <v>46</v>
      </c>
      <c r="C38" s="1110" t="s">
        <v>47</v>
      </c>
      <c r="D38" s="1110">
        <f>'B1'!D41</f>
        <v>3.86</v>
      </c>
      <c r="E38" s="427"/>
      <c r="F38" s="427"/>
      <c r="G38" s="428"/>
      <c r="H38" s="427"/>
      <c r="I38" s="427"/>
      <c r="J38" s="427"/>
      <c r="K38" s="427"/>
      <c r="L38" s="427"/>
      <c r="M38" s="428"/>
      <c r="N38" s="427"/>
      <c r="O38" s="427"/>
      <c r="P38" s="427"/>
      <c r="Q38" s="427"/>
      <c r="R38" s="427"/>
      <c r="S38" s="427"/>
      <c r="T38" s="427"/>
      <c r="U38" s="427"/>
      <c r="V38" s="427"/>
      <c r="W38" s="427"/>
      <c r="X38" s="427"/>
      <c r="Y38" s="427"/>
      <c r="Z38" s="428">
        <f>SUM(AA38:AP38)-AJ38</f>
        <v>0</v>
      </c>
      <c r="AA38" s="427"/>
      <c r="AB38" s="427"/>
      <c r="AC38" s="427"/>
      <c r="AD38" s="427"/>
      <c r="AE38" s="427"/>
      <c r="AF38" s="427"/>
      <c r="AG38" s="427"/>
      <c r="AH38" s="427"/>
      <c r="AI38" s="427"/>
      <c r="AJ38" s="1005">
        <f>D38-BD38</f>
        <v>3.86</v>
      </c>
      <c r="AK38" s="427"/>
      <c r="AL38" s="427"/>
      <c r="AM38" s="427"/>
      <c r="AN38" s="427"/>
      <c r="AO38" s="427"/>
      <c r="AP38" s="427"/>
      <c r="AQ38" s="427"/>
      <c r="AR38" s="427"/>
      <c r="AS38" s="427"/>
      <c r="AT38" s="427"/>
      <c r="AU38" s="427"/>
      <c r="AV38" s="427"/>
      <c r="AW38" s="427"/>
      <c r="AX38" s="427"/>
      <c r="AY38" s="427"/>
      <c r="AZ38" s="427"/>
      <c r="BA38" s="427"/>
      <c r="BB38" s="427"/>
      <c r="BC38" s="427"/>
      <c r="BD38" s="428">
        <f>F38+SUM(H38:L38)+SUM(N38:Y38)+SUM(AA38:AI38)+SUM(AK38:BC38)</f>
        <v>0</v>
      </c>
      <c r="BE38" s="1110">
        <f>'B6'!H39</f>
        <v>3.86</v>
      </c>
    </row>
    <row r="39" spans="1:57" ht="18.75" customHeight="1">
      <c r="A39" s="1110"/>
      <c r="B39" s="422" t="s">
        <v>50</v>
      </c>
      <c r="C39" s="1110" t="s">
        <v>51</v>
      </c>
      <c r="D39" s="1110">
        <f>'B1'!D42</f>
        <v>2.66</v>
      </c>
      <c r="E39" s="427"/>
      <c r="F39" s="427"/>
      <c r="G39" s="428"/>
      <c r="H39" s="427"/>
      <c r="I39" s="427"/>
      <c r="J39" s="427"/>
      <c r="K39" s="427"/>
      <c r="L39" s="427"/>
      <c r="M39" s="428"/>
      <c r="N39" s="427"/>
      <c r="O39" s="427"/>
      <c r="P39" s="427"/>
      <c r="Q39" s="427"/>
      <c r="R39" s="427"/>
      <c r="S39" s="427"/>
      <c r="T39" s="427"/>
      <c r="U39" s="427"/>
      <c r="V39" s="427"/>
      <c r="W39" s="427"/>
      <c r="X39" s="427"/>
      <c r="Y39" s="427"/>
      <c r="Z39" s="428">
        <f>SUM(AA39:AP39)-AK39</f>
        <v>0</v>
      </c>
      <c r="AA39" s="427"/>
      <c r="AB39" s="427"/>
      <c r="AC39" s="427"/>
      <c r="AD39" s="427"/>
      <c r="AE39" s="427"/>
      <c r="AF39" s="427"/>
      <c r="AG39" s="427"/>
      <c r="AH39" s="427"/>
      <c r="AI39" s="427"/>
      <c r="AJ39" s="427"/>
      <c r="AK39" s="1005">
        <f>D39-BD39</f>
        <v>2.66</v>
      </c>
      <c r="AL39" s="427"/>
      <c r="AM39" s="427"/>
      <c r="AN39" s="427"/>
      <c r="AO39" s="427"/>
      <c r="AP39" s="427"/>
      <c r="AQ39" s="427"/>
      <c r="AR39" s="427"/>
      <c r="AS39" s="427"/>
      <c r="AT39" s="427"/>
      <c r="AU39" s="427"/>
      <c r="AV39" s="427"/>
      <c r="AW39" s="427"/>
      <c r="AX39" s="427"/>
      <c r="AY39" s="427"/>
      <c r="AZ39" s="427"/>
      <c r="BA39" s="427"/>
      <c r="BB39" s="427"/>
      <c r="BC39" s="427"/>
      <c r="BD39" s="428">
        <f>F39+SUM(H39:L39)+SUM(N39:Y39)+SUM(AA39:AJ39)+SUM(AL39:BC39)</f>
        <v>0</v>
      </c>
      <c r="BE39" s="1110">
        <f>'B6'!H40</f>
        <v>2.66</v>
      </c>
    </row>
    <row r="40" spans="1:57" ht="18.75" customHeight="1">
      <c r="A40" s="1110"/>
      <c r="B40" s="422" t="s">
        <v>62</v>
      </c>
      <c r="C40" s="1110" t="s">
        <v>63</v>
      </c>
      <c r="D40" s="1110">
        <f>'B1'!D43</f>
        <v>6.8500000000000005</v>
      </c>
      <c r="E40" s="427"/>
      <c r="F40" s="427"/>
      <c r="G40" s="428"/>
      <c r="H40" s="427"/>
      <c r="I40" s="427"/>
      <c r="J40" s="427"/>
      <c r="K40" s="427"/>
      <c r="L40" s="427"/>
      <c r="M40" s="428"/>
      <c r="N40" s="427"/>
      <c r="O40" s="427"/>
      <c r="P40" s="427"/>
      <c r="Q40" s="427"/>
      <c r="R40" s="427"/>
      <c r="S40" s="427"/>
      <c r="T40" s="427"/>
      <c r="U40" s="427"/>
      <c r="V40" s="427"/>
      <c r="W40" s="427"/>
      <c r="X40" s="427"/>
      <c r="Y40" s="427"/>
      <c r="Z40" s="428">
        <f>SUM(AA40:AP40)-AL40</f>
        <v>0</v>
      </c>
      <c r="AA40" s="427"/>
      <c r="AB40" s="427"/>
      <c r="AC40" s="427"/>
      <c r="AD40" s="427"/>
      <c r="AE40" s="427"/>
      <c r="AF40" s="427"/>
      <c r="AG40" s="427"/>
      <c r="AH40" s="427"/>
      <c r="AI40" s="427"/>
      <c r="AJ40" s="427"/>
      <c r="AK40" s="427"/>
      <c r="AL40" s="1005">
        <f>D40-BD40</f>
        <v>6.8500000000000005</v>
      </c>
      <c r="AM40" s="427"/>
      <c r="AN40" s="427"/>
      <c r="AO40" s="427"/>
      <c r="AP40" s="427"/>
      <c r="AQ40" s="427"/>
      <c r="AR40" s="427"/>
      <c r="AS40" s="427"/>
      <c r="AT40" s="427"/>
      <c r="AU40" s="427"/>
      <c r="AV40" s="427"/>
      <c r="AW40" s="427"/>
      <c r="AX40" s="427"/>
      <c r="AY40" s="427"/>
      <c r="AZ40" s="427"/>
      <c r="BA40" s="427"/>
      <c r="BB40" s="427"/>
      <c r="BC40" s="427"/>
      <c r="BD40" s="428">
        <f>F40+SUM(H40:L40)+SUM(N40:Y40)+SUM(AA40:AK40)+SUM(AM40:BC40)</f>
        <v>0</v>
      </c>
      <c r="BE40" s="1110">
        <f>'B6'!H41</f>
        <v>6.8500000000000005</v>
      </c>
    </row>
    <row r="41" spans="1:57" ht="18.75" customHeight="1">
      <c r="A41" s="1110"/>
      <c r="B41" s="422" t="s">
        <v>246</v>
      </c>
      <c r="C41" s="1110" t="s">
        <v>64</v>
      </c>
      <c r="D41" s="1110">
        <f>'B1'!D44</f>
        <v>116.26</v>
      </c>
      <c r="E41" s="427"/>
      <c r="F41" s="427"/>
      <c r="G41" s="428"/>
      <c r="H41" s="427"/>
      <c r="I41" s="427"/>
      <c r="J41" s="427"/>
      <c r="K41" s="427"/>
      <c r="L41" s="427"/>
      <c r="M41" s="428"/>
      <c r="N41" s="427"/>
      <c r="O41" s="427"/>
      <c r="P41" s="427"/>
      <c r="Q41" s="427"/>
      <c r="R41" s="427"/>
      <c r="S41" s="427"/>
      <c r="T41" s="427"/>
      <c r="U41" s="427"/>
      <c r="V41" s="427"/>
      <c r="W41" s="427"/>
      <c r="X41" s="427"/>
      <c r="Y41" s="427"/>
      <c r="Z41" s="428">
        <f>SUM(AA41:AP41)-AM41</f>
        <v>0</v>
      </c>
      <c r="AA41" s="427"/>
      <c r="AB41" s="427"/>
      <c r="AC41" s="427"/>
      <c r="AD41" s="427"/>
      <c r="AE41" s="427"/>
      <c r="AF41" s="427"/>
      <c r="AG41" s="427"/>
      <c r="AH41" s="427"/>
      <c r="AI41" s="427"/>
      <c r="AJ41" s="427"/>
      <c r="AK41" s="427"/>
      <c r="AL41" s="427"/>
      <c r="AM41" s="1005">
        <f>D41-BD41</f>
        <v>114.79</v>
      </c>
      <c r="AN41" s="427"/>
      <c r="AO41" s="427"/>
      <c r="AP41" s="427"/>
      <c r="AQ41" s="427"/>
      <c r="AR41" s="427"/>
      <c r="AS41" s="427"/>
      <c r="AT41" s="427">
        <v>1.47</v>
      </c>
      <c r="AU41" s="427"/>
      <c r="AV41" s="427"/>
      <c r="AW41" s="427"/>
      <c r="AX41" s="427"/>
      <c r="AY41" s="427"/>
      <c r="AZ41" s="427"/>
      <c r="BA41" s="427"/>
      <c r="BB41" s="427"/>
      <c r="BC41" s="427"/>
      <c r="BD41" s="428">
        <f>F41+SUM(H41:L41)+SUM(N41:Y41)+SUM(AA41:AL41)+SUM(AN41:BC41)</f>
        <v>1.47</v>
      </c>
      <c r="BE41" s="1110">
        <f>'B6'!H42</f>
        <v>115.92999999999999</v>
      </c>
    </row>
    <row r="42" spans="1:57" ht="18.75" customHeight="1">
      <c r="A42" s="1110"/>
      <c r="B42" s="422" t="s">
        <v>214</v>
      </c>
      <c r="C42" s="1110" t="s">
        <v>222</v>
      </c>
      <c r="D42" s="1110">
        <f>'B1'!D45</f>
        <v>0</v>
      </c>
      <c r="E42" s="427"/>
      <c r="F42" s="427"/>
      <c r="G42" s="428"/>
      <c r="H42" s="427"/>
      <c r="I42" s="427"/>
      <c r="J42" s="427"/>
      <c r="K42" s="427"/>
      <c r="L42" s="427"/>
      <c r="M42" s="428"/>
      <c r="N42" s="427"/>
      <c r="O42" s="427"/>
      <c r="P42" s="427"/>
      <c r="Q42" s="427"/>
      <c r="R42" s="427"/>
      <c r="S42" s="427"/>
      <c r="T42" s="427"/>
      <c r="U42" s="427"/>
      <c r="V42" s="427"/>
      <c r="W42" s="427"/>
      <c r="X42" s="427"/>
      <c r="Y42" s="427"/>
      <c r="Z42" s="428">
        <f>SUM(AA42:AP42)-AN42</f>
        <v>0</v>
      </c>
      <c r="AA42" s="427"/>
      <c r="AB42" s="427"/>
      <c r="AC42" s="427"/>
      <c r="AD42" s="427"/>
      <c r="AE42" s="427"/>
      <c r="AF42" s="427"/>
      <c r="AG42" s="427"/>
      <c r="AH42" s="427"/>
      <c r="AI42" s="427"/>
      <c r="AJ42" s="427"/>
      <c r="AK42" s="427"/>
      <c r="AL42" s="427"/>
      <c r="AM42" s="427"/>
      <c r="AN42" s="1005">
        <f>D42-BD42</f>
        <v>0</v>
      </c>
      <c r="AO42" s="427"/>
      <c r="AP42" s="427"/>
      <c r="AQ42" s="427"/>
      <c r="AR42" s="427"/>
      <c r="AS42" s="427"/>
      <c r="AT42" s="427"/>
      <c r="AU42" s="427"/>
      <c r="AV42" s="427"/>
      <c r="AW42" s="427"/>
      <c r="AX42" s="427"/>
      <c r="AY42" s="427"/>
      <c r="AZ42" s="427"/>
      <c r="BA42" s="427"/>
      <c r="BB42" s="427"/>
      <c r="BC42" s="427"/>
      <c r="BD42" s="428">
        <f>F42+SUM(H42:L42)+SUM(N42:Y42)+SUM(AA42:AM42)+SUM(AO42:BC42)</f>
        <v>0</v>
      </c>
      <c r="BE42" s="1110">
        <f>'B6'!H43</f>
        <v>0</v>
      </c>
    </row>
    <row r="43" spans="1:57" ht="18.75" customHeight="1">
      <c r="A43" s="1110"/>
      <c r="B43" s="422" t="s">
        <v>215</v>
      </c>
      <c r="C43" s="1110" t="s">
        <v>223</v>
      </c>
      <c r="D43" s="1110">
        <f>'B1'!D46</f>
        <v>0.66</v>
      </c>
      <c r="E43" s="427"/>
      <c r="F43" s="427"/>
      <c r="G43" s="428"/>
      <c r="H43" s="427"/>
      <c r="I43" s="427"/>
      <c r="J43" s="427"/>
      <c r="K43" s="427"/>
      <c r="L43" s="427"/>
      <c r="M43" s="428"/>
      <c r="N43" s="427"/>
      <c r="O43" s="427"/>
      <c r="P43" s="427"/>
      <c r="Q43" s="427"/>
      <c r="R43" s="427"/>
      <c r="S43" s="427"/>
      <c r="T43" s="427"/>
      <c r="U43" s="427"/>
      <c r="V43" s="427"/>
      <c r="W43" s="427"/>
      <c r="X43" s="427"/>
      <c r="Y43" s="427"/>
      <c r="Z43" s="428">
        <f>SUM(AA43:AP43)-AO43</f>
        <v>0</v>
      </c>
      <c r="AA43" s="427"/>
      <c r="AB43" s="427"/>
      <c r="AC43" s="427"/>
      <c r="AD43" s="427"/>
      <c r="AE43" s="427"/>
      <c r="AF43" s="427"/>
      <c r="AG43" s="427"/>
      <c r="AH43" s="427"/>
      <c r="AI43" s="427"/>
      <c r="AJ43" s="427"/>
      <c r="AK43" s="427"/>
      <c r="AL43" s="427"/>
      <c r="AM43" s="427"/>
      <c r="AN43" s="427"/>
      <c r="AO43" s="1005">
        <f>D43-BD43</f>
        <v>0.66</v>
      </c>
      <c r="AP43" s="427"/>
      <c r="AQ43" s="427"/>
      <c r="AR43" s="427"/>
      <c r="AS43" s="427"/>
      <c r="AT43" s="427"/>
      <c r="AU43" s="427"/>
      <c r="AV43" s="427"/>
      <c r="AW43" s="427"/>
      <c r="AX43" s="427"/>
      <c r="AY43" s="427"/>
      <c r="AZ43" s="427"/>
      <c r="BA43" s="427"/>
      <c r="BB43" s="427"/>
      <c r="BC43" s="427"/>
      <c r="BD43" s="428">
        <f>F43+SUM(H43:L43)+SUM(N43:Y43)+SUM(AA43:AN43)+SUM(AP43:BC43)</f>
        <v>0</v>
      </c>
      <c r="BE43" s="1110">
        <f>'B6'!H44</f>
        <v>0.66</v>
      </c>
    </row>
    <row r="44" spans="1:57" ht="18.75" customHeight="1">
      <c r="A44" s="1110"/>
      <c r="B44" s="422" t="s">
        <v>219</v>
      </c>
      <c r="C44" s="1110" t="s">
        <v>204</v>
      </c>
      <c r="D44" s="1110">
        <f>'B1'!D47</f>
        <v>3.7499999999999996</v>
      </c>
      <c r="E44" s="427"/>
      <c r="F44" s="427"/>
      <c r="G44" s="428"/>
      <c r="H44" s="427"/>
      <c r="I44" s="427"/>
      <c r="J44" s="427"/>
      <c r="K44" s="427"/>
      <c r="L44" s="427"/>
      <c r="M44" s="428"/>
      <c r="N44" s="427"/>
      <c r="O44" s="427"/>
      <c r="P44" s="427"/>
      <c r="Q44" s="427"/>
      <c r="R44" s="427"/>
      <c r="S44" s="427">
        <v>0.09</v>
      </c>
      <c r="T44" s="427"/>
      <c r="U44" s="427"/>
      <c r="V44" s="427"/>
      <c r="W44" s="427"/>
      <c r="X44" s="427"/>
      <c r="Y44" s="427"/>
      <c r="Z44" s="428">
        <f>SUM(AA44:AP44)-AP44</f>
        <v>0</v>
      </c>
      <c r="AA44" s="427"/>
      <c r="AB44" s="427"/>
      <c r="AC44" s="427"/>
      <c r="AD44" s="427"/>
      <c r="AE44" s="427"/>
      <c r="AF44" s="427"/>
      <c r="AG44" s="427"/>
      <c r="AH44" s="427"/>
      <c r="AI44" s="427"/>
      <c r="AJ44" s="427"/>
      <c r="AK44" s="427"/>
      <c r="AL44" s="427"/>
      <c r="AM44" s="427"/>
      <c r="AN44" s="427"/>
      <c r="AO44" s="427"/>
      <c r="AP44" s="1005">
        <f>D44-BD44</f>
        <v>3.6599999999999997</v>
      </c>
      <c r="AQ44" s="427"/>
      <c r="AR44" s="427"/>
      <c r="AS44" s="427"/>
      <c r="AT44" s="427"/>
      <c r="AU44" s="427"/>
      <c r="AV44" s="427"/>
      <c r="AW44" s="427"/>
      <c r="AX44" s="427"/>
      <c r="AY44" s="427"/>
      <c r="AZ44" s="427"/>
      <c r="BA44" s="427"/>
      <c r="BB44" s="427"/>
      <c r="BC44" s="427"/>
      <c r="BD44" s="428">
        <f>F44+SUM(H44:L44)+SUM(N44:Y44)+SUM(AA44:AO44)+SUM(AQ44:BC44)</f>
        <v>0.09</v>
      </c>
      <c r="BE44" s="1110">
        <f>'B6'!H45</f>
        <v>3.6599999999999997</v>
      </c>
    </row>
    <row r="45" spans="1:57" ht="18.75" customHeight="1">
      <c r="A45" s="1110" t="s">
        <v>156</v>
      </c>
      <c r="B45" s="422" t="s">
        <v>48</v>
      </c>
      <c r="C45" s="1110" t="s">
        <v>49</v>
      </c>
      <c r="D45" s="1110">
        <f>'B1'!D48</f>
        <v>0</v>
      </c>
      <c r="E45" s="427"/>
      <c r="F45" s="427"/>
      <c r="G45" s="428"/>
      <c r="H45" s="427"/>
      <c r="I45" s="427"/>
      <c r="J45" s="427"/>
      <c r="K45" s="427"/>
      <c r="L45" s="427"/>
      <c r="M45" s="428"/>
      <c r="N45" s="427"/>
      <c r="O45" s="427"/>
      <c r="P45" s="427"/>
      <c r="Q45" s="427"/>
      <c r="R45" s="427"/>
      <c r="S45" s="427"/>
      <c r="T45" s="427"/>
      <c r="U45" s="427"/>
      <c r="V45" s="427"/>
      <c r="W45" s="427"/>
      <c r="X45" s="427"/>
      <c r="Y45" s="427"/>
      <c r="Z45" s="428">
        <f t="shared" ref="Z45:Z57" si="3">SUM(AA45:AP45)</f>
        <v>0</v>
      </c>
      <c r="AA45" s="427"/>
      <c r="AB45" s="427"/>
      <c r="AC45" s="427"/>
      <c r="AD45" s="427"/>
      <c r="AE45" s="427"/>
      <c r="AF45" s="427"/>
      <c r="AG45" s="427"/>
      <c r="AH45" s="427"/>
      <c r="AI45" s="427"/>
      <c r="AJ45" s="427"/>
      <c r="AK45" s="427"/>
      <c r="AL45" s="427"/>
      <c r="AM45" s="427"/>
      <c r="AN45" s="427"/>
      <c r="AO45" s="427"/>
      <c r="AP45" s="427"/>
      <c r="AQ45" s="1005">
        <f>D45-BD45</f>
        <v>0</v>
      </c>
      <c r="AR45" s="427"/>
      <c r="AS45" s="427"/>
      <c r="AT45" s="427"/>
      <c r="AU45" s="427"/>
      <c r="AV45" s="427"/>
      <c r="AW45" s="427"/>
      <c r="AX45" s="427"/>
      <c r="AY45" s="427"/>
      <c r="AZ45" s="427"/>
      <c r="BA45" s="427"/>
      <c r="BB45" s="427"/>
      <c r="BC45" s="427"/>
      <c r="BD45" s="428">
        <f>F45+SUM(H45:L45)+SUM(N45:Y45)+SUM(AA45:AP45)+SUM(AR45:BC45)</f>
        <v>0</v>
      </c>
      <c r="BE45" s="1110">
        <f>'B6'!H46</f>
        <v>0</v>
      </c>
    </row>
    <row r="46" spans="1:57" ht="18.75" customHeight="1">
      <c r="A46" s="1110" t="s">
        <v>157</v>
      </c>
      <c r="B46" s="422" t="s">
        <v>67</v>
      </c>
      <c r="C46" s="1110" t="s">
        <v>68</v>
      </c>
      <c r="D46" s="1110">
        <f>'B1'!D49</f>
        <v>13.11</v>
      </c>
      <c r="E46" s="427"/>
      <c r="F46" s="427"/>
      <c r="G46" s="428"/>
      <c r="H46" s="427"/>
      <c r="I46" s="427"/>
      <c r="J46" s="427"/>
      <c r="K46" s="427"/>
      <c r="L46" s="427"/>
      <c r="M46" s="428"/>
      <c r="N46" s="427"/>
      <c r="O46" s="427"/>
      <c r="P46" s="427"/>
      <c r="Q46" s="427"/>
      <c r="R46" s="427"/>
      <c r="S46" s="427"/>
      <c r="T46" s="427"/>
      <c r="U46" s="427"/>
      <c r="V46" s="427"/>
      <c r="W46" s="427"/>
      <c r="X46" s="427"/>
      <c r="Y46" s="427"/>
      <c r="Z46" s="428">
        <f t="shared" si="3"/>
        <v>0</v>
      </c>
      <c r="AA46" s="427"/>
      <c r="AB46" s="427"/>
      <c r="AC46" s="427"/>
      <c r="AD46" s="427"/>
      <c r="AE46" s="427"/>
      <c r="AF46" s="427"/>
      <c r="AG46" s="427"/>
      <c r="AH46" s="427"/>
      <c r="AI46" s="427"/>
      <c r="AJ46" s="427"/>
      <c r="AK46" s="427"/>
      <c r="AL46" s="427"/>
      <c r="AM46" s="427"/>
      <c r="AN46" s="427"/>
      <c r="AO46" s="427"/>
      <c r="AP46" s="427"/>
      <c r="AQ46" s="427"/>
      <c r="AR46" s="1005">
        <f>D46-BD46</f>
        <v>13.11</v>
      </c>
      <c r="AS46" s="427"/>
      <c r="AT46" s="427"/>
      <c r="AU46" s="427"/>
      <c r="AV46" s="427"/>
      <c r="AW46" s="427"/>
      <c r="AX46" s="427"/>
      <c r="AY46" s="427"/>
      <c r="AZ46" s="427"/>
      <c r="BA46" s="427"/>
      <c r="BB46" s="427"/>
      <c r="BC46" s="427"/>
      <c r="BD46" s="428">
        <f>F46+SUM(H46:L46)+SUM(N46:Y46)+SUM(AA46:AQ46)+SUM(AS46:BC46)</f>
        <v>0</v>
      </c>
      <c r="BE46" s="1110">
        <f>'B6'!H47</f>
        <v>13.11</v>
      </c>
    </row>
    <row r="47" spans="1:57" ht="18.75" customHeight="1">
      <c r="A47" s="1110" t="s">
        <v>158</v>
      </c>
      <c r="B47" s="422" t="s">
        <v>69</v>
      </c>
      <c r="C47" s="1110" t="s">
        <v>70</v>
      </c>
      <c r="D47" s="1110">
        <f>'B1'!D50</f>
        <v>3.08</v>
      </c>
      <c r="E47" s="427"/>
      <c r="F47" s="427"/>
      <c r="G47" s="428"/>
      <c r="H47" s="427"/>
      <c r="I47" s="427"/>
      <c r="J47" s="427"/>
      <c r="K47" s="427"/>
      <c r="L47" s="427"/>
      <c r="M47" s="428"/>
      <c r="N47" s="427"/>
      <c r="O47" s="427"/>
      <c r="P47" s="427"/>
      <c r="Q47" s="427"/>
      <c r="R47" s="427"/>
      <c r="S47" s="427"/>
      <c r="T47" s="427"/>
      <c r="U47" s="427"/>
      <c r="V47" s="427"/>
      <c r="W47" s="427"/>
      <c r="X47" s="427"/>
      <c r="Y47" s="427"/>
      <c r="Z47" s="428">
        <f t="shared" si="3"/>
        <v>0.03</v>
      </c>
      <c r="AA47" s="427">
        <v>0.03</v>
      </c>
      <c r="AB47" s="427"/>
      <c r="AC47" s="427"/>
      <c r="AD47" s="427"/>
      <c r="AE47" s="427"/>
      <c r="AF47" s="427"/>
      <c r="AG47" s="427"/>
      <c r="AH47" s="427"/>
      <c r="AI47" s="427"/>
      <c r="AJ47" s="427"/>
      <c r="AK47" s="427"/>
      <c r="AL47" s="427"/>
      <c r="AM47" s="427"/>
      <c r="AN47" s="427"/>
      <c r="AO47" s="427"/>
      <c r="AP47" s="427"/>
      <c r="AQ47" s="427"/>
      <c r="AR47" s="427"/>
      <c r="AS47" s="1005">
        <f>D47-BD47</f>
        <v>3.0500000000000003</v>
      </c>
      <c r="AT47" s="427"/>
      <c r="AU47" s="427"/>
      <c r="AV47" s="427"/>
      <c r="AW47" s="427"/>
      <c r="AX47" s="427"/>
      <c r="AY47" s="427"/>
      <c r="AZ47" s="427"/>
      <c r="BA47" s="427"/>
      <c r="BB47" s="427"/>
      <c r="BC47" s="427"/>
      <c r="BD47" s="428">
        <f>F47+SUM(H47:L47)+SUM(N47:Y47)+SUM(AA47:AR47)+SUM(AT47:BC47)</f>
        <v>0.03</v>
      </c>
      <c r="BE47" s="1110">
        <f>'B6'!H48</f>
        <v>5.82</v>
      </c>
    </row>
    <row r="48" spans="1:57" ht="18.75" customHeight="1">
      <c r="A48" s="1110" t="s">
        <v>159</v>
      </c>
      <c r="B48" s="422" t="s">
        <v>52</v>
      </c>
      <c r="C48" s="1110" t="s">
        <v>53</v>
      </c>
      <c r="D48" s="1110">
        <f>'B1'!D51</f>
        <v>726.61</v>
      </c>
      <c r="E48" s="427"/>
      <c r="F48" s="427"/>
      <c r="G48" s="428"/>
      <c r="H48" s="427"/>
      <c r="I48" s="427"/>
      <c r="J48" s="427"/>
      <c r="K48" s="427"/>
      <c r="L48" s="427"/>
      <c r="M48" s="428"/>
      <c r="N48" s="427"/>
      <c r="O48" s="427"/>
      <c r="P48" s="427"/>
      <c r="Q48" s="427"/>
      <c r="R48" s="427"/>
      <c r="S48" s="427">
        <v>0.02</v>
      </c>
      <c r="T48" s="427"/>
      <c r="U48" s="427"/>
      <c r="V48" s="427">
        <v>0.24</v>
      </c>
      <c r="W48" s="427"/>
      <c r="X48" s="427"/>
      <c r="Y48" s="427"/>
      <c r="Z48" s="428">
        <f t="shared" si="3"/>
        <v>0.72</v>
      </c>
      <c r="AA48" s="427">
        <v>0.72</v>
      </c>
      <c r="AB48" s="427"/>
      <c r="AC48" s="427"/>
      <c r="AD48" s="427"/>
      <c r="AE48" s="427"/>
      <c r="AF48" s="427"/>
      <c r="AG48" s="427"/>
      <c r="AH48" s="427"/>
      <c r="AI48" s="427"/>
      <c r="AJ48" s="427"/>
      <c r="AK48" s="427"/>
      <c r="AL48" s="427"/>
      <c r="AM48" s="427"/>
      <c r="AN48" s="427"/>
      <c r="AO48" s="427"/>
      <c r="AP48" s="427"/>
      <c r="AQ48" s="427"/>
      <c r="AR48" s="427"/>
      <c r="AS48" s="427">
        <v>0.26</v>
      </c>
      <c r="AT48" s="1005">
        <f>D48-BD48</f>
        <v>725.37</v>
      </c>
      <c r="AU48" s="427"/>
      <c r="AV48" s="427"/>
      <c r="AW48" s="427"/>
      <c r="AX48" s="427"/>
      <c r="AY48" s="427"/>
      <c r="AZ48" s="427"/>
      <c r="BA48" s="427"/>
      <c r="BB48" s="427"/>
      <c r="BC48" s="427"/>
      <c r="BD48" s="428">
        <f>F48+SUM(H48:L48)+SUM(N48:Y48)+SUM(AA48:AS48)+SUM(AU48:BC48)</f>
        <v>1.24</v>
      </c>
      <c r="BE48" s="1110">
        <f>'B6'!H49</f>
        <v>785.7600000000001</v>
      </c>
    </row>
    <row r="49" spans="1:59" ht="18.75" customHeight="1">
      <c r="A49" s="1110" t="s">
        <v>160</v>
      </c>
      <c r="B49" s="422" t="s">
        <v>54</v>
      </c>
      <c r="C49" s="1110" t="s">
        <v>55</v>
      </c>
      <c r="D49" s="1110">
        <f>'B1'!D52</f>
        <v>122.77000000000001</v>
      </c>
      <c r="E49" s="427"/>
      <c r="F49" s="427"/>
      <c r="G49" s="428"/>
      <c r="H49" s="427"/>
      <c r="I49" s="427"/>
      <c r="J49" s="427"/>
      <c r="K49" s="427"/>
      <c r="L49" s="427"/>
      <c r="M49" s="428"/>
      <c r="N49" s="427"/>
      <c r="O49" s="427"/>
      <c r="P49" s="427"/>
      <c r="Q49" s="427"/>
      <c r="R49" s="427"/>
      <c r="S49" s="427"/>
      <c r="T49" s="427"/>
      <c r="U49" s="427"/>
      <c r="V49" s="427"/>
      <c r="W49" s="427"/>
      <c r="X49" s="427"/>
      <c r="Y49" s="427"/>
      <c r="Z49" s="428">
        <f t="shared" si="3"/>
        <v>2.33</v>
      </c>
      <c r="AA49" s="427">
        <v>2.33</v>
      </c>
      <c r="AB49" s="427"/>
      <c r="AC49" s="427"/>
      <c r="AD49" s="427"/>
      <c r="AE49" s="427"/>
      <c r="AF49" s="427"/>
      <c r="AG49" s="427"/>
      <c r="AH49" s="427"/>
      <c r="AI49" s="427"/>
      <c r="AJ49" s="427"/>
      <c r="AK49" s="427"/>
      <c r="AL49" s="427"/>
      <c r="AM49" s="427"/>
      <c r="AN49" s="427"/>
      <c r="AO49" s="427"/>
      <c r="AP49" s="427"/>
      <c r="AQ49" s="427"/>
      <c r="AR49" s="427"/>
      <c r="AS49" s="427"/>
      <c r="AT49" s="427"/>
      <c r="AU49" s="1005">
        <f>D49-BD49</f>
        <v>120.44000000000001</v>
      </c>
      <c r="AV49" s="427"/>
      <c r="AW49" s="427"/>
      <c r="AX49" s="427"/>
      <c r="AY49" s="427"/>
      <c r="AZ49" s="427"/>
      <c r="BA49" s="427"/>
      <c r="BB49" s="427"/>
      <c r="BC49" s="427"/>
      <c r="BD49" s="428">
        <f>F49+SUM(H49:L49)+SUM(N49:Y49)+SUM(AA49:AT49)+SUM(AV49:BC49)</f>
        <v>2.33</v>
      </c>
      <c r="BE49" s="1110">
        <f>'B6'!H50</f>
        <v>132.91999999999999</v>
      </c>
    </row>
    <row r="50" spans="1:59" ht="18.75" customHeight="1">
      <c r="A50" s="1110" t="s">
        <v>161</v>
      </c>
      <c r="B50" s="422" t="s">
        <v>56</v>
      </c>
      <c r="C50" s="1110" t="s">
        <v>57</v>
      </c>
      <c r="D50" s="1110">
        <f>'B1'!D53</f>
        <v>21.6</v>
      </c>
      <c r="E50" s="427"/>
      <c r="F50" s="427"/>
      <c r="G50" s="428"/>
      <c r="H50" s="427"/>
      <c r="I50" s="427"/>
      <c r="J50" s="427"/>
      <c r="K50" s="427"/>
      <c r="L50" s="427"/>
      <c r="M50" s="428"/>
      <c r="N50" s="427"/>
      <c r="O50" s="427"/>
      <c r="P50" s="427"/>
      <c r="Q50" s="427"/>
      <c r="R50" s="427">
        <v>0.01</v>
      </c>
      <c r="S50" s="427">
        <v>0.35</v>
      </c>
      <c r="T50" s="427"/>
      <c r="U50" s="427"/>
      <c r="V50" s="427"/>
      <c r="W50" s="427"/>
      <c r="X50" s="427"/>
      <c r="Y50" s="427"/>
      <c r="Z50" s="428">
        <f t="shared" si="3"/>
        <v>1.5</v>
      </c>
      <c r="AA50" s="427">
        <v>1.5</v>
      </c>
      <c r="AB50" s="427"/>
      <c r="AC50" s="427"/>
      <c r="AD50" s="427"/>
      <c r="AE50" s="427"/>
      <c r="AF50" s="427"/>
      <c r="AG50" s="427"/>
      <c r="AH50" s="427"/>
      <c r="AI50" s="427"/>
      <c r="AJ50" s="427"/>
      <c r="AK50" s="427"/>
      <c r="AL50" s="427"/>
      <c r="AM50" s="427"/>
      <c r="AN50" s="427"/>
      <c r="AO50" s="427"/>
      <c r="AP50" s="427"/>
      <c r="AQ50" s="427"/>
      <c r="AR50" s="427"/>
      <c r="AS50" s="427"/>
      <c r="AT50" s="427"/>
      <c r="AU50" s="427">
        <v>0.12</v>
      </c>
      <c r="AV50" s="1005">
        <f>D50-BD50</f>
        <v>19.62</v>
      </c>
      <c r="AW50" s="427"/>
      <c r="AX50" s="427"/>
      <c r="AY50" s="427"/>
      <c r="AZ50" s="427"/>
      <c r="BA50" s="427"/>
      <c r="BB50" s="427"/>
      <c r="BC50" s="427"/>
      <c r="BD50" s="428">
        <f>F50+SUM(H50:L50)+SUM(N50:Y50)+SUM(AA50:AU50)+SUM(AW50:BC50)</f>
        <v>1.98</v>
      </c>
      <c r="BE50" s="1110">
        <f>'B6'!H51</f>
        <v>19.62</v>
      </c>
    </row>
    <row r="51" spans="1:59" ht="18.75" customHeight="1">
      <c r="A51" s="1110" t="s">
        <v>162</v>
      </c>
      <c r="B51" s="422" t="s">
        <v>58</v>
      </c>
      <c r="C51" s="1110" t="s">
        <v>59</v>
      </c>
      <c r="D51" s="1110">
        <f>'B1'!D54</f>
        <v>5.03</v>
      </c>
      <c r="E51" s="427"/>
      <c r="F51" s="427"/>
      <c r="G51" s="428"/>
      <c r="H51" s="427"/>
      <c r="I51" s="427"/>
      <c r="J51" s="427"/>
      <c r="K51" s="427"/>
      <c r="L51" s="427"/>
      <c r="M51" s="428"/>
      <c r="N51" s="427"/>
      <c r="O51" s="427"/>
      <c r="P51" s="427"/>
      <c r="Q51" s="427"/>
      <c r="R51" s="427"/>
      <c r="S51" s="427"/>
      <c r="T51" s="427"/>
      <c r="U51" s="427"/>
      <c r="V51" s="427"/>
      <c r="W51" s="427"/>
      <c r="X51" s="427"/>
      <c r="Y51" s="427"/>
      <c r="Z51" s="428">
        <f t="shared" si="3"/>
        <v>0</v>
      </c>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1005">
        <f>D51-BD51</f>
        <v>5.03</v>
      </c>
      <c r="AX51" s="427"/>
      <c r="AY51" s="427"/>
      <c r="AZ51" s="427"/>
      <c r="BA51" s="427"/>
      <c r="BB51" s="427"/>
      <c r="BC51" s="427"/>
      <c r="BD51" s="428">
        <f>F51+SUM(H51:L51)+SUM(N51:Y51)+SUM(AA51:AV51)+SUM(AX51:BC51)</f>
        <v>0</v>
      </c>
      <c r="BE51" s="1110">
        <f>'B6'!H52</f>
        <v>5.03</v>
      </c>
    </row>
    <row r="52" spans="1:59" ht="18.75" customHeight="1">
      <c r="A52" s="1110" t="s">
        <v>163</v>
      </c>
      <c r="B52" s="422" t="s">
        <v>60</v>
      </c>
      <c r="C52" s="1110" t="s">
        <v>61</v>
      </c>
      <c r="D52" s="1110">
        <f>'B1'!D55</f>
        <v>0</v>
      </c>
      <c r="E52" s="427"/>
      <c r="F52" s="427"/>
      <c r="G52" s="428"/>
      <c r="H52" s="427"/>
      <c r="I52" s="427"/>
      <c r="J52" s="427"/>
      <c r="K52" s="427"/>
      <c r="L52" s="427"/>
      <c r="M52" s="428"/>
      <c r="N52" s="427"/>
      <c r="O52" s="427"/>
      <c r="P52" s="427"/>
      <c r="Q52" s="427"/>
      <c r="R52" s="427"/>
      <c r="S52" s="427"/>
      <c r="T52" s="427"/>
      <c r="U52" s="427"/>
      <c r="V52" s="427"/>
      <c r="W52" s="427"/>
      <c r="X52" s="427"/>
      <c r="Y52" s="427"/>
      <c r="Z52" s="428">
        <f t="shared" si="3"/>
        <v>0</v>
      </c>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6">
        <f>D52-BD52</f>
        <v>0</v>
      </c>
      <c r="AY52" s="427"/>
      <c r="AZ52" s="427"/>
      <c r="BA52" s="427"/>
      <c r="BB52" s="427"/>
      <c r="BC52" s="427"/>
      <c r="BD52" s="428">
        <f>F52+SUM(H52:L52)+SUM(N52:Y52)+SUM(AA52:AW52)+SUM(AY52:BC52)</f>
        <v>0</v>
      </c>
      <c r="BE52" s="1110">
        <f>'B6'!H53</f>
        <v>0</v>
      </c>
    </row>
    <row r="53" spans="1:59" ht="18.75" customHeight="1">
      <c r="A53" s="1110" t="s">
        <v>164</v>
      </c>
      <c r="B53" s="422" t="s">
        <v>71</v>
      </c>
      <c r="C53" s="1110" t="s">
        <v>72</v>
      </c>
      <c r="D53" s="1110">
        <f>'B1'!D56</f>
        <v>0.27</v>
      </c>
      <c r="E53" s="427"/>
      <c r="F53" s="427"/>
      <c r="G53" s="428"/>
      <c r="H53" s="427"/>
      <c r="I53" s="427"/>
      <c r="J53" s="427"/>
      <c r="K53" s="427"/>
      <c r="L53" s="427"/>
      <c r="M53" s="428"/>
      <c r="N53" s="427"/>
      <c r="O53" s="427"/>
      <c r="P53" s="427"/>
      <c r="Q53" s="427"/>
      <c r="R53" s="427"/>
      <c r="S53" s="427"/>
      <c r="T53" s="427"/>
      <c r="U53" s="427"/>
      <c r="V53" s="427"/>
      <c r="W53" s="427"/>
      <c r="X53" s="427"/>
      <c r="Y53" s="427"/>
      <c r="Z53" s="428">
        <f t="shared" si="3"/>
        <v>0</v>
      </c>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1005">
        <f>D53-BD53</f>
        <v>0.27</v>
      </c>
      <c r="AZ53" s="427"/>
      <c r="BA53" s="427"/>
      <c r="BB53" s="427"/>
      <c r="BC53" s="427"/>
      <c r="BD53" s="428">
        <f>F53+SUM(H53:L53)+SUM(N53:Y53)+SUM(AA53:AX53)+SUM(AZ53:BC53)</f>
        <v>0</v>
      </c>
      <c r="BE53" s="1110">
        <f>'B6'!H54</f>
        <v>0.27</v>
      </c>
    </row>
    <row r="54" spans="1:59" ht="18.75" customHeight="1">
      <c r="A54" s="1110" t="s">
        <v>165</v>
      </c>
      <c r="B54" s="422" t="s">
        <v>181</v>
      </c>
      <c r="C54" s="1110" t="s">
        <v>74</v>
      </c>
      <c r="D54" s="1110">
        <f>'B1'!D57</f>
        <v>1000.5</v>
      </c>
      <c r="E54" s="427"/>
      <c r="F54" s="427"/>
      <c r="G54" s="428"/>
      <c r="H54" s="427"/>
      <c r="I54" s="427"/>
      <c r="J54" s="427"/>
      <c r="K54" s="427"/>
      <c r="L54" s="427"/>
      <c r="M54" s="428"/>
      <c r="N54" s="427"/>
      <c r="O54" s="427"/>
      <c r="P54" s="427"/>
      <c r="Q54" s="427"/>
      <c r="R54" s="427"/>
      <c r="S54" s="427"/>
      <c r="T54" s="427"/>
      <c r="U54" s="427"/>
      <c r="V54" s="427"/>
      <c r="W54" s="427"/>
      <c r="X54" s="427"/>
      <c r="Y54" s="427"/>
      <c r="Z54" s="428">
        <f t="shared" si="3"/>
        <v>0</v>
      </c>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1005">
        <f>D54-BD54</f>
        <v>1000.5</v>
      </c>
      <c r="BA54" s="427"/>
      <c r="BB54" s="427"/>
      <c r="BC54" s="427"/>
      <c r="BD54" s="428">
        <f>F54+SUM(H54:L54)+SUM(N54:Y54)+SUM(AA54:AY54)+SUM(BA54:BC54)</f>
        <v>0</v>
      </c>
      <c r="BE54" s="1110">
        <f>'B6'!H55</f>
        <v>1000.5</v>
      </c>
    </row>
    <row r="55" spans="1:59" ht="18.75" customHeight="1">
      <c r="A55" s="1110" t="s">
        <v>166</v>
      </c>
      <c r="B55" s="422" t="s">
        <v>75</v>
      </c>
      <c r="C55" s="1110" t="s">
        <v>76</v>
      </c>
      <c r="D55" s="1110">
        <f>'B1'!D58</f>
        <v>64.550000000000011</v>
      </c>
      <c r="E55" s="427"/>
      <c r="F55" s="427"/>
      <c r="G55" s="428"/>
      <c r="H55" s="427"/>
      <c r="I55" s="427"/>
      <c r="J55" s="427"/>
      <c r="K55" s="427"/>
      <c r="L55" s="427"/>
      <c r="M55" s="428"/>
      <c r="N55" s="427"/>
      <c r="O55" s="427"/>
      <c r="P55" s="427"/>
      <c r="Q55" s="427"/>
      <c r="R55" s="427"/>
      <c r="S55" s="427"/>
      <c r="T55" s="427"/>
      <c r="U55" s="427"/>
      <c r="V55" s="427"/>
      <c r="W55" s="427"/>
      <c r="X55" s="427"/>
      <c r="Y55" s="427"/>
      <c r="Z55" s="428">
        <f t="shared" si="3"/>
        <v>0</v>
      </c>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1005">
        <f>D55-BD55</f>
        <v>64.550000000000011</v>
      </c>
      <c r="BB55" s="427"/>
      <c r="BC55" s="427"/>
      <c r="BD55" s="428">
        <f>F55+SUM(H55:L55)+SUM(N55:Y55)+SUM(AA55:AZ55)+SUM(BB55:BC55)</f>
        <v>0</v>
      </c>
      <c r="BE55" s="1110">
        <f>'B6'!H56</f>
        <v>64.550000000000011</v>
      </c>
    </row>
    <row r="56" spans="1:59" ht="18.75" customHeight="1">
      <c r="A56" s="1110" t="s">
        <v>167</v>
      </c>
      <c r="B56" s="422" t="s">
        <v>77</v>
      </c>
      <c r="C56" s="1110" t="s">
        <v>78</v>
      </c>
      <c r="D56" s="1110">
        <f>'B1'!D59</f>
        <v>1.8699999999999999</v>
      </c>
      <c r="E56" s="427"/>
      <c r="F56" s="427"/>
      <c r="G56" s="428"/>
      <c r="H56" s="427"/>
      <c r="I56" s="427"/>
      <c r="J56" s="427"/>
      <c r="K56" s="427"/>
      <c r="L56" s="427"/>
      <c r="M56" s="428"/>
      <c r="N56" s="427"/>
      <c r="O56" s="427"/>
      <c r="P56" s="427"/>
      <c r="Q56" s="427"/>
      <c r="R56" s="427"/>
      <c r="S56" s="427"/>
      <c r="T56" s="427"/>
      <c r="U56" s="427"/>
      <c r="V56" s="427"/>
      <c r="W56" s="427"/>
      <c r="X56" s="427"/>
      <c r="Y56" s="427"/>
      <c r="Z56" s="428">
        <f t="shared" si="3"/>
        <v>0</v>
      </c>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1005">
        <f>D56-BD56</f>
        <v>1.8699999999999999</v>
      </c>
      <c r="BC56" s="427"/>
      <c r="BD56" s="428">
        <f>F56+SUM(H56:L56)+SUM(N56:Y56)+SUM(AA56:BA56)+BC56</f>
        <v>0</v>
      </c>
      <c r="BE56" s="1110">
        <f>'B6'!H57</f>
        <v>2.6300000000000003</v>
      </c>
    </row>
    <row r="57" spans="1:59" s="437" customFormat="1" ht="18.75" customHeight="1">
      <c r="A57" s="424">
        <v>3</v>
      </c>
      <c r="B57" s="425" t="s">
        <v>79</v>
      </c>
      <c r="C57" s="424" t="s">
        <v>80</v>
      </c>
      <c r="D57" s="424">
        <f>'B1'!D60</f>
        <v>170.91000000000003</v>
      </c>
      <c r="E57" s="435"/>
      <c r="F57" s="435"/>
      <c r="G57" s="436"/>
      <c r="H57" s="435"/>
      <c r="I57" s="435">
        <v>15</v>
      </c>
      <c r="J57" s="435"/>
      <c r="K57" s="435"/>
      <c r="L57" s="435"/>
      <c r="M57" s="436"/>
      <c r="N57" s="435"/>
      <c r="O57" s="435"/>
      <c r="P57" s="435"/>
      <c r="Q57" s="435"/>
      <c r="R57" s="435"/>
      <c r="S57" s="435"/>
      <c r="T57" s="435"/>
      <c r="U57" s="435"/>
      <c r="V57" s="435"/>
      <c r="W57" s="435">
        <v>1.03</v>
      </c>
      <c r="X57" s="435"/>
      <c r="Y57" s="435"/>
      <c r="Z57" s="436">
        <f t="shared" si="3"/>
        <v>0.11</v>
      </c>
      <c r="AA57" s="435">
        <v>0.11</v>
      </c>
      <c r="AB57" s="435"/>
      <c r="AC57" s="435"/>
      <c r="AD57" s="435"/>
      <c r="AE57" s="435"/>
      <c r="AF57" s="435"/>
      <c r="AG57" s="435"/>
      <c r="AH57" s="435"/>
      <c r="AI57" s="435"/>
      <c r="AJ57" s="435"/>
      <c r="AK57" s="435"/>
      <c r="AL57" s="435"/>
      <c r="AM57" s="435"/>
      <c r="AN57" s="435"/>
      <c r="AO57" s="435"/>
      <c r="AP57" s="435"/>
      <c r="AQ57" s="435"/>
      <c r="AR57" s="435"/>
      <c r="AS57" s="435"/>
      <c r="AT57" s="435">
        <v>0.19</v>
      </c>
      <c r="AU57" s="435"/>
      <c r="AV57" s="435"/>
      <c r="AW57" s="435"/>
      <c r="AX57" s="435"/>
      <c r="AY57" s="435"/>
      <c r="AZ57" s="435"/>
      <c r="BA57" s="435"/>
      <c r="BB57" s="435"/>
      <c r="BC57" s="1007">
        <f>D57-BD57</f>
        <v>154.58000000000001</v>
      </c>
      <c r="BD57" s="436">
        <f>F57+SUM(H57:L57)+SUM(N57:Y57)+SUM(AA57:BB57)</f>
        <v>16.330000000000002</v>
      </c>
      <c r="BE57" s="424">
        <f>'B6'!H58</f>
        <v>154.58000000000001</v>
      </c>
      <c r="BG57" s="419"/>
    </row>
    <row r="58" spans="1:59" s="421" customFormat="1" ht="18.75" customHeight="1">
      <c r="A58" s="1109"/>
      <c r="B58" s="441" t="s">
        <v>110</v>
      </c>
      <c r="C58" s="1109"/>
      <c r="D58" s="1109">
        <f>E58+Q58+BC58</f>
        <v>575.24999999999955</v>
      </c>
      <c r="E58" s="442">
        <f>SUM(F58:P58)-G58-M58</f>
        <v>318.36</v>
      </c>
      <c r="F58" s="427">
        <f>SUM(F10:F14)+SUM(F16:F57)-F28</f>
        <v>0</v>
      </c>
      <c r="G58" s="428">
        <f>SUM(G10:G14)+SUM(G16:G57)-G28</f>
        <v>0</v>
      </c>
      <c r="H58" s="427">
        <f>H8+SUM(H11:H14)+SUM(H16:H57)-H28</f>
        <v>0</v>
      </c>
      <c r="I58" s="427">
        <f>I8+I10+SUM(I12:I14)+SUM(I16:I57)-I28</f>
        <v>293</v>
      </c>
      <c r="J58" s="427">
        <f>J8+SUM(J10:J11)+SUM(J13:J14)+SUM(J16:J57)-J28</f>
        <v>0</v>
      </c>
      <c r="K58" s="427">
        <f>K8+SUM(K10:K12)+K14+SUM(K16:K57)-K28</f>
        <v>0</v>
      </c>
      <c r="L58" s="427">
        <f>L8+SUM(L10:L13)+SUM(L16:L57)-L28</f>
        <v>0</v>
      </c>
      <c r="M58" s="428">
        <f>M8+SUM(M10:M14)+SUM(M16:M57)-M28</f>
        <v>0</v>
      </c>
      <c r="N58" s="427">
        <f>N8+SUM(N10:N14)+SUM(N17:N57)-N28</f>
        <v>0</v>
      </c>
      <c r="O58" s="427">
        <f>O8+SUM(O10:O14)+O16+SUM(O18:O57)-O28</f>
        <v>0</v>
      </c>
      <c r="P58" s="427">
        <f>P8+SUM(P10:P14)+SUM(P16:P17)+SUM(P19:P57)-P28</f>
        <v>25.36</v>
      </c>
      <c r="Q58" s="442">
        <f>SUM(R58:BB58)-Z58</f>
        <v>256.88999999999953</v>
      </c>
      <c r="R58" s="427">
        <f>SUM(R8:R57)-R9-R15-R20-R28</f>
        <v>5.4000000000000057</v>
      </c>
      <c r="S58" s="427">
        <f>SUM(S8:S57)-S9-S15-S21-S28</f>
        <v>3.2999999999999994</v>
      </c>
      <c r="T58" s="427">
        <f>SUM(T8:T57)-T9-T15-T22-T28</f>
        <v>0</v>
      </c>
      <c r="U58" s="427">
        <f>SUM(U8:U57)-U9-U15-U23-U28</f>
        <v>1.01</v>
      </c>
      <c r="V58" s="427">
        <f>SUM(V8:V57)-V9-V15-V24-V28</f>
        <v>0.57000000000000028</v>
      </c>
      <c r="W58" s="427">
        <f>SUM(W8:W57)-W9-W15-W25-W28</f>
        <v>4.730000000000004</v>
      </c>
      <c r="X58" s="427">
        <f>SUM(X8:X57)-X9-X15-X26-X28</f>
        <v>0</v>
      </c>
      <c r="Y58" s="427">
        <f>SUM(Y8:Y57)-Y9-Y15-Y27-Y28</f>
        <v>2.4600000000000009</v>
      </c>
      <c r="Z58" s="428">
        <f>SUM(Z8:Z57)-Z9-Z15-Z28</f>
        <v>163.01999999999953</v>
      </c>
      <c r="AA58" s="427">
        <f>SUM(AA8:AA57)-AA9-AA15-AA29-AA28</f>
        <v>90.839999999999947</v>
      </c>
      <c r="AB58" s="427">
        <f>SUM(AB8:AB57)-AB9-AB15-AB30-AB28</f>
        <v>43.400000000000006</v>
      </c>
      <c r="AC58" s="427">
        <f>SUM(AC8:AC57)-AC9-AC15-AC31-AC28</f>
        <v>0</v>
      </c>
      <c r="AD58" s="427">
        <f>SUM(AD8:AD57)-AD9-AD15-AD32-AD28</f>
        <v>0</v>
      </c>
      <c r="AE58" s="427">
        <f>SUM(AE8:AE57)-AE9-AE15-AE33-AE28</f>
        <v>1.2000000000000028</v>
      </c>
      <c r="AF58" s="427">
        <f>SUM(AF8:AF57)-AF9-AF15-AF34-AF28</f>
        <v>0</v>
      </c>
      <c r="AG58" s="427">
        <f>SUM(AG8:AG57)-AG9-AG15-AG35-AG28</f>
        <v>26.4399999999996</v>
      </c>
      <c r="AH58" s="427">
        <f>SUM(AH8:AH57)-AH9-AH15-AH36-AH28</f>
        <v>0</v>
      </c>
      <c r="AI58" s="427">
        <f>SUM(AI8:AI57)-AI9-AI15-AI37-AI28</f>
        <v>0</v>
      </c>
      <c r="AJ58" s="427">
        <f>SUM(AJ8:AJ57)-AJ9-AJ15-AJ38-AJ28</f>
        <v>0</v>
      </c>
      <c r="AK58" s="427">
        <f>SUM(AK8:AK57)-AK9-AK15-AK39-AK28</f>
        <v>0</v>
      </c>
      <c r="AL58" s="427">
        <f>SUM(AL8:AL57)-AL9-AL15-AL40-AL28</f>
        <v>0</v>
      </c>
      <c r="AM58" s="427">
        <f>SUM(AM8:AM57)-AM9-AM15-AM41-AM28</f>
        <v>1.1400000000000006</v>
      </c>
      <c r="AN58" s="427">
        <f>SUM(AN8:AN57)-AN9-AN15-AN42-AN28</f>
        <v>0</v>
      </c>
      <c r="AO58" s="427">
        <f>SUM(AO8:AO57)-AO9-AO15-AO43-AO28</f>
        <v>0</v>
      </c>
      <c r="AP58" s="427">
        <f>SUM(AP8:AP57)-AP9-AP15-AP44-AP28</f>
        <v>0</v>
      </c>
      <c r="AQ58" s="427">
        <f>SUM(AQ8:AQ57)-AQ9-AQ15-AQ45-AQ28</f>
        <v>0</v>
      </c>
      <c r="AR58" s="427">
        <f>SUM(AR8:AR57)-AR9-AR15-AR46-AR28</f>
        <v>0</v>
      </c>
      <c r="AS58" s="427">
        <f>SUM(AS8:AS57)-AS9-AS15-AS47-AS28</f>
        <v>2.77</v>
      </c>
      <c r="AT58" s="427">
        <f>SUM(AT8:AT57)-AT9-AT15-AT48-AT28</f>
        <v>60.390000000000015</v>
      </c>
      <c r="AU58" s="428">
        <f>SUM(AU8:AU57)-AU9-AU15-AU49-AU28</f>
        <v>12.480000000000008</v>
      </c>
      <c r="AV58" s="427">
        <f>SUM(AV8:AV57)-AV9-AV15-AV50-AV28</f>
        <v>0</v>
      </c>
      <c r="AW58" s="427">
        <f>SUM(AW8:AW57)-AW9-AW15-AW51-AW28</f>
        <v>0</v>
      </c>
      <c r="AX58" s="427">
        <f>SUM(AX8:AX57)-AX9-AX15-AX52-AX28</f>
        <v>0</v>
      </c>
      <c r="AY58" s="427">
        <f>SUM(AY8:AY57)-AY9-AY15-AY53-AY28</f>
        <v>0</v>
      </c>
      <c r="AZ58" s="427">
        <f>SUM(AZ8:AZ57)-AZ9-AZ15-AZ54-AZ28</f>
        <v>0</v>
      </c>
      <c r="BA58" s="427">
        <f>SUM(BA8:BA57)-BA9-BA15-BA55-BA28</f>
        <v>0</v>
      </c>
      <c r="BB58" s="427">
        <f>SUM(BB8:BB57)-BB9-BB15-BB56-BB28</f>
        <v>0.76</v>
      </c>
      <c r="BC58" s="442">
        <f>SUM(BC8:BC57)-BC9-BC15-BC57-BC28</f>
        <v>0</v>
      </c>
      <c r="BD58" s="429"/>
      <c r="BE58" s="442"/>
    </row>
    <row r="59" spans="1:59" s="421" customFormat="1" ht="18.75" customHeight="1">
      <c r="A59" s="1109"/>
      <c r="B59" s="441" t="s">
        <v>986</v>
      </c>
      <c r="C59" s="1109"/>
      <c r="D59" s="1109">
        <f>E59+Q59+BC59</f>
        <v>143172.85999999996</v>
      </c>
      <c r="E59" s="1109">
        <f>E58+E7</f>
        <v>134501.56999999998</v>
      </c>
      <c r="F59" s="442">
        <f>F58+F8</f>
        <v>1203.32</v>
      </c>
      <c r="G59" s="429">
        <f>G58+G9</f>
        <v>736.53</v>
      </c>
      <c r="H59" s="442">
        <f>H58+H10</f>
        <v>15053.070000000002</v>
      </c>
      <c r="I59" s="442">
        <f>I58+I11</f>
        <v>27446.91</v>
      </c>
      <c r="J59" s="442">
        <f>J58+J12</f>
        <v>13276.07</v>
      </c>
      <c r="K59" s="442">
        <f>K58+K13</f>
        <v>43026.239999999998</v>
      </c>
      <c r="L59" s="442">
        <f>L58+L14</f>
        <v>34235.089999999997</v>
      </c>
      <c r="M59" s="429">
        <f>M58+M15</f>
        <v>29661.960000000003</v>
      </c>
      <c r="N59" s="442">
        <f>N58+N16</f>
        <v>122.25999999999999</v>
      </c>
      <c r="O59" s="442"/>
      <c r="P59" s="442">
        <f>P58+P18</f>
        <v>138.60999999999999</v>
      </c>
      <c r="Q59" s="442">
        <f>Q58+Q19</f>
        <v>8516.7099999999991</v>
      </c>
      <c r="R59" s="442">
        <f>R58+R20</f>
        <v>123.28</v>
      </c>
      <c r="S59" s="442">
        <f>S58+S21</f>
        <v>4.2699999999999996</v>
      </c>
      <c r="T59" s="442">
        <f>T58+T22</f>
        <v>0</v>
      </c>
      <c r="U59" s="442">
        <f>U58+U23</f>
        <v>1.01</v>
      </c>
      <c r="V59" s="442">
        <f>V58+V24</f>
        <v>5.83</v>
      </c>
      <c r="W59" s="442">
        <f>W58+W25</f>
        <v>61.519999999999996</v>
      </c>
      <c r="X59" s="442">
        <f>X58+X26</f>
        <v>4.66</v>
      </c>
      <c r="Y59" s="442">
        <f>Y58+Y27</f>
        <v>25.19</v>
      </c>
      <c r="Z59" s="429">
        <f>Z58+Z28</f>
        <v>6260.7399999999989</v>
      </c>
      <c r="AA59" s="442">
        <f>AA58+AA29</f>
        <v>1249.1799999999998</v>
      </c>
      <c r="AB59" s="442">
        <f>AB58+AB30</f>
        <v>133.48000000000002</v>
      </c>
      <c r="AC59" s="442">
        <f>AC58+AC31</f>
        <v>6.19</v>
      </c>
      <c r="AD59" s="442">
        <f>AD58+AD32</f>
        <v>4.96</v>
      </c>
      <c r="AE59" s="442">
        <f>AE58+AE33</f>
        <v>63.89</v>
      </c>
      <c r="AF59" s="442">
        <f>AF58+AF34</f>
        <v>16.670000000000002</v>
      </c>
      <c r="AG59" s="442">
        <f>AG58+AG35</f>
        <v>4651.7299999999996</v>
      </c>
      <c r="AH59" s="442">
        <f>AH58+AH36</f>
        <v>1.02</v>
      </c>
      <c r="AI59" s="442"/>
      <c r="AJ59" s="442">
        <f>AJ58+AJ38</f>
        <v>3.86</v>
      </c>
      <c r="AK59" s="442">
        <f>AK58+AK39</f>
        <v>2.66</v>
      </c>
      <c r="AL59" s="442">
        <f>AL58+AL40</f>
        <v>6.8500000000000005</v>
      </c>
      <c r="AM59" s="442">
        <f>AM58+AM41</f>
        <v>115.93</v>
      </c>
      <c r="AN59" s="442"/>
      <c r="AO59" s="442">
        <f>AO58+AO43</f>
        <v>0.66</v>
      </c>
      <c r="AP59" s="442">
        <f>AP58+AP44</f>
        <v>3.6599999999999997</v>
      </c>
      <c r="AQ59" s="442"/>
      <c r="AR59" s="442">
        <f>AR58+AR46</f>
        <v>13.11</v>
      </c>
      <c r="AS59" s="442">
        <f>AS58+AS47</f>
        <v>5.82</v>
      </c>
      <c r="AT59" s="442">
        <f>AT58+AT48</f>
        <v>785.76</v>
      </c>
      <c r="AU59" s="442">
        <f>AU58+AU49</f>
        <v>132.92000000000002</v>
      </c>
      <c r="AV59" s="442">
        <f>AV58+AV50</f>
        <v>19.62</v>
      </c>
      <c r="AW59" s="442">
        <f>AW58+AW51</f>
        <v>5.03</v>
      </c>
      <c r="AX59" s="442"/>
      <c r="AY59" s="442">
        <f>AY58+AY53</f>
        <v>0.27</v>
      </c>
      <c r="AZ59" s="442">
        <f>AZ58+AZ54</f>
        <v>1000.5</v>
      </c>
      <c r="BA59" s="442">
        <f>BA58+BA55</f>
        <v>64.550000000000011</v>
      </c>
      <c r="BB59" s="442">
        <f>BB58+BB56</f>
        <v>2.63</v>
      </c>
      <c r="BC59" s="442">
        <f>BC58+BC57</f>
        <v>154.58000000000001</v>
      </c>
      <c r="BD59" s="429"/>
      <c r="BE59" s="442"/>
    </row>
    <row r="61" spans="1:59">
      <c r="E61" s="419">
        <v>318.36</v>
      </c>
      <c r="F61" s="421">
        <v>0</v>
      </c>
      <c r="G61" s="419">
        <v>0</v>
      </c>
      <c r="H61" s="418">
        <v>0</v>
      </c>
      <c r="I61" s="419">
        <v>293</v>
      </c>
      <c r="J61" s="419">
        <v>0</v>
      </c>
      <c r="K61" s="419">
        <v>0</v>
      </c>
      <c r="L61" s="419">
        <v>0</v>
      </c>
      <c r="M61" s="419">
        <v>0</v>
      </c>
      <c r="N61" s="418">
        <v>0</v>
      </c>
      <c r="O61" s="419">
        <v>0</v>
      </c>
      <c r="P61" s="419">
        <v>25.36</v>
      </c>
      <c r="Q61" s="421">
        <v>256.89000000000004</v>
      </c>
      <c r="R61" s="419">
        <v>5.3999999999999995</v>
      </c>
      <c r="S61" s="419">
        <v>3.3000000000000003</v>
      </c>
      <c r="T61" s="419">
        <v>0</v>
      </c>
      <c r="U61" s="419">
        <v>1.01</v>
      </c>
      <c r="V61" s="419">
        <v>0.57000000000000006</v>
      </c>
      <c r="W61" s="419">
        <v>4.7300000000000004</v>
      </c>
      <c r="X61" s="419">
        <v>0</v>
      </c>
      <c r="Y61" s="419">
        <v>2.46</v>
      </c>
      <c r="Z61" s="419">
        <v>163.02000000000001</v>
      </c>
      <c r="AA61" s="418">
        <v>90.839999999999989</v>
      </c>
      <c r="AB61" s="419">
        <v>43.4</v>
      </c>
      <c r="AC61" s="419">
        <v>0</v>
      </c>
      <c r="AD61" s="419">
        <v>0</v>
      </c>
      <c r="AE61" s="419">
        <v>1.2</v>
      </c>
      <c r="AF61" s="419">
        <v>0</v>
      </c>
      <c r="AG61" s="419">
        <v>26.44</v>
      </c>
      <c r="AH61" s="419">
        <v>0</v>
      </c>
      <c r="AI61" s="419">
        <v>0</v>
      </c>
      <c r="AJ61" s="419">
        <v>0</v>
      </c>
      <c r="AK61" s="419">
        <v>0</v>
      </c>
      <c r="AL61" s="419">
        <v>0</v>
      </c>
      <c r="AM61" s="419">
        <v>1.1399999999999999</v>
      </c>
      <c r="AN61" s="419">
        <v>0</v>
      </c>
      <c r="AO61" s="419">
        <v>0</v>
      </c>
      <c r="AP61" s="419">
        <v>0</v>
      </c>
      <c r="AQ61" s="419">
        <v>0</v>
      </c>
      <c r="AR61" s="419">
        <v>0</v>
      </c>
      <c r="AS61" s="419">
        <v>2.77</v>
      </c>
      <c r="AT61" s="419">
        <v>60.389999999999993</v>
      </c>
      <c r="AU61" s="419">
        <v>12.48</v>
      </c>
      <c r="AV61" s="419">
        <v>0</v>
      </c>
      <c r="AW61" s="419">
        <v>0</v>
      </c>
      <c r="BA61" s="419">
        <v>0</v>
      </c>
      <c r="BB61" s="419">
        <v>0.76</v>
      </c>
    </row>
    <row r="62" spans="1:59">
      <c r="F62" s="421"/>
      <c r="G62" s="421"/>
      <c r="H62" s="421"/>
      <c r="I62" s="421"/>
      <c r="J62" s="421"/>
      <c r="K62" s="421"/>
      <c r="L62" s="421"/>
      <c r="M62" s="421"/>
      <c r="N62" s="421"/>
      <c r="O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21"/>
      <c r="BC62" s="421"/>
    </row>
    <row r="63" spans="1:59">
      <c r="E63" s="421">
        <f>E58-E61</f>
        <v>0</v>
      </c>
      <c r="F63" s="421">
        <f t="shared" ref="F63:BB63" si="4">F58-F61</f>
        <v>0</v>
      </c>
      <c r="G63" s="421">
        <f t="shared" si="4"/>
        <v>0</v>
      </c>
      <c r="H63" s="421">
        <f t="shared" si="4"/>
        <v>0</v>
      </c>
      <c r="I63" s="421">
        <f t="shared" si="4"/>
        <v>0</v>
      </c>
      <c r="J63" s="421">
        <f t="shared" si="4"/>
        <v>0</v>
      </c>
      <c r="K63" s="421">
        <f t="shared" si="4"/>
        <v>0</v>
      </c>
      <c r="L63" s="421">
        <f t="shared" si="4"/>
        <v>0</v>
      </c>
      <c r="M63" s="421">
        <f t="shared" si="4"/>
        <v>0</v>
      </c>
      <c r="N63" s="421">
        <f t="shared" si="4"/>
        <v>0</v>
      </c>
      <c r="O63" s="421">
        <f t="shared" si="4"/>
        <v>0</v>
      </c>
      <c r="P63" s="421">
        <f t="shared" si="4"/>
        <v>0</v>
      </c>
      <c r="Q63" s="421">
        <f t="shared" si="4"/>
        <v>-5.1159076974727213E-13</v>
      </c>
      <c r="R63" s="421">
        <f t="shared" si="4"/>
        <v>0</v>
      </c>
      <c r="S63" s="421">
        <f t="shared" si="4"/>
        <v>0</v>
      </c>
      <c r="T63" s="421">
        <f t="shared" si="4"/>
        <v>0</v>
      </c>
      <c r="U63" s="421">
        <f t="shared" si="4"/>
        <v>0</v>
      </c>
      <c r="V63" s="421">
        <f t="shared" si="4"/>
        <v>0</v>
      </c>
      <c r="W63" s="421">
        <f t="shared" si="4"/>
        <v>0</v>
      </c>
      <c r="X63" s="421">
        <f t="shared" si="4"/>
        <v>0</v>
      </c>
      <c r="Y63" s="421">
        <f t="shared" si="4"/>
        <v>0</v>
      </c>
      <c r="Z63" s="421">
        <f t="shared" si="4"/>
        <v>-4.8316906031686813E-13</v>
      </c>
      <c r="AA63" s="421">
        <f t="shared" si="4"/>
        <v>0</v>
      </c>
      <c r="AB63" s="421">
        <f t="shared" si="4"/>
        <v>0</v>
      </c>
      <c r="AC63" s="421">
        <f t="shared" si="4"/>
        <v>0</v>
      </c>
      <c r="AD63" s="421">
        <f t="shared" si="4"/>
        <v>0</v>
      </c>
      <c r="AE63" s="421">
        <f t="shared" si="4"/>
        <v>2.886579864025407E-15</v>
      </c>
      <c r="AF63" s="421">
        <f t="shared" si="4"/>
        <v>0</v>
      </c>
      <c r="AG63" s="421">
        <f t="shared" si="4"/>
        <v>-4.0145664570445661E-13</v>
      </c>
      <c r="AH63" s="421">
        <f t="shared" si="4"/>
        <v>0</v>
      </c>
      <c r="AI63" s="421">
        <f t="shared" si="4"/>
        <v>0</v>
      </c>
      <c r="AJ63" s="421">
        <f t="shared" si="4"/>
        <v>0</v>
      </c>
      <c r="AK63" s="421">
        <f t="shared" si="4"/>
        <v>0</v>
      </c>
      <c r="AL63" s="421">
        <f t="shared" si="4"/>
        <v>0</v>
      </c>
      <c r="AM63" s="421">
        <f t="shared" si="4"/>
        <v>0</v>
      </c>
      <c r="AN63" s="421">
        <f t="shared" si="4"/>
        <v>0</v>
      </c>
      <c r="AO63" s="421">
        <f t="shared" si="4"/>
        <v>0</v>
      </c>
      <c r="AP63" s="421">
        <f t="shared" si="4"/>
        <v>0</v>
      </c>
      <c r="AQ63" s="421">
        <f t="shared" si="4"/>
        <v>0</v>
      </c>
      <c r="AR63" s="421">
        <f t="shared" si="4"/>
        <v>0</v>
      </c>
      <c r="AS63" s="421">
        <f t="shared" si="4"/>
        <v>0</v>
      </c>
      <c r="AT63" s="421">
        <f t="shared" si="4"/>
        <v>0</v>
      </c>
      <c r="AU63" s="421">
        <f t="shared" si="4"/>
        <v>0</v>
      </c>
      <c r="AV63" s="421">
        <f t="shared" si="4"/>
        <v>0</v>
      </c>
      <c r="AW63" s="421">
        <f t="shared" si="4"/>
        <v>0</v>
      </c>
      <c r="AX63" s="421">
        <f t="shared" si="4"/>
        <v>0</v>
      </c>
      <c r="AY63" s="421">
        <f t="shared" si="4"/>
        <v>0</v>
      </c>
      <c r="AZ63" s="421">
        <f t="shared" si="4"/>
        <v>0</v>
      </c>
      <c r="BA63" s="421">
        <f t="shared" si="4"/>
        <v>0</v>
      </c>
      <c r="BB63" s="421">
        <f t="shared" si="4"/>
        <v>0</v>
      </c>
    </row>
    <row r="65" spans="7:26">
      <c r="G65" s="419"/>
      <c r="M65" s="419"/>
      <c r="P65" s="419"/>
      <c r="Z65" s="419"/>
    </row>
  </sheetData>
  <mergeCells count="10">
    <mergeCell ref="A1:B1"/>
    <mergeCell ref="A2:AS2"/>
    <mergeCell ref="A3:BE3"/>
    <mergeCell ref="A4:A5"/>
    <mergeCell ref="B4:B5"/>
    <mergeCell ref="C4:C5"/>
    <mergeCell ref="D4:D5"/>
    <mergeCell ref="E4:BC4"/>
    <mergeCell ref="BD4:BD5"/>
    <mergeCell ref="BE4:BE5"/>
  </mergeCells>
  <pageMargins left="0.79" right="0.23" top="0.82" bottom="0.3" header="0.43" footer="0.2"/>
  <pageSetup paperSize="8" scale="3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64"/>
  <sheetViews>
    <sheetView topLeftCell="B6" workbookViewId="0">
      <pane ySplit="1" topLeftCell="A7" activePane="bottomLeft" state="frozen"/>
      <selection activeCell="A6" sqref="A6"/>
      <selection pane="bottomLeft" activeCell="H19" sqref="H19"/>
    </sheetView>
  </sheetViews>
  <sheetFormatPr defaultColWidth="9.140625" defaultRowHeight="12.75"/>
  <cols>
    <col min="1" max="1" width="6.7109375" style="1048" customWidth="1"/>
    <col min="2" max="2" width="26.28515625" style="1048" customWidth="1"/>
    <col min="3" max="3" width="7.42578125" style="1048" customWidth="1"/>
    <col min="4" max="4" width="10" style="1048" customWidth="1"/>
    <col min="5" max="5" width="11.42578125" style="1048" bestFit="1" customWidth="1"/>
    <col min="6" max="6" width="14.7109375" style="1048" customWidth="1"/>
    <col min="7" max="9" width="11.42578125" style="1048" bestFit="1" customWidth="1"/>
    <col min="10" max="10" width="12.5703125" style="1048" bestFit="1" customWidth="1"/>
    <col min="11" max="12" width="11.42578125" style="1048" bestFit="1" customWidth="1"/>
    <col min="13" max="13" width="12.5703125" style="1048" bestFit="1" customWidth="1"/>
    <col min="14" max="14" width="11.5703125" style="1048" bestFit="1" customWidth="1"/>
    <col min="15" max="15" width="12.5703125" style="1048" bestFit="1" customWidth="1"/>
    <col min="16" max="16384" width="9.140625" style="1048"/>
  </cols>
  <sheetData>
    <row r="1" spans="1:17">
      <c r="D1" s="1049"/>
    </row>
    <row r="2" spans="1:17" ht="15.75">
      <c r="A2" s="1355" t="s">
        <v>364</v>
      </c>
      <c r="B2" s="1355"/>
      <c r="C2" s="1355"/>
      <c r="D2" s="1355"/>
      <c r="E2" s="1355"/>
      <c r="F2" s="1355"/>
      <c r="G2" s="1355"/>
      <c r="H2" s="1355"/>
      <c r="I2" s="1355"/>
      <c r="J2" s="1355"/>
      <c r="K2" s="1355"/>
      <c r="L2" s="1355"/>
      <c r="M2" s="1355"/>
      <c r="N2" s="1355"/>
      <c r="O2" s="1355"/>
    </row>
    <row r="3" spans="1:17">
      <c r="A3" s="1356" t="s">
        <v>0</v>
      </c>
      <c r="B3" s="1356"/>
      <c r="C3" s="1356"/>
      <c r="D3" s="1356"/>
      <c r="E3" s="1356"/>
      <c r="F3" s="1356"/>
      <c r="G3" s="1356"/>
      <c r="H3" s="1356"/>
      <c r="I3" s="1356"/>
      <c r="J3" s="1356"/>
      <c r="K3" s="1356"/>
      <c r="L3" s="1356"/>
      <c r="M3" s="1356"/>
      <c r="N3" s="1356"/>
      <c r="O3" s="1356"/>
    </row>
    <row r="4" spans="1:17">
      <c r="A4" s="1357" t="s">
        <v>1</v>
      </c>
      <c r="B4" s="1357" t="s">
        <v>234</v>
      </c>
      <c r="C4" s="1357" t="s">
        <v>3</v>
      </c>
      <c r="D4" s="1357" t="s">
        <v>4</v>
      </c>
      <c r="E4" s="1357" t="s">
        <v>5</v>
      </c>
      <c r="F4" s="1357"/>
      <c r="G4" s="1357"/>
      <c r="H4" s="1357"/>
      <c r="I4" s="1357"/>
      <c r="J4" s="1357"/>
      <c r="K4" s="1357"/>
      <c r="L4" s="1357"/>
      <c r="M4" s="1357"/>
      <c r="N4" s="1357"/>
      <c r="O4" s="1357"/>
    </row>
    <row r="5" spans="1:17">
      <c r="A5" s="1357"/>
      <c r="B5" s="1357"/>
      <c r="C5" s="1357"/>
      <c r="D5" s="1357"/>
      <c r="E5" s="1357"/>
      <c r="F5" s="1357"/>
      <c r="G5" s="1357"/>
      <c r="H5" s="1357"/>
      <c r="I5" s="1357"/>
      <c r="J5" s="1357"/>
      <c r="K5" s="1357"/>
      <c r="L5" s="1357"/>
      <c r="M5" s="1357"/>
      <c r="N5" s="1357"/>
      <c r="O5" s="1357"/>
    </row>
    <row r="6" spans="1:17" ht="28.5">
      <c r="A6" s="1357"/>
      <c r="B6" s="1357"/>
      <c r="C6" s="1357"/>
      <c r="D6" s="1357"/>
      <c r="E6" s="1050" t="s">
        <v>111</v>
      </c>
      <c r="F6" s="1051" t="s">
        <v>190</v>
      </c>
      <c r="G6" s="1051" t="s">
        <v>169</v>
      </c>
      <c r="H6" s="1051" t="s">
        <v>170</v>
      </c>
      <c r="I6" s="1051" t="s">
        <v>172</v>
      </c>
      <c r="J6" s="1051" t="s">
        <v>198</v>
      </c>
      <c r="K6" s="1051" t="s">
        <v>197</v>
      </c>
      <c r="L6" s="1051" t="s">
        <v>191</v>
      </c>
      <c r="M6" s="1051" t="s">
        <v>189</v>
      </c>
      <c r="N6" s="1051" t="s">
        <v>174</v>
      </c>
      <c r="O6" s="1051" t="s">
        <v>173</v>
      </c>
    </row>
    <row r="7" spans="1:17" s="1055" customFormat="1" ht="15.75">
      <c r="A7" s="1052"/>
      <c r="B7" s="1053" t="s">
        <v>230</v>
      </c>
      <c r="C7" s="1053"/>
      <c r="D7" s="1054">
        <f>SUM(E7:O7)</f>
        <v>575.25</v>
      </c>
      <c r="E7" s="1054">
        <f>E8+E20+E58</f>
        <v>27.14</v>
      </c>
      <c r="F7" s="1054">
        <f t="shared" ref="F7:O7" si="0">F8+F20+F58</f>
        <v>26.07</v>
      </c>
      <c r="G7" s="1054">
        <f t="shared" si="0"/>
        <v>237.75</v>
      </c>
      <c r="H7" s="1054">
        <f t="shared" si="0"/>
        <v>62.97</v>
      </c>
      <c r="I7" s="1054">
        <f t="shared" si="0"/>
        <v>14.68</v>
      </c>
      <c r="J7" s="1054">
        <f t="shared" si="0"/>
        <v>32.1</v>
      </c>
      <c r="K7" s="1054">
        <f t="shared" si="0"/>
        <v>18.3</v>
      </c>
      <c r="L7" s="1054">
        <f t="shared" si="0"/>
        <v>23.47</v>
      </c>
      <c r="M7" s="1054">
        <f t="shared" si="0"/>
        <v>16.54</v>
      </c>
      <c r="N7" s="1054">
        <f t="shared" si="0"/>
        <v>75.740000000000009</v>
      </c>
      <c r="O7" s="1054">
        <f t="shared" si="0"/>
        <v>40.49</v>
      </c>
    </row>
    <row r="8" spans="1:17" s="1055" customFormat="1" ht="15.75">
      <c r="A8" s="1056">
        <v>1</v>
      </c>
      <c r="B8" s="1057" t="s">
        <v>6</v>
      </c>
      <c r="C8" s="1058" t="s">
        <v>7</v>
      </c>
      <c r="D8" s="1054">
        <f>SUM(E8:O8)</f>
        <v>318.36</v>
      </c>
      <c r="E8" s="1059">
        <f>E9+SUM(E11:E19)</f>
        <v>0</v>
      </c>
      <c r="F8" s="1059">
        <f t="shared" ref="F8:O8" si="1">F9+SUM(F11:F19)</f>
        <v>18.29</v>
      </c>
      <c r="G8" s="1059">
        <f t="shared" si="1"/>
        <v>151</v>
      </c>
      <c r="H8" s="1059">
        <f t="shared" si="1"/>
        <v>27.46</v>
      </c>
      <c r="I8" s="1059">
        <f t="shared" si="1"/>
        <v>10</v>
      </c>
      <c r="J8" s="1059">
        <f t="shared" si="1"/>
        <v>30</v>
      </c>
      <c r="K8" s="1059">
        <f t="shared" si="1"/>
        <v>10</v>
      </c>
      <c r="L8" s="1059">
        <f t="shared" si="1"/>
        <v>21.61</v>
      </c>
      <c r="M8" s="1059">
        <f t="shared" si="1"/>
        <v>10</v>
      </c>
      <c r="N8" s="1059">
        <f t="shared" si="1"/>
        <v>10</v>
      </c>
      <c r="O8" s="1059">
        <f t="shared" si="1"/>
        <v>30</v>
      </c>
    </row>
    <row r="9" spans="1:17" ht="15.75">
      <c r="A9" s="1060" t="s">
        <v>139</v>
      </c>
      <c r="B9" s="1061" t="s">
        <v>8</v>
      </c>
      <c r="C9" s="1062" t="s">
        <v>9</v>
      </c>
      <c r="D9" s="1063">
        <f t="shared" ref="D9:D19" si="2">SUM(E9:O9)</f>
        <v>0</v>
      </c>
      <c r="E9" s="1064"/>
      <c r="F9" s="1064"/>
      <c r="G9" s="1064"/>
      <c r="H9" s="1065"/>
      <c r="I9" s="1064"/>
      <c r="J9" s="1064"/>
      <c r="K9" s="1064"/>
      <c r="L9" s="1066"/>
      <c r="M9" s="1064"/>
      <c r="N9" s="1064"/>
      <c r="O9" s="1064"/>
      <c r="P9" s="1049"/>
    </row>
    <row r="10" spans="1:17" ht="31.5">
      <c r="A10" s="1060"/>
      <c r="B10" s="1067" t="s">
        <v>10</v>
      </c>
      <c r="C10" s="1068" t="s">
        <v>11</v>
      </c>
      <c r="D10" s="1063">
        <f t="shared" si="2"/>
        <v>0</v>
      </c>
      <c r="E10" s="1064"/>
      <c r="F10" s="1064"/>
      <c r="G10" s="1064"/>
      <c r="H10" s="1064"/>
      <c r="I10" s="1064"/>
      <c r="J10" s="1064"/>
      <c r="K10" s="1064"/>
      <c r="L10" s="1066"/>
      <c r="M10" s="1064"/>
      <c r="N10" s="1064"/>
      <c r="O10" s="1064"/>
    </row>
    <row r="11" spans="1:17" ht="31.5">
      <c r="A11" s="1060" t="s">
        <v>140</v>
      </c>
      <c r="B11" s="1061" t="s">
        <v>12</v>
      </c>
      <c r="C11" s="1062" t="s">
        <v>13</v>
      </c>
      <c r="D11" s="1063">
        <f t="shared" si="2"/>
        <v>0</v>
      </c>
      <c r="E11" s="1064"/>
      <c r="F11" s="1064"/>
      <c r="G11" s="1064"/>
      <c r="H11" s="1065"/>
      <c r="I11" s="1066"/>
      <c r="J11" s="1066"/>
      <c r="K11" s="1064"/>
      <c r="L11" s="1066"/>
      <c r="M11" s="1064"/>
      <c r="N11" s="1064"/>
      <c r="O11" s="1064"/>
      <c r="P11" s="1049"/>
      <c r="Q11" s="1069"/>
    </row>
    <row r="12" spans="1:17" ht="15.75">
      <c r="A12" s="1060" t="s">
        <v>141</v>
      </c>
      <c r="B12" s="1061" t="s">
        <v>14</v>
      </c>
      <c r="C12" s="1062" t="s">
        <v>15</v>
      </c>
      <c r="D12" s="1093">
        <f t="shared" si="2"/>
        <v>293</v>
      </c>
      <c r="E12" s="1064"/>
      <c r="F12" s="1064">
        <v>10</v>
      </c>
      <c r="G12" s="1064">
        <v>151</v>
      </c>
      <c r="H12" s="1065">
        <v>11</v>
      </c>
      <c r="I12" s="1064">
        <v>10</v>
      </c>
      <c r="J12" s="1064">
        <v>30</v>
      </c>
      <c r="K12" s="1064">
        <v>10</v>
      </c>
      <c r="L12" s="1066">
        <v>21</v>
      </c>
      <c r="M12" s="1064">
        <v>10</v>
      </c>
      <c r="N12" s="1064">
        <v>10</v>
      </c>
      <c r="O12" s="1064">
        <v>30</v>
      </c>
    </row>
    <row r="13" spans="1:17" ht="15.75">
      <c r="A13" s="1060" t="s">
        <v>142</v>
      </c>
      <c r="B13" s="1061" t="s">
        <v>16</v>
      </c>
      <c r="C13" s="1062" t="s">
        <v>17</v>
      </c>
      <c r="D13" s="1063">
        <f t="shared" si="2"/>
        <v>0</v>
      </c>
      <c r="E13" s="1064"/>
      <c r="F13" s="1064"/>
      <c r="G13" s="1064"/>
      <c r="H13" s="1064"/>
      <c r="I13" s="1064"/>
      <c r="J13" s="1064"/>
      <c r="K13" s="1064"/>
      <c r="L13" s="1066"/>
      <c r="M13" s="1064"/>
      <c r="N13" s="1064"/>
      <c r="O13" s="1064"/>
    </row>
    <row r="14" spans="1:17" ht="15.75">
      <c r="A14" s="1060" t="s">
        <v>143</v>
      </c>
      <c r="B14" s="1061" t="s">
        <v>18</v>
      </c>
      <c r="C14" s="1062" t="s">
        <v>19</v>
      </c>
      <c r="D14" s="1063">
        <f t="shared" si="2"/>
        <v>0</v>
      </c>
      <c r="E14" s="1064"/>
      <c r="F14" s="1064"/>
      <c r="G14" s="1063"/>
      <c r="H14" s="1063"/>
      <c r="I14" s="1066"/>
      <c r="J14" s="1066"/>
      <c r="K14" s="1064"/>
      <c r="L14" s="1066"/>
      <c r="M14" s="1066"/>
      <c r="N14" s="1064"/>
      <c r="O14" s="1066"/>
    </row>
    <row r="15" spans="1:17" ht="15.75">
      <c r="A15" s="1060" t="s">
        <v>144</v>
      </c>
      <c r="B15" s="1061" t="s">
        <v>20</v>
      </c>
      <c r="C15" s="1062" t="s">
        <v>21</v>
      </c>
      <c r="D15" s="1063">
        <f t="shared" si="2"/>
        <v>0</v>
      </c>
      <c r="E15" s="1064"/>
      <c r="F15" s="1064"/>
      <c r="G15" s="1064"/>
      <c r="H15" s="1064"/>
      <c r="I15" s="1064"/>
      <c r="J15" s="1064"/>
      <c r="K15" s="1064"/>
      <c r="L15" s="1066"/>
      <c r="M15" s="1064"/>
      <c r="N15" s="1064"/>
      <c r="O15" s="1064"/>
    </row>
    <row r="16" spans="1:17" ht="31.5">
      <c r="A16" s="1060"/>
      <c r="B16" s="1061" t="s">
        <v>243</v>
      </c>
      <c r="C16" s="1062" t="s">
        <v>247</v>
      </c>
      <c r="D16" s="1063">
        <f t="shared" si="2"/>
        <v>0</v>
      </c>
      <c r="E16" s="1064"/>
      <c r="F16" s="1064"/>
      <c r="G16" s="1064"/>
      <c r="H16" s="1064"/>
      <c r="I16" s="1064"/>
      <c r="J16" s="1064"/>
      <c r="K16" s="1064"/>
      <c r="L16" s="1066"/>
      <c r="M16" s="1070"/>
      <c r="N16" s="1070"/>
      <c r="O16" s="1070"/>
    </row>
    <row r="17" spans="1:16" ht="15.75">
      <c r="A17" s="1060" t="s">
        <v>145</v>
      </c>
      <c r="B17" s="1061" t="s">
        <v>22</v>
      </c>
      <c r="C17" s="1062" t="s">
        <v>23</v>
      </c>
      <c r="D17" s="1063">
        <f t="shared" si="2"/>
        <v>0</v>
      </c>
      <c r="E17" s="1063"/>
      <c r="F17" s="1063"/>
      <c r="G17" s="1063"/>
      <c r="H17" s="1063"/>
      <c r="I17" s="1066"/>
      <c r="J17" s="1066"/>
      <c r="K17" s="1066"/>
      <c r="L17" s="1066"/>
      <c r="M17" s="1066"/>
      <c r="N17" s="1066"/>
      <c r="O17" s="1066"/>
    </row>
    <row r="18" spans="1:16" ht="15.75">
      <c r="A18" s="1060" t="s">
        <v>146</v>
      </c>
      <c r="B18" s="1061" t="s">
        <v>24</v>
      </c>
      <c r="C18" s="1062" t="s">
        <v>25</v>
      </c>
      <c r="D18" s="1063">
        <f t="shared" si="2"/>
        <v>0</v>
      </c>
      <c r="E18" s="1064"/>
      <c r="F18" s="1064"/>
      <c r="G18" s="1064"/>
      <c r="H18" s="1064"/>
      <c r="I18" s="1064"/>
      <c r="J18" s="1064"/>
      <c r="K18" s="1064"/>
      <c r="L18" s="1064"/>
      <c r="M18" s="1064"/>
      <c r="N18" s="1064"/>
      <c r="O18" s="1064"/>
    </row>
    <row r="19" spans="1:16" ht="15.75">
      <c r="A19" s="1060" t="s">
        <v>147</v>
      </c>
      <c r="B19" s="1061" t="s">
        <v>26</v>
      </c>
      <c r="C19" s="1062" t="s">
        <v>27</v>
      </c>
      <c r="D19" s="1093">
        <f t="shared" si="2"/>
        <v>25.36</v>
      </c>
      <c r="E19" s="1063"/>
      <c r="F19" s="1063">
        <v>8.2899999999999991</v>
      </c>
      <c r="G19" s="1063"/>
      <c r="H19" s="1063">
        <v>16.46</v>
      </c>
      <c r="I19" s="1063"/>
      <c r="J19" s="1063"/>
      <c r="K19" s="1063"/>
      <c r="L19" s="1063">
        <v>0.61</v>
      </c>
      <c r="M19" s="1063"/>
      <c r="N19" s="1063"/>
      <c r="O19" s="1063"/>
    </row>
    <row r="20" spans="1:16" s="1055" customFormat="1" ht="15.75">
      <c r="A20" s="1056">
        <v>2</v>
      </c>
      <c r="B20" s="1057" t="s">
        <v>28</v>
      </c>
      <c r="C20" s="1058" t="s">
        <v>29</v>
      </c>
      <c r="D20" s="1054">
        <f t="shared" ref="D20:D52" si="3">SUM(E20:O20)</f>
        <v>256.89000000000004</v>
      </c>
      <c r="E20" s="1059">
        <f>SUM(E21:E29)+SUM(E46:E57)</f>
        <v>27.14</v>
      </c>
      <c r="F20" s="1059">
        <f t="shared" ref="F20:O20" si="4">SUM(F21:F29)+SUM(F46:F57)</f>
        <v>7.78</v>
      </c>
      <c r="G20" s="1059">
        <f t="shared" si="4"/>
        <v>86.75</v>
      </c>
      <c r="H20" s="1059">
        <f t="shared" si="4"/>
        <v>35.51</v>
      </c>
      <c r="I20" s="1059">
        <f t="shared" si="4"/>
        <v>4.68</v>
      </c>
      <c r="J20" s="1059">
        <f t="shared" si="4"/>
        <v>2.1</v>
      </c>
      <c r="K20" s="1059">
        <f t="shared" si="4"/>
        <v>8.3000000000000007</v>
      </c>
      <c r="L20" s="1059">
        <f t="shared" si="4"/>
        <v>1.86</v>
      </c>
      <c r="M20" s="1059">
        <f t="shared" si="4"/>
        <v>6.5399999999999991</v>
      </c>
      <c r="N20" s="1059">
        <f t="shared" si="4"/>
        <v>65.740000000000009</v>
      </c>
      <c r="O20" s="1059">
        <f t="shared" si="4"/>
        <v>10.49</v>
      </c>
    </row>
    <row r="21" spans="1:16" ht="15.75">
      <c r="A21" s="1060" t="s">
        <v>148</v>
      </c>
      <c r="B21" s="1061" t="s">
        <v>30</v>
      </c>
      <c r="C21" s="1062" t="s">
        <v>31</v>
      </c>
      <c r="D21" s="1093">
        <f t="shared" si="3"/>
        <v>5.3999999999999995</v>
      </c>
      <c r="E21" s="1064">
        <v>1.39</v>
      </c>
      <c r="F21" s="1064"/>
      <c r="G21" s="1064">
        <v>2</v>
      </c>
      <c r="H21" s="1064">
        <v>2</v>
      </c>
      <c r="I21" s="1064"/>
      <c r="J21" s="1064"/>
      <c r="K21" s="1064"/>
      <c r="L21" s="1064">
        <v>0.01</v>
      </c>
      <c r="M21" s="1064"/>
      <c r="N21" s="1064"/>
      <c r="O21" s="1064"/>
    </row>
    <row r="22" spans="1:16" ht="15.75">
      <c r="A22" s="1060" t="s">
        <v>138</v>
      </c>
      <c r="B22" s="1061" t="s">
        <v>32</v>
      </c>
      <c r="C22" s="1062" t="s">
        <v>33</v>
      </c>
      <c r="D22" s="1093">
        <f t="shared" si="3"/>
        <v>3.3000000000000003</v>
      </c>
      <c r="E22" s="1064">
        <v>2.2999999999999998</v>
      </c>
      <c r="F22" s="1064">
        <v>0.06</v>
      </c>
      <c r="G22" s="1064">
        <v>0.1</v>
      </c>
      <c r="H22" s="1064">
        <v>0.12</v>
      </c>
      <c r="I22" s="1064">
        <v>0.09</v>
      </c>
      <c r="J22" s="1064">
        <v>0.1</v>
      </c>
      <c r="K22" s="1064">
        <v>0.1</v>
      </c>
      <c r="L22" s="1064">
        <v>0.1</v>
      </c>
      <c r="M22" s="1064">
        <v>0.1</v>
      </c>
      <c r="N22" s="1064">
        <v>0.15</v>
      </c>
      <c r="O22" s="1064">
        <v>0.08</v>
      </c>
    </row>
    <row r="23" spans="1:16" ht="15.75">
      <c r="A23" s="1060" t="s">
        <v>149</v>
      </c>
      <c r="B23" s="1061" t="s">
        <v>34</v>
      </c>
      <c r="C23" s="1062" t="s">
        <v>35</v>
      </c>
      <c r="D23" s="1063">
        <f t="shared" si="3"/>
        <v>0</v>
      </c>
      <c r="E23" s="1063"/>
      <c r="F23" s="1063"/>
      <c r="G23" s="1063"/>
      <c r="H23" s="1063"/>
      <c r="I23" s="1066"/>
      <c r="J23" s="1066"/>
      <c r="K23" s="1066"/>
      <c r="L23" s="1066"/>
      <c r="M23" s="1066"/>
      <c r="N23" s="1066"/>
      <c r="O23" s="1066"/>
    </row>
    <row r="24" spans="1:16" ht="15.75">
      <c r="A24" s="1060" t="s">
        <v>150</v>
      </c>
      <c r="B24" s="1061" t="s">
        <v>36</v>
      </c>
      <c r="C24" s="1062" t="s">
        <v>37</v>
      </c>
      <c r="D24" s="1063">
        <f t="shared" si="3"/>
        <v>1.01</v>
      </c>
      <c r="E24" s="1064"/>
      <c r="F24" s="1064"/>
      <c r="G24" s="1064"/>
      <c r="H24" s="1064"/>
      <c r="I24" s="1064"/>
      <c r="J24" s="1064"/>
      <c r="K24" s="1064">
        <v>1.01</v>
      </c>
      <c r="L24" s="1064"/>
      <c r="M24" s="1064"/>
      <c r="N24" s="1064"/>
      <c r="O24" s="1064"/>
    </row>
    <row r="25" spans="1:16" ht="15" customHeight="1">
      <c r="A25" s="1060" t="s">
        <v>151</v>
      </c>
      <c r="B25" s="1061" t="s">
        <v>38</v>
      </c>
      <c r="C25" s="1062" t="s">
        <v>39</v>
      </c>
      <c r="D25" s="1093">
        <f t="shared" si="3"/>
        <v>0.57000000000000006</v>
      </c>
      <c r="E25" s="1063"/>
      <c r="F25" s="1063">
        <v>7.0000000000000007E-2</v>
      </c>
      <c r="G25" s="1063"/>
      <c r="H25" s="1063">
        <v>0.1</v>
      </c>
      <c r="I25" s="1066">
        <v>0.01</v>
      </c>
      <c r="J25" s="1066"/>
      <c r="K25" s="1066">
        <v>0.04</v>
      </c>
      <c r="L25" s="1066"/>
      <c r="M25" s="1066">
        <v>0.08</v>
      </c>
      <c r="N25" s="1066"/>
      <c r="O25" s="1066">
        <v>0.27</v>
      </c>
    </row>
    <row r="26" spans="1:16" ht="31.5">
      <c r="A26" s="1060" t="s">
        <v>152</v>
      </c>
      <c r="B26" s="1061" t="s">
        <v>40</v>
      </c>
      <c r="C26" s="1062" t="s">
        <v>41</v>
      </c>
      <c r="D26" s="1093">
        <f t="shared" si="3"/>
        <v>4.7300000000000004</v>
      </c>
      <c r="E26" s="1063"/>
      <c r="F26" s="1063"/>
      <c r="G26" s="1063">
        <v>3</v>
      </c>
      <c r="H26" s="1065"/>
      <c r="I26" s="1066">
        <v>1.73</v>
      </c>
      <c r="J26" s="1066"/>
      <c r="K26" s="1066"/>
      <c r="L26" s="1066"/>
      <c r="M26" s="1066"/>
      <c r="N26" s="1066"/>
      <c r="O26" s="1064"/>
    </row>
    <row r="27" spans="1:16" ht="31.5">
      <c r="A27" s="1060" t="s">
        <v>153</v>
      </c>
      <c r="B27" s="1061" t="s">
        <v>42</v>
      </c>
      <c r="C27" s="1062" t="s">
        <v>43</v>
      </c>
      <c r="D27" s="1063">
        <f t="shared" si="3"/>
        <v>0</v>
      </c>
      <c r="E27" s="1064"/>
      <c r="F27" s="1064"/>
      <c r="G27" s="1064"/>
      <c r="H27" s="1064"/>
      <c r="I27" s="1064"/>
      <c r="J27" s="1064"/>
      <c r="K27" s="1064"/>
      <c r="L27" s="1064"/>
      <c r="M27" s="1064"/>
      <c r="N27" s="1064"/>
      <c r="O27" s="1064"/>
    </row>
    <row r="28" spans="1:16" ht="31.5">
      <c r="A28" s="1060" t="s">
        <v>154</v>
      </c>
      <c r="B28" s="1061" t="s">
        <v>179</v>
      </c>
      <c r="C28" s="1062" t="s">
        <v>66</v>
      </c>
      <c r="D28" s="1093">
        <f t="shared" si="3"/>
        <v>2.46</v>
      </c>
      <c r="E28" s="1064"/>
      <c r="F28" s="1064"/>
      <c r="G28" s="1064"/>
      <c r="H28" s="1064">
        <v>2.46</v>
      </c>
      <c r="I28" s="1064"/>
      <c r="J28" s="1064"/>
      <c r="K28" s="1064"/>
      <c r="L28" s="1064"/>
      <c r="M28" s="1064"/>
      <c r="N28" s="1064"/>
      <c r="O28" s="1064"/>
    </row>
    <row r="29" spans="1:16" s="1076" customFormat="1" ht="15" customHeight="1">
      <c r="A29" s="1071" t="s">
        <v>155</v>
      </c>
      <c r="B29" s="1072" t="s">
        <v>180</v>
      </c>
      <c r="C29" s="1073" t="s">
        <v>45</v>
      </c>
      <c r="D29" s="1074">
        <f t="shared" si="3"/>
        <v>163.02000000000001</v>
      </c>
      <c r="E29" s="1074">
        <f>SUM(E30:E45)</f>
        <v>10.97</v>
      </c>
      <c r="F29" s="1074">
        <f t="shared" ref="F29:O29" si="5">SUM(F30:F45)</f>
        <v>1.2</v>
      </c>
      <c r="G29" s="1074">
        <f t="shared" si="5"/>
        <v>33.729999999999997</v>
      </c>
      <c r="H29" s="1074">
        <f t="shared" si="5"/>
        <v>30</v>
      </c>
      <c r="I29" s="1074">
        <f t="shared" si="5"/>
        <v>0.47</v>
      </c>
      <c r="J29" s="1074">
        <f t="shared" si="5"/>
        <v>0</v>
      </c>
      <c r="K29" s="1074">
        <f t="shared" si="5"/>
        <v>6</v>
      </c>
      <c r="L29" s="1074">
        <f t="shared" si="5"/>
        <v>0</v>
      </c>
      <c r="M29" s="1074">
        <f t="shared" si="5"/>
        <v>5.97</v>
      </c>
      <c r="N29" s="1074">
        <f t="shared" si="5"/>
        <v>65.44</v>
      </c>
      <c r="O29" s="1074">
        <f t="shared" si="5"/>
        <v>9.24</v>
      </c>
      <c r="P29" s="1075"/>
    </row>
    <row r="30" spans="1:16" s="1082" customFormat="1" ht="15.75">
      <c r="A30" s="1077"/>
      <c r="B30" s="1078" t="s">
        <v>216</v>
      </c>
      <c r="C30" s="1079" t="s">
        <v>196</v>
      </c>
      <c r="D30" s="1094">
        <f t="shared" si="3"/>
        <v>90.839999999999989</v>
      </c>
      <c r="E30" s="1080">
        <v>10.97</v>
      </c>
      <c r="F30" s="1080"/>
      <c r="G30" s="1080">
        <v>26.33</v>
      </c>
      <c r="H30" s="1080"/>
      <c r="I30" s="1080">
        <v>0.47</v>
      </c>
      <c r="J30" s="1080"/>
      <c r="K30" s="1080"/>
      <c r="L30" s="1080"/>
      <c r="M30" s="1080">
        <v>5.97</v>
      </c>
      <c r="N30" s="1080">
        <v>39</v>
      </c>
      <c r="O30" s="1080">
        <v>8.1</v>
      </c>
      <c r="P30" s="1081"/>
    </row>
    <row r="31" spans="1:16" s="1082" customFormat="1" ht="15.75">
      <c r="A31" s="1077"/>
      <c r="B31" s="1078" t="s">
        <v>217</v>
      </c>
      <c r="C31" s="1079" t="s">
        <v>194</v>
      </c>
      <c r="D31" s="1094">
        <f t="shared" si="3"/>
        <v>43.4</v>
      </c>
      <c r="E31" s="1080"/>
      <c r="F31" s="1080"/>
      <c r="G31" s="1080">
        <v>7.4</v>
      </c>
      <c r="H31" s="1080">
        <v>30</v>
      </c>
      <c r="I31" s="1080"/>
      <c r="J31" s="1080"/>
      <c r="K31" s="1080">
        <v>6</v>
      </c>
      <c r="L31" s="1080"/>
      <c r="M31" s="1080"/>
      <c r="N31" s="1080"/>
      <c r="O31" s="1080"/>
      <c r="P31" s="1081"/>
    </row>
    <row r="32" spans="1:16" s="1082" customFormat="1" ht="30">
      <c r="A32" s="1077"/>
      <c r="B32" s="1078" t="s">
        <v>210</v>
      </c>
      <c r="C32" s="1079" t="s">
        <v>220</v>
      </c>
      <c r="D32" s="1080">
        <f t="shared" si="3"/>
        <v>0</v>
      </c>
      <c r="E32" s="1080"/>
      <c r="F32" s="1080"/>
      <c r="G32" s="1080"/>
      <c r="H32" s="1080"/>
      <c r="I32" s="1080"/>
      <c r="J32" s="1080"/>
      <c r="K32" s="1080"/>
      <c r="L32" s="1080"/>
      <c r="M32" s="1080"/>
      <c r="N32" s="1080"/>
      <c r="O32" s="1080"/>
      <c r="P32" s="1081"/>
    </row>
    <row r="33" spans="1:16" s="1082" customFormat="1" ht="15.75">
      <c r="A33" s="1077"/>
      <c r="B33" s="1078" t="s">
        <v>211</v>
      </c>
      <c r="C33" s="1079" t="s">
        <v>221</v>
      </c>
      <c r="D33" s="1080">
        <f t="shared" si="3"/>
        <v>0</v>
      </c>
      <c r="E33" s="1080"/>
      <c r="F33" s="1080"/>
      <c r="G33" s="1080"/>
      <c r="H33" s="1080"/>
      <c r="I33" s="1080"/>
      <c r="J33" s="1080"/>
      <c r="K33" s="1080"/>
      <c r="L33" s="1080"/>
      <c r="M33" s="1080"/>
      <c r="N33" s="1080"/>
      <c r="O33" s="1080"/>
      <c r="P33" s="1081"/>
    </row>
    <row r="34" spans="1:16" s="1082" customFormat="1" ht="31.5">
      <c r="A34" s="1077"/>
      <c r="B34" s="1078" t="s">
        <v>212</v>
      </c>
      <c r="C34" s="1079" t="s">
        <v>192</v>
      </c>
      <c r="D34" s="1094">
        <f t="shared" si="3"/>
        <v>1.2</v>
      </c>
      <c r="E34" s="1080"/>
      <c r="F34" s="1080">
        <v>1.2</v>
      </c>
      <c r="G34" s="1080"/>
      <c r="H34" s="1080"/>
      <c r="I34" s="1080"/>
      <c r="J34" s="1080"/>
      <c r="K34" s="1080"/>
      <c r="L34" s="1080"/>
      <c r="M34" s="1080"/>
      <c r="N34" s="1080"/>
      <c r="O34" s="1080"/>
      <c r="P34" s="1081"/>
    </row>
    <row r="35" spans="1:16" s="1082" customFormat="1" ht="30">
      <c r="A35" s="1077"/>
      <c r="B35" s="1078" t="s">
        <v>213</v>
      </c>
      <c r="C35" s="1079" t="s">
        <v>195</v>
      </c>
      <c r="D35" s="1080">
        <f t="shared" si="3"/>
        <v>0</v>
      </c>
      <c r="E35" s="1080"/>
      <c r="F35" s="1080"/>
      <c r="G35" s="1080"/>
      <c r="H35" s="1080"/>
      <c r="I35" s="1080"/>
      <c r="J35" s="1080"/>
      <c r="K35" s="1080"/>
      <c r="L35" s="1080"/>
      <c r="M35" s="1080"/>
      <c r="N35" s="1080"/>
      <c r="O35" s="1080"/>
      <c r="P35" s="1081"/>
    </row>
    <row r="36" spans="1:16" s="1082" customFormat="1" ht="15.75">
      <c r="A36" s="1077"/>
      <c r="B36" s="1078" t="s">
        <v>248</v>
      </c>
      <c r="C36" s="1079" t="s">
        <v>193</v>
      </c>
      <c r="D36" s="1094">
        <f t="shared" si="3"/>
        <v>26.44</v>
      </c>
      <c r="E36" s="1080"/>
      <c r="F36" s="1080"/>
      <c r="G36" s="1080"/>
      <c r="H36" s="1080"/>
      <c r="I36" s="1080"/>
      <c r="J36" s="1080"/>
      <c r="K36" s="1080"/>
      <c r="L36" s="1080"/>
      <c r="M36" s="1080"/>
      <c r="N36" s="1080">
        <v>26.44</v>
      </c>
      <c r="O36" s="1080"/>
      <c r="P36" s="1081"/>
    </row>
    <row r="37" spans="1:16" s="1082" customFormat="1" ht="30">
      <c r="A37" s="1077"/>
      <c r="B37" s="1078" t="s">
        <v>218</v>
      </c>
      <c r="C37" s="1079" t="s">
        <v>224</v>
      </c>
      <c r="D37" s="1080">
        <f t="shared" si="3"/>
        <v>0</v>
      </c>
      <c r="E37" s="1080"/>
      <c r="F37" s="1080"/>
      <c r="G37" s="1080"/>
      <c r="H37" s="1080"/>
      <c r="I37" s="1080"/>
      <c r="J37" s="1080"/>
      <c r="K37" s="1080"/>
      <c r="L37" s="1080"/>
      <c r="M37" s="1080"/>
      <c r="N37" s="1080"/>
      <c r="O37" s="1080"/>
      <c r="P37" s="1081"/>
    </row>
    <row r="38" spans="1:16" s="1082" customFormat="1" ht="31.5">
      <c r="A38" s="1077"/>
      <c r="B38" s="1078" t="s">
        <v>244</v>
      </c>
      <c r="C38" s="1079" t="s">
        <v>245</v>
      </c>
      <c r="D38" s="1080">
        <f t="shared" si="3"/>
        <v>0</v>
      </c>
      <c r="E38" s="1080"/>
      <c r="F38" s="1080"/>
      <c r="G38" s="1080"/>
      <c r="H38" s="1080"/>
      <c r="I38" s="1080"/>
      <c r="J38" s="1080"/>
      <c r="K38" s="1080"/>
      <c r="L38" s="1080"/>
      <c r="M38" s="1080"/>
      <c r="N38" s="1080"/>
      <c r="O38" s="1080"/>
      <c r="P38" s="1081"/>
    </row>
    <row r="39" spans="1:16" s="1082" customFormat="1" ht="13.5" customHeight="1">
      <c r="A39" s="1077"/>
      <c r="B39" s="1078" t="s">
        <v>46</v>
      </c>
      <c r="C39" s="1079" t="s">
        <v>47</v>
      </c>
      <c r="D39" s="1080">
        <f t="shared" si="3"/>
        <v>0</v>
      </c>
      <c r="E39" s="1080"/>
      <c r="F39" s="1080"/>
      <c r="G39" s="1080"/>
      <c r="H39" s="1080"/>
      <c r="I39" s="1080"/>
      <c r="J39" s="1080"/>
      <c r="K39" s="1080"/>
      <c r="L39" s="1080"/>
      <c r="M39" s="1080"/>
      <c r="N39" s="1080"/>
      <c r="O39" s="1080"/>
      <c r="P39" s="1081"/>
    </row>
    <row r="40" spans="1:16" s="1086" customFormat="1" ht="19.5" customHeight="1">
      <c r="A40" s="1083"/>
      <c r="B40" s="1067" t="s">
        <v>50</v>
      </c>
      <c r="C40" s="1068" t="s">
        <v>51</v>
      </c>
      <c r="D40" s="1084">
        <f t="shared" si="3"/>
        <v>0</v>
      </c>
      <c r="E40" s="1085"/>
      <c r="F40" s="1085"/>
      <c r="G40" s="1085"/>
      <c r="H40" s="1085"/>
      <c r="I40" s="1085"/>
      <c r="J40" s="1085"/>
      <c r="K40" s="1085"/>
      <c r="L40" s="1085"/>
      <c r="M40" s="1085"/>
      <c r="N40" s="1085"/>
      <c r="O40" s="1085"/>
    </row>
    <row r="41" spans="1:16" s="1086" customFormat="1" ht="15.75">
      <c r="A41" s="1087"/>
      <c r="B41" s="1067" t="s">
        <v>62</v>
      </c>
      <c r="C41" s="1068" t="s">
        <v>63</v>
      </c>
      <c r="D41" s="1084">
        <f t="shared" si="3"/>
        <v>0</v>
      </c>
      <c r="E41" s="1088"/>
      <c r="F41" s="1088"/>
      <c r="G41" s="1088"/>
      <c r="H41" s="1088"/>
      <c r="I41" s="1085"/>
      <c r="J41" s="1085"/>
      <c r="K41" s="1085"/>
      <c r="L41" s="1085"/>
      <c r="M41" s="1085"/>
      <c r="N41" s="1085"/>
      <c r="O41" s="1085"/>
    </row>
    <row r="42" spans="1:16" s="1086" customFormat="1" ht="31.5">
      <c r="A42" s="1087"/>
      <c r="B42" s="1067" t="s">
        <v>246</v>
      </c>
      <c r="C42" s="1068" t="s">
        <v>64</v>
      </c>
      <c r="D42" s="1095">
        <f t="shared" si="3"/>
        <v>1.1399999999999999</v>
      </c>
      <c r="E42" s="1085"/>
      <c r="F42" s="1085"/>
      <c r="G42" s="1085"/>
      <c r="H42" s="1085"/>
      <c r="I42" s="1085"/>
      <c r="J42" s="1085"/>
      <c r="K42" s="1085"/>
      <c r="L42" s="1085"/>
      <c r="M42" s="1085"/>
      <c r="N42" s="1085"/>
      <c r="O42" s="1085">
        <v>1.1399999999999999</v>
      </c>
    </row>
    <row r="43" spans="1:16" s="1086" customFormat="1" ht="31.5">
      <c r="A43" s="1087"/>
      <c r="B43" s="1067" t="s">
        <v>214</v>
      </c>
      <c r="C43" s="1068" t="s">
        <v>222</v>
      </c>
      <c r="D43" s="1084">
        <f t="shared" si="3"/>
        <v>0</v>
      </c>
      <c r="F43" s="1085"/>
      <c r="G43" s="1085"/>
      <c r="H43" s="1085"/>
      <c r="I43" s="1085"/>
      <c r="J43" s="1085"/>
      <c r="K43" s="1085"/>
      <c r="L43" s="1085"/>
      <c r="M43" s="1085"/>
      <c r="N43" s="1085"/>
      <c r="O43" s="1085"/>
    </row>
    <row r="44" spans="1:16" s="1086" customFormat="1" ht="31.5">
      <c r="A44" s="1087"/>
      <c r="B44" s="1067" t="s">
        <v>215</v>
      </c>
      <c r="C44" s="1068" t="s">
        <v>223</v>
      </c>
      <c r="D44" s="1084">
        <f t="shared" si="3"/>
        <v>0</v>
      </c>
      <c r="E44" s="1085"/>
      <c r="F44" s="1085"/>
      <c r="G44" s="1085"/>
      <c r="H44" s="1085"/>
      <c r="I44" s="1085"/>
      <c r="J44" s="1085"/>
      <c r="K44" s="1085"/>
      <c r="L44" s="1085"/>
      <c r="M44" s="1085"/>
      <c r="N44" s="1085"/>
      <c r="O44" s="1085"/>
    </row>
    <row r="45" spans="1:16" s="1086" customFormat="1" ht="15.75">
      <c r="A45" s="1087"/>
      <c r="B45" s="1067" t="s">
        <v>219</v>
      </c>
      <c r="C45" s="1068" t="s">
        <v>204</v>
      </c>
      <c r="D45" s="1084">
        <f t="shared" si="3"/>
        <v>0</v>
      </c>
      <c r="E45" s="1085"/>
      <c r="F45" s="1085"/>
      <c r="G45" s="1085"/>
      <c r="H45" s="1088"/>
      <c r="I45" s="1085"/>
      <c r="J45" s="1085"/>
      <c r="K45" s="1085"/>
      <c r="L45" s="1089"/>
      <c r="M45" s="1085"/>
      <c r="N45" s="1085"/>
      <c r="O45" s="1085"/>
    </row>
    <row r="46" spans="1:16" ht="15.75">
      <c r="A46" s="1060" t="s">
        <v>156</v>
      </c>
      <c r="B46" s="1061" t="s">
        <v>48</v>
      </c>
      <c r="C46" s="1062" t="s">
        <v>49</v>
      </c>
      <c r="D46" s="1063">
        <f t="shared" si="3"/>
        <v>0</v>
      </c>
      <c r="E46" s="1064"/>
      <c r="F46" s="1063"/>
      <c r="G46" s="1063"/>
      <c r="H46" s="1063"/>
      <c r="I46" s="1066"/>
      <c r="J46" s="1066"/>
      <c r="K46" s="1066"/>
      <c r="L46" s="1066"/>
      <c r="M46" s="1066"/>
      <c r="N46" s="1066"/>
      <c r="O46" s="1066"/>
    </row>
    <row r="47" spans="1:16" ht="15.75">
      <c r="A47" s="1060" t="s">
        <v>157</v>
      </c>
      <c r="B47" s="1061" t="s">
        <v>67</v>
      </c>
      <c r="C47" s="1062" t="s">
        <v>68</v>
      </c>
      <c r="D47" s="1063">
        <f t="shared" si="3"/>
        <v>0</v>
      </c>
      <c r="E47" s="1063"/>
      <c r="F47" s="1063"/>
      <c r="G47" s="1063"/>
      <c r="H47" s="1063"/>
      <c r="I47" s="1066"/>
      <c r="J47" s="1066"/>
      <c r="K47" s="1066"/>
      <c r="L47" s="1066"/>
      <c r="M47" s="1066"/>
      <c r="N47" s="1066"/>
      <c r="O47" s="1066"/>
    </row>
    <row r="48" spans="1:16" ht="31.5">
      <c r="A48" s="1060" t="s">
        <v>158</v>
      </c>
      <c r="B48" s="1061" t="s">
        <v>69</v>
      </c>
      <c r="C48" s="1062" t="s">
        <v>70</v>
      </c>
      <c r="D48" s="1093">
        <f t="shared" si="3"/>
        <v>2.77</v>
      </c>
      <c r="E48" s="1064"/>
      <c r="F48" s="1064"/>
      <c r="G48" s="1064">
        <v>2.77</v>
      </c>
      <c r="I48" s="1064"/>
      <c r="J48" s="1064"/>
      <c r="K48" s="1064"/>
      <c r="L48" s="1064"/>
      <c r="M48" s="1064"/>
      <c r="N48" s="1064"/>
      <c r="O48" s="1064"/>
    </row>
    <row r="49" spans="1:15" ht="13.5" customHeight="1">
      <c r="A49" s="1060" t="s">
        <v>159</v>
      </c>
      <c r="B49" s="1061" t="s">
        <v>52</v>
      </c>
      <c r="C49" s="1062" t="s">
        <v>53</v>
      </c>
      <c r="D49" s="1093">
        <f t="shared" si="3"/>
        <v>60.389999999999993</v>
      </c>
      <c r="E49" s="1064"/>
      <c r="F49" s="1064">
        <v>5.69</v>
      </c>
      <c r="G49" s="1064">
        <v>45.15</v>
      </c>
      <c r="H49" s="1065">
        <v>0.83</v>
      </c>
      <c r="I49" s="1064">
        <v>2.38</v>
      </c>
      <c r="J49" s="1064">
        <v>2</v>
      </c>
      <c r="K49" s="1065">
        <v>1.1499999999999999</v>
      </c>
      <c r="L49" s="1070">
        <v>1.75</v>
      </c>
      <c r="M49" s="1064">
        <v>0.39</v>
      </c>
      <c r="N49" s="1064">
        <v>0.15</v>
      </c>
      <c r="O49" s="1064">
        <v>0.9</v>
      </c>
    </row>
    <row r="50" spans="1:15" ht="15.75">
      <c r="A50" s="1090" t="s">
        <v>160</v>
      </c>
      <c r="B50" s="1061" t="s">
        <v>54</v>
      </c>
      <c r="C50" s="1062" t="s">
        <v>55</v>
      </c>
      <c r="D50" s="1093">
        <f t="shared" si="3"/>
        <v>12.48</v>
      </c>
      <c r="E50" s="1064">
        <v>12.48</v>
      </c>
      <c r="F50" s="1064"/>
      <c r="G50" s="1064"/>
      <c r="H50" s="1064"/>
      <c r="I50" s="1064"/>
      <c r="J50" s="1064"/>
      <c r="K50" s="1064"/>
      <c r="L50" s="1070"/>
      <c r="M50" s="1064"/>
      <c r="N50" s="1064"/>
      <c r="O50" s="1064"/>
    </row>
    <row r="51" spans="1:15" ht="15.75">
      <c r="A51" s="1060" t="s">
        <v>161</v>
      </c>
      <c r="B51" s="1061" t="s">
        <v>56</v>
      </c>
      <c r="C51" s="1062" t="s">
        <v>57</v>
      </c>
      <c r="D51" s="1063">
        <f t="shared" si="3"/>
        <v>0</v>
      </c>
      <c r="E51" s="1063"/>
      <c r="F51" s="1063"/>
      <c r="G51" s="1063"/>
      <c r="H51" s="1063"/>
      <c r="I51" s="1066"/>
      <c r="J51" s="1066"/>
      <c r="K51" s="1066"/>
      <c r="L51" s="1066"/>
      <c r="M51" s="1066"/>
      <c r="N51" s="1066"/>
      <c r="O51" s="1066"/>
    </row>
    <row r="52" spans="1:15" ht="31.5">
      <c r="A52" s="1060" t="s">
        <v>162</v>
      </c>
      <c r="B52" s="1061" t="s">
        <v>58</v>
      </c>
      <c r="C52" s="1062" t="s">
        <v>59</v>
      </c>
      <c r="D52" s="1063">
        <f t="shared" si="3"/>
        <v>0</v>
      </c>
      <c r="E52" s="1063"/>
      <c r="F52" s="1063"/>
      <c r="G52" s="1063"/>
      <c r="H52" s="1063"/>
      <c r="I52" s="1066"/>
      <c r="J52" s="1066"/>
      <c r="K52" s="1066"/>
      <c r="L52" s="1066"/>
      <c r="M52" s="1066"/>
      <c r="N52" s="1066"/>
      <c r="O52" s="1066"/>
    </row>
    <row r="53" spans="1:15" ht="31.5">
      <c r="A53" s="1060" t="s">
        <v>163</v>
      </c>
      <c r="B53" s="1061" t="s">
        <v>60</v>
      </c>
      <c r="C53" s="1062" t="s">
        <v>61</v>
      </c>
      <c r="D53" s="1063"/>
      <c r="E53" s="1063"/>
      <c r="F53" s="1063"/>
      <c r="G53" s="1063"/>
      <c r="H53" s="1063"/>
      <c r="I53" s="1066"/>
      <c r="J53" s="1066"/>
      <c r="K53" s="1066"/>
      <c r="L53" s="1066"/>
      <c r="M53" s="1066"/>
      <c r="N53" s="1066"/>
      <c r="O53" s="1065"/>
    </row>
    <row r="54" spans="1:15" ht="15.75">
      <c r="A54" s="1060" t="s">
        <v>164</v>
      </c>
      <c r="B54" s="1061" t="s">
        <v>71</v>
      </c>
      <c r="C54" s="1062" t="s">
        <v>72</v>
      </c>
      <c r="D54" s="1063"/>
      <c r="E54" s="1064"/>
      <c r="F54" s="1064"/>
      <c r="G54" s="1064"/>
      <c r="H54" s="1091"/>
      <c r="I54" s="1092"/>
      <c r="J54" s="1092"/>
      <c r="K54" s="1064"/>
      <c r="L54" s="1070"/>
      <c r="M54" s="1066"/>
      <c r="N54" s="1092"/>
      <c r="O54" s="1064"/>
    </row>
    <row r="55" spans="1:15" ht="15.75">
      <c r="A55" s="1060" t="s">
        <v>165</v>
      </c>
      <c r="B55" s="1061" t="s">
        <v>181</v>
      </c>
      <c r="C55" s="1062" t="s">
        <v>74</v>
      </c>
      <c r="D55" s="1063"/>
      <c r="E55" s="1064"/>
      <c r="F55" s="1065"/>
      <c r="G55" s="1064"/>
      <c r="H55" s="1065"/>
      <c r="I55" s="1064"/>
      <c r="J55" s="1064"/>
      <c r="K55" s="1065"/>
      <c r="L55" s="1064"/>
      <c r="M55" s="1064"/>
      <c r="N55" s="1064"/>
      <c r="O55" s="1066"/>
    </row>
    <row r="56" spans="1:15" ht="31.5">
      <c r="A56" s="1060" t="s">
        <v>166</v>
      </c>
      <c r="B56" s="1061" t="s">
        <v>75</v>
      </c>
      <c r="C56" s="1062" t="s">
        <v>76</v>
      </c>
      <c r="D56" s="1063">
        <f>SUM(E56:O56)</f>
        <v>0</v>
      </c>
      <c r="E56" s="1064"/>
      <c r="F56" s="1064"/>
      <c r="G56" s="1064"/>
      <c r="H56" s="1064"/>
      <c r="I56" s="1064"/>
      <c r="J56" s="1064"/>
      <c r="K56" s="1064"/>
      <c r="L56" s="1064"/>
      <c r="M56" s="1064"/>
      <c r="N56" s="1064"/>
      <c r="O56" s="1064"/>
    </row>
    <row r="57" spans="1:15" ht="15.75">
      <c r="A57" s="1060" t="s">
        <v>167</v>
      </c>
      <c r="B57" s="1061" t="s">
        <v>77</v>
      </c>
      <c r="C57" s="1062" t="s">
        <v>78</v>
      </c>
      <c r="D57" s="1093">
        <f>SUM(E57:O57)</f>
        <v>0.76</v>
      </c>
      <c r="E57" s="1064"/>
      <c r="F57" s="1064">
        <v>0.76</v>
      </c>
      <c r="G57" s="1064"/>
      <c r="H57" s="1064"/>
      <c r="I57" s="1064"/>
      <c r="J57" s="1064"/>
      <c r="K57" s="1064"/>
      <c r="L57" s="1064"/>
      <c r="M57" s="1064"/>
      <c r="N57" s="1064"/>
      <c r="O57" s="1064"/>
    </row>
    <row r="58" spans="1:15" ht="15.75">
      <c r="A58" s="1056">
        <v>3</v>
      </c>
      <c r="B58" s="1057" t="s">
        <v>79</v>
      </c>
      <c r="C58" s="1058" t="s">
        <v>80</v>
      </c>
      <c r="D58" s="1063"/>
      <c r="E58" s="1063"/>
      <c r="F58" s="1063"/>
      <c r="G58" s="1063"/>
      <c r="H58" s="1063"/>
      <c r="I58" s="1066"/>
      <c r="J58" s="1066"/>
      <c r="K58" s="1066"/>
      <c r="L58" s="1066"/>
      <c r="M58" s="1066"/>
      <c r="N58" s="1066"/>
      <c r="O58" s="1066"/>
    </row>
    <row r="64" spans="1:15">
      <c r="D64" s="1049"/>
    </row>
  </sheetData>
  <mergeCells count="7">
    <mergeCell ref="A2:O2"/>
    <mergeCell ref="A3:O3"/>
    <mergeCell ref="A4:A6"/>
    <mergeCell ref="B4:B6"/>
    <mergeCell ref="C4:C6"/>
    <mergeCell ref="D4:D6"/>
    <mergeCell ref="E4:O5"/>
  </mergeCells>
  <pageMargins left="0.56000000000000005" right="0.43" top="0.26" bottom="0.19"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Q64"/>
  <sheetViews>
    <sheetView topLeftCell="C6" workbookViewId="0">
      <pane ySplit="1" topLeftCell="A7" activePane="bottomLeft" state="frozen"/>
      <selection activeCell="C6" sqref="C6"/>
      <selection pane="bottomLeft" activeCell="H12" sqref="H12"/>
    </sheetView>
  </sheetViews>
  <sheetFormatPr defaultRowHeight="12.75"/>
  <cols>
    <col min="1" max="1" width="5.5703125" customWidth="1"/>
    <col min="2" max="2" width="36.140625" customWidth="1"/>
    <col min="3" max="3" width="9.28515625" style="263" bestFit="1" customWidth="1"/>
    <col min="4" max="4" width="10.5703125" customWidth="1"/>
    <col min="5" max="5" width="11.42578125" bestFit="1" customWidth="1"/>
    <col min="6" max="6" width="14" customWidth="1"/>
    <col min="7" max="7" width="11.42578125" bestFit="1" customWidth="1"/>
    <col min="8" max="9" width="11.42578125" style="135" bestFit="1" customWidth="1"/>
    <col min="10" max="10" width="12.5703125" style="135" bestFit="1" customWidth="1"/>
    <col min="11" max="12" width="11.42578125" style="135" bestFit="1" customWidth="1"/>
    <col min="13" max="13" width="12.5703125" style="135" bestFit="1" customWidth="1"/>
    <col min="14" max="14" width="11.5703125" style="135" bestFit="1" customWidth="1"/>
    <col min="15" max="15" width="12.5703125" style="135" bestFit="1" customWidth="1"/>
  </cols>
  <sheetData>
    <row r="2" spans="1:17" ht="15.75">
      <c r="A2" s="1251" t="s">
        <v>363</v>
      </c>
      <c r="B2" s="1251"/>
      <c r="C2" s="1251"/>
      <c r="D2" s="1251"/>
      <c r="E2" s="1251"/>
      <c r="F2" s="1251"/>
      <c r="G2" s="1251"/>
      <c r="H2" s="1251"/>
      <c r="I2" s="1251"/>
      <c r="J2" s="1251"/>
      <c r="K2" s="1251"/>
      <c r="L2" s="1251"/>
      <c r="M2" s="1251"/>
      <c r="N2" s="1251"/>
      <c r="O2" s="1251"/>
    </row>
    <row r="3" spans="1:17">
      <c r="A3" s="1252" t="s">
        <v>0</v>
      </c>
      <c r="B3" s="1252"/>
      <c r="C3" s="1252"/>
      <c r="D3" s="1252"/>
      <c r="E3" s="1252"/>
      <c r="F3" s="1252"/>
      <c r="G3" s="1252"/>
      <c r="H3" s="1252"/>
      <c r="I3" s="1252"/>
      <c r="J3" s="1252"/>
      <c r="K3" s="1252"/>
      <c r="L3" s="1252"/>
      <c r="M3" s="1252"/>
      <c r="N3" s="1252"/>
      <c r="O3" s="1252"/>
    </row>
    <row r="4" spans="1:17">
      <c r="A4" s="1253" t="s">
        <v>1</v>
      </c>
      <c r="B4" s="1253" t="s">
        <v>234</v>
      </c>
      <c r="C4" s="1254" t="s">
        <v>3</v>
      </c>
      <c r="D4" s="1253" t="s">
        <v>4</v>
      </c>
      <c r="E4" s="1253" t="s">
        <v>5</v>
      </c>
      <c r="F4" s="1253"/>
      <c r="G4" s="1253"/>
      <c r="H4" s="1253"/>
      <c r="I4" s="1253"/>
      <c r="J4" s="1253"/>
      <c r="K4" s="1253"/>
      <c r="L4" s="1253"/>
      <c r="M4" s="1253"/>
      <c r="N4" s="1253"/>
      <c r="O4" s="1253"/>
    </row>
    <row r="5" spans="1:17">
      <c r="A5" s="1253"/>
      <c r="B5" s="1253"/>
      <c r="C5" s="1254"/>
      <c r="D5" s="1253"/>
      <c r="E5" s="1253"/>
      <c r="F5" s="1253"/>
      <c r="G5" s="1253"/>
      <c r="H5" s="1253"/>
      <c r="I5" s="1253"/>
      <c r="J5" s="1253"/>
      <c r="K5" s="1253"/>
      <c r="L5" s="1253"/>
      <c r="M5" s="1253"/>
      <c r="N5" s="1253"/>
      <c r="O5" s="1253"/>
    </row>
    <row r="6" spans="1:17" ht="28.5">
      <c r="A6" s="1253"/>
      <c r="B6" s="1253"/>
      <c r="C6" s="1254"/>
      <c r="D6" s="1253"/>
      <c r="E6" s="13" t="s">
        <v>111</v>
      </c>
      <c r="F6" s="14" t="s">
        <v>190</v>
      </c>
      <c r="G6" s="14" t="s">
        <v>169</v>
      </c>
      <c r="H6" s="14" t="s">
        <v>170</v>
      </c>
      <c r="I6" s="14" t="s">
        <v>172</v>
      </c>
      <c r="J6" s="14" t="s">
        <v>198</v>
      </c>
      <c r="K6" s="14" t="s">
        <v>197</v>
      </c>
      <c r="L6" s="14" t="s">
        <v>191</v>
      </c>
      <c r="M6" s="14" t="s">
        <v>189</v>
      </c>
      <c r="N6" s="14" t="s">
        <v>174</v>
      </c>
      <c r="O6" s="14" t="s">
        <v>173</v>
      </c>
    </row>
    <row r="7" spans="1:17" s="10" customFormat="1" ht="15.75">
      <c r="A7" s="157"/>
      <c r="B7" s="156" t="s">
        <v>230</v>
      </c>
      <c r="C7" s="258"/>
      <c r="D7" s="35">
        <f>D8+D20+D58</f>
        <v>575.25000000000011</v>
      </c>
      <c r="E7" s="35">
        <f>E8+E20+E58</f>
        <v>27.140000000000004</v>
      </c>
      <c r="F7" s="35">
        <f t="shared" ref="F7:O7" si="0">F8+F20+F58</f>
        <v>26.069999999999997</v>
      </c>
      <c r="G7" s="35">
        <f t="shared" si="0"/>
        <v>237.75000000000003</v>
      </c>
      <c r="H7" s="35">
        <f t="shared" si="0"/>
        <v>62.97</v>
      </c>
      <c r="I7" s="35">
        <f t="shared" si="0"/>
        <v>14.679999999999998</v>
      </c>
      <c r="J7" s="35">
        <f t="shared" si="0"/>
        <v>32.1</v>
      </c>
      <c r="K7" s="35">
        <f t="shared" si="0"/>
        <v>18.3</v>
      </c>
      <c r="L7" s="35">
        <f t="shared" si="0"/>
        <v>23.470000000000002</v>
      </c>
      <c r="M7" s="35">
        <f t="shared" si="0"/>
        <v>16.54</v>
      </c>
      <c r="N7" s="35">
        <f t="shared" si="0"/>
        <v>75.740000000000009</v>
      </c>
      <c r="O7" s="35">
        <f t="shared" si="0"/>
        <v>40.489999999999995</v>
      </c>
    </row>
    <row r="8" spans="1:17" s="10" customFormat="1" ht="15.75">
      <c r="A8" s="145">
        <v>1</v>
      </c>
      <c r="B8" s="144" t="s">
        <v>6</v>
      </c>
      <c r="C8" s="259" t="s">
        <v>7</v>
      </c>
      <c r="D8" s="35">
        <f>SUM(E8:O8)</f>
        <v>551.16000000000008</v>
      </c>
      <c r="E8" s="163">
        <f>E9+SUM(E11:E19)</f>
        <v>22.660000000000004</v>
      </c>
      <c r="F8" s="163">
        <f t="shared" ref="F8:O8" si="1">F9+SUM(F11:F19)</f>
        <v>26.009999999999998</v>
      </c>
      <c r="G8" s="163">
        <f t="shared" si="1"/>
        <v>234.81</v>
      </c>
      <c r="H8" s="163">
        <f t="shared" si="1"/>
        <v>61.97</v>
      </c>
      <c r="I8" s="163">
        <f t="shared" si="1"/>
        <v>13.54</v>
      </c>
      <c r="J8" s="163">
        <f t="shared" si="1"/>
        <v>32.1</v>
      </c>
      <c r="K8" s="163">
        <f t="shared" si="1"/>
        <v>18.05</v>
      </c>
      <c r="L8" s="163">
        <f t="shared" si="1"/>
        <v>22.46</v>
      </c>
      <c r="M8" s="163">
        <f t="shared" si="1"/>
        <v>16.38</v>
      </c>
      <c r="N8" s="163">
        <f t="shared" si="1"/>
        <v>75.59</v>
      </c>
      <c r="O8" s="163">
        <f t="shared" si="1"/>
        <v>27.59</v>
      </c>
    </row>
    <row r="9" spans="1:17" ht="15.75">
      <c r="A9" s="149" t="s">
        <v>139</v>
      </c>
      <c r="B9" s="148" t="s">
        <v>8</v>
      </c>
      <c r="C9" s="260" t="s">
        <v>9</v>
      </c>
      <c r="D9" s="1096">
        <f t="shared" ref="D9:D39" si="2">SUM(E9:O9)</f>
        <v>2.8</v>
      </c>
      <c r="E9" s="143">
        <v>0.8</v>
      </c>
      <c r="F9" s="143"/>
      <c r="G9" s="143"/>
      <c r="H9" s="162">
        <v>0.5</v>
      </c>
      <c r="I9" s="143"/>
      <c r="J9" s="143"/>
      <c r="K9" s="143"/>
      <c r="L9" s="146"/>
      <c r="M9" s="143"/>
      <c r="N9" s="143">
        <v>1.5</v>
      </c>
      <c r="O9" s="143"/>
    </row>
    <row r="10" spans="1:17" ht="31.5">
      <c r="A10" s="149"/>
      <c r="B10" s="155" t="s">
        <v>10</v>
      </c>
      <c r="C10" s="261" t="s">
        <v>11</v>
      </c>
      <c r="D10" s="147">
        <f t="shared" si="2"/>
        <v>1.3</v>
      </c>
      <c r="E10" s="143">
        <v>0.8</v>
      </c>
      <c r="F10" s="143"/>
      <c r="G10" s="143"/>
      <c r="H10" s="162">
        <v>0.5</v>
      </c>
      <c r="I10" s="143"/>
      <c r="J10" s="143"/>
      <c r="K10" s="143"/>
      <c r="L10" s="146"/>
      <c r="M10" s="143"/>
      <c r="N10" s="143"/>
      <c r="O10" s="143"/>
    </row>
    <row r="11" spans="1:17" ht="15.75">
      <c r="A11" s="149" t="s">
        <v>140</v>
      </c>
      <c r="B11" s="148" t="s">
        <v>12</v>
      </c>
      <c r="C11" s="260" t="s">
        <v>13</v>
      </c>
      <c r="D11" s="147">
        <f t="shared" si="2"/>
        <v>379.88</v>
      </c>
      <c r="E11" s="143">
        <v>10.01</v>
      </c>
      <c r="F11" s="143">
        <v>15.62</v>
      </c>
      <c r="G11" s="143">
        <v>192.66</v>
      </c>
      <c r="H11" s="162">
        <v>27.78</v>
      </c>
      <c r="I11" s="146">
        <v>12.42</v>
      </c>
      <c r="J11" s="146">
        <v>31.01</v>
      </c>
      <c r="K11" s="143">
        <v>14.77</v>
      </c>
      <c r="L11" s="146">
        <v>21.41</v>
      </c>
      <c r="M11" s="143">
        <v>12.56</v>
      </c>
      <c r="N11" s="143">
        <v>19.27</v>
      </c>
      <c r="O11" s="143">
        <v>22.37</v>
      </c>
      <c r="P11" s="142"/>
    </row>
    <row r="12" spans="1:17" ht="15.75">
      <c r="A12" s="149" t="s">
        <v>141</v>
      </c>
      <c r="B12" s="148" t="s">
        <v>14</v>
      </c>
      <c r="C12" s="260" t="s">
        <v>15</v>
      </c>
      <c r="D12" s="147">
        <f t="shared" si="2"/>
        <v>111.44999999999999</v>
      </c>
      <c r="E12" s="49">
        <v>9.66</v>
      </c>
      <c r="F12" s="143">
        <v>10.39</v>
      </c>
      <c r="G12" s="143">
        <v>41.91</v>
      </c>
      <c r="H12" s="162">
        <v>33.69</v>
      </c>
      <c r="I12" s="146">
        <v>1.1200000000000001</v>
      </c>
      <c r="J12" s="146">
        <v>1.0900000000000001</v>
      </c>
      <c r="K12" s="143">
        <v>3.28</v>
      </c>
      <c r="L12" s="146">
        <v>1.05</v>
      </c>
      <c r="M12" s="143">
        <v>1.96</v>
      </c>
      <c r="N12" s="143">
        <v>2.08</v>
      </c>
      <c r="O12" s="143">
        <v>5.22</v>
      </c>
      <c r="Q12" s="142"/>
    </row>
    <row r="13" spans="1:17" ht="15.75">
      <c r="A13" s="149" t="s">
        <v>142</v>
      </c>
      <c r="B13" s="148" t="s">
        <v>16</v>
      </c>
      <c r="C13" s="260" t="s">
        <v>17</v>
      </c>
      <c r="D13" s="147">
        <f t="shared" si="2"/>
        <v>35.74</v>
      </c>
      <c r="E13" s="143"/>
      <c r="F13" s="143"/>
      <c r="G13" s="143"/>
      <c r="H13" s="143"/>
      <c r="I13" s="143"/>
      <c r="J13" s="143"/>
      <c r="K13" s="143"/>
      <c r="L13" s="146"/>
      <c r="M13" s="143"/>
      <c r="N13" s="143">
        <f>36.24-0.5</f>
        <v>35.74</v>
      </c>
      <c r="O13" s="143"/>
    </row>
    <row r="14" spans="1:17" ht="15.75">
      <c r="A14" s="149" t="s">
        <v>143</v>
      </c>
      <c r="B14" s="148" t="s">
        <v>18</v>
      </c>
      <c r="C14" s="260" t="s">
        <v>19</v>
      </c>
      <c r="D14" s="147">
        <f t="shared" si="2"/>
        <v>0</v>
      </c>
      <c r="E14" s="143"/>
      <c r="F14" s="143"/>
      <c r="G14" s="147"/>
      <c r="H14" s="147"/>
      <c r="I14" s="146"/>
      <c r="J14" s="146"/>
      <c r="K14" s="143"/>
      <c r="L14" s="146"/>
      <c r="M14" s="146"/>
      <c r="N14" s="143"/>
      <c r="O14" s="146"/>
      <c r="P14" s="142"/>
    </row>
    <row r="15" spans="1:17" ht="15.75">
      <c r="A15" s="149" t="s">
        <v>144</v>
      </c>
      <c r="B15" s="148" t="s">
        <v>20</v>
      </c>
      <c r="C15" s="260" t="s">
        <v>21</v>
      </c>
      <c r="D15" s="147">
        <f t="shared" si="2"/>
        <v>20.86</v>
      </c>
      <c r="E15" s="143">
        <v>2</v>
      </c>
      <c r="F15" s="143"/>
      <c r="G15" s="143"/>
      <c r="H15" s="143"/>
      <c r="I15" s="143"/>
      <c r="J15" s="143"/>
      <c r="K15" s="143"/>
      <c r="L15" s="146"/>
      <c r="M15" s="143">
        <v>1.86</v>
      </c>
      <c r="N15" s="143">
        <v>17</v>
      </c>
      <c r="O15" s="143"/>
    </row>
    <row r="16" spans="1:17" s="110" customFormat="1" ht="31.5">
      <c r="A16" s="264"/>
      <c r="B16" s="155" t="s">
        <v>243</v>
      </c>
      <c r="C16" s="261" t="s">
        <v>247</v>
      </c>
      <c r="D16" s="265">
        <f t="shared" si="2"/>
        <v>0</v>
      </c>
      <c r="E16" s="266"/>
      <c r="F16" s="266"/>
      <c r="G16" s="266"/>
      <c r="H16" s="266"/>
      <c r="I16" s="266"/>
      <c r="J16" s="266"/>
      <c r="K16" s="266"/>
      <c r="L16" s="267"/>
      <c r="M16" s="268"/>
      <c r="N16" s="266"/>
      <c r="O16" s="266"/>
      <c r="P16" s="269"/>
    </row>
    <row r="17" spans="1:17" ht="15.75">
      <c r="A17" s="149" t="s">
        <v>145</v>
      </c>
      <c r="B17" s="148" t="s">
        <v>22</v>
      </c>
      <c r="C17" s="260" t="s">
        <v>23</v>
      </c>
      <c r="D17" s="147">
        <f t="shared" si="2"/>
        <v>0.43</v>
      </c>
      <c r="E17" s="147">
        <v>0.19</v>
      </c>
      <c r="F17" s="147"/>
      <c r="G17" s="147">
        <v>0.24</v>
      </c>
      <c r="H17" s="147"/>
      <c r="I17" s="146"/>
      <c r="J17" s="146"/>
      <c r="K17" s="146"/>
      <c r="L17" s="146"/>
      <c r="M17" s="146"/>
      <c r="N17" s="143"/>
      <c r="O17" s="143"/>
    </row>
    <row r="18" spans="1:17" ht="15.75">
      <c r="A18" s="149" t="s">
        <v>146</v>
      </c>
      <c r="B18" s="148" t="s">
        <v>24</v>
      </c>
      <c r="C18" s="260" t="s">
        <v>25</v>
      </c>
      <c r="D18" s="147">
        <f t="shared" si="2"/>
        <v>0</v>
      </c>
      <c r="E18" s="143"/>
      <c r="F18" s="143"/>
      <c r="G18" s="143"/>
      <c r="H18" s="143"/>
      <c r="I18" s="143"/>
      <c r="J18" s="143"/>
      <c r="K18" s="143"/>
      <c r="L18" s="143"/>
      <c r="M18" s="143"/>
      <c r="N18" s="143"/>
      <c r="O18" s="143"/>
      <c r="P18" s="142"/>
      <c r="Q18" s="142"/>
    </row>
    <row r="19" spans="1:17" s="135" customFormat="1" ht="15.75">
      <c r="A19" s="149" t="s">
        <v>147</v>
      </c>
      <c r="B19" s="148" t="s">
        <v>26</v>
      </c>
      <c r="C19" s="260" t="s">
        <v>27</v>
      </c>
      <c r="D19" s="147">
        <f t="shared" si="2"/>
        <v>0</v>
      </c>
      <c r="E19" s="147"/>
      <c r="F19" s="147"/>
      <c r="G19" s="147"/>
      <c r="H19" s="147"/>
      <c r="I19" s="147"/>
      <c r="J19" s="147"/>
      <c r="K19" s="147"/>
      <c r="L19" s="147"/>
      <c r="M19" s="147"/>
      <c r="N19" s="147"/>
      <c r="O19" s="147"/>
    </row>
    <row r="20" spans="1:17" s="10" customFormat="1" ht="15.75">
      <c r="A20" s="145">
        <v>2</v>
      </c>
      <c r="B20" s="144" t="s">
        <v>28</v>
      </c>
      <c r="C20" s="259" t="s">
        <v>29</v>
      </c>
      <c r="D20" s="35">
        <f t="shared" si="2"/>
        <v>7.7600000000000007</v>
      </c>
      <c r="E20" s="158">
        <f>SUM(E21:E29)+SUM(E46:E57)</f>
        <v>4.4800000000000004</v>
      </c>
      <c r="F20" s="158">
        <f t="shared" ref="F20:O20" si="3">SUM(F21:F29)+SUM(F46:F57)</f>
        <v>0.06</v>
      </c>
      <c r="G20" s="158">
        <f t="shared" si="3"/>
        <v>1.83</v>
      </c>
      <c r="H20" s="158">
        <f t="shared" si="3"/>
        <v>0</v>
      </c>
      <c r="I20" s="158">
        <f t="shared" si="3"/>
        <v>0.11</v>
      </c>
      <c r="J20" s="158">
        <f t="shared" si="3"/>
        <v>0</v>
      </c>
      <c r="K20" s="158">
        <f t="shared" si="3"/>
        <v>0.06</v>
      </c>
      <c r="L20" s="158">
        <f t="shared" si="3"/>
        <v>0.01</v>
      </c>
      <c r="M20" s="158">
        <f t="shared" si="3"/>
        <v>0.16</v>
      </c>
      <c r="N20" s="158">
        <f t="shared" si="3"/>
        <v>0.15</v>
      </c>
      <c r="O20" s="158">
        <f t="shared" si="3"/>
        <v>0.9</v>
      </c>
    </row>
    <row r="21" spans="1:17" ht="15.75">
      <c r="A21" s="149" t="s">
        <v>148</v>
      </c>
      <c r="B21" s="148" t="s">
        <v>30</v>
      </c>
      <c r="C21" s="260" t="s">
        <v>31</v>
      </c>
      <c r="D21" s="147">
        <f t="shared" si="2"/>
        <v>0</v>
      </c>
      <c r="E21" s="143"/>
      <c r="F21" s="143"/>
      <c r="G21" s="143"/>
      <c r="H21" s="143"/>
      <c r="I21" s="143"/>
      <c r="J21" s="143"/>
      <c r="K21" s="143"/>
      <c r="L21" s="143"/>
      <c r="M21" s="143"/>
      <c r="N21" s="143"/>
      <c r="O21" s="143"/>
    </row>
    <row r="22" spans="1:17" ht="15.75">
      <c r="A22" s="149" t="s">
        <v>138</v>
      </c>
      <c r="B22" s="148" t="s">
        <v>32</v>
      </c>
      <c r="C22" s="260" t="s">
        <v>33</v>
      </c>
      <c r="D22" s="147">
        <f t="shared" si="2"/>
        <v>0</v>
      </c>
      <c r="E22" s="143"/>
      <c r="F22" s="143"/>
      <c r="G22" s="143"/>
      <c r="H22" s="143"/>
      <c r="I22" s="143"/>
      <c r="J22" s="143"/>
      <c r="K22" s="143"/>
      <c r="L22" s="143"/>
      <c r="M22" s="143"/>
      <c r="N22" s="143"/>
      <c r="O22" s="143"/>
    </row>
    <row r="23" spans="1:17" ht="15.75">
      <c r="A23" s="149" t="s">
        <v>149</v>
      </c>
      <c r="B23" s="148" t="s">
        <v>34</v>
      </c>
      <c r="C23" s="260" t="s">
        <v>35</v>
      </c>
      <c r="D23" s="147">
        <f t="shared" si="2"/>
        <v>0</v>
      </c>
      <c r="E23" s="147"/>
      <c r="F23" s="147"/>
      <c r="G23" s="147"/>
      <c r="H23" s="147"/>
      <c r="I23" s="146"/>
      <c r="J23" s="146"/>
      <c r="K23" s="146"/>
      <c r="L23" s="146"/>
      <c r="M23" s="146"/>
      <c r="N23" s="146"/>
      <c r="O23" s="146"/>
    </row>
    <row r="24" spans="1:17" ht="15.75">
      <c r="A24" s="149" t="s">
        <v>150</v>
      </c>
      <c r="B24" s="148" t="s">
        <v>36</v>
      </c>
      <c r="C24" s="260" t="s">
        <v>37</v>
      </c>
      <c r="D24" s="147">
        <f t="shared" si="2"/>
        <v>0</v>
      </c>
      <c r="E24" s="143"/>
      <c r="F24" s="143"/>
      <c r="G24" s="143"/>
      <c r="H24" s="143"/>
      <c r="I24" s="143"/>
      <c r="J24" s="143"/>
      <c r="K24" s="143"/>
      <c r="L24" s="143"/>
      <c r="M24" s="143"/>
      <c r="N24" s="143"/>
      <c r="O24" s="143"/>
    </row>
    <row r="25" spans="1:17" ht="15.75">
      <c r="A25" s="149" t="s">
        <v>151</v>
      </c>
      <c r="B25" s="148" t="s">
        <v>38</v>
      </c>
      <c r="C25" s="260" t="s">
        <v>39</v>
      </c>
      <c r="D25" s="147">
        <f t="shared" si="2"/>
        <v>0</v>
      </c>
      <c r="E25" s="147"/>
      <c r="F25" s="147"/>
      <c r="G25" s="147"/>
      <c r="H25" s="147"/>
      <c r="I25" s="146"/>
      <c r="J25" s="146"/>
      <c r="K25" s="146"/>
      <c r="L25" s="146"/>
      <c r="M25" s="146"/>
      <c r="N25" s="146"/>
      <c r="O25" s="146"/>
    </row>
    <row r="26" spans="1:17" ht="15.75">
      <c r="A26" s="149" t="s">
        <v>152</v>
      </c>
      <c r="B26" s="148" t="s">
        <v>40</v>
      </c>
      <c r="C26" s="260" t="s">
        <v>41</v>
      </c>
      <c r="D26" s="147">
        <f t="shared" si="2"/>
        <v>0</v>
      </c>
      <c r="E26" s="147"/>
      <c r="F26" s="147"/>
      <c r="G26" s="147"/>
      <c r="H26" s="162"/>
      <c r="I26" s="146"/>
      <c r="J26" s="146"/>
      <c r="K26" s="146"/>
      <c r="L26" s="146"/>
      <c r="M26" s="146"/>
      <c r="N26" s="146"/>
      <c r="O26" s="143"/>
    </row>
    <row r="27" spans="1:17" ht="15.75">
      <c r="A27" s="149" t="s">
        <v>153</v>
      </c>
      <c r="B27" s="148" t="s">
        <v>42</v>
      </c>
      <c r="C27" s="260" t="s">
        <v>43</v>
      </c>
      <c r="D27" s="147">
        <f t="shared" si="2"/>
        <v>0</v>
      </c>
      <c r="E27" s="143"/>
      <c r="F27" s="143"/>
      <c r="G27" s="143"/>
      <c r="H27" s="143"/>
      <c r="I27" s="143"/>
      <c r="J27" s="143"/>
      <c r="K27" s="143"/>
      <c r="L27" s="143"/>
      <c r="M27" s="143"/>
      <c r="N27" s="143"/>
      <c r="O27" s="143"/>
    </row>
    <row r="28" spans="1:17" ht="15.75">
      <c r="A28" s="149" t="s">
        <v>154</v>
      </c>
      <c r="B28" s="148" t="s">
        <v>179</v>
      </c>
      <c r="C28" s="260" t="s">
        <v>66</v>
      </c>
      <c r="D28" s="147">
        <f t="shared" si="2"/>
        <v>0</v>
      </c>
      <c r="E28" s="143"/>
      <c r="F28" s="143"/>
      <c r="G28" s="143"/>
      <c r="H28" s="143"/>
      <c r="I28" s="143"/>
      <c r="J28" s="143"/>
      <c r="K28" s="143"/>
      <c r="L28" s="143"/>
      <c r="M28" s="143"/>
      <c r="N28" s="143"/>
      <c r="O28" s="143"/>
    </row>
    <row r="29" spans="1:17" s="274" customFormat="1" ht="15.75">
      <c r="A29" s="270" t="s">
        <v>155</v>
      </c>
      <c r="B29" s="271" t="s">
        <v>180</v>
      </c>
      <c r="C29" s="272" t="s">
        <v>45</v>
      </c>
      <c r="D29" s="206">
        <f t="shared" si="2"/>
        <v>2.1800000000000002</v>
      </c>
      <c r="E29" s="81">
        <f>SUM(E30:E45)</f>
        <v>0.5</v>
      </c>
      <c r="F29" s="81">
        <f t="shared" ref="F29:O29" si="4">SUM(F30:F45)</f>
        <v>0.06</v>
      </c>
      <c r="G29" s="81">
        <f t="shared" si="4"/>
        <v>1.47</v>
      </c>
      <c r="H29" s="81">
        <f t="shared" si="4"/>
        <v>0</v>
      </c>
      <c r="I29" s="81">
        <f t="shared" si="4"/>
        <v>0.09</v>
      </c>
      <c r="J29" s="81">
        <f t="shared" si="4"/>
        <v>0</v>
      </c>
      <c r="K29" s="81">
        <f t="shared" si="4"/>
        <v>0</v>
      </c>
      <c r="L29" s="81">
        <f t="shared" si="4"/>
        <v>0</v>
      </c>
      <c r="M29" s="81">
        <f t="shared" si="4"/>
        <v>0.06</v>
      </c>
      <c r="N29" s="81">
        <f t="shared" si="4"/>
        <v>0</v>
      </c>
      <c r="O29" s="81">
        <f t="shared" si="4"/>
        <v>0</v>
      </c>
      <c r="P29" s="273"/>
    </row>
    <row r="30" spans="1:17" s="151" customFormat="1" ht="15.75">
      <c r="A30" s="154"/>
      <c r="B30" s="153" t="s">
        <v>216</v>
      </c>
      <c r="C30" s="262" t="s">
        <v>196</v>
      </c>
      <c r="D30" s="101">
        <f t="shared" si="2"/>
        <v>0</v>
      </c>
      <c r="E30" s="101"/>
      <c r="F30" s="101"/>
      <c r="G30" s="101"/>
      <c r="H30" s="101"/>
      <c r="I30" s="101"/>
      <c r="J30" s="101"/>
      <c r="K30" s="101"/>
      <c r="L30" s="101"/>
      <c r="M30" s="101"/>
      <c r="N30" s="101"/>
      <c r="O30" s="101"/>
      <c r="P30" s="152"/>
    </row>
    <row r="31" spans="1:17" s="151" customFormat="1" ht="15.75">
      <c r="A31" s="154"/>
      <c r="B31" s="153" t="s">
        <v>217</v>
      </c>
      <c r="C31" s="262" t="s">
        <v>194</v>
      </c>
      <c r="D31" s="101">
        <f t="shared" si="2"/>
        <v>0</v>
      </c>
      <c r="E31" s="101"/>
      <c r="F31" s="101"/>
      <c r="G31" s="101"/>
      <c r="H31" s="101"/>
      <c r="I31" s="101"/>
      <c r="J31" s="101"/>
      <c r="K31" s="101"/>
      <c r="L31" s="101"/>
      <c r="M31" s="101"/>
      <c r="N31" s="101"/>
      <c r="O31" s="101"/>
      <c r="P31" s="152"/>
    </row>
    <row r="32" spans="1:17" s="151" customFormat="1" ht="15.75">
      <c r="A32" s="154"/>
      <c r="B32" s="153" t="s">
        <v>210</v>
      </c>
      <c r="C32" s="262" t="s">
        <v>220</v>
      </c>
      <c r="D32" s="101">
        <f t="shared" si="2"/>
        <v>0</v>
      </c>
      <c r="E32" s="101"/>
      <c r="F32" s="101"/>
      <c r="G32" s="101"/>
      <c r="H32" s="101"/>
      <c r="I32" s="101"/>
      <c r="J32" s="101"/>
      <c r="K32" s="101"/>
      <c r="L32" s="101"/>
      <c r="M32" s="101"/>
      <c r="N32" s="101"/>
      <c r="O32" s="101"/>
      <c r="P32" s="152"/>
    </row>
    <row r="33" spans="1:17" s="151" customFormat="1" ht="15.75">
      <c r="A33" s="154"/>
      <c r="B33" s="153" t="s">
        <v>211</v>
      </c>
      <c r="C33" s="262" t="s">
        <v>221</v>
      </c>
      <c r="D33" s="101">
        <f t="shared" si="2"/>
        <v>0</v>
      </c>
      <c r="E33" s="101"/>
      <c r="F33" s="101"/>
      <c r="G33" s="101"/>
      <c r="H33" s="101"/>
      <c r="I33" s="101"/>
      <c r="J33" s="101"/>
      <c r="K33" s="101"/>
      <c r="L33" s="101"/>
      <c r="M33" s="101"/>
      <c r="N33" s="101"/>
      <c r="O33" s="101"/>
      <c r="P33" s="152"/>
    </row>
    <row r="34" spans="1:17" s="151" customFormat="1" ht="15.75">
      <c r="A34" s="154"/>
      <c r="B34" s="153" t="s">
        <v>212</v>
      </c>
      <c r="C34" s="262" t="s">
        <v>192</v>
      </c>
      <c r="D34" s="1098">
        <f t="shared" si="2"/>
        <v>0.56000000000000005</v>
      </c>
      <c r="E34" s="101">
        <v>0.5</v>
      </c>
      <c r="F34" s="101">
        <v>0.06</v>
      </c>
      <c r="G34" s="101"/>
      <c r="H34" s="101"/>
      <c r="I34" s="101"/>
      <c r="J34" s="101"/>
      <c r="K34" s="101"/>
      <c r="L34" s="101"/>
      <c r="M34" s="101"/>
      <c r="N34" s="101"/>
      <c r="O34" s="101"/>
      <c r="P34" s="152"/>
    </row>
    <row r="35" spans="1:17" s="151" customFormat="1" ht="15.75">
      <c r="A35" s="154"/>
      <c r="B35" s="153" t="s">
        <v>213</v>
      </c>
      <c r="C35" s="262" t="s">
        <v>195</v>
      </c>
      <c r="D35" s="101">
        <f t="shared" si="2"/>
        <v>0</v>
      </c>
      <c r="E35" s="101"/>
      <c r="F35" s="101"/>
      <c r="G35" s="101"/>
      <c r="H35" s="101"/>
      <c r="I35" s="101"/>
      <c r="J35" s="101"/>
      <c r="K35" s="101"/>
      <c r="L35" s="101"/>
      <c r="M35" s="101"/>
      <c r="N35" s="101"/>
      <c r="O35" s="101"/>
      <c r="P35" s="152"/>
    </row>
    <row r="36" spans="1:17" s="151" customFormat="1" ht="15.75">
      <c r="A36" s="154"/>
      <c r="B36" s="153" t="s">
        <v>248</v>
      </c>
      <c r="C36" s="262" t="s">
        <v>193</v>
      </c>
      <c r="D36" s="1098">
        <f t="shared" si="2"/>
        <v>0.06</v>
      </c>
      <c r="E36" s="101"/>
      <c r="F36" s="101"/>
      <c r="G36" s="101"/>
      <c r="H36" s="101"/>
      <c r="I36" s="101"/>
      <c r="J36" s="101"/>
      <c r="K36" s="101"/>
      <c r="L36" s="101"/>
      <c r="M36" s="101">
        <v>0.06</v>
      </c>
      <c r="N36" s="101"/>
      <c r="O36" s="101"/>
      <c r="P36" s="152"/>
    </row>
    <row r="37" spans="1:17" s="151" customFormat="1" ht="15.75">
      <c r="A37" s="154"/>
      <c r="B37" s="153" t="s">
        <v>218</v>
      </c>
      <c r="C37" s="262" t="s">
        <v>224</v>
      </c>
      <c r="D37" s="101">
        <f t="shared" si="2"/>
        <v>0</v>
      </c>
      <c r="E37" s="101"/>
      <c r="F37" s="101"/>
      <c r="G37" s="101"/>
      <c r="H37" s="101"/>
      <c r="I37" s="101"/>
      <c r="J37" s="101"/>
      <c r="K37" s="101"/>
      <c r="L37" s="101"/>
      <c r="M37" s="101"/>
      <c r="N37" s="101"/>
      <c r="O37" s="101"/>
      <c r="P37" s="152"/>
    </row>
    <row r="38" spans="1:17" s="151" customFormat="1" ht="15.75">
      <c r="A38" s="154"/>
      <c r="B38" s="153" t="s">
        <v>244</v>
      </c>
      <c r="C38" s="262" t="s">
        <v>245</v>
      </c>
      <c r="D38" s="101">
        <f t="shared" si="2"/>
        <v>0</v>
      </c>
      <c r="E38" s="101"/>
      <c r="F38" s="101"/>
      <c r="G38" s="101"/>
      <c r="H38" s="101"/>
      <c r="I38" s="101"/>
      <c r="J38" s="101"/>
      <c r="K38" s="101"/>
      <c r="L38" s="101"/>
      <c r="M38" s="101"/>
      <c r="N38" s="101"/>
      <c r="O38" s="101"/>
      <c r="P38" s="152"/>
    </row>
    <row r="39" spans="1:17" s="151" customFormat="1" ht="15.75">
      <c r="A39" s="154"/>
      <c r="B39" s="153" t="s">
        <v>46</v>
      </c>
      <c r="C39" s="262" t="s">
        <v>47</v>
      </c>
      <c r="D39" s="101">
        <f t="shared" si="2"/>
        <v>0</v>
      </c>
      <c r="E39" s="101"/>
      <c r="F39" s="101"/>
      <c r="G39" s="101"/>
      <c r="H39" s="101"/>
      <c r="I39" s="101"/>
      <c r="J39" s="101"/>
      <c r="K39" s="101"/>
      <c r="L39" s="101"/>
      <c r="M39" s="101"/>
      <c r="N39" s="101"/>
      <c r="O39" s="101"/>
      <c r="P39" s="152"/>
    </row>
    <row r="40" spans="1:17" s="110" customFormat="1" ht="19.5" customHeight="1">
      <c r="A40" s="275"/>
      <c r="B40" s="155" t="s">
        <v>50</v>
      </c>
      <c r="C40" s="261" t="s">
        <v>51</v>
      </c>
      <c r="D40" s="265">
        <f t="shared" ref="D40:D58" si="5">SUM(E40:O40)</f>
        <v>0</v>
      </c>
      <c r="E40" s="266"/>
      <c r="F40" s="266"/>
      <c r="G40" s="266"/>
      <c r="H40" s="266"/>
      <c r="I40" s="266"/>
      <c r="J40" s="266"/>
      <c r="K40" s="266"/>
      <c r="L40" s="266"/>
      <c r="M40" s="266"/>
      <c r="N40" s="266"/>
      <c r="O40" s="266"/>
    </row>
    <row r="41" spans="1:17" s="110" customFormat="1" ht="15.75">
      <c r="A41" s="264"/>
      <c r="B41" s="155" t="s">
        <v>62</v>
      </c>
      <c r="C41" s="261" t="s">
        <v>63</v>
      </c>
      <c r="D41" s="265">
        <f t="shared" si="5"/>
        <v>0</v>
      </c>
      <c r="E41" s="276"/>
      <c r="F41" s="276"/>
      <c r="G41" s="276"/>
      <c r="H41" s="276"/>
      <c r="I41" s="266"/>
      <c r="J41" s="266"/>
      <c r="K41" s="266"/>
      <c r="L41" s="266"/>
      <c r="M41" s="266"/>
      <c r="N41" s="266"/>
      <c r="O41" s="266"/>
    </row>
    <row r="42" spans="1:17" s="110" customFormat="1" ht="31.5">
      <c r="A42" s="264"/>
      <c r="B42" s="155" t="s">
        <v>246</v>
      </c>
      <c r="C42" s="261" t="s">
        <v>64</v>
      </c>
      <c r="D42" s="1097">
        <f t="shared" si="5"/>
        <v>1.47</v>
      </c>
      <c r="E42" s="266"/>
      <c r="F42" s="266"/>
      <c r="G42" s="266">
        <v>1.47</v>
      </c>
      <c r="H42" s="266"/>
      <c r="I42" s="266"/>
      <c r="J42" s="266"/>
      <c r="K42" s="266"/>
      <c r="L42" s="266"/>
      <c r="M42" s="266"/>
      <c r="N42" s="266"/>
      <c r="O42" s="266"/>
      <c r="Q42" s="337"/>
    </row>
    <row r="43" spans="1:17" s="110" customFormat="1" ht="31.5">
      <c r="A43" s="264"/>
      <c r="B43" s="155" t="s">
        <v>214</v>
      </c>
      <c r="C43" s="261" t="s">
        <v>222</v>
      </c>
      <c r="D43" s="265">
        <f t="shared" si="5"/>
        <v>0</v>
      </c>
      <c r="E43" s="266"/>
      <c r="F43" s="266"/>
      <c r="G43" s="266"/>
      <c r="H43" s="266"/>
      <c r="I43" s="266"/>
      <c r="J43" s="266"/>
      <c r="K43" s="266"/>
      <c r="L43" s="266"/>
      <c r="M43" s="266"/>
      <c r="N43" s="266"/>
      <c r="O43" s="266"/>
    </row>
    <row r="44" spans="1:17" s="110" customFormat="1" ht="15.75">
      <c r="A44" s="264"/>
      <c r="B44" s="155" t="s">
        <v>215</v>
      </c>
      <c r="C44" s="261" t="s">
        <v>223</v>
      </c>
      <c r="D44" s="265">
        <f t="shared" si="5"/>
        <v>0</v>
      </c>
      <c r="E44" s="266"/>
      <c r="F44" s="266"/>
      <c r="G44" s="266"/>
      <c r="H44" s="266"/>
      <c r="I44" s="266"/>
      <c r="J44" s="266"/>
      <c r="K44" s="266"/>
      <c r="L44" s="266"/>
      <c r="M44" s="266"/>
      <c r="N44" s="266"/>
      <c r="O44" s="266"/>
    </row>
    <row r="45" spans="1:17" s="110" customFormat="1" ht="15.75">
      <c r="A45" s="264"/>
      <c r="B45" s="155" t="s">
        <v>219</v>
      </c>
      <c r="C45" s="261" t="s">
        <v>204</v>
      </c>
      <c r="D45" s="1097">
        <f t="shared" si="5"/>
        <v>0.09</v>
      </c>
      <c r="E45" s="266"/>
      <c r="F45" s="266"/>
      <c r="G45" s="266"/>
      <c r="H45" s="277"/>
      <c r="I45" s="266">
        <v>0.09</v>
      </c>
      <c r="J45" s="266"/>
      <c r="K45" s="266"/>
      <c r="L45" s="268"/>
      <c r="M45" s="266"/>
      <c r="N45" s="266"/>
      <c r="O45" s="266"/>
    </row>
    <row r="46" spans="1:17" ht="15.75">
      <c r="A46" s="149" t="s">
        <v>156</v>
      </c>
      <c r="B46" s="148" t="s">
        <v>48</v>
      </c>
      <c r="C46" s="260" t="s">
        <v>49</v>
      </c>
      <c r="D46" s="147">
        <f t="shared" si="5"/>
        <v>0</v>
      </c>
      <c r="E46" s="147"/>
      <c r="F46" s="147"/>
      <c r="G46" s="147"/>
      <c r="H46" s="147"/>
      <c r="I46" s="146"/>
      <c r="J46" s="146"/>
      <c r="K46" s="146"/>
      <c r="L46" s="146"/>
      <c r="M46" s="146"/>
      <c r="N46" s="146"/>
      <c r="O46" s="146"/>
    </row>
    <row r="47" spans="1:17" ht="15.75">
      <c r="A47" s="149" t="s">
        <v>157</v>
      </c>
      <c r="B47" s="148" t="s">
        <v>67</v>
      </c>
      <c r="C47" s="260" t="s">
        <v>68</v>
      </c>
      <c r="D47" s="147">
        <f t="shared" si="5"/>
        <v>0</v>
      </c>
      <c r="E47" s="147"/>
      <c r="F47" s="147"/>
      <c r="G47" s="147"/>
      <c r="H47" s="147"/>
      <c r="I47" s="146"/>
      <c r="J47" s="146"/>
      <c r="K47" s="146"/>
      <c r="L47" s="146"/>
      <c r="M47" s="146"/>
      <c r="N47" s="146"/>
      <c r="O47" s="146"/>
    </row>
    <row r="48" spans="1:17" ht="15.75">
      <c r="A48" s="149" t="s">
        <v>158</v>
      </c>
      <c r="B48" s="148" t="s">
        <v>69</v>
      </c>
      <c r="C48" s="260" t="s">
        <v>70</v>
      </c>
      <c r="D48" s="1096">
        <f t="shared" si="5"/>
        <v>0.03</v>
      </c>
      <c r="E48" s="143">
        <v>0.03</v>
      </c>
      <c r="F48" s="143"/>
      <c r="G48" s="143"/>
      <c r="H48" s="143"/>
      <c r="I48" s="143"/>
      <c r="J48" s="143"/>
      <c r="K48" s="143"/>
      <c r="L48" s="143"/>
      <c r="M48" s="143"/>
      <c r="N48" s="143"/>
      <c r="O48" s="143"/>
    </row>
    <row r="49" spans="1:15" ht="15.75">
      <c r="A49" s="149" t="s">
        <v>159</v>
      </c>
      <c r="B49" s="148" t="s">
        <v>52</v>
      </c>
      <c r="C49" s="260" t="s">
        <v>53</v>
      </c>
      <c r="D49" s="147">
        <f t="shared" si="5"/>
        <v>1.24</v>
      </c>
      <c r="E49" s="143"/>
      <c r="F49" s="143"/>
      <c r="G49" s="143">
        <v>0.26</v>
      </c>
      <c r="H49" s="162"/>
      <c r="I49" s="143">
        <v>0.02</v>
      </c>
      <c r="J49" s="143"/>
      <c r="K49" s="159">
        <v>0.06</v>
      </c>
      <c r="L49" s="161"/>
      <c r="M49" s="143"/>
      <c r="N49" s="143"/>
      <c r="O49" s="143">
        <v>0.9</v>
      </c>
    </row>
    <row r="50" spans="1:15" ht="15.75">
      <c r="A50" s="150" t="s">
        <v>160</v>
      </c>
      <c r="B50" s="148" t="s">
        <v>54</v>
      </c>
      <c r="C50" s="260" t="s">
        <v>55</v>
      </c>
      <c r="D50" s="1096">
        <f t="shared" si="5"/>
        <v>2.33</v>
      </c>
      <c r="E50" s="143">
        <v>2.33</v>
      </c>
      <c r="F50" s="143"/>
      <c r="G50" s="143"/>
      <c r="H50" s="143"/>
      <c r="I50" s="143"/>
      <c r="J50" s="143"/>
      <c r="K50" s="143"/>
      <c r="L50" s="161"/>
      <c r="M50" s="143"/>
      <c r="N50" s="143"/>
      <c r="O50" s="143"/>
    </row>
    <row r="51" spans="1:15" ht="15.75">
      <c r="A51" s="149" t="s">
        <v>161</v>
      </c>
      <c r="B51" s="148" t="s">
        <v>56</v>
      </c>
      <c r="C51" s="260" t="s">
        <v>57</v>
      </c>
      <c r="D51" s="1096">
        <f t="shared" si="5"/>
        <v>1.9800000000000002</v>
      </c>
      <c r="E51" s="147">
        <v>1.62</v>
      </c>
      <c r="F51" s="147"/>
      <c r="G51" s="147">
        <v>0.1</v>
      </c>
      <c r="H51" s="147"/>
      <c r="I51" s="146"/>
      <c r="J51" s="146"/>
      <c r="K51" s="146"/>
      <c r="L51" s="146">
        <v>0.01</v>
      </c>
      <c r="M51" s="146">
        <v>0.1</v>
      </c>
      <c r="N51" s="146">
        <v>0.15</v>
      </c>
      <c r="O51" s="146"/>
    </row>
    <row r="52" spans="1:15" ht="31.5">
      <c r="A52" s="149" t="s">
        <v>162</v>
      </c>
      <c r="B52" s="148" t="s">
        <v>58</v>
      </c>
      <c r="C52" s="260" t="s">
        <v>59</v>
      </c>
      <c r="D52" s="147">
        <f t="shared" si="5"/>
        <v>0</v>
      </c>
      <c r="E52" s="147"/>
      <c r="F52" s="147"/>
      <c r="G52" s="147"/>
      <c r="H52" s="147"/>
      <c r="I52" s="146"/>
      <c r="J52" s="146"/>
      <c r="K52" s="146"/>
      <c r="L52" s="146"/>
      <c r="M52" s="146"/>
      <c r="N52" s="146"/>
      <c r="O52" s="146"/>
    </row>
    <row r="53" spans="1:15" ht="15.75">
      <c r="A53" s="149" t="s">
        <v>163</v>
      </c>
      <c r="B53" s="148" t="s">
        <v>60</v>
      </c>
      <c r="C53" s="260" t="s">
        <v>61</v>
      </c>
      <c r="D53" s="147">
        <f t="shared" si="5"/>
        <v>0</v>
      </c>
      <c r="E53" s="147"/>
      <c r="F53" s="147"/>
      <c r="G53" s="147"/>
      <c r="H53" s="147"/>
      <c r="I53" s="146"/>
      <c r="J53" s="146"/>
      <c r="K53" s="146"/>
      <c r="L53" s="146"/>
      <c r="M53" s="146"/>
      <c r="N53" s="146"/>
      <c r="O53" s="159"/>
    </row>
    <row r="54" spans="1:15" ht="15.75">
      <c r="A54" s="149" t="s">
        <v>164</v>
      </c>
      <c r="B54" s="148" t="s">
        <v>71</v>
      </c>
      <c r="C54" s="260" t="s">
        <v>72</v>
      </c>
      <c r="D54" s="278">
        <f t="shared" si="5"/>
        <v>0</v>
      </c>
      <c r="E54" s="143"/>
      <c r="F54" s="143"/>
      <c r="G54" s="143"/>
      <c r="H54" s="143"/>
      <c r="I54" s="143"/>
      <c r="J54" s="143"/>
      <c r="K54" s="143"/>
      <c r="L54" s="161"/>
      <c r="M54" s="146"/>
      <c r="N54" s="160"/>
      <c r="O54" s="160"/>
    </row>
    <row r="55" spans="1:15" ht="15.75">
      <c r="A55" s="149" t="s">
        <v>165</v>
      </c>
      <c r="B55" s="148" t="s">
        <v>181</v>
      </c>
      <c r="C55" s="260" t="s">
        <v>74</v>
      </c>
      <c r="D55" s="278">
        <f t="shared" si="5"/>
        <v>0</v>
      </c>
      <c r="E55" s="143"/>
      <c r="F55" s="159"/>
      <c r="G55" s="143"/>
      <c r="H55" s="159"/>
      <c r="I55" s="143"/>
      <c r="J55" s="143"/>
      <c r="K55" s="159"/>
      <c r="L55" s="143"/>
      <c r="M55" s="143"/>
      <c r="N55" s="143"/>
      <c r="O55" s="146"/>
    </row>
    <row r="56" spans="1:15" ht="15.75">
      <c r="A56" s="149" t="s">
        <v>166</v>
      </c>
      <c r="B56" s="148" t="s">
        <v>75</v>
      </c>
      <c r="C56" s="260" t="s">
        <v>76</v>
      </c>
      <c r="D56" s="278">
        <f t="shared" si="5"/>
        <v>0</v>
      </c>
      <c r="E56" s="143"/>
      <c r="F56" s="143"/>
      <c r="G56" s="143"/>
      <c r="H56" s="143"/>
      <c r="I56" s="143"/>
      <c r="J56" s="143"/>
      <c r="K56" s="143"/>
      <c r="L56" s="143"/>
      <c r="M56" s="143"/>
      <c r="N56" s="143"/>
      <c r="O56" s="143"/>
    </row>
    <row r="57" spans="1:15" s="135" customFormat="1" ht="15.75">
      <c r="A57" s="149" t="s">
        <v>167</v>
      </c>
      <c r="B57" s="148" t="s">
        <v>77</v>
      </c>
      <c r="C57" s="260" t="s">
        <v>78</v>
      </c>
      <c r="D57" s="278">
        <f t="shared" si="5"/>
        <v>0</v>
      </c>
      <c r="E57" s="143"/>
      <c r="F57" s="143"/>
      <c r="G57" s="143"/>
      <c r="H57" s="143"/>
      <c r="I57" s="143"/>
      <c r="J57" s="143"/>
      <c r="K57" s="143"/>
      <c r="L57" s="143"/>
      <c r="M57" s="143"/>
      <c r="N57" s="143"/>
      <c r="O57" s="143"/>
    </row>
    <row r="58" spans="1:15" s="10" customFormat="1" ht="15.75">
      <c r="A58" s="145">
        <v>3</v>
      </c>
      <c r="B58" s="144" t="s">
        <v>79</v>
      </c>
      <c r="C58" s="259" t="s">
        <v>80</v>
      </c>
      <c r="D58" s="35">
        <f t="shared" si="5"/>
        <v>16.329999999999998</v>
      </c>
      <c r="E58" s="35"/>
      <c r="F58" s="35"/>
      <c r="G58" s="35">
        <v>1.1100000000000001</v>
      </c>
      <c r="H58" s="35">
        <v>1</v>
      </c>
      <c r="I58" s="317">
        <v>1.03</v>
      </c>
      <c r="J58" s="317"/>
      <c r="K58" s="317">
        <v>0.19</v>
      </c>
      <c r="L58" s="317">
        <v>1</v>
      </c>
      <c r="M58" s="317"/>
      <c r="N58" s="317"/>
      <c r="O58" s="317">
        <v>12</v>
      </c>
    </row>
    <row r="64" spans="1:15">
      <c r="E64" s="142">
        <f>'CÔng Tăng'!E7-'Cộng giảm'!E7</f>
        <v>0</v>
      </c>
      <c r="F64" s="142">
        <f>'CÔng Tăng'!F7-'Cộng giảm'!F7</f>
        <v>0</v>
      </c>
      <c r="G64" s="142">
        <f>'CÔng Tăng'!G7-'Cộng giảm'!G7</f>
        <v>0</v>
      </c>
      <c r="H64" s="142">
        <f>'CÔng Tăng'!H7-'Cộng giảm'!H7</f>
        <v>0</v>
      </c>
      <c r="I64" s="142">
        <f>'CÔng Tăng'!I7-'Cộng giảm'!I7</f>
        <v>0</v>
      </c>
      <c r="J64" s="142">
        <f>'CÔng Tăng'!J7-'Cộng giảm'!J7</f>
        <v>0</v>
      </c>
      <c r="K64" s="142">
        <f>'CÔng Tăng'!K7-'Cộng giảm'!K7</f>
        <v>0</v>
      </c>
      <c r="L64" s="142">
        <f>'CÔng Tăng'!L7-'Cộng giảm'!L7</f>
        <v>0</v>
      </c>
      <c r="M64" s="142">
        <f>'CÔng Tăng'!M7-'Cộng giảm'!M7</f>
        <v>0</v>
      </c>
      <c r="N64" s="142">
        <f>'CÔng Tăng'!N7-'Cộng giảm'!N7</f>
        <v>0</v>
      </c>
      <c r="O64" s="142">
        <f>'CÔng Tăng'!O7-'Cộng giảm'!O7</f>
        <v>0</v>
      </c>
    </row>
  </sheetData>
  <mergeCells count="7">
    <mergeCell ref="A2:O2"/>
    <mergeCell ref="A3:O3"/>
    <mergeCell ref="A4:A6"/>
    <mergeCell ref="B4:B6"/>
    <mergeCell ref="C4:C6"/>
    <mergeCell ref="D4:D6"/>
    <mergeCell ref="E4:O5"/>
  </mergeCells>
  <pageMargins left="0.7" right="0.7" top="0.2" bottom="0.32"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209"/>
  <sheetViews>
    <sheetView topLeftCell="A40" workbookViewId="0">
      <selection activeCell="A32" sqref="A32:F53"/>
    </sheetView>
  </sheetViews>
  <sheetFormatPr defaultRowHeight="16.5"/>
  <cols>
    <col min="1" max="1" width="29.7109375" style="956" customWidth="1"/>
    <col min="2" max="2" width="20.28515625" style="962" customWidth="1"/>
    <col min="3" max="3" width="10.28515625" style="956" customWidth="1"/>
    <col min="4" max="4" width="10.42578125" style="990" customWidth="1"/>
    <col min="5" max="5" width="10.85546875" style="956" customWidth="1"/>
    <col min="6" max="6" width="13.85546875" style="956" customWidth="1"/>
    <col min="7" max="7" width="9.140625" style="956"/>
    <col min="8" max="8" width="11.28515625" style="956" bestFit="1" customWidth="1"/>
    <col min="9" max="9" width="14.28515625" style="956" bestFit="1" customWidth="1"/>
    <col min="10" max="16384" width="9.140625" style="956"/>
  </cols>
  <sheetData>
    <row r="1" spans="1:6" ht="30.75" customHeight="1">
      <c r="A1" s="1358" t="s">
        <v>903</v>
      </c>
      <c r="B1" s="1358"/>
      <c r="C1" s="1358"/>
      <c r="D1" s="1358"/>
      <c r="E1" s="1358"/>
      <c r="F1" s="1358"/>
    </row>
    <row r="2" spans="1:6" ht="44.25" customHeight="1">
      <c r="A2" s="973"/>
      <c r="B2" s="974" t="s">
        <v>898</v>
      </c>
      <c r="C2" s="974" t="s">
        <v>122</v>
      </c>
      <c r="D2" s="984" t="s">
        <v>354</v>
      </c>
      <c r="E2" s="974" t="s">
        <v>902</v>
      </c>
      <c r="F2" s="974" t="s">
        <v>235</v>
      </c>
    </row>
    <row r="3" spans="1:6" ht="18.75" customHeight="1">
      <c r="A3" s="976" t="s">
        <v>239</v>
      </c>
      <c r="B3" s="977"/>
      <c r="C3" s="976"/>
      <c r="D3" s="985"/>
      <c r="E3" s="976"/>
      <c r="F3" s="170"/>
    </row>
    <row r="4" spans="1:6" ht="17.25" customHeight="1">
      <c r="A4" s="1360" t="s">
        <v>238</v>
      </c>
      <c r="B4" s="978" t="s">
        <v>172</v>
      </c>
      <c r="C4" s="968">
        <f>'CÔng Tăng'!I49</f>
        <v>2.38</v>
      </c>
      <c r="D4" s="986">
        <v>2400</v>
      </c>
      <c r="E4" s="968">
        <v>2.6</v>
      </c>
      <c r="F4" s="968">
        <f>C4*D4*E4</f>
        <v>14851.2</v>
      </c>
    </row>
    <row r="5" spans="1:6" ht="17.25" customHeight="1">
      <c r="A5" s="1360"/>
      <c r="B5" s="978" t="s">
        <v>171</v>
      </c>
      <c r="C5" s="968">
        <f>'CÔng Tăng'!J49</f>
        <v>2</v>
      </c>
      <c r="D5" s="986">
        <v>1950</v>
      </c>
      <c r="E5" s="968">
        <v>1.8</v>
      </c>
      <c r="F5" s="968">
        <f t="shared" ref="F5:F16" si="0">C5*D5*E5</f>
        <v>7020</v>
      </c>
    </row>
    <row r="6" spans="1:6" ht="17.25" customHeight="1">
      <c r="A6" s="1360"/>
      <c r="B6" s="978" t="s">
        <v>197</v>
      </c>
      <c r="C6" s="968">
        <f>'CÔng Tăng'!K49</f>
        <v>1.1499999999999999</v>
      </c>
      <c r="D6" s="986">
        <v>800</v>
      </c>
      <c r="E6" s="968">
        <v>1.9</v>
      </c>
      <c r="F6" s="968">
        <f t="shared" si="0"/>
        <v>1747.9999999999998</v>
      </c>
    </row>
    <row r="7" spans="1:6" ht="17.25" customHeight="1">
      <c r="A7" s="1360"/>
      <c r="B7" s="978" t="s">
        <v>191</v>
      </c>
      <c r="C7" s="968">
        <f>'CÔng Tăng'!L49</f>
        <v>1.75</v>
      </c>
      <c r="D7" s="986">
        <v>500</v>
      </c>
      <c r="E7" s="968">
        <v>2.1</v>
      </c>
      <c r="F7" s="968">
        <f t="shared" si="0"/>
        <v>1837.5</v>
      </c>
    </row>
    <row r="8" spans="1:6" ht="17.25" customHeight="1">
      <c r="A8" s="1360"/>
      <c r="B8" s="978" t="s">
        <v>173</v>
      </c>
      <c r="C8" s="968">
        <f>'CÔng Tăng'!O49</f>
        <v>0.9</v>
      </c>
      <c r="D8" s="986">
        <v>1050</v>
      </c>
      <c r="E8" s="968">
        <v>2.1</v>
      </c>
      <c r="F8" s="968">
        <f t="shared" si="0"/>
        <v>1984.5</v>
      </c>
    </row>
    <row r="9" spans="1:6" ht="17.25" customHeight="1">
      <c r="A9" s="1360"/>
      <c r="B9" s="978" t="s">
        <v>174</v>
      </c>
      <c r="C9" s="968">
        <f>'CÔng Tăng'!N49</f>
        <v>0.15</v>
      </c>
      <c r="D9" s="986">
        <v>1050</v>
      </c>
      <c r="E9" s="968">
        <v>1.8</v>
      </c>
      <c r="F9" s="968">
        <f t="shared" si="0"/>
        <v>283.5</v>
      </c>
    </row>
    <row r="10" spans="1:6" ht="17.25" customHeight="1">
      <c r="A10" s="1360"/>
      <c r="B10" s="978" t="s">
        <v>189</v>
      </c>
      <c r="C10" s="968">
        <f>'CÔng Tăng'!M49</f>
        <v>0.39</v>
      </c>
      <c r="D10" s="986">
        <v>1050</v>
      </c>
      <c r="E10" s="968">
        <v>2.1</v>
      </c>
      <c r="F10" s="968">
        <f t="shared" si="0"/>
        <v>859.95</v>
      </c>
    </row>
    <row r="11" spans="1:6" ht="17.25" customHeight="1">
      <c r="A11" s="1360"/>
      <c r="B11" s="978" t="s">
        <v>170</v>
      </c>
      <c r="C11" s="968">
        <f>'CÔng Tăng'!H49</f>
        <v>0.83</v>
      </c>
      <c r="D11" s="986">
        <v>1500</v>
      </c>
      <c r="E11" s="968">
        <v>1.4</v>
      </c>
      <c r="F11" s="968">
        <f t="shared" si="0"/>
        <v>1743</v>
      </c>
    </row>
    <row r="12" spans="1:6" ht="17.25" customHeight="1">
      <c r="A12" s="1360"/>
      <c r="B12" s="978" t="s">
        <v>169</v>
      </c>
      <c r="C12" s="968">
        <f>'CÔng Tăng'!G49</f>
        <v>45.15</v>
      </c>
      <c r="D12" s="986">
        <v>450</v>
      </c>
      <c r="E12" s="968">
        <v>1.9</v>
      </c>
      <c r="F12" s="968">
        <f t="shared" si="0"/>
        <v>38603.25</v>
      </c>
    </row>
    <row r="13" spans="1:6" ht="17.25" customHeight="1">
      <c r="A13" s="1360"/>
      <c r="B13" s="978" t="s">
        <v>190</v>
      </c>
      <c r="C13" s="968">
        <f>'CÔng Tăng'!F49</f>
        <v>5.69</v>
      </c>
      <c r="D13" s="986">
        <v>1300</v>
      </c>
      <c r="E13" s="968">
        <v>1.8</v>
      </c>
      <c r="F13" s="968">
        <f t="shared" si="0"/>
        <v>13314.600000000002</v>
      </c>
    </row>
    <row r="14" spans="1:6" ht="49.5">
      <c r="A14" s="1360" t="s">
        <v>237</v>
      </c>
      <c r="B14" s="978" t="s">
        <v>899</v>
      </c>
      <c r="C14" s="968">
        <f>'B10 2024'!F115</f>
        <v>7.0699999999999994</v>
      </c>
      <c r="D14" s="986">
        <v>5000</v>
      </c>
      <c r="E14" s="968">
        <v>1.2</v>
      </c>
      <c r="F14" s="968">
        <f t="shared" si="0"/>
        <v>42420</v>
      </c>
    </row>
    <row r="15" spans="1:6" ht="99">
      <c r="A15" s="1360"/>
      <c r="B15" s="978" t="s">
        <v>900</v>
      </c>
      <c r="C15" s="968">
        <f>'B10 2024'!F117</f>
        <v>1.3</v>
      </c>
      <c r="D15" s="986">
        <v>10000</v>
      </c>
      <c r="E15" s="968">
        <v>1.2</v>
      </c>
      <c r="F15" s="968">
        <f t="shared" si="0"/>
        <v>15600</v>
      </c>
    </row>
    <row r="16" spans="1:6" ht="49.5">
      <c r="A16" s="1360"/>
      <c r="B16" s="978" t="s">
        <v>901</v>
      </c>
      <c r="C16" s="968">
        <f>'B10 2024'!F85</f>
        <v>5.07</v>
      </c>
      <c r="D16" s="986">
        <v>1200</v>
      </c>
      <c r="E16" s="968">
        <v>1.9</v>
      </c>
      <c r="F16" s="968">
        <f t="shared" si="0"/>
        <v>11559.6</v>
      </c>
    </row>
    <row r="17" spans="1:8" s="957" customFormat="1">
      <c r="A17" s="976" t="s">
        <v>236</v>
      </c>
      <c r="B17" s="977"/>
      <c r="C17" s="976"/>
      <c r="D17" s="985"/>
      <c r="E17" s="976"/>
      <c r="F17" s="968"/>
    </row>
    <row r="18" spans="1:8">
      <c r="A18" s="1361" t="s">
        <v>805</v>
      </c>
      <c r="B18" s="978" t="s">
        <v>170</v>
      </c>
      <c r="C18" s="968">
        <f>'CÔng Tăng'!H25</f>
        <v>0.1</v>
      </c>
      <c r="D18" s="986">
        <f>80%*D11</f>
        <v>1200</v>
      </c>
      <c r="E18" s="968"/>
      <c r="F18" s="968">
        <f t="shared" ref="F18:F27" si="1">C18*D18</f>
        <v>120</v>
      </c>
    </row>
    <row r="19" spans="1:8">
      <c r="A19" s="1361"/>
      <c r="B19" s="1046" t="s">
        <v>172</v>
      </c>
      <c r="C19" s="968">
        <f>'CÔng Tăng'!I25</f>
        <v>0.01</v>
      </c>
      <c r="D19" s="986">
        <f>80%*D4</f>
        <v>1920</v>
      </c>
      <c r="E19" s="968"/>
      <c r="F19" s="968">
        <f t="shared" si="1"/>
        <v>19.2</v>
      </c>
    </row>
    <row r="20" spans="1:8">
      <c r="A20" s="1361"/>
      <c r="B20" s="1046" t="s">
        <v>197</v>
      </c>
      <c r="C20" s="968">
        <f>'CÔng Tăng'!K25</f>
        <v>0.04</v>
      </c>
      <c r="D20" s="986">
        <f>80%*D6</f>
        <v>640</v>
      </c>
      <c r="E20" s="968"/>
      <c r="F20" s="968">
        <f t="shared" si="1"/>
        <v>25.6</v>
      </c>
    </row>
    <row r="21" spans="1:8">
      <c r="A21" s="1361"/>
      <c r="B21" s="978" t="s">
        <v>173</v>
      </c>
      <c r="C21" s="968">
        <f>'CÔng Tăng'!O25</f>
        <v>0.27</v>
      </c>
      <c r="D21" s="986">
        <f>80%*D8</f>
        <v>840</v>
      </c>
      <c r="E21" s="968"/>
      <c r="F21" s="968">
        <f t="shared" si="1"/>
        <v>226.8</v>
      </c>
    </row>
    <row r="22" spans="1:8">
      <c r="A22" s="1361"/>
      <c r="B22" s="1112" t="s">
        <v>189</v>
      </c>
      <c r="C22" s="968">
        <f>'CÔng Tăng'!M25</f>
        <v>0.08</v>
      </c>
      <c r="D22" s="986">
        <f>80%*D10</f>
        <v>840</v>
      </c>
      <c r="E22" s="968"/>
      <c r="F22" s="968">
        <f t="shared" si="1"/>
        <v>67.2</v>
      </c>
    </row>
    <row r="23" spans="1:8">
      <c r="A23" s="1361"/>
      <c r="B23" s="978" t="s">
        <v>190</v>
      </c>
      <c r="C23" s="968">
        <f>'CÔng Tăng'!F25</f>
        <v>7.0000000000000007E-2</v>
      </c>
      <c r="D23" s="986">
        <f>80%*D13</f>
        <v>1040</v>
      </c>
      <c r="E23" s="968"/>
      <c r="F23" s="968">
        <f t="shared" si="1"/>
        <v>72.800000000000011</v>
      </c>
    </row>
    <row r="24" spans="1:8">
      <c r="A24" s="1361" t="s">
        <v>40</v>
      </c>
      <c r="B24" s="978" t="s">
        <v>169</v>
      </c>
      <c r="C24" s="968">
        <f>'CÔng Tăng'!G26</f>
        <v>3</v>
      </c>
      <c r="D24" s="986">
        <f>80%*D12</f>
        <v>360</v>
      </c>
      <c r="E24" s="968"/>
      <c r="F24" s="968">
        <f t="shared" si="1"/>
        <v>1080</v>
      </c>
    </row>
    <row r="25" spans="1:8">
      <c r="A25" s="1361"/>
      <c r="B25" s="978" t="s">
        <v>172</v>
      </c>
      <c r="C25" s="968">
        <f>'CÔng Tăng'!I26</f>
        <v>1.73</v>
      </c>
      <c r="D25" s="986">
        <f>80%*D4</f>
        <v>1920</v>
      </c>
      <c r="E25" s="968"/>
      <c r="F25" s="968">
        <f t="shared" si="1"/>
        <v>3321.6</v>
      </c>
    </row>
    <row r="26" spans="1:8">
      <c r="A26" s="1112" t="s">
        <v>34</v>
      </c>
      <c r="B26" s="1112" t="s">
        <v>197</v>
      </c>
      <c r="C26" s="968">
        <v>1.01</v>
      </c>
      <c r="D26" s="986">
        <f>D20</f>
        <v>640</v>
      </c>
      <c r="E26" s="968"/>
      <c r="F26" s="968">
        <f t="shared" si="1"/>
        <v>646.4</v>
      </c>
    </row>
    <row r="27" spans="1:8" ht="33">
      <c r="A27" s="978" t="s">
        <v>179</v>
      </c>
      <c r="B27" s="978"/>
      <c r="C27" s="968">
        <f>'CÔng Tăng'!D28</f>
        <v>2.46</v>
      </c>
      <c r="D27" s="986">
        <v>250</v>
      </c>
      <c r="E27" s="968">
        <v>1.5</v>
      </c>
      <c r="F27" s="968">
        <f t="shared" si="1"/>
        <v>615</v>
      </c>
    </row>
    <row r="28" spans="1:8">
      <c r="A28" s="975" t="s">
        <v>230</v>
      </c>
      <c r="B28" s="974"/>
      <c r="C28" s="170">
        <f>SUM(C4:C27)</f>
        <v>82.59999999999998</v>
      </c>
      <c r="D28" s="987"/>
      <c r="E28" s="170"/>
      <c r="F28" s="170">
        <f>SUM(F4:F27)</f>
        <v>158019.70000000001</v>
      </c>
    </row>
    <row r="31" spans="1:8">
      <c r="A31" s="1358" t="s">
        <v>904</v>
      </c>
      <c r="B31" s="1358"/>
      <c r="C31" s="1358"/>
      <c r="D31" s="1358"/>
      <c r="E31" s="1358"/>
      <c r="F31" s="1358"/>
      <c r="H31" s="958"/>
    </row>
    <row r="32" spans="1:8" ht="57" customHeight="1">
      <c r="A32" s="967" t="s">
        <v>202</v>
      </c>
      <c r="B32" s="164" t="s">
        <v>916</v>
      </c>
      <c r="C32" s="164" t="s">
        <v>122</v>
      </c>
      <c r="D32" s="984" t="s">
        <v>354</v>
      </c>
      <c r="E32" s="974" t="str">
        <f>E2</f>
        <v>Hệ số điều chỉnh giá</v>
      </c>
      <c r="F32" s="164" t="s">
        <v>235</v>
      </c>
    </row>
    <row r="33" spans="1:6" ht="17.25" customHeight="1">
      <c r="A33" s="166" t="s">
        <v>8</v>
      </c>
      <c r="B33" s="182"/>
      <c r="C33" s="968"/>
      <c r="D33" s="986"/>
      <c r="E33" s="968"/>
      <c r="F33" s="969"/>
    </row>
    <row r="34" spans="1:6" s="959" customFormat="1" ht="17.25" customHeight="1">
      <c r="A34" s="970" t="s">
        <v>355</v>
      </c>
      <c r="B34" s="187"/>
      <c r="C34" s="971">
        <f>'B8'!E11</f>
        <v>0.8</v>
      </c>
      <c r="D34" s="988">
        <f>240</f>
        <v>240</v>
      </c>
      <c r="E34" s="971">
        <v>1.9</v>
      </c>
      <c r="F34" s="972">
        <f>C34*D34*E34</f>
        <v>364.79999999999995</v>
      </c>
    </row>
    <row r="35" spans="1:6" s="959" customFormat="1" ht="17.25" customHeight="1">
      <c r="A35" s="970" t="s">
        <v>240</v>
      </c>
      <c r="B35" s="187"/>
      <c r="C35" s="971">
        <f>SUM('B8'!F11:O11)</f>
        <v>2</v>
      </c>
      <c r="D35" s="988">
        <v>230</v>
      </c>
      <c r="E35" s="971">
        <v>1.9</v>
      </c>
      <c r="F35" s="972">
        <f t="shared" ref="F35:F47" si="2">C35*D35*E35</f>
        <v>874</v>
      </c>
    </row>
    <row r="36" spans="1:6" ht="17.25" customHeight="1">
      <c r="A36" s="166" t="s">
        <v>12</v>
      </c>
      <c r="B36" s="182"/>
      <c r="C36" s="968"/>
      <c r="D36" s="986"/>
      <c r="E36" s="968"/>
      <c r="F36" s="972"/>
    </row>
    <row r="37" spans="1:6" s="959" customFormat="1" ht="17.25" customHeight="1">
      <c r="A37" s="970" t="s">
        <v>355</v>
      </c>
      <c r="B37" s="187"/>
      <c r="C37" s="971">
        <f>'B8'!E13</f>
        <v>4.29</v>
      </c>
      <c r="D37" s="988">
        <v>70</v>
      </c>
      <c r="E37" s="971">
        <v>2.2000000000000002</v>
      </c>
      <c r="F37" s="972">
        <f t="shared" si="2"/>
        <v>660.66000000000008</v>
      </c>
    </row>
    <row r="38" spans="1:6" s="959" customFormat="1" ht="17.25" customHeight="1">
      <c r="A38" s="970" t="s">
        <v>240</v>
      </c>
      <c r="B38" s="187"/>
      <c r="C38" s="971">
        <f>SUM('B8'!F13:O13)</f>
        <v>72.240000000000009</v>
      </c>
      <c r="D38" s="988">
        <v>60</v>
      </c>
      <c r="E38" s="971">
        <v>2</v>
      </c>
      <c r="F38" s="972">
        <f t="shared" si="2"/>
        <v>8668.8000000000011</v>
      </c>
    </row>
    <row r="39" spans="1:6" ht="17.25" customHeight="1">
      <c r="A39" s="166" t="s">
        <v>14</v>
      </c>
      <c r="B39" s="182"/>
      <c r="C39" s="968"/>
      <c r="D39" s="986"/>
      <c r="E39" s="968"/>
      <c r="F39" s="972"/>
    </row>
    <row r="40" spans="1:6" s="959" customFormat="1" ht="17.25" customHeight="1">
      <c r="A40" s="970" t="s">
        <v>355</v>
      </c>
      <c r="B40" s="187"/>
      <c r="C40" s="971">
        <f>'B8'!E14</f>
        <v>3.34</v>
      </c>
      <c r="D40" s="988">
        <v>70</v>
      </c>
      <c r="E40" s="971">
        <v>2.2000000000000002</v>
      </c>
      <c r="F40" s="972">
        <f t="shared" si="2"/>
        <v>514.36</v>
      </c>
    </row>
    <row r="41" spans="1:6" s="959" customFormat="1" ht="17.25" customHeight="1">
      <c r="A41" s="970" t="s">
        <v>240</v>
      </c>
      <c r="B41" s="187"/>
      <c r="C41" s="971">
        <f>SUM('B8'!F14:O14)</f>
        <v>64.89</v>
      </c>
      <c r="D41" s="988">
        <v>60</v>
      </c>
      <c r="E41" s="971">
        <v>2</v>
      </c>
      <c r="F41" s="972">
        <f t="shared" si="2"/>
        <v>7786.8</v>
      </c>
    </row>
    <row r="42" spans="1:6" ht="17.25" customHeight="1">
      <c r="A42" s="166" t="s">
        <v>20</v>
      </c>
      <c r="B42" s="182"/>
      <c r="C42" s="968"/>
      <c r="D42" s="986"/>
      <c r="E42" s="968"/>
      <c r="F42" s="972"/>
    </row>
    <row r="43" spans="1:6" s="959" customFormat="1" ht="17.25" customHeight="1">
      <c r="A43" s="970" t="s">
        <v>355</v>
      </c>
      <c r="B43" s="187"/>
      <c r="C43" s="971">
        <f>'B8'!E17</f>
        <v>2</v>
      </c>
      <c r="D43" s="988">
        <v>50</v>
      </c>
      <c r="E43" s="971">
        <v>1.3</v>
      </c>
      <c r="F43" s="972">
        <f t="shared" si="2"/>
        <v>130</v>
      </c>
    </row>
    <row r="44" spans="1:6" s="959" customFormat="1" ht="17.25" customHeight="1">
      <c r="A44" s="970" t="s">
        <v>240</v>
      </c>
      <c r="B44" s="187"/>
      <c r="C44" s="971">
        <f>SUM('B8'!F17:O17)</f>
        <v>18.86</v>
      </c>
      <c r="D44" s="988">
        <v>45</v>
      </c>
      <c r="E44" s="971">
        <v>1.3</v>
      </c>
      <c r="F44" s="972">
        <f t="shared" si="2"/>
        <v>1103.31</v>
      </c>
    </row>
    <row r="45" spans="1:6" ht="17.25" customHeight="1">
      <c r="A45" s="166" t="s">
        <v>241</v>
      </c>
      <c r="B45" s="182"/>
      <c r="C45" s="968"/>
      <c r="D45" s="986"/>
      <c r="E45" s="968"/>
      <c r="F45" s="972"/>
    </row>
    <row r="46" spans="1:6" s="959" customFormat="1" ht="17.25" customHeight="1">
      <c r="A46" s="970" t="s">
        <v>355</v>
      </c>
      <c r="B46" s="187"/>
      <c r="C46" s="971">
        <f>'Cộng giảm'!E17</f>
        <v>0.19</v>
      </c>
      <c r="D46" s="988">
        <v>100</v>
      </c>
      <c r="E46" s="971">
        <v>1.8</v>
      </c>
      <c r="F46" s="972">
        <f t="shared" si="2"/>
        <v>34.200000000000003</v>
      </c>
    </row>
    <row r="47" spans="1:6" s="959" customFormat="1" ht="17.25" customHeight="1">
      <c r="A47" s="970" t="s">
        <v>240</v>
      </c>
      <c r="B47" s="187"/>
      <c r="C47" s="971">
        <f>SUM('Cộng giảm'!F17:O17)</f>
        <v>0.24</v>
      </c>
      <c r="D47" s="988">
        <v>80</v>
      </c>
      <c r="E47" s="971">
        <v>2</v>
      </c>
      <c r="F47" s="972">
        <f t="shared" si="2"/>
        <v>38.4</v>
      </c>
    </row>
    <row r="48" spans="1:6" ht="17.25" customHeight="1">
      <c r="A48" s="1362" t="s">
        <v>52</v>
      </c>
      <c r="B48" s="182" t="s">
        <v>169</v>
      </c>
      <c r="C48" s="968">
        <f>'Cộng giảm'!G49</f>
        <v>0.26</v>
      </c>
      <c r="D48" s="986">
        <f>D12</f>
        <v>450</v>
      </c>
      <c r="E48" s="968">
        <f>E12</f>
        <v>1.9</v>
      </c>
      <c r="F48" s="972">
        <f>C48*D48*E48</f>
        <v>222.29999999999998</v>
      </c>
    </row>
    <row r="49" spans="1:6" ht="17.25" customHeight="1">
      <c r="A49" s="1362"/>
      <c r="B49" s="182" t="s">
        <v>172</v>
      </c>
      <c r="C49" s="968">
        <f>'Cộng giảm'!I49</f>
        <v>0.02</v>
      </c>
      <c r="D49" s="986">
        <f>D4</f>
        <v>2400</v>
      </c>
      <c r="E49" s="968">
        <f>E4</f>
        <v>2.6</v>
      </c>
      <c r="F49" s="972">
        <f t="shared" ref="F49:F51" si="3">C49*D49*E49</f>
        <v>124.80000000000001</v>
      </c>
    </row>
    <row r="50" spans="1:6" ht="17.25" customHeight="1">
      <c r="A50" s="1362"/>
      <c r="B50" s="182" t="s">
        <v>197</v>
      </c>
      <c r="C50" s="968">
        <f>'Cộng giảm'!K49</f>
        <v>0.06</v>
      </c>
      <c r="D50" s="986">
        <f>D6</f>
        <v>800</v>
      </c>
      <c r="E50" s="968">
        <f>E6</f>
        <v>1.9</v>
      </c>
      <c r="F50" s="972">
        <f t="shared" si="3"/>
        <v>91.199999999999989</v>
      </c>
    </row>
    <row r="51" spans="1:6" ht="17.25" customHeight="1">
      <c r="A51" s="1362"/>
      <c r="B51" s="182" t="s">
        <v>173</v>
      </c>
      <c r="C51" s="968">
        <f>'Cộng giảm'!O49</f>
        <v>0.9</v>
      </c>
      <c r="D51" s="986">
        <f>D8</f>
        <v>1050</v>
      </c>
      <c r="E51" s="968">
        <f>E8</f>
        <v>2.1</v>
      </c>
      <c r="F51" s="972">
        <f t="shared" si="3"/>
        <v>1984.5</v>
      </c>
    </row>
    <row r="52" spans="1:6" s="957" customFormat="1" ht="49.5">
      <c r="A52" s="1047" t="s">
        <v>54</v>
      </c>
      <c r="B52" s="182" t="s">
        <v>906</v>
      </c>
      <c r="C52" s="968">
        <v>2</v>
      </c>
      <c r="D52" s="986">
        <v>1200</v>
      </c>
      <c r="E52" s="968">
        <v>1.9</v>
      </c>
      <c r="F52" s="972">
        <f>C52*D52*E52</f>
        <v>4560</v>
      </c>
    </row>
    <row r="53" spans="1:6" ht="17.25" customHeight="1">
      <c r="A53" s="955" t="s">
        <v>230</v>
      </c>
      <c r="B53" s="164"/>
      <c r="C53" s="170">
        <f>SUM(C34:C52)</f>
        <v>172.09000000000003</v>
      </c>
      <c r="D53" s="987"/>
      <c r="E53" s="170"/>
      <c r="F53" s="170">
        <f>SUM(F34:F52)</f>
        <v>27158.130000000005</v>
      </c>
    </row>
    <row r="54" spans="1:6" s="960" customFormat="1">
      <c r="B54" s="961"/>
      <c r="D54" s="989"/>
    </row>
    <row r="55" spans="1:6">
      <c r="C55" s="1359" t="s">
        <v>905</v>
      </c>
      <c r="D55" s="1359"/>
      <c r="E55" s="1359"/>
      <c r="F55" s="966">
        <f>F28-F53</f>
        <v>130861.57</v>
      </c>
    </row>
    <row r="65" spans="2:4">
      <c r="C65" s="956">
        <f>120*1.5</f>
        <v>180</v>
      </c>
    </row>
    <row r="69" spans="2:4" s="957" customFormat="1">
      <c r="B69" s="963"/>
      <c r="D69" s="991"/>
    </row>
    <row r="82" spans="2:4" s="957" customFormat="1">
      <c r="B82" s="963"/>
      <c r="D82" s="991"/>
    </row>
    <row r="87" spans="2:4" s="957" customFormat="1">
      <c r="B87" s="963"/>
      <c r="D87" s="991"/>
    </row>
    <row r="92" spans="2:4" s="957" customFormat="1">
      <c r="B92" s="963"/>
      <c r="D92" s="991"/>
    </row>
    <row r="102" spans="2:4" s="957" customFormat="1">
      <c r="B102" s="963"/>
      <c r="D102" s="991"/>
    </row>
    <row r="129" spans="2:4" s="957" customFormat="1">
      <c r="B129" s="963"/>
      <c r="D129" s="991"/>
    </row>
    <row r="143" spans="2:4" s="957" customFormat="1">
      <c r="B143" s="963"/>
      <c r="D143" s="991"/>
    </row>
    <row r="148" spans="2:4" s="957" customFormat="1">
      <c r="B148" s="963"/>
      <c r="D148" s="991"/>
    </row>
    <row r="162" spans="2:4" s="957" customFormat="1">
      <c r="B162" s="963"/>
      <c r="D162" s="991"/>
    </row>
    <row r="168" spans="2:4" s="957" customFormat="1">
      <c r="B168" s="963"/>
      <c r="D168" s="991"/>
    </row>
    <row r="175" spans="2:4" s="964" customFormat="1" ht="20.25" customHeight="1">
      <c r="B175" s="965"/>
      <c r="D175" s="992"/>
    </row>
    <row r="190" spans="2:4" s="957" customFormat="1">
      <c r="B190" s="963"/>
      <c r="D190" s="991"/>
    </row>
    <row r="191" spans="2:4" s="957" customFormat="1">
      <c r="B191" s="963"/>
      <c r="D191" s="991"/>
    </row>
    <row r="192" spans="2:4" s="957" customFormat="1">
      <c r="B192" s="963"/>
      <c r="D192" s="991"/>
    </row>
    <row r="196" spans="2:4" s="957" customFormat="1">
      <c r="B196" s="963"/>
      <c r="D196" s="991"/>
    </row>
    <row r="206" spans="2:4" ht="12.75" customHeight="1"/>
    <row r="207" spans="2:4" ht="12.75" customHeight="1"/>
    <row r="208" spans="2:4" ht="12.75" customHeight="1"/>
    <row r="209" ht="12.75" customHeight="1"/>
  </sheetData>
  <mergeCells count="8">
    <mergeCell ref="A1:F1"/>
    <mergeCell ref="A31:F31"/>
    <mergeCell ref="C55:E55"/>
    <mergeCell ref="A14:A16"/>
    <mergeCell ref="A4:A13"/>
    <mergeCell ref="A18:A23"/>
    <mergeCell ref="A24:A25"/>
    <mergeCell ref="A48:A51"/>
  </mergeCells>
  <pageMargins left="0.7" right="0.7" top="0.75" bottom="0.75" header="0.3" footer="0.3"/>
  <pageSetup paperSize="9" orientation="portrait" r:id="rId1"/>
  <ignoredErrors>
    <ignoredError sqref="D19 D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7"/>
  <sheetViews>
    <sheetView workbookViewId="0">
      <pane xSplit="6" ySplit="10" topLeftCell="G11" activePane="bottomRight" state="frozen"/>
      <selection pane="topRight" activeCell="G1" sqref="G1"/>
      <selection pane="bottomLeft" activeCell="A11" sqref="A11"/>
      <selection pane="bottomRight" activeCell="Q23" sqref="Q23:R27"/>
    </sheetView>
  </sheetViews>
  <sheetFormatPr defaultColWidth="9.140625" defaultRowHeight="12.75"/>
  <cols>
    <col min="1" max="1" width="5.28515625" style="274" customWidth="1"/>
    <col min="2" max="2" width="38.7109375" style="274" customWidth="1"/>
    <col min="3" max="3" width="8.42578125" style="274" customWidth="1"/>
    <col min="4" max="4" width="13.5703125" style="274" bestFit="1" customWidth="1"/>
    <col min="5" max="5" width="12.42578125" style="274" bestFit="1" customWidth="1"/>
    <col min="6" max="6" width="11.7109375" style="274" bestFit="1" customWidth="1"/>
    <col min="7" max="7" width="9.140625" style="274"/>
    <col min="8" max="9" width="9.85546875" style="274" bestFit="1" customWidth="1"/>
    <col min="10" max="16384" width="9.140625" style="274"/>
  </cols>
  <sheetData>
    <row r="1" spans="1:9" ht="21" customHeight="1">
      <c r="A1" s="1244" t="s">
        <v>1</v>
      </c>
      <c r="B1" s="1244" t="s">
        <v>2</v>
      </c>
      <c r="C1" s="1244" t="s">
        <v>3</v>
      </c>
      <c r="D1" s="1244" t="s">
        <v>461</v>
      </c>
      <c r="E1" s="1244" t="s">
        <v>782</v>
      </c>
      <c r="F1" s="1242" t="s">
        <v>123</v>
      </c>
      <c r="G1" s="351"/>
      <c r="H1" s="309"/>
      <c r="I1" s="309"/>
    </row>
    <row r="2" spans="1:9" ht="48.75" customHeight="1">
      <c r="A2" s="1244"/>
      <c r="B2" s="1244"/>
      <c r="C2" s="1244"/>
      <c r="D2" s="1244"/>
      <c r="E2" s="1244"/>
      <c r="F2" s="1243"/>
      <c r="G2" s="351"/>
      <c r="H2" s="309"/>
      <c r="I2" s="309"/>
    </row>
    <row r="3" spans="1:9" ht="2.25" hidden="1" customHeight="1">
      <c r="A3" s="1244"/>
      <c r="B3" s="1244"/>
      <c r="C3" s="1244"/>
      <c r="D3" s="1244"/>
      <c r="E3" s="1244"/>
      <c r="F3" s="352"/>
      <c r="G3" s="309"/>
      <c r="H3" s="309"/>
      <c r="I3" s="309"/>
    </row>
    <row r="4" spans="1:9" s="358" customFormat="1" ht="14.25" customHeight="1">
      <c r="A4" s="353"/>
      <c r="B4" s="353" t="s">
        <v>131</v>
      </c>
      <c r="C4" s="353"/>
      <c r="D4" s="354">
        <v>143172.85999999999</v>
      </c>
      <c r="E4" s="354">
        <f>E5+E17+E55</f>
        <v>143172.85999999996</v>
      </c>
      <c r="F4" s="355">
        <f t="shared" ref="F4" si="0">E4-D4</f>
        <v>0</v>
      </c>
      <c r="G4" s="356"/>
      <c r="H4" s="357"/>
      <c r="I4" s="356"/>
    </row>
    <row r="5" spans="1:9" s="358" customFormat="1" ht="14.25" customHeight="1">
      <c r="A5" s="359">
        <v>1</v>
      </c>
      <c r="B5" s="360" t="s">
        <v>6</v>
      </c>
      <c r="C5" s="359" t="s">
        <v>7</v>
      </c>
      <c r="D5" s="361">
        <f>'B3'!H9</f>
        <v>133239.37</v>
      </c>
      <c r="E5" s="361">
        <f>'B6'!H8</f>
        <v>134501.56999999998</v>
      </c>
      <c r="F5" s="362">
        <f>E5-D5</f>
        <v>1262.1999999999825</v>
      </c>
      <c r="G5" s="356"/>
      <c r="H5" s="357"/>
      <c r="I5" s="357"/>
    </row>
    <row r="6" spans="1:9" ht="15" customHeight="1">
      <c r="A6" s="270" t="s">
        <v>139</v>
      </c>
      <c r="B6" s="347" t="s">
        <v>8</v>
      </c>
      <c r="C6" s="70" t="s">
        <v>9</v>
      </c>
      <c r="D6" s="363">
        <f>'B3'!H10</f>
        <v>1189.6199999999999</v>
      </c>
      <c r="E6" s="363">
        <f>'B6'!H9</f>
        <v>1203.32</v>
      </c>
      <c r="F6" s="364">
        <f t="shared" ref="F6:F55" si="1">E6-D6</f>
        <v>13.700000000000045</v>
      </c>
      <c r="G6" s="356"/>
      <c r="H6" s="309"/>
      <c r="I6" s="309"/>
    </row>
    <row r="7" spans="1:9" s="151" customFormat="1" ht="15" customHeight="1">
      <c r="A7" s="154"/>
      <c r="B7" s="397" t="s">
        <v>10</v>
      </c>
      <c r="C7" s="398" t="s">
        <v>11</v>
      </c>
      <c r="D7" s="365">
        <f>'B3'!H11</f>
        <v>732.32999999999993</v>
      </c>
      <c r="E7" s="365">
        <f>'B6'!H10</f>
        <v>736.53</v>
      </c>
      <c r="F7" s="366">
        <f t="shared" si="1"/>
        <v>4.2000000000000455</v>
      </c>
      <c r="G7" s="862"/>
      <c r="H7" s="863"/>
      <c r="I7" s="863"/>
    </row>
    <row r="8" spans="1:9" ht="15" customHeight="1">
      <c r="A8" s="270" t="s">
        <v>140</v>
      </c>
      <c r="B8" s="347" t="s">
        <v>12</v>
      </c>
      <c r="C8" s="70" t="s">
        <v>13</v>
      </c>
      <c r="D8" s="363">
        <f>'B3'!H12</f>
        <v>12460.349999999999</v>
      </c>
      <c r="E8" s="363">
        <f>'B6'!H11</f>
        <v>15053.07</v>
      </c>
      <c r="F8" s="364">
        <f t="shared" si="1"/>
        <v>2592.7200000000012</v>
      </c>
      <c r="G8" s="356"/>
      <c r="H8" s="367"/>
      <c r="I8" s="367"/>
    </row>
    <row r="9" spans="1:9" ht="15.75">
      <c r="A9" s="270" t="s">
        <v>141</v>
      </c>
      <c r="B9" s="347" t="s">
        <v>14</v>
      </c>
      <c r="C9" s="70" t="s">
        <v>15</v>
      </c>
      <c r="D9" s="363">
        <f>'B3'!H13</f>
        <v>27124.16</v>
      </c>
      <c r="E9" s="363">
        <f>'B6'!H12</f>
        <v>27446.910000000003</v>
      </c>
      <c r="F9" s="364">
        <f t="shared" si="1"/>
        <v>322.75000000000364</v>
      </c>
      <c r="G9" s="356"/>
      <c r="H9" s="367"/>
      <c r="I9" s="367"/>
    </row>
    <row r="10" spans="1:9" ht="15.75">
      <c r="A10" s="270" t="s">
        <v>142</v>
      </c>
      <c r="B10" s="347" t="s">
        <v>16</v>
      </c>
      <c r="C10" s="70" t="s">
        <v>17</v>
      </c>
      <c r="D10" s="363">
        <f>'B3'!H14</f>
        <v>13285.24</v>
      </c>
      <c r="E10" s="363">
        <f>'B6'!H13</f>
        <v>13276.07</v>
      </c>
      <c r="F10" s="364">
        <f t="shared" si="1"/>
        <v>-9.1700000000000728</v>
      </c>
      <c r="G10" s="356"/>
      <c r="H10" s="309"/>
      <c r="I10" s="309"/>
    </row>
    <row r="11" spans="1:9" ht="15.75">
      <c r="A11" s="270" t="s">
        <v>143</v>
      </c>
      <c r="B11" s="347" t="s">
        <v>18</v>
      </c>
      <c r="C11" s="70" t="s">
        <v>19</v>
      </c>
      <c r="D11" s="363">
        <f>'B3'!H15</f>
        <v>43004.24</v>
      </c>
      <c r="E11" s="363">
        <f>'B6'!H14</f>
        <v>43026.239999999998</v>
      </c>
      <c r="F11" s="364">
        <f t="shared" si="1"/>
        <v>22</v>
      </c>
      <c r="G11" s="356"/>
      <c r="H11" s="309"/>
      <c r="I11" s="309"/>
    </row>
    <row r="12" spans="1:9" ht="15.75">
      <c r="A12" s="270" t="s">
        <v>144</v>
      </c>
      <c r="B12" s="347" t="s">
        <v>20</v>
      </c>
      <c r="C12" s="70" t="s">
        <v>21</v>
      </c>
      <c r="D12" s="363">
        <f>'B3'!H16</f>
        <v>35782.629999999997</v>
      </c>
      <c r="E12" s="363">
        <f>'B6'!H15</f>
        <v>34235.089999999997</v>
      </c>
      <c r="F12" s="364">
        <f t="shared" si="1"/>
        <v>-1547.5400000000009</v>
      </c>
      <c r="G12" s="356"/>
      <c r="H12" s="309"/>
      <c r="I12" s="309"/>
    </row>
    <row r="13" spans="1:9" s="151" customFormat="1" ht="31.5">
      <c r="A13" s="154"/>
      <c r="B13" s="397" t="s">
        <v>243</v>
      </c>
      <c r="C13" s="350" t="s">
        <v>247</v>
      </c>
      <c r="D13" s="365">
        <f>'B3'!H17</f>
        <v>29661.95</v>
      </c>
      <c r="E13" s="365">
        <f>'B6'!H16</f>
        <v>29661.960000000003</v>
      </c>
      <c r="F13" s="366">
        <f t="shared" si="1"/>
        <v>1.0000000002037268E-2</v>
      </c>
      <c r="G13" s="862"/>
      <c r="H13" s="300"/>
      <c r="I13" s="300"/>
    </row>
    <row r="14" spans="1:9" ht="15.75">
      <c r="A14" s="270" t="s">
        <v>145</v>
      </c>
      <c r="B14" s="347" t="s">
        <v>22</v>
      </c>
      <c r="C14" s="70" t="s">
        <v>23</v>
      </c>
      <c r="D14" s="363">
        <f>'B3'!H18</f>
        <v>134.86000000000001</v>
      </c>
      <c r="E14" s="363">
        <f>'B6'!H17</f>
        <v>122.26</v>
      </c>
      <c r="F14" s="364">
        <f t="shared" si="1"/>
        <v>-12.600000000000009</v>
      </c>
      <c r="G14" s="356"/>
      <c r="H14" s="309"/>
      <c r="I14" s="309"/>
    </row>
    <row r="15" spans="1:9" ht="15.75">
      <c r="A15" s="270" t="s">
        <v>146</v>
      </c>
      <c r="B15" s="347" t="s">
        <v>24</v>
      </c>
      <c r="C15" s="70" t="s">
        <v>25</v>
      </c>
      <c r="D15" s="363">
        <f>'B3'!H19</f>
        <v>0</v>
      </c>
      <c r="E15" s="363">
        <f>'B6'!H18</f>
        <v>0</v>
      </c>
      <c r="F15" s="364">
        <f t="shared" si="1"/>
        <v>0</v>
      </c>
      <c r="G15" s="356"/>
      <c r="H15" s="309"/>
      <c r="I15" s="309"/>
    </row>
    <row r="16" spans="1:9" ht="15.75">
      <c r="A16" s="270" t="s">
        <v>147</v>
      </c>
      <c r="B16" s="347" t="s">
        <v>26</v>
      </c>
      <c r="C16" s="70" t="s">
        <v>27</v>
      </c>
      <c r="D16" s="363">
        <f>'B3'!H20</f>
        <v>258.27</v>
      </c>
      <c r="E16" s="363">
        <f>'B6'!H19</f>
        <v>138.61000000000001</v>
      </c>
      <c r="F16" s="364">
        <f t="shared" si="1"/>
        <v>-119.65999999999997</v>
      </c>
      <c r="G16" s="356"/>
      <c r="H16" s="309"/>
      <c r="I16" s="309"/>
    </row>
    <row r="17" spans="1:9" s="358" customFormat="1" ht="15.75">
      <c r="A17" s="359">
        <v>2</v>
      </c>
      <c r="B17" s="392" t="s">
        <v>28</v>
      </c>
      <c r="C17" s="393" t="s">
        <v>29</v>
      </c>
      <c r="D17" s="361">
        <f>'B3'!H21</f>
        <v>9852.8499999999985</v>
      </c>
      <c r="E17" s="361">
        <f>'B6'!H20</f>
        <v>8516.7099999999991</v>
      </c>
      <c r="F17" s="362">
        <f t="shared" si="1"/>
        <v>-1336.1399999999994</v>
      </c>
      <c r="G17" s="356"/>
      <c r="H17" s="357"/>
      <c r="I17" s="357"/>
    </row>
    <row r="18" spans="1:9" ht="15.75">
      <c r="A18" s="270" t="s">
        <v>148</v>
      </c>
      <c r="B18" s="347" t="s">
        <v>30</v>
      </c>
      <c r="C18" s="70" t="s">
        <v>31</v>
      </c>
      <c r="D18" s="363">
        <f>'B3'!H22</f>
        <v>224.13999999999996</v>
      </c>
      <c r="E18" s="363">
        <f>'B6'!H21</f>
        <v>123.28</v>
      </c>
      <c r="F18" s="364">
        <f t="shared" si="1"/>
        <v>-100.85999999999996</v>
      </c>
      <c r="G18" s="356"/>
      <c r="H18" s="309"/>
      <c r="I18" s="309"/>
    </row>
    <row r="19" spans="1:9" ht="15.75">
      <c r="A19" s="270" t="s">
        <v>138</v>
      </c>
      <c r="B19" s="347" t="s">
        <v>32</v>
      </c>
      <c r="C19" s="70" t="s">
        <v>33</v>
      </c>
      <c r="D19" s="363">
        <f>'B3'!H23</f>
        <v>4.32</v>
      </c>
      <c r="E19" s="363">
        <f>'B6'!H22</f>
        <v>4.2700000000000005</v>
      </c>
      <c r="F19" s="364">
        <f t="shared" si="1"/>
        <v>-4.9999999999999822E-2</v>
      </c>
      <c r="G19" s="356"/>
      <c r="H19" s="309"/>
      <c r="I19" s="309"/>
    </row>
    <row r="20" spans="1:9" ht="15.75">
      <c r="A20" s="270" t="s">
        <v>149</v>
      </c>
      <c r="B20" s="347" t="s">
        <v>34</v>
      </c>
      <c r="C20" s="70" t="s">
        <v>35</v>
      </c>
      <c r="D20" s="363">
        <f>'B3'!H24</f>
        <v>0</v>
      </c>
      <c r="E20" s="363">
        <f>'B6'!H23</f>
        <v>0</v>
      </c>
      <c r="F20" s="364">
        <f t="shared" si="1"/>
        <v>0</v>
      </c>
      <c r="G20" s="356"/>
      <c r="H20" s="309"/>
      <c r="I20" s="309"/>
    </row>
    <row r="21" spans="1:9" ht="15.75">
      <c r="A21" s="270" t="s">
        <v>151</v>
      </c>
      <c r="B21" s="347" t="s">
        <v>36</v>
      </c>
      <c r="C21" s="70" t="s">
        <v>37</v>
      </c>
      <c r="D21" s="363">
        <f>'B3'!H25</f>
        <v>100</v>
      </c>
      <c r="E21" s="363">
        <f>'B6'!H24</f>
        <v>1.01</v>
      </c>
      <c r="F21" s="364">
        <f t="shared" si="1"/>
        <v>-98.99</v>
      </c>
      <c r="G21" s="356"/>
      <c r="H21" s="309"/>
      <c r="I21" s="309"/>
    </row>
    <row r="22" spans="1:9" ht="15.75">
      <c r="A22" s="270" t="s">
        <v>152</v>
      </c>
      <c r="B22" s="347" t="s">
        <v>38</v>
      </c>
      <c r="C22" s="70" t="s">
        <v>39</v>
      </c>
      <c r="D22" s="363">
        <f>'B3'!H26</f>
        <v>21.39</v>
      </c>
      <c r="E22" s="363">
        <f>'B6'!H25</f>
        <v>5.83</v>
      </c>
      <c r="F22" s="364">
        <f t="shared" si="1"/>
        <v>-15.56</v>
      </c>
      <c r="G22" s="356"/>
      <c r="H22" s="309"/>
      <c r="I22" s="309"/>
    </row>
    <row r="23" spans="1:9" ht="15" customHeight="1">
      <c r="A23" s="270" t="s">
        <v>153</v>
      </c>
      <c r="B23" s="347" t="s">
        <v>40</v>
      </c>
      <c r="C23" s="70" t="s">
        <v>41</v>
      </c>
      <c r="D23" s="363">
        <f>'B3'!H27</f>
        <v>96.859999999999985</v>
      </c>
      <c r="E23" s="363">
        <f>'B6'!H26</f>
        <v>61.519999999999996</v>
      </c>
      <c r="F23" s="364">
        <f t="shared" si="1"/>
        <v>-35.339999999999989</v>
      </c>
      <c r="G23" s="356"/>
      <c r="H23" s="309"/>
      <c r="I23" s="309"/>
    </row>
    <row r="24" spans="1:9" ht="15.75">
      <c r="A24" s="270" t="s">
        <v>154</v>
      </c>
      <c r="B24" s="347" t="s">
        <v>42</v>
      </c>
      <c r="C24" s="70" t="s">
        <v>43</v>
      </c>
      <c r="D24" s="363">
        <f>'B3'!H28</f>
        <v>4.66</v>
      </c>
      <c r="E24" s="363">
        <f>'B6'!H27</f>
        <v>4.66</v>
      </c>
      <c r="F24" s="364">
        <f t="shared" si="1"/>
        <v>0</v>
      </c>
      <c r="G24" s="356"/>
      <c r="H24" s="309"/>
      <c r="I24" s="309"/>
    </row>
    <row r="25" spans="1:9" ht="15.75">
      <c r="A25" s="270" t="s">
        <v>166</v>
      </c>
      <c r="B25" s="347" t="s">
        <v>179</v>
      </c>
      <c r="C25" s="70" t="s">
        <v>66</v>
      </c>
      <c r="D25" s="363">
        <f>'B3'!H29</f>
        <v>159.10999999999999</v>
      </c>
      <c r="E25" s="363">
        <f>'B6'!H28</f>
        <v>25.19</v>
      </c>
      <c r="F25" s="364">
        <f t="shared" si="1"/>
        <v>-133.91999999999999</v>
      </c>
      <c r="G25" s="356"/>
      <c r="H25" s="309"/>
      <c r="I25" s="309"/>
    </row>
    <row r="26" spans="1:9" ht="17.25" customHeight="1">
      <c r="A26" s="270" t="s">
        <v>155</v>
      </c>
      <c r="B26" s="347" t="s">
        <v>180</v>
      </c>
      <c r="C26" s="70" t="s">
        <v>45</v>
      </c>
      <c r="D26" s="363">
        <f>'B3'!H30</f>
        <v>6817.2300000000005</v>
      </c>
      <c r="E26" s="363">
        <f>'B6'!H29</f>
        <v>6260.7400000000016</v>
      </c>
      <c r="F26" s="364">
        <f t="shared" si="1"/>
        <v>-556.48999999999887</v>
      </c>
      <c r="G26" s="356"/>
      <c r="H26" s="309"/>
      <c r="I26" s="309"/>
    </row>
    <row r="27" spans="1:9" s="151" customFormat="1" ht="15.75">
      <c r="A27" s="154"/>
      <c r="B27" s="397" t="s">
        <v>216</v>
      </c>
      <c r="C27" s="398" t="s">
        <v>196</v>
      </c>
      <c r="D27" s="365">
        <f>'B3'!H31</f>
        <v>1393.9400000000003</v>
      </c>
      <c r="E27" s="365">
        <f>'B6'!H30</f>
        <v>1249.18</v>
      </c>
      <c r="F27" s="366">
        <f t="shared" si="1"/>
        <v>-144.76000000000022</v>
      </c>
      <c r="G27" s="862"/>
      <c r="H27" s="300"/>
      <c r="I27" s="300"/>
    </row>
    <row r="28" spans="1:9" s="151" customFormat="1" ht="15.75">
      <c r="A28" s="154"/>
      <c r="B28" s="397" t="s">
        <v>217</v>
      </c>
      <c r="C28" s="398" t="s">
        <v>194</v>
      </c>
      <c r="D28" s="365">
        <f>'B3'!H32</f>
        <v>177.51</v>
      </c>
      <c r="E28" s="365">
        <f>'B6'!H31</f>
        <v>133.47999999999999</v>
      </c>
      <c r="F28" s="366">
        <f t="shared" si="1"/>
        <v>-44.03</v>
      </c>
      <c r="G28" s="862"/>
      <c r="H28" s="300"/>
      <c r="I28" s="300"/>
    </row>
    <row r="29" spans="1:9" s="151" customFormat="1" ht="15.75">
      <c r="A29" s="154"/>
      <c r="B29" s="397" t="s">
        <v>210</v>
      </c>
      <c r="C29" s="398" t="s">
        <v>220</v>
      </c>
      <c r="D29" s="365">
        <f>'B3'!H33</f>
        <v>7.2799999999999994</v>
      </c>
      <c r="E29" s="365">
        <f>'B6'!H32</f>
        <v>6.19</v>
      </c>
      <c r="F29" s="366">
        <f t="shared" si="1"/>
        <v>-1.089999999999999</v>
      </c>
      <c r="G29" s="862"/>
      <c r="H29" s="300"/>
      <c r="I29" s="300"/>
    </row>
    <row r="30" spans="1:9" s="151" customFormat="1" ht="15.75">
      <c r="A30" s="154"/>
      <c r="B30" s="397" t="s">
        <v>211</v>
      </c>
      <c r="C30" s="398" t="s">
        <v>221</v>
      </c>
      <c r="D30" s="365">
        <f>'B3'!H34</f>
        <v>9.9600000000000009</v>
      </c>
      <c r="E30" s="365">
        <f>'B6'!H33</f>
        <v>4.96</v>
      </c>
      <c r="F30" s="366">
        <f t="shared" si="1"/>
        <v>-5.0000000000000009</v>
      </c>
      <c r="G30" s="862"/>
      <c r="H30" s="300"/>
      <c r="I30" s="300"/>
    </row>
    <row r="31" spans="1:9" s="151" customFormat="1" ht="15.75">
      <c r="A31" s="154"/>
      <c r="B31" s="397" t="s">
        <v>212</v>
      </c>
      <c r="C31" s="398" t="s">
        <v>192</v>
      </c>
      <c r="D31" s="365">
        <f>'B3'!H35</f>
        <v>64.53</v>
      </c>
      <c r="E31" s="365">
        <f>'B6'!H34</f>
        <v>63.89</v>
      </c>
      <c r="F31" s="366">
        <f t="shared" si="1"/>
        <v>-0.64000000000000057</v>
      </c>
      <c r="G31" s="862"/>
      <c r="H31" s="300"/>
      <c r="I31" s="300"/>
    </row>
    <row r="32" spans="1:9" s="151" customFormat="1" ht="15.75">
      <c r="A32" s="154"/>
      <c r="B32" s="397" t="s">
        <v>213</v>
      </c>
      <c r="C32" s="398" t="s">
        <v>195</v>
      </c>
      <c r="D32" s="365">
        <f>'B3'!H36</f>
        <v>21.270000000000003</v>
      </c>
      <c r="E32" s="365">
        <f>'B6'!H35</f>
        <v>16.670000000000002</v>
      </c>
      <c r="F32" s="366">
        <f t="shared" si="1"/>
        <v>-4.6000000000000014</v>
      </c>
      <c r="G32" s="862"/>
      <c r="H32" s="300"/>
      <c r="I32" s="300"/>
    </row>
    <row r="33" spans="1:9" s="151" customFormat="1" ht="15.75">
      <c r="A33" s="154"/>
      <c r="B33" s="397" t="s">
        <v>248</v>
      </c>
      <c r="C33" s="398" t="s">
        <v>193</v>
      </c>
      <c r="D33" s="365">
        <f>'B3'!H37</f>
        <v>4948.42</v>
      </c>
      <c r="E33" s="365">
        <f>'B6'!H36</f>
        <v>4651.7300000000005</v>
      </c>
      <c r="F33" s="366">
        <f t="shared" si="1"/>
        <v>-296.6899999999996</v>
      </c>
      <c r="G33" s="862"/>
      <c r="H33" s="300"/>
      <c r="I33" s="300"/>
    </row>
    <row r="34" spans="1:9" s="151" customFormat="1" ht="15.75">
      <c r="A34" s="154"/>
      <c r="B34" s="397" t="s">
        <v>218</v>
      </c>
      <c r="C34" s="398" t="s">
        <v>224</v>
      </c>
      <c r="D34" s="365">
        <f>'B3'!H38</f>
        <v>1.02</v>
      </c>
      <c r="E34" s="365">
        <f>'B6'!H37</f>
        <v>1.02</v>
      </c>
      <c r="F34" s="366">
        <f t="shared" si="1"/>
        <v>0</v>
      </c>
      <c r="G34" s="862"/>
      <c r="H34" s="300"/>
      <c r="I34" s="300"/>
    </row>
    <row r="35" spans="1:9" s="151" customFormat="1" ht="15.75">
      <c r="A35" s="154"/>
      <c r="B35" s="397" t="s">
        <v>244</v>
      </c>
      <c r="C35" s="398" t="s">
        <v>245</v>
      </c>
      <c r="D35" s="365">
        <f>'B3'!H39</f>
        <v>0</v>
      </c>
      <c r="E35" s="365">
        <f>'B6'!H38</f>
        <v>0</v>
      </c>
      <c r="F35" s="366">
        <f t="shared" si="1"/>
        <v>0</v>
      </c>
      <c r="G35" s="862"/>
      <c r="H35" s="300"/>
      <c r="I35" s="300"/>
    </row>
    <row r="36" spans="1:9" s="151" customFormat="1" ht="15.75">
      <c r="A36" s="154"/>
      <c r="B36" s="397" t="s">
        <v>46</v>
      </c>
      <c r="C36" s="398" t="s">
        <v>47</v>
      </c>
      <c r="D36" s="365">
        <f>'B3'!H40</f>
        <v>11.16</v>
      </c>
      <c r="E36" s="365">
        <f>'B6'!H39</f>
        <v>3.86</v>
      </c>
      <c r="F36" s="366">
        <f t="shared" si="1"/>
        <v>-7.3000000000000007</v>
      </c>
      <c r="G36" s="862"/>
      <c r="H36" s="300"/>
      <c r="I36" s="300"/>
    </row>
    <row r="37" spans="1:9" s="151" customFormat="1" ht="15.75">
      <c r="A37" s="154"/>
      <c r="B37" s="397" t="s">
        <v>50</v>
      </c>
      <c r="C37" s="398" t="s">
        <v>51</v>
      </c>
      <c r="D37" s="365">
        <f>'B3'!H41</f>
        <v>25.55</v>
      </c>
      <c r="E37" s="365">
        <f>'B6'!H40</f>
        <v>2.66</v>
      </c>
      <c r="F37" s="366">
        <f t="shared" si="1"/>
        <v>-22.89</v>
      </c>
      <c r="G37" s="862"/>
      <c r="H37" s="300"/>
      <c r="I37" s="300"/>
    </row>
    <row r="38" spans="1:9" s="151" customFormat="1" ht="15.75">
      <c r="A38" s="154"/>
      <c r="B38" s="397" t="s">
        <v>62</v>
      </c>
      <c r="C38" s="398" t="s">
        <v>63</v>
      </c>
      <c r="D38" s="365">
        <f>'B3'!H42</f>
        <v>12.33</v>
      </c>
      <c r="E38" s="365">
        <f>'B6'!H41</f>
        <v>6.8500000000000005</v>
      </c>
      <c r="F38" s="366">
        <f t="shared" si="1"/>
        <v>-5.4799999999999995</v>
      </c>
      <c r="G38" s="862"/>
      <c r="H38" s="300"/>
      <c r="I38" s="300"/>
    </row>
    <row r="39" spans="1:9" s="151" customFormat="1" ht="31.5">
      <c r="A39" s="154"/>
      <c r="B39" s="397" t="s">
        <v>246</v>
      </c>
      <c r="C39" s="398" t="s">
        <v>64</v>
      </c>
      <c r="D39" s="365">
        <f>'B3'!H43</f>
        <v>139.85</v>
      </c>
      <c r="E39" s="365">
        <f>'B6'!H42</f>
        <v>115.92999999999999</v>
      </c>
      <c r="F39" s="366">
        <f t="shared" si="1"/>
        <v>-23.92</v>
      </c>
      <c r="G39" s="862"/>
      <c r="H39" s="300"/>
      <c r="I39" s="300"/>
    </row>
    <row r="40" spans="1:9" s="151" customFormat="1" ht="31.5">
      <c r="A40" s="154"/>
      <c r="B40" s="397" t="s">
        <v>214</v>
      </c>
      <c r="C40" s="398" t="s">
        <v>222</v>
      </c>
      <c r="D40" s="365">
        <f>'B3'!H44</f>
        <v>0</v>
      </c>
      <c r="E40" s="365">
        <f>'B6'!H43</f>
        <v>0</v>
      </c>
      <c r="F40" s="366">
        <f t="shared" si="1"/>
        <v>0</v>
      </c>
      <c r="G40" s="862"/>
      <c r="H40" s="300"/>
      <c r="I40" s="300"/>
    </row>
    <row r="41" spans="1:9" s="151" customFormat="1" ht="15.75">
      <c r="A41" s="154"/>
      <c r="B41" s="397" t="s">
        <v>215</v>
      </c>
      <c r="C41" s="398" t="s">
        <v>223</v>
      </c>
      <c r="D41" s="365">
        <f>'B3'!H45</f>
        <v>0.66</v>
      </c>
      <c r="E41" s="365">
        <f>'B6'!H44</f>
        <v>0.66</v>
      </c>
      <c r="F41" s="366">
        <f t="shared" si="1"/>
        <v>0</v>
      </c>
      <c r="G41" s="862"/>
      <c r="H41" s="300"/>
      <c r="I41" s="300"/>
    </row>
    <row r="42" spans="1:9" s="151" customFormat="1" ht="15.75">
      <c r="A42" s="154"/>
      <c r="B42" s="397" t="s">
        <v>219</v>
      </c>
      <c r="C42" s="398" t="s">
        <v>204</v>
      </c>
      <c r="D42" s="365">
        <f>'B3'!H46</f>
        <v>3.7499999999999991</v>
      </c>
      <c r="E42" s="365">
        <f>'B6'!H45</f>
        <v>3.6599999999999997</v>
      </c>
      <c r="F42" s="366">
        <f t="shared" si="1"/>
        <v>-8.9999999999999414E-2</v>
      </c>
      <c r="G42" s="862"/>
      <c r="H42" s="300"/>
      <c r="I42" s="300"/>
    </row>
    <row r="43" spans="1:9" ht="18" customHeight="1">
      <c r="A43" s="270" t="s">
        <v>156</v>
      </c>
      <c r="B43" s="347" t="s">
        <v>48</v>
      </c>
      <c r="C43" s="70" t="s">
        <v>49</v>
      </c>
      <c r="D43" s="363">
        <f>'B3'!H47</f>
        <v>0</v>
      </c>
      <c r="E43" s="363">
        <f>'B6'!H46</f>
        <v>0</v>
      </c>
      <c r="F43" s="364">
        <f t="shared" si="1"/>
        <v>0</v>
      </c>
      <c r="G43" s="356"/>
      <c r="H43" s="309"/>
      <c r="I43" s="309"/>
    </row>
    <row r="44" spans="1:9" ht="15.75">
      <c r="A44" s="270" t="s">
        <v>157</v>
      </c>
      <c r="B44" s="347" t="s">
        <v>67</v>
      </c>
      <c r="C44" s="70" t="s">
        <v>68</v>
      </c>
      <c r="D44" s="363">
        <f>'B3'!H48</f>
        <v>13.720000000000002</v>
      </c>
      <c r="E44" s="363">
        <f>'B6'!H47</f>
        <v>13.11</v>
      </c>
      <c r="F44" s="364">
        <f t="shared" si="1"/>
        <v>-0.61000000000000298</v>
      </c>
      <c r="G44" s="356"/>
      <c r="H44" s="309"/>
      <c r="I44" s="309"/>
    </row>
    <row r="45" spans="1:9" ht="15.75">
      <c r="A45" s="270" t="s">
        <v>158</v>
      </c>
      <c r="B45" s="347" t="s">
        <v>69</v>
      </c>
      <c r="C45" s="70" t="s">
        <v>70</v>
      </c>
      <c r="D45" s="363">
        <f>'B3'!H49</f>
        <v>5.85</v>
      </c>
      <c r="E45" s="363">
        <f>'B6'!H48</f>
        <v>5.82</v>
      </c>
      <c r="F45" s="364">
        <f t="shared" si="1"/>
        <v>-2.9999999999999361E-2</v>
      </c>
      <c r="G45" s="356"/>
      <c r="H45" s="309"/>
      <c r="I45" s="309"/>
    </row>
    <row r="46" spans="1:9" ht="15.75">
      <c r="A46" s="270" t="s">
        <v>159</v>
      </c>
      <c r="B46" s="347" t="s">
        <v>52</v>
      </c>
      <c r="C46" s="70" t="s">
        <v>53</v>
      </c>
      <c r="D46" s="363">
        <f>'B3'!H50</f>
        <v>1063.2000000000003</v>
      </c>
      <c r="E46" s="363">
        <f>'B6'!H49</f>
        <v>785.7600000000001</v>
      </c>
      <c r="F46" s="364">
        <f t="shared" si="1"/>
        <v>-277.44000000000017</v>
      </c>
      <c r="G46" s="356"/>
      <c r="H46" s="952">
        <f>E46/D46*100</f>
        <v>73.90519187358916</v>
      </c>
      <c r="I46" s="367">
        <f>8050.81-E17</f>
        <v>-465.89999999999873</v>
      </c>
    </row>
    <row r="47" spans="1:9" ht="15.75">
      <c r="A47" s="270" t="s">
        <v>160</v>
      </c>
      <c r="B47" s="347" t="s">
        <v>54</v>
      </c>
      <c r="C47" s="70" t="s">
        <v>55</v>
      </c>
      <c r="D47" s="363">
        <f>'B3'!H51</f>
        <v>213.54000000000002</v>
      </c>
      <c r="E47" s="363">
        <f>'B6'!H50</f>
        <v>132.91999999999999</v>
      </c>
      <c r="F47" s="364">
        <f t="shared" si="1"/>
        <v>-80.620000000000033</v>
      </c>
      <c r="G47" s="356"/>
      <c r="H47" s="952">
        <f>E47/D47*100</f>
        <v>62.245949236676957</v>
      </c>
      <c r="I47" s="309"/>
    </row>
    <row r="48" spans="1:9" ht="15.75">
      <c r="A48" s="270" t="s">
        <v>161</v>
      </c>
      <c r="B48" s="347" t="s">
        <v>56</v>
      </c>
      <c r="C48" s="70" t="s">
        <v>57</v>
      </c>
      <c r="D48" s="363">
        <f>'B3'!H52</f>
        <v>22.350000000000005</v>
      </c>
      <c r="E48" s="363">
        <f>'B6'!H51</f>
        <v>19.62</v>
      </c>
      <c r="F48" s="364">
        <f t="shared" si="1"/>
        <v>-2.730000000000004</v>
      </c>
      <c r="G48" s="356"/>
      <c r="H48" s="309"/>
      <c r="I48" s="309"/>
    </row>
    <row r="49" spans="1:9" ht="31.5">
      <c r="A49" s="270" t="s">
        <v>162</v>
      </c>
      <c r="B49" s="347" t="s">
        <v>58</v>
      </c>
      <c r="C49" s="70" t="s">
        <v>59</v>
      </c>
      <c r="D49" s="363">
        <f>'B3'!H53</f>
        <v>5.04</v>
      </c>
      <c r="E49" s="363">
        <f>'B6'!H52</f>
        <v>5.03</v>
      </c>
      <c r="F49" s="364">
        <f t="shared" si="1"/>
        <v>-9.9999999999997868E-3</v>
      </c>
      <c r="G49" s="356"/>
      <c r="H49" s="309"/>
      <c r="I49" s="309"/>
    </row>
    <row r="50" spans="1:9" ht="15.75">
      <c r="A50" s="270" t="s">
        <v>163</v>
      </c>
      <c r="B50" s="347" t="s">
        <v>60</v>
      </c>
      <c r="C50" s="70" t="s">
        <v>61</v>
      </c>
      <c r="D50" s="363">
        <f>'B3'!H54</f>
        <v>0</v>
      </c>
      <c r="E50" s="363">
        <f>'B6'!H53</f>
        <v>0</v>
      </c>
      <c r="F50" s="364">
        <f t="shared" si="1"/>
        <v>0</v>
      </c>
      <c r="G50" s="356"/>
      <c r="H50" s="309"/>
      <c r="I50" s="309"/>
    </row>
    <row r="51" spans="1:9" ht="15.75">
      <c r="A51" s="270" t="s">
        <v>164</v>
      </c>
      <c r="B51" s="347" t="s">
        <v>71</v>
      </c>
      <c r="C51" s="70" t="s">
        <v>72</v>
      </c>
      <c r="D51" s="363">
        <f>'B3'!H55</f>
        <v>0.27999999999999997</v>
      </c>
      <c r="E51" s="363">
        <f>'B6'!H54</f>
        <v>0.27</v>
      </c>
      <c r="F51" s="364">
        <f t="shared" si="1"/>
        <v>-9.9999999999999534E-3</v>
      </c>
      <c r="G51" s="356"/>
      <c r="H51" s="309"/>
      <c r="I51" s="309"/>
    </row>
    <row r="52" spans="1:9" ht="15.75">
      <c r="A52" s="270" t="s">
        <v>165</v>
      </c>
      <c r="B52" s="347" t="s">
        <v>181</v>
      </c>
      <c r="C52" s="70" t="s">
        <v>74</v>
      </c>
      <c r="D52" s="363">
        <f>'B3'!H56</f>
        <v>992.54</v>
      </c>
      <c r="E52" s="363">
        <f>'B6'!H55</f>
        <v>1000.5</v>
      </c>
      <c r="F52" s="364">
        <f t="shared" si="1"/>
        <v>7.9600000000000364</v>
      </c>
      <c r="G52" s="356"/>
      <c r="H52" s="309"/>
      <c r="I52" s="309"/>
    </row>
    <row r="53" spans="1:9" ht="15.75">
      <c r="A53" s="270" t="s">
        <v>167</v>
      </c>
      <c r="B53" s="347" t="s">
        <v>75</v>
      </c>
      <c r="C53" s="70" t="s">
        <v>76</v>
      </c>
      <c r="D53" s="363">
        <f>'B3'!H57</f>
        <v>64.550000000000011</v>
      </c>
      <c r="E53" s="363">
        <f>'B6'!H56</f>
        <v>64.550000000000011</v>
      </c>
      <c r="F53" s="364">
        <f t="shared" si="1"/>
        <v>0</v>
      </c>
      <c r="G53" s="356"/>
      <c r="H53" s="309"/>
      <c r="I53" s="309"/>
    </row>
    <row r="54" spans="1:9" ht="15.75">
      <c r="A54" s="270" t="s">
        <v>326</v>
      </c>
      <c r="B54" s="347" t="s">
        <v>77</v>
      </c>
      <c r="C54" s="70" t="s">
        <v>78</v>
      </c>
      <c r="D54" s="363">
        <f>'B3'!H58</f>
        <v>44.07</v>
      </c>
      <c r="E54" s="363">
        <f>'B6'!H57</f>
        <v>2.6300000000000003</v>
      </c>
      <c r="F54" s="364">
        <f t="shared" si="1"/>
        <v>-41.44</v>
      </c>
      <c r="G54" s="356"/>
      <c r="H54" s="309"/>
      <c r="I54" s="309"/>
    </row>
    <row r="55" spans="1:9" ht="15.75">
      <c r="A55" s="270" t="s">
        <v>327</v>
      </c>
      <c r="B55" s="406" t="s">
        <v>79</v>
      </c>
      <c r="C55" s="407" t="s">
        <v>80</v>
      </c>
      <c r="D55" s="864">
        <f>'B3'!H59</f>
        <v>80.64</v>
      </c>
      <c r="E55" s="864">
        <f>'B6'!H58</f>
        <v>154.58000000000001</v>
      </c>
      <c r="F55" s="865">
        <f t="shared" si="1"/>
        <v>73.940000000000012</v>
      </c>
      <c r="G55" s="356"/>
      <c r="H55" s="309"/>
      <c r="I55" s="309"/>
    </row>
    <row r="57" spans="1:9">
      <c r="E57" s="274" t="s">
        <v>280</v>
      </c>
    </row>
  </sheetData>
  <mergeCells count="6">
    <mergeCell ref="F1:F2"/>
    <mergeCell ref="A1:A3"/>
    <mergeCell ref="B1:B3"/>
    <mergeCell ref="C1:C3"/>
    <mergeCell ref="D1:D3"/>
    <mergeCell ref="E1:E3"/>
  </mergeCells>
  <pageMargins left="0.7" right="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70" zoomScaleNormal="70" workbookViewId="0">
      <selection activeCell="A23" sqref="A23:XFD23"/>
    </sheetView>
  </sheetViews>
  <sheetFormatPr defaultColWidth="9.140625" defaultRowHeight="15"/>
  <cols>
    <col min="1" max="1" width="7.42578125" style="384" customWidth="1"/>
    <col min="2" max="2" width="57.7109375" style="349" customWidth="1"/>
    <col min="3" max="3" width="9.42578125" style="349" customWidth="1"/>
    <col min="4" max="4" width="22.28515625" style="349" customWidth="1"/>
    <col min="5" max="6" width="13.5703125" style="349" customWidth="1"/>
    <col min="7" max="7" width="14.42578125" style="349" customWidth="1"/>
    <col min="8" max="9" width="13.85546875" style="349" customWidth="1"/>
    <col min="10" max="10" width="13.5703125" style="349" customWidth="1"/>
    <col min="11" max="11" width="13.140625" style="349" customWidth="1"/>
    <col min="12" max="12" width="12.85546875" style="349" customWidth="1"/>
    <col min="13" max="13" width="13.42578125" style="349" customWidth="1"/>
    <col min="14" max="14" width="14.42578125" style="349" customWidth="1"/>
    <col min="15" max="15" width="15.140625" style="349" customWidth="1"/>
    <col min="16" max="16" width="12.42578125" style="349" bestFit="1" customWidth="1"/>
    <col min="17" max="16384" width="9.140625" style="349"/>
  </cols>
  <sheetData>
    <row r="1" spans="1:18" ht="15.75">
      <c r="A1" s="1245" t="s">
        <v>200</v>
      </c>
      <c r="B1" s="1245"/>
      <c r="E1" s="376"/>
    </row>
    <row r="2" spans="1:18" ht="24" customHeight="1">
      <c r="A2" s="1246" t="s">
        <v>457</v>
      </c>
      <c r="B2" s="1246"/>
      <c r="C2" s="1246"/>
      <c r="D2" s="1246"/>
      <c r="E2" s="1246"/>
      <c r="F2" s="1246"/>
      <c r="G2" s="1246"/>
      <c r="H2" s="1246"/>
      <c r="I2" s="1246"/>
      <c r="J2" s="1246"/>
      <c r="K2" s="1246"/>
      <c r="L2" s="1246"/>
      <c r="M2" s="1246"/>
      <c r="N2" s="1246"/>
      <c r="O2" s="1246"/>
      <c r="P2" s="377"/>
    </row>
    <row r="3" spans="1:18" ht="15.75">
      <c r="A3" s="1247" t="s">
        <v>0</v>
      </c>
      <c r="B3" s="1247"/>
      <c r="C3" s="1247"/>
      <c r="D3" s="1247"/>
      <c r="E3" s="1247"/>
      <c r="F3" s="1247"/>
      <c r="G3" s="1247"/>
      <c r="H3" s="1247"/>
      <c r="I3" s="1247"/>
      <c r="J3" s="1247"/>
      <c r="K3" s="1247"/>
      <c r="L3" s="1247"/>
      <c r="M3" s="1247"/>
      <c r="N3" s="1247"/>
      <c r="O3" s="1247"/>
      <c r="P3" s="377"/>
    </row>
    <row r="4" spans="1:18" ht="15.75">
      <c r="A4" s="1248" t="s">
        <v>1</v>
      </c>
      <c r="B4" s="1248" t="s">
        <v>2</v>
      </c>
      <c r="C4" s="1248" t="s">
        <v>3</v>
      </c>
      <c r="D4" s="1248" t="s">
        <v>4</v>
      </c>
      <c r="E4" s="1248" t="s">
        <v>5</v>
      </c>
      <c r="F4" s="1248"/>
      <c r="G4" s="1248"/>
      <c r="H4" s="1248"/>
      <c r="I4" s="1248"/>
      <c r="J4" s="1248"/>
      <c r="K4" s="1248"/>
      <c r="L4" s="1248"/>
      <c r="M4" s="1248"/>
      <c r="N4" s="1248"/>
      <c r="O4" s="1248"/>
      <c r="P4" s="377"/>
    </row>
    <row r="5" spans="1:18" ht="15.75">
      <c r="A5" s="1249"/>
      <c r="B5" s="1249"/>
      <c r="C5" s="1249"/>
      <c r="D5" s="1249"/>
      <c r="E5" s="1250"/>
      <c r="F5" s="1250"/>
      <c r="G5" s="1250"/>
      <c r="H5" s="1250"/>
      <c r="I5" s="1250"/>
      <c r="J5" s="1250"/>
      <c r="K5" s="1250"/>
      <c r="L5" s="1250"/>
      <c r="M5" s="1250"/>
      <c r="N5" s="1250"/>
      <c r="O5" s="1250"/>
      <c r="P5" s="377"/>
    </row>
    <row r="6" spans="1:18" ht="31.5">
      <c r="A6" s="1249"/>
      <c r="B6" s="1249"/>
      <c r="C6" s="1249"/>
      <c r="D6" s="1249"/>
      <c r="E6" s="378" t="s">
        <v>111</v>
      </c>
      <c r="F6" s="379" t="s">
        <v>121</v>
      </c>
      <c r="G6" s="379" t="s">
        <v>120</v>
      </c>
      <c r="H6" s="379" t="s">
        <v>119</v>
      </c>
      <c r="I6" s="379" t="s">
        <v>114</v>
      </c>
      <c r="J6" s="379" t="s">
        <v>113</v>
      </c>
      <c r="K6" s="379" t="s">
        <v>117</v>
      </c>
      <c r="L6" s="379" t="s">
        <v>112</v>
      </c>
      <c r="M6" s="379" t="s">
        <v>115</v>
      </c>
      <c r="N6" s="379" t="s">
        <v>116</v>
      </c>
      <c r="O6" s="379" t="s">
        <v>118</v>
      </c>
      <c r="P6" s="380"/>
      <c r="Q6" s="348"/>
    </row>
    <row r="7" spans="1:18" s="384" customFormat="1" ht="15.75">
      <c r="A7" s="381">
        <v>-1</v>
      </c>
      <c r="B7" s="381">
        <v>-2</v>
      </c>
      <c r="C7" s="381">
        <v>-3</v>
      </c>
      <c r="D7" s="381" t="s">
        <v>199</v>
      </c>
      <c r="E7" s="381">
        <v>-5</v>
      </c>
      <c r="F7" s="381">
        <v>-8</v>
      </c>
      <c r="G7" s="381">
        <v>-9</v>
      </c>
      <c r="H7" s="381">
        <v>-6</v>
      </c>
      <c r="I7" s="381">
        <v>-12</v>
      </c>
      <c r="J7" s="381">
        <v>-11</v>
      </c>
      <c r="K7" s="381">
        <v>-7</v>
      </c>
      <c r="L7" s="381">
        <v>-10</v>
      </c>
      <c r="M7" s="381">
        <v>-15</v>
      </c>
      <c r="N7" s="381">
        <v>-14</v>
      </c>
      <c r="O7" s="381">
        <v>-13</v>
      </c>
      <c r="P7" s="382"/>
      <c r="Q7" s="383"/>
    </row>
    <row r="8" spans="1:18" s="390" customFormat="1" ht="15.75">
      <c r="A8" s="385"/>
      <c r="B8" s="386"/>
      <c r="C8" s="387"/>
      <c r="D8" s="346">
        <v>143172.85999999999</v>
      </c>
      <c r="E8" s="346">
        <v>1393.1299999999997</v>
      </c>
      <c r="F8" s="346">
        <v>6258.6</v>
      </c>
      <c r="G8" s="346">
        <v>58391.789999999994</v>
      </c>
      <c r="H8" s="346">
        <v>29828.789999999997</v>
      </c>
      <c r="I8" s="346">
        <v>4035.36</v>
      </c>
      <c r="J8" s="346">
        <v>3737.9900000000002</v>
      </c>
      <c r="K8" s="346">
        <v>5846.21</v>
      </c>
      <c r="L8" s="346">
        <v>6549.5700000000006</v>
      </c>
      <c r="M8" s="346">
        <v>3842.34</v>
      </c>
      <c r="N8" s="346">
        <v>18520.400000000001</v>
      </c>
      <c r="O8" s="346">
        <v>4768.6799999999985</v>
      </c>
      <c r="P8" s="388"/>
      <c r="Q8" s="389"/>
    </row>
    <row r="9" spans="1:18" s="390" customFormat="1" ht="15.75">
      <c r="A9" s="385"/>
      <c r="B9" s="386"/>
      <c r="C9" s="386"/>
      <c r="D9" s="346">
        <v>143172.86000000002</v>
      </c>
      <c r="E9" s="346">
        <v>1393.13</v>
      </c>
      <c r="F9" s="346">
        <v>6258.6</v>
      </c>
      <c r="G9" s="346">
        <v>58391.789999999994</v>
      </c>
      <c r="H9" s="346">
        <v>29828.79</v>
      </c>
      <c r="I9" s="346">
        <v>4035.3600000000006</v>
      </c>
      <c r="J9" s="346">
        <v>3737.9900000000002</v>
      </c>
      <c r="K9" s="346">
        <v>5846.2100000000009</v>
      </c>
      <c r="L9" s="346">
        <v>6549.5700000000006</v>
      </c>
      <c r="M9" s="346">
        <v>3842.34</v>
      </c>
      <c r="N9" s="346">
        <v>18520.400000000001</v>
      </c>
      <c r="O9" s="346">
        <v>4768.6799999999985</v>
      </c>
      <c r="P9" s="388"/>
      <c r="Q9" s="389"/>
    </row>
    <row r="10" spans="1:18" ht="15.75">
      <c r="A10" s="444">
        <v>1</v>
      </c>
      <c r="B10" s="392" t="s">
        <v>6</v>
      </c>
      <c r="C10" s="393" t="s">
        <v>7</v>
      </c>
      <c r="D10" s="346">
        <v>134735.87</v>
      </c>
      <c r="E10" s="346">
        <v>1072.3600000000001</v>
      </c>
      <c r="F10" s="346">
        <v>4804.6400000000003</v>
      </c>
      <c r="G10" s="346">
        <v>57583.199999999997</v>
      </c>
      <c r="H10" s="346">
        <v>29331.329999999998</v>
      </c>
      <c r="I10" s="346">
        <v>3255.9500000000007</v>
      </c>
      <c r="J10" s="346">
        <v>2990.1400000000003</v>
      </c>
      <c r="K10" s="346">
        <v>5574.3300000000008</v>
      </c>
      <c r="L10" s="346">
        <v>6238.4900000000007</v>
      </c>
      <c r="M10" s="346">
        <v>2522.31</v>
      </c>
      <c r="N10" s="346">
        <v>17133.150000000001</v>
      </c>
      <c r="O10" s="346">
        <v>4229.9699999999993</v>
      </c>
      <c r="P10" s="71"/>
      <c r="Q10" s="348"/>
    </row>
    <row r="11" spans="1:18" ht="15.75">
      <c r="A11" s="394" t="s">
        <v>139</v>
      </c>
      <c r="B11" s="347" t="s">
        <v>8</v>
      </c>
      <c r="C11" s="70" t="s">
        <v>9</v>
      </c>
      <c r="D11" s="395">
        <v>1206.1199999999999</v>
      </c>
      <c r="E11" s="395">
        <v>96.75</v>
      </c>
      <c r="F11" s="395">
        <v>89.95</v>
      </c>
      <c r="G11" s="395">
        <v>87.13</v>
      </c>
      <c r="H11" s="395">
        <v>209.85</v>
      </c>
      <c r="I11" s="395">
        <v>59.34</v>
      </c>
      <c r="J11" s="395">
        <v>82.13</v>
      </c>
      <c r="K11" s="395">
        <v>139.66999999999999</v>
      </c>
      <c r="L11" s="395">
        <v>149.88999999999999</v>
      </c>
      <c r="M11" s="395">
        <v>94.44</v>
      </c>
      <c r="N11" s="395">
        <v>47.8</v>
      </c>
      <c r="O11" s="395">
        <v>149.16999999999999</v>
      </c>
      <c r="P11" s="71"/>
      <c r="Q11" s="396"/>
      <c r="R11" s="376"/>
    </row>
    <row r="12" spans="1:18" ht="15.75">
      <c r="A12" s="394"/>
      <c r="B12" s="397" t="s">
        <v>10</v>
      </c>
      <c r="C12" s="398" t="s">
        <v>11</v>
      </c>
      <c r="D12" s="395">
        <v>737.82999999999993</v>
      </c>
      <c r="E12" s="395">
        <v>88.31</v>
      </c>
      <c r="F12" s="395">
        <v>39.06</v>
      </c>
      <c r="G12" s="395">
        <v>37.83</v>
      </c>
      <c r="H12" s="395">
        <v>69.62</v>
      </c>
      <c r="I12" s="395">
        <v>34.01</v>
      </c>
      <c r="J12" s="395">
        <v>45.38</v>
      </c>
      <c r="K12" s="395">
        <v>139.36000000000001</v>
      </c>
      <c r="L12" s="395">
        <v>82.81</v>
      </c>
      <c r="M12" s="395">
        <v>19.97</v>
      </c>
      <c r="N12" s="395">
        <v>37.67</v>
      </c>
      <c r="O12" s="395">
        <v>143.81</v>
      </c>
      <c r="P12" s="71"/>
      <c r="Q12" s="348"/>
    </row>
    <row r="13" spans="1:18" ht="15.75">
      <c r="A13" s="394" t="s">
        <v>140</v>
      </c>
      <c r="B13" s="347" t="s">
        <v>12</v>
      </c>
      <c r="C13" s="70" t="s">
        <v>13</v>
      </c>
      <c r="D13" s="395">
        <v>15440.480000000001</v>
      </c>
      <c r="E13" s="395">
        <v>74.250000000000014</v>
      </c>
      <c r="F13" s="395">
        <v>674.43999999999994</v>
      </c>
      <c r="G13" s="395">
        <v>1539.67</v>
      </c>
      <c r="H13" s="395">
        <v>1494.5500000000002</v>
      </c>
      <c r="I13" s="395">
        <v>1780.73</v>
      </c>
      <c r="J13" s="395">
        <v>751.84</v>
      </c>
      <c r="K13" s="395">
        <v>596.51</v>
      </c>
      <c r="L13" s="395">
        <v>918.3</v>
      </c>
      <c r="M13" s="395">
        <v>1210.8700000000001</v>
      </c>
      <c r="N13" s="395">
        <v>4218.5</v>
      </c>
      <c r="O13" s="395">
        <v>2180.8199999999997</v>
      </c>
      <c r="P13" s="71"/>
      <c r="Q13" s="348"/>
    </row>
    <row r="14" spans="1:18" ht="15.75">
      <c r="A14" s="394" t="s">
        <v>141</v>
      </c>
      <c r="B14" s="347" t="s">
        <v>14</v>
      </c>
      <c r="C14" s="70" t="s">
        <v>15</v>
      </c>
      <c r="D14" s="395">
        <v>27275.850000000002</v>
      </c>
      <c r="E14" s="395">
        <v>799.14</v>
      </c>
      <c r="F14" s="395">
        <v>3192.6600000000003</v>
      </c>
      <c r="G14" s="395">
        <v>8072.26</v>
      </c>
      <c r="H14" s="395">
        <v>3384.27</v>
      </c>
      <c r="I14" s="395">
        <v>1341.91</v>
      </c>
      <c r="J14" s="395">
        <v>1819.38</v>
      </c>
      <c r="K14" s="395">
        <v>2267.37</v>
      </c>
      <c r="L14" s="395">
        <v>2389.39</v>
      </c>
      <c r="M14" s="395">
        <v>1169.25</v>
      </c>
      <c r="N14" s="395">
        <v>1047.99</v>
      </c>
      <c r="O14" s="395">
        <v>1792.23</v>
      </c>
      <c r="P14" s="71"/>
      <c r="Q14" s="348"/>
    </row>
    <row r="15" spans="1:18" ht="15.75">
      <c r="A15" s="394" t="s">
        <v>142</v>
      </c>
      <c r="B15" s="347" t="s">
        <v>16</v>
      </c>
      <c r="C15" s="70" t="s">
        <v>17</v>
      </c>
      <c r="D15" s="395">
        <v>13311.81</v>
      </c>
      <c r="E15" s="395">
        <v>0</v>
      </c>
      <c r="F15" s="395">
        <v>0</v>
      </c>
      <c r="G15" s="395">
        <v>3830.66</v>
      </c>
      <c r="H15" s="395">
        <v>0</v>
      </c>
      <c r="I15" s="395">
        <v>0</v>
      </c>
      <c r="J15" s="395">
        <v>0</v>
      </c>
      <c r="K15" s="395">
        <v>0</v>
      </c>
      <c r="L15" s="395">
        <v>0</v>
      </c>
      <c r="M15" s="395">
        <v>0</v>
      </c>
      <c r="N15" s="395">
        <v>9407.25</v>
      </c>
      <c r="O15" s="395">
        <v>73.900000000000006</v>
      </c>
      <c r="P15" s="71"/>
      <c r="Q15" s="348"/>
    </row>
    <row r="16" spans="1:18" ht="15.75">
      <c r="A16" s="394" t="s">
        <v>143</v>
      </c>
      <c r="B16" s="347" t="s">
        <v>18</v>
      </c>
      <c r="C16" s="70" t="s">
        <v>19</v>
      </c>
      <c r="D16" s="395">
        <v>43026.239999999998</v>
      </c>
      <c r="E16" s="395">
        <v>73.260000000000005</v>
      </c>
      <c r="F16" s="395">
        <v>0</v>
      </c>
      <c r="G16" s="395">
        <v>17584</v>
      </c>
      <c r="H16" s="395">
        <v>21352.13</v>
      </c>
      <c r="I16" s="395">
        <v>0</v>
      </c>
      <c r="J16" s="395">
        <v>0</v>
      </c>
      <c r="K16" s="395">
        <v>1538.22</v>
      </c>
      <c r="L16" s="395">
        <v>2478.63</v>
      </c>
      <c r="M16" s="395">
        <v>0</v>
      </c>
      <c r="N16" s="395">
        <v>0</v>
      </c>
      <c r="O16" s="395">
        <v>0</v>
      </c>
      <c r="P16" s="71"/>
      <c r="Q16" s="348"/>
    </row>
    <row r="17" spans="1:17" ht="15.75">
      <c r="A17" s="394" t="s">
        <v>144</v>
      </c>
      <c r="B17" s="347" t="s">
        <v>20</v>
      </c>
      <c r="C17" s="70" t="s">
        <v>21</v>
      </c>
      <c r="D17" s="395">
        <v>34255.949999999997</v>
      </c>
      <c r="E17" s="395">
        <v>16.52</v>
      </c>
      <c r="F17" s="395">
        <v>842.72</v>
      </c>
      <c r="G17" s="395">
        <v>26369.21</v>
      </c>
      <c r="H17" s="395">
        <v>2863.6</v>
      </c>
      <c r="I17" s="395">
        <v>69.67</v>
      </c>
      <c r="J17" s="395">
        <v>316.3</v>
      </c>
      <c r="K17" s="395">
        <v>1015.59</v>
      </c>
      <c r="L17" s="395">
        <v>279.31</v>
      </c>
      <c r="M17" s="395">
        <v>41.21</v>
      </c>
      <c r="N17" s="395">
        <v>2410.87</v>
      </c>
      <c r="O17" s="395">
        <v>30.95</v>
      </c>
      <c r="P17" s="71"/>
      <c r="Q17" s="399"/>
    </row>
    <row r="18" spans="1:17" s="403" customFormat="1" ht="15.75">
      <c r="A18" s="350"/>
      <c r="B18" s="397" t="s">
        <v>243</v>
      </c>
      <c r="C18" s="350" t="s">
        <v>247</v>
      </c>
      <c r="D18" s="395">
        <v>29661.960000000003</v>
      </c>
      <c r="E18" s="400">
        <v>9.58</v>
      </c>
      <c r="F18" s="400">
        <v>622.98</v>
      </c>
      <c r="G18" s="400">
        <v>24452.27</v>
      </c>
      <c r="H18" s="400">
        <v>1344.23</v>
      </c>
      <c r="I18" s="400">
        <v>58.8</v>
      </c>
      <c r="J18" s="400">
        <v>314.8</v>
      </c>
      <c r="K18" s="400">
        <v>740.52</v>
      </c>
      <c r="L18" s="400">
        <v>279.31</v>
      </c>
      <c r="M18" s="400">
        <v>41.21</v>
      </c>
      <c r="N18" s="400">
        <v>1790.9</v>
      </c>
      <c r="O18" s="400">
        <v>7.36</v>
      </c>
      <c r="P18" s="401"/>
      <c r="Q18" s="402"/>
    </row>
    <row r="19" spans="1:17" ht="15.75">
      <c r="A19" s="394" t="s">
        <v>145</v>
      </c>
      <c r="B19" s="347" t="s">
        <v>22</v>
      </c>
      <c r="C19" s="70" t="s">
        <v>23</v>
      </c>
      <c r="D19" s="395">
        <v>122.69</v>
      </c>
      <c r="E19" s="395">
        <v>8.7100000000000009</v>
      </c>
      <c r="F19" s="395">
        <v>3.67</v>
      </c>
      <c r="G19" s="395">
        <v>13.47</v>
      </c>
      <c r="H19" s="395">
        <v>25.23</v>
      </c>
      <c r="I19" s="395">
        <v>4.3</v>
      </c>
      <c r="J19" s="395">
        <v>17.190000000000001</v>
      </c>
      <c r="K19" s="395">
        <v>16.97</v>
      </c>
      <c r="L19" s="395">
        <v>22.97</v>
      </c>
      <c r="M19" s="395">
        <v>6.54</v>
      </c>
      <c r="N19" s="395">
        <v>0.74</v>
      </c>
      <c r="O19" s="395">
        <v>2.9</v>
      </c>
      <c r="P19" s="71"/>
      <c r="Q19" s="348"/>
    </row>
    <row r="20" spans="1:17" ht="15.75">
      <c r="A20" s="394" t="s">
        <v>146</v>
      </c>
      <c r="B20" s="347" t="s">
        <v>24</v>
      </c>
      <c r="C20" s="70" t="s">
        <v>25</v>
      </c>
      <c r="D20" s="395">
        <v>0</v>
      </c>
      <c r="E20" s="395">
        <v>0</v>
      </c>
      <c r="F20" s="395">
        <v>0</v>
      </c>
      <c r="G20" s="395">
        <v>0</v>
      </c>
      <c r="H20" s="395">
        <v>0</v>
      </c>
      <c r="I20" s="395">
        <v>0</v>
      </c>
      <c r="J20" s="395">
        <v>0</v>
      </c>
      <c r="K20" s="395">
        <v>0</v>
      </c>
      <c r="L20" s="395">
        <v>0</v>
      </c>
      <c r="M20" s="395">
        <v>0</v>
      </c>
      <c r="N20" s="395">
        <v>0</v>
      </c>
      <c r="O20" s="395">
        <v>0</v>
      </c>
      <c r="P20" s="71"/>
      <c r="Q20" s="348"/>
    </row>
    <row r="21" spans="1:17" ht="15.75">
      <c r="A21" s="394" t="s">
        <v>147</v>
      </c>
      <c r="B21" s="347" t="s">
        <v>26</v>
      </c>
      <c r="C21" s="70" t="s">
        <v>27</v>
      </c>
      <c r="D21" s="395">
        <v>96.72999999999999</v>
      </c>
      <c r="E21" s="395">
        <v>3.73</v>
      </c>
      <c r="F21" s="395">
        <v>1.2</v>
      </c>
      <c r="G21" s="395">
        <v>86.8</v>
      </c>
      <c r="H21" s="395">
        <v>1.7</v>
      </c>
      <c r="I21" s="395">
        <v>0</v>
      </c>
      <c r="J21" s="395">
        <v>3.3</v>
      </c>
      <c r="K21" s="395">
        <v>0</v>
      </c>
      <c r="L21" s="395">
        <v>0</v>
      </c>
      <c r="M21" s="395">
        <v>0</v>
      </c>
      <c r="N21" s="395">
        <v>0</v>
      </c>
      <c r="O21" s="395">
        <v>0</v>
      </c>
      <c r="P21" s="71"/>
      <c r="Q21" s="348"/>
    </row>
    <row r="22" spans="1:17" ht="15.75">
      <c r="A22" s="444">
        <v>2</v>
      </c>
      <c r="B22" s="392" t="s">
        <v>28</v>
      </c>
      <c r="C22" s="393" t="s">
        <v>29</v>
      </c>
      <c r="D22" s="346">
        <v>8266.08</v>
      </c>
      <c r="E22" s="346">
        <v>320.77</v>
      </c>
      <c r="F22" s="346">
        <v>1453.96</v>
      </c>
      <c r="G22" s="346">
        <v>797.25</v>
      </c>
      <c r="H22" s="346">
        <v>459.99</v>
      </c>
      <c r="I22" s="346">
        <v>771.27</v>
      </c>
      <c r="J22" s="346">
        <v>738.2</v>
      </c>
      <c r="K22" s="346">
        <v>260.08</v>
      </c>
      <c r="L22" s="346">
        <v>288.8</v>
      </c>
      <c r="M22" s="346">
        <v>1320.03</v>
      </c>
      <c r="N22" s="346">
        <v>1387.25</v>
      </c>
      <c r="O22" s="346">
        <v>468.48</v>
      </c>
      <c r="P22" s="71"/>
      <c r="Q22" s="348"/>
    </row>
    <row r="23" spans="1:17" ht="15.75">
      <c r="A23" s="394" t="s">
        <v>148</v>
      </c>
      <c r="B23" s="347" t="s">
        <v>30</v>
      </c>
      <c r="C23" s="70" t="s">
        <v>31</v>
      </c>
      <c r="D23" s="395">
        <v>117.88</v>
      </c>
      <c r="E23" s="395">
        <v>24.39</v>
      </c>
      <c r="F23" s="395">
        <v>51.11</v>
      </c>
      <c r="G23" s="395">
        <v>24.44</v>
      </c>
      <c r="H23" s="395">
        <v>17.7</v>
      </c>
      <c r="I23" s="395">
        <v>0.08</v>
      </c>
      <c r="J23" s="395">
        <v>0</v>
      </c>
      <c r="K23" s="395">
        <v>0</v>
      </c>
      <c r="L23" s="395">
        <v>0</v>
      </c>
      <c r="M23" s="395">
        <v>0</v>
      </c>
      <c r="N23" s="395">
        <v>0.16</v>
      </c>
      <c r="O23" s="395">
        <v>0</v>
      </c>
      <c r="P23" s="71"/>
      <c r="Q23" s="348"/>
    </row>
    <row r="24" spans="1:17" ht="15.75">
      <c r="A24" s="394" t="s">
        <v>138</v>
      </c>
      <c r="B24" s="347" t="s">
        <v>32</v>
      </c>
      <c r="C24" s="70" t="s">
        <v>33</v>
      </c>
      <c r="D24" s="395">
        <v>0.97</v>
      </c>
      <c r="E24" s="395">
        <v>0.97</v>
      </c>
      <c r="F24" s="395">
        <v>0</v>
      </c>
      <c r="G24" s="395">
        <v>0</v>
      </c>
      <c r="H24" s="395">
        <v>0</v>
      </c>
      <c r="I24" s="395">
        <v>0</v>
      </c>
      <c r="J24" s="395">
        <v>0</v>
      </c>
      <c r="K24" s="395">
        <v>0</v>
      </c>
      <c r="L24" s="395">
        <v>0</v>
      </c>
      <c r="M24" s="395">
        <v>0</v>
      </c>
      <c r="N24" s="395">
        <v>0</v>
      </c>
      <c r="O24" s="395">
        <v>0</v>
      </c>
      <c r="P24" s="71"/>
      <c r="Q24" s="348"/>
    </row>
    <row r="25" spans="1:17" ht="15.75">
      <c r="A25" s="394" t="s">
        <v>149</v>
      </c>
      <c r="B25" s="347" t="s">
        <v>34</v>
      </c>
      <c r="C25" s="70" t="s">
        <v>35</v>
      </c>
      <c r="D25" s="395">
        <v>0</v>
      </c>
      <c r="E25" s="395">
        <v>0</v>
      </c>
      <c r="F25" s="395">
        <v>0</v>
      </c>
      <c r="G25" s="395">
        <v>0</v>
      </c>
      <c r="H25" s="395">
        <v>0</v>
      </c>
      <c r="I25" s="395">
        <v>0</v>
      </c>
      <c r="J25" s="395">
        <v>0</v>
      </c>
      <c r="K25" s="395">
        <v>0</v>
      </c>
      <c r="L25" s="395">
        <v>0</v>
      </c>
      <c r="M25" s="395">
        <v>0</v>
      </c>
      <c r="N25" s="395">
        <v>0</v>
      </c>
      <c r="O25" s="395">
        <v>0</v>
      </c>
      <c r="P25" s="71"/>
      <c r="Q25" s="348"/>
    </row>
    <row r="26" spans="1:17" ht="15.75">
      <c r="A26" s="394" t="s">
        <v>150</v>
      </c>
      <c r="B26" s="347" t="s">
        <v>36</v>
      </c>
      <c r="C26" s="70" t="s">
        <v>37</v>
      </c>
      <c r="D26" s="395">
        <v>0</v>
      </c>
      <c r="E26" s="395">
        <v>0</v>
      </c>
      <c r="F26" s="395">
        <v>0</v>
      </c>
      <c r="G26" s="395">
        <v>0</v>
      </c>
      <c r="H26" s="395">
        <v>0</v>
      </c>
      <c r="I26" s="395">
        <v>0</v>
      </c>
      <c r="J26" s="395">
        <v>0</v>
      </c>
      <c r="K26" s="395">
        <v>0</v>
      </c>
      <c r="L26" s="395">
        <v>0</v>
      </c>
      <c r="M26" s="395">
        <v>0</v>
      </c>
      <c r="N26" s="395">
        <v>0</v>
      </c>
      <c r="O26" s="395">
        <v>0</v>
      </c>
      <c r="P26" s="71"/>
      <c r="Q26" s="348"/>
    </row>
    <row r="27" spans="1:17" ht="15.75">
      <c r="A27" s="394" t="s">
        <v>151</v>
      </c>
      <c r="B27" s="347" t="s">
        <v>38</v>
      </c>
      <c r="C27" s="70" t="s">
        <v>39</v>
      </c>
      <c r="D27" s="395">
        <v>5.1599999999999993</v>
      </c>
      <c r="E27" s="395">
        <v>2.04</v>
      </c>
      <c r="F27" s="395">
        <v>0</v>
      </c>
      <c r="G27" s="395">
        <v>0.39</v>
      </c>
      <c r="H27" s="395">
        <v>0.32</v>
      </c>
      <c r="I27" s="395">
        <v>0.31</v>
      </c>
      <c r="J27" s="395">
        <v>0</v>
      </c>
      <c r="K27" s="395">
        <v>0.65999999999999992</v>
      </c>
      <c r="L27" s="395">
        <v>1.34</v>
      </c>
      <c r="M27" s="395">
        <v>0</v>
      </c>
      <c r="N27" s="395">
        <v>0</v>
      </c>
      <c r="O27" s="395">
        <v>0.1</v>
      </c>
      <c r="P27" s="71"/>
      <c r="Q27" s="348"/>
    </row>
    <row r="28" spans="1:17" ht="15.75">
      <c r="A28" s="394" t="s">
        <v>152</v>
      </c>
      <c r="B28" s="347" t="s">
        <v>40</v>
      </c>
      <c r="C28" s="70" t="s">
        <v>41</v>
      </c>
      <c r="D28" s="395">
        <v>56.289999999999992</v>
      </c>
      <c r="E28" s="395">
        <v>0</v>
      </c>
      <c r="F28" s="395">
        <v>2.99</v>
      </c>
      <c r="G28" s="395">
        <v>4.7699999999999996</v>
      </c>
      <c r="H28" s="395">
        <v>1.31</v>
      </c>
      <c r="I28" s="395">
        <v>27.2</v>
      </c>
      <c r="J28" s="395">
        <v>0.41</v>
      </c>
      <c r="K28" s="395">
        <v>18.79</v>
      </c>
      <c r="L28" s="395">
        <v>0.32</v>
      </c>
      <c r="M28" s="395">
        <v>0.5</v>
      </c>
      <c r="N28" s="395">
        <v>0</v>
      </c>
      <c r="O28" s="395">
        <v>0</v>
      </c>
      <c r="P28" s="71"/>
      <c r="Q28" s="348"/>
    </row>
    <row r="29" spans="1:17" ht="15.75">
      <c r="A29" s="394" t="s">
        <v>153</v>
      </c>
      <c r="B29" s="347" t="s">
        <v>42</v>
      </c>
      <c r="C29" s="70" t="s">
        <v>43</v>
      </c>
      <c r="D29" s="395">
        <v>4.66</v>
      </c>
      <c r="E29" s="395">
        <v>0</v>
      </c>
      <c r="F29" s="395">
        <v>0</v>
      </c>
      <c r="G29" s="395">
        <v>0</v>
      </c>
      <c r="H29" s="395">
        <v>0</v>
      </c>
      <c r="I29" s="395">
        <v>0</v>
      </c>
      <c r="J29" s="395">
        <v>0</v>
      </c>
      <c r="K29" s="395">
        <v>4.66</v>
      </c>
      <c r="L29" s="395">
        <v>0</v>
      </c>
      <c r="M29" s="395">
        <v>0</v>
      </c>
      <c r="N29" s="395">
        <v>0</v>
      </c>
      <c r="O29" s="395">
        <v>0</v>
      </c>
      <c r="P29" s="71"/>
      <c r="Q29" s="348"/>
    </row>
    <row r="30" spans="1:17" ht="15.75">
      <c r="A30" s="394" t="s">
        <v>154</v>
      </c>
      <c r="B30" s="347" t="s">
        <v>179</v>
      </c>
      <c r="C30" s="70" t="s">
        <v>66</v>
      </c>
      <c r="D30" s="395">
        <v>22.73</v>
      </c>
      <c r="E30" s="395">
        <v>0</v>
      </c>
      <c r="F30" s="395">
        <v>0</v>
      </c>
      <c r="G30" s="395">
        <v>5.07</v>
      </c>
      <c r="H30" s="395">
        <v>0</v>
      </c>
      <c r="I30" s="395">
        <v>11.09</v>
      </c>
      <c r="J30" s="395">
        <v>5.04</v>
      </c>
      <c r="K30" s="395">
        <v>0</v>
      </c>
      <c r="L30" s="395">
        <v>0</v>
      </c>
      <c r="M30" s="395">
        <v>0.1</v>
      </c>
      <c r="N30" s="395">
        <v>0</v>
      </c>
      <c r="O30" s="395">
        <v>1.43</v>
      </c>
      <c r="P30" s="71"/>
      <c r="Q30" s="348"/>
    </row>
    <row r="31" spans="1:17" ht="15.75">
      <c r="A31" s="394" t="s">
        <v>155</v>
      </c>
      <c r="B31" s="347" t="s">
        <v>180</v>
      </c>
      <c r="C31" s="70" t="s">
        <v>45</v>
      </c>
      <c r="D31" s="395">
        <v>6098.9</v>
      </c>
      <c r="E31" s="395">
        <v>118.91000000000001</v>
      </c>
      <c r="F31" s="395">
        <v>1197.4900000000002</v>
      </c>
      <c r="G31" s="395">
        <v>397.5</v>
      </c>
      <c r="H31" s="395">
        <v>233.88</v>
      </c>
      <c r="I31" s="395">
        <v>634.94000000000005</v>
      </c>
      <c r="J31" s="395">
        <v>622.84</v>
      </c>
      <c r="K31" s="395">
        <v>98.4</v>
      </c>
      <c r="L31" s="395">
        <v>110.52000000000001</v>
      </c>
      <c r="M31" s="395">
        <v>1219.99</v>
      </c>
      <c r="N31" s="395">
        <v>1258.8599999999999</v>
      </c>
      <c r="O31" s="395">
        <v>205.57000000000002</v>
      </c>
      <c r="P31" s="71"/>
      <c r="Q31" s="348"/>
    </row>
    <row r="32" spans="1:17" s="403" customFormat="1" ht="16.5" customHeight="1">
      <c r="A32" s="350"/>
      <c r="B32" s="397" t="s">
        <v>216</v>
      </c>
      <c r="C32" s="398" t="s">
        <v>196</v>
      </c>
      <c r="D32" s="400">
        <v>1158.3399999999999</v>
      </c>
      <c r="E32" s="400">
        <v>72.47</v>
      </c>
      <c r="F32" s="400">
        <v>112.54</v>
      </c>
      <c r="G32" s="400">
        <v>374.69</v>
      </c>
      <c r="H32" s="400">
        <v>164.38</v>
      </c>
      <c r="I32" s="400">
        <v>62.36</v>
      </c>
      <c r="J32" s="400">
        <v>53.3</v>
      </c>
      <c r="K32" s="400">
        <v>41.83</v>
      </c>
      <c r="L32" s="400">
        <v>75.069999999999993</v>
      </c>
      <c r="M32" s="400">
        <v>37.880000000000003</v>
      </c>
      <c r="N32" s="400">
        <v>93.46</v>
      </c>
      <c r="O32" s="400">
        <v>70.36</v>
      </c>
      <c r="P32" s="401"/>
      <c r="Q32" s="404"/>
    </row>
    <row r="33" spans="1:17" s="403" customFormat="1" ht="15.75">
      <c r="A33" s="350"/>
      <c r="B33" s="397" t="s">
        <v>217</v>
      </c>
      <c r="C33" s="398" t="s">
        <v>194</v>
      </c>
      <c r="D33" s="400">
        <v>90.080000000000013</v>
      </c>
      <c r="E33" s="400">
        <v>3.57</v>
      </c>
      <c r="F33" s="400">
        <v>1.68</v>
      </c>
      <c r="G33" s="400">
        <v>0.06</v>
      </c>
      <c r="H33" s="400">
        <v>3.41</v>
      </c>
      <c r="I33" s="400">
        <v>36.11</v>
      </c>
      <c r="J33" s="400">
        <v>14.1</v>
      </c>
      <c r="K33" s="400">
        <v>2.54</v>
      </c>
      <c r="L33" s="400">
        <v>3.51</v>
      </c>
      <c r="M33" s="400">
        <v>14.7</v>
      </c>
      <c r="N33" s="400">
        <v>2.4</v>
      </c>
      <c r="O33" s="400">
        <v>8</v>
      </c>
      <c r="P33" s="401"/>
      <c r="Q33" s="404"/>
    </row>
    <row r="34" spans="1:17" s="403" customFormat="1" ht="15.75">
      <c r="A34" s="350"/>
      <c r="B34" s="397" t="s">
        <v>210</v>
      </c>
      <c r="C34" s="398" t="s">
        <v>220</v>
      </c>
      <c r="D34" s="400">
        <v>6.19</v>
      </c>
      <c r="E34" s="400">
        <v>5.86</v>
      </c>
      <c r="F34" s="400">
        <v>0</v>
      </c>
      <c r="G34" s="400">
        <v>0</v>
      </c>
      <c r="H34" s="400">
        <v>0</v>
      </c>
      <c r="I34" s="400">
        <v>0</v>
      </c>
      <c r="J34" s="400">
        <v>0</v>
      </c>
      <c r="K34" s="400">
        <v>0.12</v>
      </c>
      <c r="L34" s="400">
        <v>0</v>
      </c>
      <c r="M34" s="400">
        <v>0</v>
      </c>
      <c r="N34" s="400">
        <v>0</v>
      </c>
      <c r="O34" s="400">
        <v>0.21</v>
      </c>
      <c r="P34" s="401"/>
      <c r="Q34" s="404"/>
    </row>
    <row r="35" spans="1:17" s="403" customFormat="1" ht="15.75">
      <c r="A35" s="350"/>
      <c r="B35" s="397" t="s">
        <v>211</v>
      </c>
      <c r="C35" s="398" t="s">
        <v>221</v>
      </c>
      <c r="D35" s="400">
        <v>4.96</v>
      </c>
      <c r="E35" s="400">
        <v>1.93</v>
      </c>
      <c r="F35" s="400">
        <v>0.21</v>
      </c>
      <c r="G35" s="400">
        <v>1</v>
      </c>
      <c r="H35" s="400">
        <v>0.22</v>
      </c>
      <c r="I35" s="400">
        <v>0.17</v>
      </c>
      <c r="J35" s="400">
        <v>0.15</v>
      </c>
      <c r="K35" s="400">
        <v>0.16</v>
      </c>
      <c r="L35" s="400">
        <v>0.15</v>
      </c>
      <c r="M35" s="400">
        <v>0.18</v>
      </c>
      <c r="N35" s="400">
        <v>0.45</v>
      </c>
      <c r="O35" s="400">
        <v>0.34</v>
      </c>
      <c r="P35" s="401"/>
      <c r="Q35" s="404"/>
    </row>
    <row r="36" spans="1:17" s="403" customFormat="1" ht="15.75">
      <c r="A36" s="350"/>
      <c r="B36" s="397" t="s">
        <v>212</v>
      </c>
      <c r="C36" s="398" t="s">
        <v>192</v>
      </c>
      <c r="D36" s="400">
        <v>63.25</v>
      </c>
      <c r="E36" s="400">
        <v>18.170000000000002</v>
      </c>
      <c r="F36" s="400">
        <v>6.35</v>
      </c>
      <c r="G36" s="400">
        <v>6.46</v>
      </c>
      <c r="H36" s="400">
        <v>3.23</v>
      </c>
      <c r="I36" s="400">
        <v>5.6</v>
      </c>
      <c r="J36" s="400">
        <v>2.46</v>
      </c>
      <c r="K36" s="400">
        <v>4.8499999999999996</v>
      </c>
      <c r="L36" s="400">
        <v>4.26</v>
      </c>
      <c r="M36" s="400">
        <v>2.89</v>
      </c>
      <c r="N36" s="400">
        <v>4.05</v>
      </c>
      <c r="O36" s="400">
        <v>4.93</v>
      </c>
      <c r="P36" s="401"/>
      <c r="Q36" s="404"/>
    </row>
    <row r="37" spans="1:17" s="403" customFormat="1" ht="15.75">
      <c r="A37" s="350"/>
      <c r="B37" s="397" t="s">
        <v>213</v>
      </c>
      <c r="C37" s="398" t="s">
        <v>195</v>
      </c>
      <c r="D37" s="400">
        <v>16.670000000000002</v>
      </c>
      <c r="E37" s="400">
        <v>4.08</v>
      </c>
      <c r="F37" s="400">
        <v>2.41</v>
      </c>
      <c r="G37" s="400">
        <v>1.63</v>
      </c>
      <c r="H37" s="400">
        <v>0.28000000000000003</v>
      </c>
      <c r="I37" s="400">
        <v>1.23</v>
      </c>
      <c r="J37" s="400">
        <v>2.91</v>
      </c>
      <c r="K37" s="400">
        <v>1.32</v>
      </c>
      <c r="L37" s="400">
        <v>0.68</v>
      </c>
      <c r="M37" s="400">
        <v>0</v>
      </c>
      <c r="N37" s="400">
        <v>0</v>
      </c>
      <c r="O37" s="400">
        <v>2.13</v>
      </c>
      <c r="P37" s="401"/>
      <c r="Q37" s="404"/>
    </row>
    <row r="38" spans="1:17" s="403" customFormat="1" ht="15.75">
      <c r="A38" s="350"/>
      <c r="B38" s="397" t="s">
        <v>248</v>
      </c>
      <c r="C38" s="398" t="s">
        <v>193</v>
      </c>
      <c r="D38" s="400">
        <v>4625.3500000000004</v>
      </c>
      <c r="E38" s="400">
        <v>0.28999999999999998</v>
      </c>
      <c r="F38" s="400">
        <v>1064.98</v>
      </c>
      <c r="G38" s="400">
        <v>1.31</v>
      </c>
      <c r="H38" s="400">
        <v>51.5</v>
      </c>
      <c r="I38" s="400">
        <v>501.75</v>
      </c>
      <c r="J38" s="400">
        <v>544.51</v>
      </c>
      <c r="K38" s="400">
        <v>35.36</v>
      </c>
      <c r="L38" s="400">
        <v>0</v>
      </c>
      <c r="M38" s="400">
        <v>1161.31</v>
      </c>
      <c r="N38" s="400">
        <v>1155.25</v>
      </c>
      <c r="O38" s="400">
        <v>109.09</v>
      </c>
      <c r="P38" s="401"/>
      <c r="Q38" s="404"/>
    </row>
    <row r="39" spans="1:17" s="403" customFormat="1" ht="15.75">
      <c r="A39" s="350"/>
      <c r="B39" s="397" t="s">
        <v>218</v>
      </c>
      <c r="C39" s="398" t="s">
        <v>224</v>
      </c>
      <c r="D39" s="400">
        <v>1.02</v>
      </c>
      <c r="E39" s="400">
        <v>0.3</v>
      </c>
      <c r="F39" s="400">
        <v>0.3</v>
      </c>
      <c r="G39" s="400">
        <v>0.04</v>
      </c>
      <c r="H39" s="400">
        <v>0</v>
      </c>
      <c r="I39" s="400">
        <v>0.02</v>
      </c>
      <c r="J39" s="400">
        <v>0.22</v>
      </c>
      <c r="K39" s="400">
        <v>0.04</v>
      </c>
      <c r="L39" s="400">
        <v>0.05</v>
      </c>
      <c r="M39" s="400">
        <v>0</v>
      </c>
      <c r="N39" s="400">
        <v>0.03</v>
      </c>
      <c r="O39" s="400">
        <v>0.02</v>
      </c>
      <c r="P39" s="401"/>
      <c r="Q39" s="404"/>
    </row>
    <row r="40" spans="1:17" s="403" customFormat="1" ht="15.75">
      <c r="A40" s="350"/>
      <c r="B40" s="397" t="s">
        <v>244</v>
      </c>
      <c r="C40" s="398" t="s">
        <v>245</v>
      </c>
      <c r="D40" s="400"/>
      <c r="E40" s="400">
        <v>0</v>
      </c>
      <c r="F40" s="400">
        <v>0</v>
      </c>
      <c r="G40" s="400">
        <v>0</v>
      </c>
      <c r="H40" s="400">
        <v>0</v>
      </c>
      <c r="I40" s="400">
        <v>0</v>
      </c>
      <c r="J40" s="400">
        <v>0</v>
      </c>
      <c r="K40" s="400">
        <v>0</v>
      </c>
      <c r="L40" s="400">
        <v>0</v>
      </c>
      <c r="M40" s="400">
        <v>0</v>
      </c>
      <c r="N40" s="400">
        <v>0</v>
      </c>
      <c r="O40" s="400">
        <v>0</v>
      </c>
      <c r="P40" s="401"/>
      <c r="Q40" s="404"/>
    </row>
    <row r="41" spans="1:17" s="403" customFormat="1" ht="15.75">
      <c r="A41" s="350"/>
      <c r="B41" s="397" t="s">
        <v>46</v>
      </c>
      <c r="C41" s="398" t="s">
        <v>47</v>
      </c>
      <c r="D41" s="400">
        <v>3.86</v>
      </c>
      <c r="E41" s="400">
        <v>0</v>
      </c>
      <c r="F41" s="400">
        <v>0.01</v>
      </c>
      <c r="G41" s="400">
        <v>0.22</v>
      </c>
      <c r="H41" s="400">
        <v>0.28999999999999998</v>
      </c>
      <c r="I41" s="400">
        <v>0</v>
      </c>
      <c r="J41" s="400">
        <v>0</v>
      </c>
      <c r="K41" s="400">
        <v>0</v>
      </c>
      <c r="L41" s="400">
        <v>0</v>
      </c>
      <c r="M41" s="400">
        <v>0</v>
      </c>
      <c r="N41" s="400">
        <v>0</v>
      </c>
      <c r="O41" s="400">
        <v>3.34</v>
      </c>
      <c r="P41" s="401"/>
      <c r="Q41" s="404"/>
    </row>
    <row r="42" spans="1:17" s="403" customFormat="1" ht="15.75">
      <c r="A42" s="350"/>
      <c r="B42" s="397" t="s">
        <v>50</v>
      </c>
      <c r="C42" s="398" t="s">
        <v>51</v>
      </c>
      <c r="D42" s="400">
        <v>2.66</v>
      </c>
      <c r="E42" s="400">
        <v>0.93</v>
      </c>
      <c r="F42" s="400">
        <v>0</v>
      </c>
      <c r="G42" s="400">
        <v>0</v>
      </c>
      <c r="H42" s="400">
        <v>0</v>
      </c>
      <c r="I42" s="400">
        <v>1.73</v>
      </c>
      <c r="J42" s="400">
        <v>0</v>
      </c>
      <c r="K42" s="400">
        <v>0</v>
      </c>
      <c r="L42" s="400">
        <v>0</v>
      </c>
      <c r="M42" s="400">
        <v>0</v>
      </c>
      <c r="N42" s="400">
        <v>0</v>
      </c>
      <c r="O42" s="400">
        <v>0</v>
      </c>
      <c r="P42" s="401"/>
      <c r="Q42" s="404"/>
    </row>
    <row r="43" spans="1:17" s="403" customFormat="1" ht="15.75">
      <c r="A43" s="350"/>
      <c r="B43" s="397" t="s">
        <v>62</v>
      </c>
      <c r="C43" s="398" t="s">
        <v>63</v>
      </c>
      <c r="D43" s="400">
        <v>5.8500000000000005</v>
      </c>
      <c r="E43" s="400">
        <v>1.99</v>
      </c>
      <c r="F43" s="400">
        <v>2.42</v>
      </c>
      <c r="G43" s="400">
        <v>0</v>
      </c>
      <c r="H43" s="400">
        <v>0.96</v>
      </c>
      <c r="I43" s="400">
        <v>0.23</v>
      </c>
      <c r="J43" s="400">
        <v>0.25</v>
      </c>
      <c r="K43" s="400">
        <v>0</v>
      </c>
      <c r="L43" s="400">
        <v>0</v>
      </c>
      <c r="M43" s="400">
        <v>0</v>
      </c>
      <c r="N43" s="400">
        <v>0</v>
      </c>
      <c r="O43" s="400">
        <v>0</v>
      </c>
      <c r="P43" s="401"/>
      <c r="Q43" s="404"/>
    </row>
    <row r="44" spans="1:17" s="403" customFormat="1" ht="15.75">
      <c r="A44" s="350"/>
      <c r="B44" s="397" t="s">
        <v>246</v>
      </c>
      <c r="C44" s="398" t="s">
        <v>64</v>
      </c>
      <c r="D44" s="400">
        <v>116.26</v>
      </c>
      <c r="E44" s="400">
        <v>7.18</v>
      </c>
      <c r="F44" s="400">
        <v>6.41</v>
      </c>
      <c r="G44" s="400">
        <v>10.57</v>
      </c>
      <c r="H44" s="400">
        <v>9.31</v>
      </c>
      <c r="I44" s="400">
        <v>25.65</v>
      </c>
      <c r="J44" s="400">
        <v>4.9400000000000004</v>
      </c>
      <c r="K44" s="400">
        <v>12.18</v>
      </c>
      <c r="L44" s="400">
        <v>26.8</v>
      </c>
      <c r="M44" s="400">
        <v>3.03</v>
      </c>
      <c r="N44" s="400">
        <v>3.22</v>
      </c>
      <c r="O44" s="400">
        <v>6.97</v>
      </c>
      <c r="P44" s="401"/>
      <c r="Q44" s="404"/>
    </row>
    <row r="45" spans="1:17" s="403" customFormat="1" ht="15.75">
      <c r="A45" s="350"/>
      <c r="B45" s="397" t="s">
        <v>214</v>
      </c>
      <c r="C45" s="398" t="s">
        <v>222</v>
      </c>
      <c r="D45" s="400">
        <v>0</v>
      </c>
      <c r="E45" s="400">
        <v>0</v>
      </c>
      <c r="F45" s="400">
        <v>0</v>
      </c>
      <c r="G45" s="400">
        <v>0</v>
      </c>
      <c r="H45" s="400">
        <v>0</v>
      </c>
      <c r="I45" s="400">
        <v>0</v>
      </c>
      <c r="J45" s="400">
        <v>0</v>
      </c>
      <c r="K45" s="400">
        <v>0</v>
      </c>
      <c r="L45" s="400">
        <v>0</v>
      </c>
      <c r="M45" s="400">
        <v>0</v>
      </c>
      <c r="N45" s="400">
        <v>0</v>
      </c>
      <c r="O45" s="400">
        <v>0</v>
      </c>
      <c r="P45" s="401"/>
      <c r="Q45" s="404"/>
    </row>
    <row r="46" spans="1:17" s="403" customFormat="1" ht="15.75">
      <c r="A46" s="350"/>
      <c r="B46" s="397" t="s">
        <v>215</v>
      </c>
      <c r="C46" s="398" t="s">
        <v>223</v>
      </c>
      <c r="D46" s="400">
        <v>0.66</v>
      </c>
      <c r="E46" s="400">
        <v>0.66</v>
      </c>
      <c r="F46" s="400">
        <v>0</v>
      </c>
      <c r="G46" s="400">
        <v>0</v>
      </c>
      <c r="H46" s="400">
        <v>0</v>
      </c>
      <c r="I46" s="400">
        <v>0</v>
      </c>
      <c r="J46" s="400">
        <v>0</v>
      </c>
      <c r="K46" s="400">
        <v>0</v>
      </c>
      <c r="L46" s="400">
        <v>0</v>
      </c>
      <c r="M46" s="400">
        <v>0</v>
      </c>
      <c r="N46" s="400">
        <v>0</v>
      </c>
      <c r="O46" s="400">
        <v>0</v>
      </c>
      <c r="P46" s="401"/>
      <c r="Q46" s="404"/>
    </row>
    <row r="47" spans="1:17" s="403" customFormat="1" ht="15.75">
      <c r="A47" s="350"/>
      <c r="B47" s="397" t="s">
        <v>219</v>
      </c>
      <c r="C47" s="398" t="s">
        <v>204</v>
      </c>
      <c r="D47" s="400">
        <v>3.7499999999999996</v>
      </c>
      <c r="E47" s="400">
        <v>1.48</v>
      </c>
      <c r="F47" s="400">
        <v>0.18</v>
      </c>
      <c r="G47" s="400">
        <v>1.52</v>
      </c>
      <c r="H47" s="400">
        <v>0.3</v>
      </c>
      <c r="I47" s="400">
        <v>0.09</v>
      </c>
      <c r="J47" s="400">
        <v>0</v>
      </c>
      <c r="K47" s="400">
        <v>0</v>
      </c>
      <c r="L47" s="400">
        <v>0</v>
      </c>
      <c r="M47" s="400">
        <v>0</v>
      </c>
      <c r="N47" s="400">
        <v>0</v>
      </c>
      <c r="O47" s="400">
        <v>0.18</v>
      </c>
      <c r="P47" s="401"/>
      <c r="Q47" s="404"/>
    </row>
    <row r="48" spans="1:17" ht="15.75">
      <c r="A48" s="394" t="s">
        <v>156</v>
      </c>
      <c r="B48" s="347" t="s">
        <v>48</v>
      </c>
      <c r="C48" s="70" t="s">
        <v>49</v>
      </c>
      <c r="D48" s="395"/>
      <c r="E48" s="395">
        <v>0</v>
      </c>
      <c r="F48" s="395">
        <v>0</v>
      </c>
      <c r="G48" s="395">
        <v>0</v>
      </c>
      <c r="H48" s="395">
        <v>0</v>
      </c>
      <c r="I48" s="395">
        <v>0</v>
      </c>
      <c r="J48" s="395">
        <v>0</v>
      </c>
      <c r="K48" s="395">
        <v>0</v>
      </c>
      <c r="L48" s="395">
        <v>0</v>
      </c>
      <c r="M48" s="395">
        <v>0</v>
      </c>
      <c r="N48" s="395">
        <v>0</v>
      </c>
      <c r="O48" s="395">
        <v>0</v>
      </c>
      <c r="P48" s="71"/>
      <c r="Q48" s="348"/>
    </row>
    <row r="49" spans="1:17" ht="15.75">
      <c r="A49" s="394" t="s">
        <v>157</v>
      </c>
      <c r="B49" s="347" t="s">
        <v>67</v>
      </c>
      <c r="C49" s="70" t="s">
        <v>68</v>
      </c>
      <c r="D49" s="395">
        <v>13.11</v>
      </c>
      <c r="E49" s="395">
        <v>1.25</v>
      </c>
      <c r="F49" s="395">
        <v>2.95</v>
      </c>
      <c r="G49" s="395">
        <v>1.69</v>
      </c>
      <c r="H49" s="395">
        <v>0.49</v>
      </c>
      <c r="I49" s="395">
        <v>1.1200000000000001</v>
      </c>
      <c r="J49" s="395">
        <v>1.64</v>
      </c>
      <c r="K49" s="395">
        <v>0.26</v>
      </c>
      <c r="L49" s="395">
        <v>0.28999999999999998</v>
      </c>
      <c r="M49" s="395">
        <v>0.49</v>
      </c>
      <c r="N49" s="395">
        <v>1.38</v>
      </c>
      <c r="O49" s="395">
        <v>1.55</v>
      </c>
      <c r="P49" s="71"/>
      <c r="Q49" s="348"/>
    </row>
    <row r="50" spans="1:17" ht="15.75">
      <c r="A50" s="394" t="s">
        <v>158</v>
      </c>
      <c r="B50" s="347" t="s">
        <v>69</v>
      </c>
      <c r="C50" s="70" t="s">
        <v>70</v>
      </c>
      <c r="D50" s="395">
        <v>3.08</v>
      </c>
      <c r="E50" s="395">
        <v>2.4</v>
      </c>
      <c r="F50" s="395">
        <v>0</v>
      </c>
      <c r="G50" s="395">
        <v>0</v>
      </c>
      <c r="H50" s="395">
        <v>0</v>
      </c>
      <c r="I50" s="395">
        <v>0.68</v>
      </c>
      <c r="J50" s="395">
        <v>0</v>
      </c>
      <c r="K50" s="395">
        <v>0</v>
      </c>
      <c r="L50" s="395">
        <v>0</v>
      </c>
      <c r="M50" s="395">
        <v>0</v>
      </c>
      <c r="N50" s="395">
        <v>0</v>
      </c>
      <c r="O50" s="395">
        <v>0</v>
      </c>
      <c r="P50" s="71"/>
      <c r="Q50" s="348"/>
    </row>
    <row r="51" spans="1:17" ht="15.75">
      <c r="A51" s="394" t="s">
        <v>159</v>
      </c>
      <c r="B51" s="347" t="s">
        <v>52</v>
      </c>
      <c r="C51" s="70" t="s">
        <v>53</v>
      </c>
      <c r="D51" s="395">
        <v>726.28</v>
      </c>
      <c r="E51" s="395">
        <v>0</v>
      </c>
      <c r="F51" s="395">
        <v>77.350000000000009</v>
      </c>
      <c r="G51" s="395">
        <v>146.89000000000001</v>
      </c>
      <c r="H51" s="395">
        <v>51.6</v>
      </c>
      <c r="I51" s="395">
        <v>57.19</v>
      </c>
      <c r="J51" s="395">
        <v>46.39</v>
      </c>
      <c r="K51" s="395">
        <v>43.46</v>
      </c>
      <c r="L51" s="395">
        <v>35.71</v>
      </c>
      <c r="M51" s="395">
        <v>58.3</v>
      </c>
      <c r="N51" s="395">
        <v>43.46</v>
      </c>
      <c r="O51" s="395">
        <v>165.93</v>
      </c>
      <c r="P51" s="71"/>
      <c r="Q51" s="348"/>
    </row>
    <row r="52" spans="1:17" ht="15.75">
      <c r="A52" s="394" t="s">
        <v>160</v>
      </c>
      <c r="B52" s="347" t="s">
        <v>54</v>
      </c>
      <c r="C52" s="70" t="s">
        <v>55</v>
      </c>
      <c r="D52" s="395">
        <v>122.63000000000001</v>
      </c>
      <c r="E52" s="395">
        <v>122.63000000000001</v>
      </c>
      <c r="F52" s="395">
        <v>0</v>
      </c>
      <c r="G52" s="395">
        <v>0</v>
      </c>
      <c r="H52" s="395">
        <v>0</v>
      </c>
      <c r="I52" s="395">
        <v>0</v>
      </c>
      <c r="J52" s="395">
        <v>0</v>
      </c>
      <c r="K52" s="395">
        <v>0</v>
      </c>
      <c r="L52" s="395">
        <v>0</v>
      </c>
      <c r="M52" s="395">
        <v>0</v>
      </c>
      <c r="N52" s="395">
        <v>0</v>
      </c>
      <c r="O52" s="395">
        <v>0</v>
      </c>
      <c r="P52" s="71"/>
      <c r="Q52" s="348"/>
    </row>
    <row r="53" spans="1:17" ht="15.75">
      <c r="A53" s="394" t="s">
        <v>161</v>
      </c>
      <c r="B53" s="347" t="s">
        <v>56</v>
      </c>
      <c r="C53" s="70" t="s">
        <v>57</v>
      </c>
      <c r="D53" s="395">
        <v>21.6</v>
      </c>
      <c r="E53" s="395">
        <v>14.4</v>
      </c>
      <c r="F53" s="395">
        <v>0.49</v>
      </c>
      <c r="G53" s="395">
        <v>1.9</v>
      </c>
      <c r="H53" s="395">
        <v>0.36</v>
      </c>
      <c r="I53" s="395">
        <v>0.48000000000000004</v>
      </c>
      <c r="J53" s="395">
        <v>0.27</v>
      </c>
      <c r="K53" s="395">
        <v>0.92</v>
      </c>
      <c r="L53" s="395">
        <v>0.39</v>
      </c>
      <c r="M53" s="395">
        <v>0.89</v>
      </c>
      <c r="N53" s="395">
        <v>1.1600000000000001</v>
      </c>
      <c r="O53" s="395">
        <v>0.34</v>
      </c>
      <c r="P53" s="71"/>
      <c r="Q53" s="348"/>
    </row>
    <row r="54" spans="1:17" ht="16.5" customHeight="1">
      <c r="A54" s="394" t="s">
        <v>162</v>
      </c>
      <c r="B54" s="347" t="s">
        <v>58</v>
      </c>
      <c r="C54" s="70" t="s">
        <v>59</v>
      </c>
      <c r="D54" s="395">
        <v>5.03</v>
      </c>
      <c r="E54" s="395">
        <v>0.13</v>
      </c>
      <c r="F54" s="395">
        <v>0</v>
      </c>
      <c r="G54" s="395">
        <v>3.04</v>
      </c>
      <c r="H54" s="395">
        <v>0.77</v>
      </c>
      <c r="I54" s="395">
        <v>0</v>
      </c>
      <c r="J54" s="395">
        <v>0</v>
      </c>
      <c r="K54" s="395">
        <v>0</v>
      </c>
      <c r="L54" s="395">
        <v>1.0900000000000001</v>
      </c>
      <c r="M54" s="395">
        <v>0</v>
      </c>
      <c r="N54" s="395">
        <v>0</v>
      </c>
      <c r="O54" s="395">
        <v>0</v>
      </c>
      <c r="P54" s="71"/>
      <c r="Q54" s="348"/>
    </row>
    <row r="55" spans="1:17" ht="15.75">
      <c r="A55" s="394" t="s">
        <v>163</v>
      </c>
      <c r="B55" s="347" t="s">
        <v>60</v>
      </c>
      <c r="C55" s="70" t="s">
        <v>61</v>
      </c>
      <c r="D55" s="395"/>
      <c r="E55" s="395">
        <v>0</v>
      </c>
      <c r="F55" s="395">
        <v>0</v>
      </c>
      <c r="G55" s="395">
        <v>0</v>
      </c>
      <c r="H55" s="395">
        <v>0</v>
      </c>
      <c r="I55" s="395">
        <v>0</v>
      </c>
      <c r="J55" s="395">
        <v>0</v>
      </c>
      <c r="K55" s="395">
        <v>0</v>
      </c>
      <c r="L55" s="395">
        <v>0</v>
      </c>
      <c r="M55" s="395">
        <v>0</v>
      </c>
      <c r="N55" s="395">
        <v>0</v>
      </c>
      <c r="O55" s="395">
        <v>0</v>
      </c>
      <c r="P55" s="71"/>
      <c r="Q55" s="348"/>
    </row>
    <row r="56" spans="1:17" ht="15.75">
      <c r="A56" s="394" t="s">
        <v>164</v>
      </c>
      <c r="B56" s="347" t="s">
        <v>71</v>
      </c>
      <c r="C56" s="70" t="s">
        <v>72</v>
      </c>
      <c r="D56" s="395">
        <v>0.27</v>
      </c>
      <c r="E56" s="395">
        <v>0</v>
      </c>
      <c r="F56" s="395">
        <v>0</v>
      </c>
      <c r="G56" s="395">
        <v>0</v>
      </c>
      <c r="H56" s="395">
        <v>0</v>
      </c>
      <c r="I56" s="395">
        <v>0</v>
      </c>
      <c r="J56" s="395">
        <v>0</v>
      </c>
      <c r="K56" s="395">
        <v>0</v>
      </c>
      <c r="L56" s="395">
        <v>0</v>
      </c>
      <c r="M56" s="395">
        <v>0</v>
      </c>
      <c r="N56" s="395">
        <v>0.24</v>
      </c>
      <c r="O56" s="395">
        <v>0.03</v>
      </c>
      <c r="P56" s="71"/>
      <c r="Q56" s="348"/>
    </row>
    <row r="57" spans="1:17" ht="15.75">
      <c r="A57" s="394" t="s">
        <v>165</v>
      </c>
      <c r="B57" s="347" t="s">
        <v>181</v>
      </c>
      <c r="C57" s="70" t="s">
        <v>74</v>
      </c>
      <c r="D57" s="395">
        <v>1001.0699999999999</v>
      </c>
      <c r="E57" s="395">
        <v>31.59</v>
      </c>
      <c r="F57" s="395">
        <v>105.51</v>
      </c>
      <c r="G57" s="395">
        <v>190.1</v>
      </c>
      <c r="H57" s="395">
        <v>153.56</v>
      </c>
      <c r="I57" s="395">
        <v>36.89</v>
      </c>
      <c r="J57" s="395">
        <v>61.61</v>
      </c>
      <c r="K57" s="395">
        <v>88.62</v>
      </c>
      <c r="L57" s="395">
        <v>139.13999999999999</v>
      </c>
      <c r="M57" s="395">
        <v>38.92</v>
      </c>
      <c r="N57" s="395">
        <v>81.680000000000007</v>
      </c>
      <c r="O57" s="395">
        <v>73.45</v>
      </c>
      <c r="P57" s="71"/>
      <c r="Q57" s="348"/>
    </row>
    <row r="58" spans="1:17" ht="15.75">
      <c r="A58" s="394" t="s">
        <v>166</v>
      </c>
      <c r="B58" s="347" t="s">
        <v>75</v>
      </c>
      <c r="C58" s="70" t="s">
        <v>76</v>
      </c>
      <c r="D58" s="395">
        <v>64.550000000000011</v>
      </c>
      <c r="E58" s="395">
        <v>2.06</v>
      </c>
      <c r="F58" s="395">
        <v>16.07</v>
      </c>
      <c r="G58" s="395">
        <v>21.31</v>
      </c>
      <c r="H58" s="395">
        <v>0</v>
      </c>
      <c r="I58" s="395">
        <v>0.31</v>
      </c>
      <c r="J58" s="395">
        <v>0</v>
      </c>
      <c r="K58" s="395">
        <v>4.3099999999999996</v>
      </c>
      <c r="L58" s="395">
        <v>0</v>
      </c>
      <c r="M58" s="395">
        <v>0.84</v>
      </c>
      <c r="N58" s="395">
        <v>0</v>
      </c>
      <c r="O58" s="395">
        <v>19.649999999999999</v>
      </c>
      <c r="P58" s="71"/>
      <c r="Q58" s="348"/>
    </row>
    <row r="59" spans="1:17" ht="15.75">
      <c r="A59" s="394" t="s">
        <v>167</v>
      </c>
      <c r="B59" s="347" t="s">
        <v>77</v>
      </c>
      <c r="C59" s="70" t="s">
        <v>78</v>
      </c>
      <c r="D59" s="395">
        <v>1.8699999999999999</v>
      </c>
      <c r="E59" s="395">
        <v>0</v>
      </c>
      <c r="F59" s="395">
        <v>0</v>
      </c>
      <c r="G59" s="395">
        <v>0.15000000000000002</v>
      </c>
      <c r="H59" s="395">
        <v>0</v>
      </c>
      <c r="I59" s="395">
        <v>0.98</v>
      </c>
      <c r="J59" s="395">
        <v>0</v>
      </c>
      <c r="K59" s="395">
        <v>0</v>
      </c>
      <c r="L59" s="395">
        <v>0</v>
      </c>
      <c r="M59" s="395">
        <v>0</v>
      </c>
      <c r="N59" s="395">
        <v>0.31</v>
      </c>
      <c r="O59" s="395">
        <v>0.43</v>
      </c>
      <c r="P59" s="71"/>
      <c r="Q59" s="348"/>
    </row>
    <row r="60" spans="1:17" ht="15.75">
      <c r="A60" s="445">
        <v>3</v>
      </c>
      <c r="B60" s="406" t="s">
        <v>79</v>
      </c>
      <c r="C60" s="407" t="s">
        <v>80</v>
      </c>
      <c r="D60" s="408">
        <v>170.91000000000003</v>
      </c>
      <c r="E60" s="408">
        <v>0</v>
      </c>
      <c r="F60" s="408">
        <v>0</v>
      </c>
      <c r="G60" s="408">
        <v>11.34</v>
      </c>
      <c r="H60" s="408">
        <v>37.47</v>
      </c>
      <c r="I60" s="408">
        <v>8.14</v>
      </c>
      <c r="J60" s="408">
        <v>9.65</v>
      </c>
      <c r="K60" s="408">
        <v>11.8</v>
      </c>
      <c r="L60" s="408">
        <v>22.28</v>
      </c>
      <c r="M60" s="408">
        <v>0</v>
      </c>
      <c r="N60" s="408">
        <v>0</v>
      </c>
      <c r="O60" s="408">
        <v>70.23</v>
      </c>
      <c r="P60" s="71"/>
      <c r="Q60" s="348"/>
    </row>
    <row r="61" spans="1:17">
      <c r="M61" s="409"/>
    </row>
    <row r="62" spans="1:17">
      <c r="D62" s="376"/>
      <c r="M62" s="409"/>
    </row>
    <row r="63" spans="1:17" ht="15.75">
      <c r="E63" s="410"/>
      <c r="F63" s="410"/>
      <c r="G63" s="410"/>
      <c r="H63" s="410"/>
      <c r="I63" s="410"/>
      <c r="J63" s="410"/>
      <c r="K63" s="411"/>
      <c r="L63" s="410"/>
      <c r="M63" s="410"/>
      <c r="N63" s="410"/>
      <c r="O63" s="410"/>
      <c r="P63" s="348"/>
    </row>
    <row r="64" spans="1:17" ht="15.75">
      <c r="E64" s="410"/>
      <c r="F64" s="410"/>
      <c r="G64" s="410"/>
      <c r="H64" s="410"/>
      <c r="I64" s="410"/>
      <c r="J64" s="410"/>
      <c r="K64" s="410"/>
      <c r="L64" s="410"/>
      <c r="M64" s="410"/>
      <c r="N64" s="410"/>
      <c r="O64" s="410"/>
      <c r="P64" s="348"/>
    </row>
  </sheetData>
  <mergeCells count="8">
    <mergeCell ref="A1:B1"/>
    <mergeCell ref="A2:O2"/>
    <mergeCell ref="A3:O3"/>
    <mergeCell ref="A4:A6"/>
    <mergeCell ref="B4:B6"/>
    <mergeCell ref="C4:C6"/>
    <mergeCell ref="D4:D6"/>
    <mergeCell ref="E4:O5"/>
  </mergeCells>
  <pageMargins left="1.1100000000000001" right="0.32" top="0.56000000000000005" bottom="0.21" header="0.26" footer="0.42"/>
  <pageSetup paperSize="8" scale="80" fitToWidth="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4"/>
  <sheetViews>
    <sheetView topLeftCell="B6" workbookViewId="0">
      <pane ySplit="1" topLeftCell="A7" activePane="bottomLeft" state="frozen"/>
      <selection activeCell="C6" sqref="C6"/>
      <selection pane="bottomLeft" activeCell="H13" sqref="H13"/>
    </sheetView>
  </sheetViews>
  <sheetFormatPr defaultRowHeight="12.75"/>
  <cols>
    <col min="1" max="1" width="5.5703125" customWidth="1"/>
    <col min="2" max="2" width="36.140625" customWidth="1"/>
    <col min="3" max="3" width="9.28515625" style="263" bestFit="1" customWidth="1"/>
    <col min="4" max="4" width="10.5703125" customWidth="1"/>
    <col min="5" max="5" width="11.42578125" bestFit="1" customWidth="1"/>
    <col min="6" max="6" width="14" customWidth="1"/>
    <col min="7" max="7" width="11.42578125" bestFit="1" customWidth="1"/>
    <col min="8" max="9" width="11.42578125" style="135" bestFit="1" customWidth="1"/>
    <col min="10" max="10" width="12.5703125" style="135" bestFit="1" customWidth="1"/>
    <col min="11" max="12" width="11.42578125" style="135" bestFit="1" customWidth="1"/>
    <col min="13" max="13" width="12.5703125" style="135" bestFit="1" customWidth="1"/>
    <col min="14" max="14" width="11.5703125" style="135" bestFit="1" customWidth="1"/>
    <col min="15" max="15" width="12.5703125" style="135" bestFit="1" customWidth="1"/>
  </cols>
  <sheetData>
    <row r="2" spans="1:17" ht="15.75">
      <c r="A2" s="1251" t="s">
        <v>363</v>
      </c>
      <c r="B2" s="1251"/>
      <c r="C2" s="1251"/>
      <c r="D2" s="1251"/>
      <c r="E2" s="1251"/>
      <c r="F2" s="1251"/>
      <c r="G2" s="1251"/>
      <c r="H2" s="1251"/>
      <c r="I2" s="1251"/>
      <c r="J2" s="1251"/>
      <c r="K2" s="1251"/>
      <c r="L2" s="1251"/>
      <c r="M2" s="1251"/>
      <c r="N2" s="1251"/>
      <c r="O2" s="1251"/>
    </row>
    <row r="3" spans="1:17">
      <c r="A3" s="1252" t="s">
        <v>0</v>
      </c>
      <c r="B3" s="1252"/>
      <c r="C3" s="1252"/>
      <c r="D3" s="1252"/>
      <c r="E3" s="1252"/>
      <c r="F3" s="1252"/>
      <c r="G3" s="1252"/>
      <c r="H3" s="1252"/>
      <c r="I3" s="1252"/>
      <c r="J3" s="1252"/>
      <c r="K3" s="1252"/>
      <c r="L3" s="1252"/>
      <c r="M3" s="1252"/>
      <c r="N3" s="1252"/>
      <c r="O3" s="1252"/>
    </row>
    <row r="4" spans="1:17">
      <c r="A4" s="1253" t="s">
        <v>1</v>
      </c>
      <c r="B4" s="1253" t="s">
        <v>234</v>
      </c>
      <c r="C4" s="1254" t="s">
        <v>3</v>
      </c>
      <c r="D4" s="1253" t="s">
        <v>4</v>
      </c>
      <c r="E4" s="1253" t="s">
        <v>5</v>
      </c>
      <c r="F4" s="1253"/>
      <c r="G4" s="1253"/>
      <c r="H4" s="1253"/>
      <c r="I4" s="1253"/>
      <c r="J4" s="1253"/>
      <c r="K4" s="1253"/>
      <c r="L4" s="1253"/>
      <c r="M4" s="1253"/>
      <c r="N4" s="1253"/>
      <c r="O4" s="1253"/>
    </row>
    <row r="5" spans="1:17">
      <c r="A5" s="1253"/>
      <c r="B5" s="1253"/>
      <c r="C5" s="1254"/>
      <c r="D5" s="1253"/>
      <c r="E5" s="1253"/>
      <c r="F5" s="1253"/>
      <c r="G5" s="1253"/>
      <c r="H5" s="1253"/>
      <c r="I5" s="1253"/>
      <c r="J5" s="1253"/>
      <c r="K5" s="1253"/>
      <c r="L5" s="1253"/>
      <c r="M5" s="1253"/>
      <c r="N5" s="1253"/>
      <c r="O5" s="1253"/>
    </row>
    <row r="6" spans="1:17" ht="28.5">
      <c r="A6" s="1253"/>
      <c r="B6" s="1253"/>
      <c r="C6" s="1254"/>
      <c r="D6" s="1253"/>
      <c r="E6" s="13" t="s">
        <v>111</v>
      </c>
      <c r="F6" s="14" t="s">
        <v>190</v>
      </c>
      <c r="G6" s="14" t="s">
        <v>169</v>
      </c>
      <c r="H6" s="14" t="s">
        <v>170</v>
      </c>
      <c r="I6" s="14" t="s">
        <v>172</v>
      </c>
      <c r="J6" s="14" t="s">
        <v>198</v>
      </c>
      <c r="K6" s="14" t="s">
        <v>197</v>
      </c>
      <c r="L6" s="14" t="s">
        <v>191</v>
      </c>
      <c r="M6" s="14" t="s">
        <v>189</v>
      </c>
      <c r="N6" s="14" t="s">
        <v>174</v>
      </c>
      <c r="O6" s="14" t="s">
        <v>173</v>
      </c>
    </row>
    <row r="7" spans="1:17" s="10" customFormat="1" ht="15.75">
      <c r="A7" s="157"/>
      <c r="B7" s="156" t="s">
        <v>230</v>
      </c>
      <c r="C7" s="258"/>
      <c r="D7" s="35">
        <f>D8+D20+D58</f>
        <v>18.589999999999996</v>
      </c>
      <c r="E7" s="35">
        <f>E8+E20+E58</f>
        <v>0.14000000000000001</v>
      </c>
      <c r="F7" s="35">
        <f t="shared" ref="F7:O7" si="0">F8+F20+F58</f>
        <v>0.13</v>
      </c>
      <c r="G7" s="35">
        <f t="shared" si="0"/>
        <v>0.02</v>
      </c>
      <c r="H7" s="35">
        <f t="shared" si="0"/>
        <v>17.52</v>
      </c>
      <c r="I7" s="35">
        <f t="shared" si="0"/>
        <v>0.02</v>
      </c>
      <c r="J7" s="35">
        <f t="shared" si="0"/>
        <v>0.15</v>
      </c>
      <c r="K7" s="35">
        <f t="shared" si="0"/>
        <v>0</v>
      </c>
      <c r="L7" s="35">
        <f t="shared" si="0"/>
        <v>0</v>
      </c>
      <c r="M7" s="35">
        <f t="shared" si="0"/>
        <v>0.5</v>
      </c>
      <c r="N7" s="35">
        <f t="shared" si="0"/>
        <v>0</v>
      </c>
      <c r="O7" s="35">
        <f t="shared" si="0"/>
        <v>0.11</v>
      </c>
    </row>
    <row r="8" spans="1:17" s="10" customFormat="1" ht="15.75">
      <c r="A8" s="145">
        <v>1</v>
      </c>
      <c r="B8" s="144" t="s">
        <v>6</v>
      </c>
      <c r="C8" s="259" t="s">
        <v>7</v>
      </c>
      <c r="D8" s="35">
        <f>SUM(E8:O8)</f>
        <v>18.019999999999996</v>
      </c>
      <c r="E8" s="163">
        <f>E9+SUM(E11:E19)</f>
        <v>0.14000000000000001</v>
      </c>
      <c r="F8" s="163">
        <f t="shared" ref="F8:O8" si="1">F9+SUM(F11:F19)</f>
        <v>0.13</v>
      </c>
      <c r="G8" s="163">
        <f t="shared" si="1"/>
        <v>0.02</v>
      </c>
      <c r="H8" s="163">
        <f t="shared" si="1"/>
        <v>16.95</v>
      </c>
      <c r="I8" s="163">
        <f t="shared" si="1"/>
        <v>0.02</v>
      </c>
      <c r="J8" s="163">
        <f t="shared" si="1"/>
        <v>0.15</v>
      </c>
      <c r="K8" s="163">
        <f t="shared" si="1"/>
        <v>0</v>
      </c>
      <c r="L8" s="163">
        <f t="shared" si="1"/>
        <v>0</v>
      </c>
      <c r="M8" s="163">
        <f t="shared" si="1"/>
        <v>0.5</v>
      </c>
      <c r="N8" s="163">
        <f t="shared" si="1"/>
        <v>0</v>
      </c>
      <c r="O8" s="163">
        <f t="shared" si="1"/>
        <v>0.11</v>
      </c>
    </row>
    <row r="9" spans="1:17" ht="15.75">
      <c r="A9" s="149" t="s">
        <v>139</v>
      </c>
      <c r="B9" s="148" t="s">
        <v>8</v>
      </c>
      <c r="C9" s="260" t="s">
        <v>9</v>
      </c>
      <c r="D9" s="147">
        <f t="shared" ref="D9:D39" si="2">SUM(E9:O9)</f>
        <v>0</v>
      </c>
      <c r="E9" s="143"/>
      <c r="F9" s="143"/>
      <c r="G9" s="143"/>
      <c r="H9" s="162"/>
      <c r="I9" s="143"/>
      <c r="J9" s="143"/>
      <c r="K9" s="143"/>
      <c r="L9" s="146"/>
      <c r="M9" s="143"/>
      <c r="N9" s="143"/>
      <c r="O9" s="143"/>
    </row>
    <row r="10" spans="1:17" ht="31.5">
      <c r="A10" s="149"/>
      <c r="B10" s="155" t="s">
        <v>10</v>
      </c>
      <c r="C10" s="261" t="s">
        <v>11</v>
      </c>
      <c r="D10" s="147">
        <f t="shared" si="2"/>
        <v>0</v>
      </c>
      <c r="E10" s="143"/>
      <c r="F10" s="143"/>
      <c r="G10" s="143"/>
      <c r="H10" s="162"/>
      <c r="I10" s="143"/>
      <c r="J10" s="143"/>
      <c r="K10" s="143"/>
      <c r="L10" s="146"/>
      <c r="M10" s="143"/>
      <c r="N10" s="143"/>
      <c r="O10" s="143"/>
    </row>
    <row r="11" spans="1:17" ht="15.75">
      <c r="A11" s="149" t="s">
        <v>140</v>
      </c>
      <c r="B11" s="148" t="s">
        <v>12</v>
      </c>
      <c r="C11" s="260" t="s">
        <v>13</v>
      </c>
      <c r="D11" s="147">
        <f t="shared" si="2"/>
        <v>7.5299999999999994</v>
      </c>
      <c r="E11" s="446">
        <v>0.11</v>
      </c>
      <c r="F11" s="143">
        <v>0.02</v>
      </c>
      <c r="G11" s="143"/>
      <c r="H11" s="162">
        <v>7.25</v>
      </c>
      <c r="I11" s="146">
        <v>0.02</v>
      </c>
      <c r="J11" s="146">
        <v>0.13</v>
      </c>
      <c r="K11" s="143"/>
      <c r="L11" s="146"/>
      <c r="M11" s="143"/>
      <c r="N11" s="143"/>
      <c r="O11" s="143"/>
      <c r="P11" s="142"/>
      <c r="Q11" s="142">
        <f>D11-0.08</f>
        <v>7.4499999999999993</v>
      </c>
    </row>
    <row r="12" spans="1:17" ht="15.75">
      <c r="A12" s="149" t="s">
        <v>141</v>
      </c>
      <c r="B12" s="148" t="s">
        <v>14</v>
      </c>
      <c r="C12" s="260" t="s">
        <v>15</v>
      </c>
      <c r="D12" s="147">
        <f t="shared" si="2"/>
        <v>10.489999999999998</v>
      </c>
      <c r="E12" s="446">
        <v>0.03</v>
      </c>
      <c r="F12" s="143">
        <v>0.11</v>
      </c>
      <c r="G12" s="143">
        <v>0.02</v>
      </c>
      <c r="H12" s="162">
        <f>10.93-1.23</f>
        <v>9.6999999999999993</v>
      </c>
      <c r="I12" s="146"/>
      <c r="J12" s="146">
        <v>0.02</v>
      </c>
      <c r="K12" s="143"/>
      <c r="L12" s="146"/>
      <c r="M12" s="143">
        <v>0.5</v>
      </c>
      <c r="N12" s="143"/>
      <c r="O12" s="143">
        <v>0.11</v>
      </c>
      <c r="Q12" s="142"/>
    </row>
    <row r="13" spans="1:17" ht="15.75">
      <c r="A13" s="149" t="s">
        <v>142</v>
      </c>
      <c r="B13" s="148" t="s">
        <v>16</v>
      </c>
      <c r="C13" s="260" t="s">
        <v>17</v>
      </c>
      <c r="D13" s="147">
        <f t="shared" si="2"/>
        <v>0</v>
      </c>
      <c r="E13" s="143"/>
      <c r="F13" s="143"/>
      <c r="G13" s="143"/>
      <c r="H13" s="143"/>
      <c r="I13" s="143"/>
      <c r="J13" s="143"/>
      <c r="K13" s="143"/>
      <c r="L13" s="146"/>
      <c r="M13" s="143"/>
      <c r="N13" s="143"/>
      <c r="O13" s="143"/>
    </row>
    <row r="14" spans="1:17" ht="15.75">
      <c r="A14" s="149" t="s">
        <v>143</v>
      </c>
      <c r="B14" s="148" t="s">
        <v>18</v>
      </c>
      <c r="C14" s="260" t="s">
        <v>19</v>
      </c>
      <c r="D14" s="147">
        <f t="shared" si="2"/>
        <v>0</v>
      </c>
      <c r="E14" s="143"/>
      <c r="F14" s="143"/>
      <c r="G14" s="147"/>
      <c r="H14" s="147"/>
      <c r="I14" s="146"/>
      <c r="J14" s="146"/>
      <c r="K14" s="143"/>
      <c r="L14" s="146"/>
      <c r="M14" s="146"/>
      <c r="N14" s="143"/>
      <c r="O14" s="146"/>
      <c r="P14" s="142"/>
    </row>
    <row r="15" spans="1:17" ht="15.75">
      <c r="A15" s="149" t="s">
        <v>144</v>
      </c>
      <c r="B15" s="148" t="s">
        <v>20</v>
      </c>
      <c r="C15" s="260" t="s">
        <v>21</v>
      </c>
      <c r="D15" s="147">
        <f t="shared" si="2"/>
        <v>0</v>
      </c>
      <c r="E15" s="143"/>
      <c r="F15" s="143"/>
      <c r="G15" s="143"/>
      <c r="H15" s="143"/>
      <c r="I15" s="143"/>
      <c r="J15" s="143"/>
      <c r="K15" s="143"/>
      <c r="L15" s="146"/>
      <c r="M15" s="143"/>
      <c r="N15" s="143"/>
      <c r="O15" s="143"/>
    </row>
    <row r="16" spans="1:17" s="110" customFormat="1" ht="31.5">
      <c r="A16" s="264"/>
      <c r="B16" s="155" t="s">
        <v>243</v>
      </c>
      <c r="C16" s="261" t="s">
        <v>247</v>
      </c>
      <c r="D16" s="265">
        <f t="shared" si="2"/>
        <v>0</v>
      </c>
      <c r="E16" s="266"/>
      <c r="F16" s="266"/>
      <c r="G16" s="266"/>
      <c r="H16" s="266"/>
      <c r="I16" s="266"/>
      <c r="J16" s="266"/>
      <c r="K16" s="266"/>
      <c r="L16" s="267"/>
      <c r="M16" s="268"/>
      <c r="N16" s="266"/>
      <c r="O16" s="266"/>
      <c r="P16" s="269"/>
    </row>
    <row r="17" spans="1:17" ht="15.75">
      <c r="A17" s="149" t="s">
        <v>145</v>
      </c>
      <c r="B17" s="148" t="s">
        <v>22</v>
      </c>
      <c r="C17" s="260" t="s">
        <v>23</v>
      </c>
      <c r="D17" s="147">
        <f t="shared" si="2"/>
        <v>0</v>
      </c>
      <c r="E17" s="147"/>
      <c r="F17" s="147"/>
      <c r="G17" s="147"/>
      <c r="H17" s="147"/>
      <c r="I17" s="146"/>
      <c r="J17" s="146"/>
      <c r="K17" s="146"/>
      <c r="L17" s="146"/>
      <c r="M17" s="146"/>
      <c r="N17" s="143"/>
      <c r="O17" s="143"/>
    </row>
    <row r="18" spans="1:17" ht="15.75">
      <c r="A18" s="149" t="s">
        <v>146</v>
      </c>
      <c r="B18" s="148" t="s">
        <v>24</v>
      </c>
      <c r="C18" s="260" t="s">
        <v>25</v>
      </c>
      <c r="D18" s="147">
        <f t="shared" si="2"/>
        <v>0</v>
      </c>
      <c r="E18" s="143"/>
      <c r="F18" s="143"/>
      <c r="G18" s="143"/>
      <c r="H18" s="143"/>
      <c r="I18" s="143"/>
      <c r="J18" s="143"/>
      <c r="K18" s="143"/>
      <c r="L18" s="143"/>
      <c r="M18" s="143"/>
      <c r="N18" s="143"/>
      <c r="O18" s="143"/>
      <c r="P18" s="142"/>
      <c r="Q18" s="142"/>
    </row>
    <row r="19" spans="1:17" s="135" customFormat="1" ht="15.75">
      <c r="A19" s="149" t="s">
        <v>147</v>
      </c>
      <c r="B19" s="148" t="s">
        <v>26</v>
      </c>
      <c r="C19" s="260" t="s">
        <v>27</v>
      </c>
      <c r="D19" s="147">
        <f t="shared" si="2"/>
        <v>0</v>
      </c>
      <c r="E19" s="147"/>
      <c r="F19" s="147"/>
      <c r="G19" s="147"/>
      <c r="H19" s="147"/>
      <c r="I19" s="147"/>
      <c r="J19" s="147"/>
      <c r="K19" s="147"/>
      <c r="L19" s="147"/>
      <c r="M19" s="147"/>
      <c r="N19" s="147"/>
      <c r="O19" s="147"/>
    </row>
    <row r="20" spans="1:17" s="10" customFormat="1" ht="15.75">
      <c r="A20" s="145">
        <v>2</v>
      </c>
      <c r="B20" s="144" t="s">
        <v>28</v>
      </c>
      <c r="C20" s="259" t="s">
        <v>29</v>
      </c>
      <c r="D20" s="35">
        <f t="shared" si="2"/>
        <v>0.56999999999999995</v>
      </c>
      <c r="E20" s="158">
        <f>SUM(E21:E29)+SUM(E46:E57)</f>
        <v>0</v>
      </c>
      <c r="F20" s="158">
        <f t="shared" ref="F20:O20" si="3">SUM(F21:F29)+SUM(F46:F57)</f>
        <v>0</v>
      </c>
      <c r="G20" s="158">
        <f t="shared" si="3"/>
        <v>0</v>
      </c>
      <c r="H20" s="158">
        <f t="shared" si="3"/>
        <v>0.56999999999999995</v>
      </c>
      <c r="I20" s="158">
        <f t="shared" si="3"/>
        <v>0</v>
      </c>
      <c r="J20" s="158">
        <f t="shared" si="3"/>
        <v>0</v>
      </c>
      <c r="K20" s="158">
        <f t="shared" si="3"/>
        <v>0</v>
      </c>
      <c r="L20" s="158">
        <f t="shared" si="3"/>
        <v>0</v>
      </c>
      <c r="M20" s="158">
        <f t="shared" si="3"/>
        <v>0</v>
      </c>
      <c r="N20" s="158">
        <f t="shared" si="3"/>
        <v>0</v>
      </c>
      <c r="O20" s="158">
        <f t="shared" si="3"/>
        <v>0</v>
      </c>
    </row>
    <row r="21" spans="1:17" ht="15.75">
      <c r="A21" s="149" t="s">
        <v>148</v>
      </c>
      <c r="B21" s="148" t="s">
        <v>30</v>
      </c>
      <c r="C21" s="260" t="s">
        <v>31</v>
      </c>
      <c r="D21" s="147">
        <f t="shared" si="2"/>
        <v>0</v>
      </c>
      <c r="E21" s="143"/>
      <c r="F21" s="143"/>
      <c r="G21" s="143"/>
      <c r="H21" s="143"/>
      <c r="I21" s="143"/>
      <c r="J21" s="143"/>
      <c r="K21" s="143"/>
      <c r="L21" s="143"/>
      <c r="M21" s="143"/>
      <c r="N21" s="143"/>
      <c r="O21" s="143"/>
    </row>
    <row r="22" spans="1:17" ht="15.75">
      <c r="A22" s="149" t="s">
        <v>138</v>
      </c>
      <c r="B22" s="148" t="s">
        <v>32</v>
      </c>
      <c r="C22" s="260" t="s">
        <v>33</v>
      </c>
      <c r="D22" s="147">
        <f t="shared" si="2"/>
        <v>0</v>
      </c>
      <c r="E22" s="143"/>
      <c r="F22" s="143"/>
      <c r="G22" s="143"/>
      <c r="H22" s="143"/>
      <c r="I22" s="143"/>
      <c r="J22" s="143"/>
      <c r="K22" s="143"/>
      <c r="L22" s="143"/>
      <c r="M22" s="143"/>
      <c r="N22" s="143"/>
      <c r="O22" s="143"/>
    </row>
    <row r="23" spans="1:17" ht="15.75">
      <c r="A23" s="149" t="s">
        <v>149</v>
      </c>
      <c r="B23" s="148" t="s">
        <v>34</v>
      </c>
      <c r="C23" s="260" t="s">
        <v>35</v>
      </c>
      <c r="D23" s="147">
        <f t="shared" si="2"/>
        <v>0</v>
      </c>
      <c r="E23" s="147"/>
      <c r="F23" s="147"/>
      <c r="G23" s="147"/>
      <c r="H23" s="147"/>
      <c r="I23" s="146"/>
      <c r="J23" s="146"/>
      <c r="K23" s="146"/>
      <c r="L23" s="146"/>
      <c r="M23" s="146"/>
      <c r="N23" s="146"/>
      <c r="O23" s="146"/>
    </row>
    <row r="24" spans="1:17" ht="15.75">
      <c r="A24" s="149" t="s">
        <v>150</v>
      </c>
      <c r="B24" s="148" t="s">
        <v>36</v>
      </c>
      <c r="C24" s="260" t="s">
        <v>37</v>
      </c>
      <c r="D24" s="147">
        <f t="shared" si="2"/>
        <v>0</v>
      </c>
      <c r="E24" s="143"/>
      <c r="F24" s="143"/>
      <c r="G24" s="143"/>
      <c r="H24" s="143"/>
      <c r="I24" s="143"/>
      <c r="J24" s="143"/>
      <c r="K24" s="143"/>
      <c r="L24" s="143"/>
      <c r="M24" s="143"/>
      <c r="N24" s="143"/>
      <c r="O24" s="143"/>
    </row>
    <row r="25" spans="1:17" ht="15.75">
      <c r="A25" s="149" t="s">
        <v>151</v>
      </c>
      <c r="B25" s="148" t="s">
        <v>38</v>
      </c>
      <c r="C25" s="260" t="s">
        <v>39</v>
      </c>
      <c r="D25" s="147">
        <f t="shared" si="2"/>
        <v>0</v>
      </c>
      <c r="E25" s="147"/>
      <c r="F25" s="147"/>
      <c r="G25" s="147"/>
      <c r="H25" s="147"/>
      <c r="I25" s="146"/>
      <c r="J25" s="146"/>
      <c r="K25" s="146"/>
      <c r="L25" s="146"/>
      <c r="M25" s="146"/>
      <c r="N25" s="146"/>
      <c r="O25" s="146"/>
    </row>
    <row r="26" spans="1:17" ht="15.75">
      <c r="A26" s="149" t="s">
        <v>152</v>
      </c>
      <c r="B26" s="148" t="s">
        <v>40</v>
      </c>
      <c r="C26" s="260" t="s">
        <v>41</v>
      </c>
      <c r="D26" s="147">
        <f t="shared" si="2"/>
        <v>0</v>
      </c>
      <c r="E26" s="147"/>
      <c r="F26" s="147"/>
      <c r="G26" s="147"/>
      <c r="H26" s="162"/>
      <c r="I26" s="146"/>
      <c r="J26" s="146"/>
      <c r="K26" s="146"/>
      <c r="L26" s="146"/>
      <c r="M26" s="146"/>
      <c r="N26" s="146"/>
      <c r="O26" s="143"/>
    </row>
    <row r="27" spans="1:17" ht="15.75">
      <c r="A27" s="149" t="s">
        <v>153</v>
      </c>
      <c r="B27" s="148" t="s">
        <v>42</v>
      </c>
      <c r="C27" s="260" t="s">
        <v>43</v>
      </c>
      <c r="D27" s="147">
        <f t="shared" si="2"/>
        <v>0</v>
      </c>
      <c r="E27" s="143"/>
      <c r="F27" s="143"/>
      <c r="G27" s="143"/>
      <c r="H27" s="143"/>
      <c r="I27" s="143"/>
      <c r="J27" s="143"/>
      <c r="K27" s="143"/>
      <c r="L27" s="143"/>
      <c r="M27" s="143"/>
      <c r="N27" s="143"/>
      <c r="O27" s="143"/>
    </row>
    <row r="28" spans="1:17" ht="15.75">
      <c r="A28" s="149" t="s">
        <v>154</v>
      </c>
      <c r="B28" s="148" t="s">
        <v>179</v>
      </c>
      <c r="C28" s="260" t="s">
        <v>66</v>
      </c>
      <c r="D28" s="147">
        <f t="shared" si="2"/>
        <v>0</v>
      </c>
      <c r="E28" s="143"/>
      <c r="F28" s="143"/>
      <c r="G28" s="143"/>
      <c r="H28" s="143"/>
      <c r="I28" s="143"/>
      <c r="J28" s="143"/>
      <c r="K28" s="143"/>
      <c r="L28" s="143"/>
      <c r="M28" s="143"/>
      <c r="N28" s="143"/>
      <c r="O28" s="143"/>
    </row>
    <row r="29" spans="1:17" s="274" customFormat="1" ht="15.75">
      <c r="A29" s="270" t="s">
        <v>155</v>
      </c>
      <c r="B29" s="271" t="s">
        <v>180</v>
      </c>
      <c r="C29" s="272" t="s">
        <v>45</v>
      </c>
      <c r="D29" s="206">
        <f t="shared" si="2"/>
        <v>0</v>
      </c>
      <c r="E29" s="81">
        <f>SUM(E30:E45)</f>
        <v>0</v>
      </c>
      <c r="F29" s="81">
        <f t="shared" ref="F29:O29" si="4">SUM(F30:F45)</f>
        <v>0</v>
      </c>
      <c r="G29" s="81">
        <f t="shared" si="4"/>
        <v>0</v>
      </c>
      <c r="H29" s="81">
        <f t="shared" si="4"/>
        <v>0</v>
      </c>
      <c r="I29" s="81">
        <f t="shared" si="4"/>
        <v>0</v>
      </c>
      <c r="J29" s="81">
        <f t="shared" si="4"/>
        <v>0</v>
      </c>
      <c r="K29" s="81">
        <f t="shared" si="4"/>
        <v>0</v>
      </c>
      <c r="L29" s="81">
        <f t="shared" si="4"/>
        <v>0</v>
      </c>
      <c r="M29" s="81">
        <f t="shared" si="4"/>
        <v>0</v>
      </c>
      <c r="N29" s="81">
        <f t="shared" si="4"/>
        <v>0</v>
      </c>
      <c r="O29" s="81">
        <f t="shared" si="4"/>
        <v>0</v>
      </c>
      <c r="P29" s="273"/>
    </row>
    <row r="30" spans="1:17" s="151" customFormat="1" ht="15.75">
      <c r="A30" s="154"/>
      <c r="B30" s="153" t="s">
        <v>216</v>
      </c>
      <c r="C30" s="262" t="s">
        <v>196</v>
      </c>
      <c r="D30" s="101">
        <f t="shared" si="2"/>
        <v>0</v>
      </c>
      <c r="E30" s="101"/>
      <c r="F30" s="101"/>
      <c r="G30" s="101"/>
      <c r="H30" s="101"/>
      <c r="I30" s="101"/>
      <c r="J30" s="101"/>
      <c r="K30" s="101"/>
      <c r="L30" s="101"/>
      <c r="M30" s="101"/>
      <c r="N30" s="101"/>
      <c r="O30" s="101"/>
      <c r="P30" s="152"/>
    </row>
    <row r="31" spans="1:17" s="151" customFormat="1" ht="15.75">
      <c r="A31" s="154"/>
      <c r="B31" s="153" t="s">
        <v>217</v>
      </c>
      <c r="C31" s="262" t="s">
        <v>194</v>
      </c>
      <c r="D31" s="101">
        <f t="shared" si="2"/>
        <v>0</v>
      </c>
      <c r="E31" s="101"/>
      <c r="F31" s="101"/>
      <c r="G31" s="101"/>
      <c r="H31" s="101"/>
      <c r="I31" s="101"/>
      <c r="J31" s="101"/>
      <c r="K31" s="101"/>
      <c r="L31" s="101"/>
      <c r="M31" s="101"/>
      <c r="N31" s="101"/>
      <c r="O31" s="101"/>
      <c r="P31" s="152"/>
    </row>
    <row r="32" spans="1:17" s="151" customFormat="1" ht="15.75">
      <c r="A32" s="154"/>
      <c r="B32" s="153" t="s">
        <v>210</v>
      </c>
      <c r="C32" s="262" t="s">
        <v>220</v>
      </c>
      <c r="D32" s="101">
        <f t="shared" si="2"/>
        <v>0</v>
      </c>
      <c r="E32" s="101"/>
      <c r="F32" s="101"/>
      <c r="G32" s="101"/>
      <c r="H32" s="101"/>
      <c r="I32" s="101"/>
      <c r="J32" s="101"/>
      <c r="K32" s="101"/>
      <c r="L32" s="101"/>
      <c r="M32" s="101"/>
      <c r="N32" s="101"/>
      <c r="O32" s="101"/>
      <c r="P32" s="152"/>
    </row>
    <row r="33" spans="1:17" s="151" customFormat="1" ht="15.75">
      <c r="A33" s="154"/>
      <c r="B33" s="153" t="s">
        <v>211</v>
      </c>
      <c r="C33" s="262" t="s">
        <v>221</v>
      </c>
      <c r="D33" s="101">
        <f t="shared" si="2"/>
        <v>0</v>
      </c>
      <c r="E33" s="101"/>
      <c r="F33" s="101"/>
      <c r="G33" s="101"/>
      <c r="H33" s="101"/>
      <c r="I33" s="101"/>
      <c r="J33" s="101"/>
      <c r="K33" s="101"/>
      <c r="L33" s="101"/>
      <c r="M33" s="101"/>
      <c r="N33" s="101"/>
      <c r="O33" s="101"/>
      <c r="P33" s="152"/>
    </row>
    <row r="34" spans="1:17" s="151" customFormat="1" ht="15.75">
      <c r="A34" s="154"/>
      <c r="B34" s="153" t="s">
        <v>212</v>
      </c>
      <c r="C34" s="262" t="s">
        <v>192</v>
      </c>
      <c r="D34" s="101">
        <f t="shared" si="2"/>
        <v>0</v>
      </c>
      <c r="E34" s="101"/>
      <c r="F34" s="101"/>
      <c r="G34" s="101"/>
      <c r="H34" s="101"/>
      <c r="I34" s="101"/>
      <c r="J34" s="101"/>
      <c r="K34" s="101"/>
      <c r="L34" s="101"/>
      <c r="M34" s="101"/>
      <c r="N34" s="101"/>
      <c r="O34" s="101"/>
      <c r="P34" s="152"/>
    </row>
    <row r="35" spans="1:17" s="151" customFormat="1" ht="15.75">
      <c r="A35" s="154"/>
      <c r="B35" s="153" t="s">
        <v>213</v>
      </c>
      <c r="C35" s="262" t="s">
        <v>195</v>
      </c>
      <c r="D35" s="101">
        <f t="shared" si="2"/>
        <v>0</v>
      </c>
      <c r="E35" s="101"/>
      <c r="F35" s="101"/>
      <c r="G35" s="101"/>
      <c r="H35" s="101"/>
      <c r="I35" s="101"/>
      <c r="J35" s="101"/>
      <c r="K35" s="101"/>
      <c r="L35" s="101"/>
      <c r="M35" s="101"/>
      <c r="N35" s="101"/>
      <c r="O35" s="101"/>
      <c r="P35" s="152"/>
    </row>
    <row r="36" spans="1:17" s="151" customFormat="1" ht="15.75">
      <c r="A36" s="154"/>
      <c r="B36" s="153" t="s">
        <v>248</v>
      </c>
      <c r="C36" s="262" t="s">
        <v>193</v>
      </c>
      <c r="D36" s="101">
        <f t="shared" si="2"/>
        <v>0</v>
      </c>
      <c r="E36" s="101"/>
      <c r="F36" s="101"/>
      <c r="G36" s="101"/>
      <c r="H36" s="101"/>
      <c r="I36" s="101"/>
      <c r="J36" s="101"/>
      <c r="K36" s="101"/>
      <c r="L36" s="101"/>
      <c r="M36" s="101"/>
      <c r="N36" s="101"/>
      <c r="O36" s="101"/>
      <c r="P36" s="152"/>
    </row>
    <row r="37" spans="1:17" s="151" customFormat="1" ht="15.75">
      <c r="A37" s="154"/>
      <c r="B37" s="153" t="s">
        <v>218</v>
      </c>
      <c r="C37" s="262" t="s">
        <v>224</v>
      </c>
      <c r="D37" s="101">
        <f t="shared" si="2"/>
        <v>0</v>
      </c>
      <c r="E37" s="101"/>
      <c r="F37" s="101"/>
      <c r="G37" s="101"/>
      <c r="H37" s="101"/>
      <c r="I37" s="101"/>
      <c r="J37" s="101"/>
      <c r="K37" s="101"/>
      <c r="L37" s="101"/>
      <c r="M37" s="101"/>
      <c r="N37" s="101"/>
      <c r="O37" s="101"/>
      <c r="P37" s="152"/>
    </row>
    <row r="38" spans="1:17" s="151" customFormat="1" ht="15.75">
      <c r="A38" s="154"/>
      <c r="B38" s="153" t="s">
        <v>244</v>
      </c>
      <c r="C38" s="262" t="s">
        <v>245</v>
      </c>
      <c r="D38" s="101">
        <f t="shared" si="2"/>
        <v>0</v>
      </c>
      <c r="E38" s="101"/>
      <c r="F38" s="101"/>
      <c r="G38" s="101"/>
      <c r="H38" s="101"/>
      <c r="I38" s="101"/>
      <c r="J38" s="101"/>
      <c r="K38" s="101"/>
      <c r="L38" s="101"/>
      <c r="M38" s="101"/>
      <c r="N38" s="101"/>
      <c r="O38" s="101"/>
      <c r="P38" s="152"/>
    </row>
    <row r="39" spans="1:17" s="151" customFormat="1" ht="15.75">
      <c r="A39" s="154"/>
      <c r="B39" s="153" t="s">
        <v>46</v>
      </c>
      <c r="C39" s="262" t="s">
        <v>47</v>
      </c>
      <c r="D39" s="101">
        <f t="shared" si="2"/>
        <v>0</v>
      </c>
      <c r="E39" s="101"/>
      <c r="F39" s="101"/>
      <c r="G39" s="101"/>
      <c r="H39" s="101"/>
      <c r="I39" s="101"/>
      <c r="J39" s="101"/>
      <c r="K39" s="101"/>
      <c r="L39" s="101"/>
      <c r="M39" s="101"/>
      <c r="N39" s="101"/>
      <c r="O39" s="101"/>
      <c r="P39" s="152"/>
    </row>
    <row r="40" spans="1:17" s="110" customFormat="1" ht="19.5" customHeight="1">
      <c r="A40" s="275"/>
      <c r="B40" s="155" t="s">
        <v>50</v>
      </c>
      <c r="C40" s="261" t="s">
        <v>51</v>
      </c>
      <c r="D40" s="265">
        <f t="shared" ref="D40:D58" si="5">SUM(E40:O40)</f>
        <v>0</v>
      </c>
      <c r="E40" s="266"/>
      <c r="F40" s="266"/>
      <c r="G40" s="266"/>
      <c r="H40" s="266"/>
      <c r="I40" s="266"/>
      <c r="J40" s="266"/>
      <c r="K40" s="266"/>
      <c r="L40" s="266"/>
      <c r="M40" s="266"/>
      <c r="N40" s="266"/>
      <c r="O40" s="266"/>
    </row>
    <row r="41" spans="1:17" s="110" customFormat="1" ht="15.75">
      <c r="A41" s="264"/>
      <c r="B41" s="155" t="s">
        <v>62</v>
      </c>
      <c r="C41" s="261" t="s">
        <v>63</v>
      </c>
      <c r="D41" s="265">
        <f t="shared" si="5"/>
        <v>0</v>
      </c>
      <c r="E41" s="276"/>
      <c r="F41" s="276"/>
      <c r="G41" s="276"/>
      <c r="H41" s="276"/>
      <c r="I41" s="266"/>
      <c r="J41" s="266"/>
      <c r="K41" s="266"/>
      <c r="L41" s="266"/>
      <c r="M41" s="266"/>
      <c r="N41" s="266"/>
      <c r="O41" s="266"/>
    </row>
    <row r="42" spans="1:17" s="110" customFormat="1" ht="31.5">
      <c r="A42" s="264"/>
      <c r="B42" s="155" t="s">
        <v>246</v>
      </c>
      <c r="C42" s="261" t="s">
        <v>64</v>
      </c>
      <c r="D42" s="265">
        <f t="shared" si="5"/>
        <v>0</v>
      </c>
      <c r="E42" s="266"/>
      <c r="F42" s="266"/>
      <c r="G42" s="266"/>
      <c r="H42" s="266"/>
      <c r="I42" s="266"/>
      <c r="J42" s="266"/>
      <c r="K42" s="266"/>
      <c r="L42" s="266"/>
      <c r="M42" s="266"/>
      <c r="N42" s="266"/>
      <c r="O42" s="266"/>
      <c r="Q42" s="337"/>
    </row>
    <row r="43" spans="1:17" s="110" customFormat="1" ht="31.5">
      <c r="A43" s="264"/>
      <c r="B43" s="155" t="s">
        <v>214</v>
      </c>
      <c r="C43" s="261" t="s">
        <v>222</v>
      </c>
      <c r="D43" s="265">
        <f t="shared" si="5"/>
        <v>0</v>
      </c>
      <c r="E43" s="266"/>
      <c r="F43" s="266"/>
      <c r="G43" s="266"/>
      <c r="H43" s="266"/>
      <c r="I43" s="266"/>
      <c r="J43" s="266"/>
      <c r="K43" s="266"/>
      <c r="L43" s="266"/>
      <c r="M43" s="266"/>
      <c r="N43" s="266"/>
      <c r="O43" s="266"/>
    </row>
    <row r="44" spans="1:17" s="110" customFormat="1" ht="15.75">
      <c r="A44" s="264"/>
      <c r="B44" s="155" t="s">
        <v>215</v>
      </c>
      <c r="C44" s="261" t="s">
        <v>223</v>
      </c>
      <c r="D44" s="265">
        <f t="shared" si="5"/>
        <v>0</v>
      </c>
      <c r="E44" s="266"/>
      <c r="F44" s="266"/>
      <c r="G44" s="266"/>
      <c r="H44" s="266"/>
      <c r="I44" s="266"/>
      <c r="J44" s="266"/>
      <c r="K44" s="266"/>
      <c r="L44" s="266"/>
      <c r="M44" s="266"/>
      <c r="N44" s="266"/>
      <c r="O44" s="266"/>
    </row>
    <row r="45" spans="1:17" s="110" customFormat="1" ht="15.75">
      <c r="A45" s="264"/>
      <c r="B45" s="155" t="s">
        <v>219</v>
      </c>
      <c r="C45" s="261" t="s">
        <v>204</v>
      </c>
      <c r="D45" s="265">
        <f t="shared" si="5"/>
        <v>0</v>
      </c>
      <c r="E45" s="266"/>
      <c r="F45" s="266"/>
      <c r="G45" s="266"/>
      <c r="H45" s="277"/>
      <c r="I45" s="266"/>
      <c r="J45" s="266"/>
      <c r="K45" s="266"/>
      <c r="L45" s="268"/>
      <c r="M45" s="266"/>
      <c r="N45" s="266"/>
      <c r="O45" s="266"/>
    </row>
    <row r="46" spans="1:17" ht="15.75">
      <c r="A46" s="149" t="s">
        <v>156</v>
      </c>
      <c r="B46" s="148" t="s">
        <v>48</v>
      </c>
      <c r="C46" s="260" t="s">
        <v>49</v>
      </c>
      <c r="D46" s="147">
        <f t="shared" si="5"/>
        <v>0</v>
      </c>
      <c r="E46" s="147"/>
      <c r="F46" s="147"/>
      <c r="G46" s="147"/>
      <c r="H46" s="147"/>
      <c r="I46" s="146"/>
      <c r="J46" s="146"/>
      <c r="K46" s="146"/>
      <c r="L46" s="146"/>
      <c r="M46" s="146"/>
      <c r="N46" s="146"/>
      <c r="O46" s="146"/>
    </row>
    <row r="47" spans="1:17" ht="15.75">
      <c r="A47" s="149" t="s">
        <v>157</v>
      </c>
      <c r="B47" s="148" t="s">
        <v>67</v>
      </c>
      <c r="C47" s="260" t="s">
        <v>68</v>
      </c>
      <c r="D47" s="147">
        <f t="shared" si="5"/>
        <v>0</v>
      </c>
      <c r="E47" s="147"/>
      <c r="F47" s="147"/>
      <c r="G47" s="147"/>
      <c r="H47" s="147"/>
      <c r="I47" s="146"/>
      <c r="J47" s="146"/>
      <c r="K47" s="146"/>
      <c r="L47" s="146"/>
      <c r="M47" s="146"/>
      <c r="N47" s="146"/>
      <c r="O47" s="146"/>
    </row>
    <row r="48" spans="1:17" ht="15.75">
      <c r="A48" s="149" t="s">
        <v>158</v>
      </c>
      <c r="B48" s="148" t="s">
        <v>69</v>
      </c>
      <c r="C48" s="260" t="s">
        <v>70</v>
      </c>
      <c r="D48" s="147">
        <f t="shared" si="5"/>
        <v>0</v>
      </c>
      <c r="E48" s="143"/>
      <c r="F48" s="143"/>
      <c r="G48" s="143"/>
      <c r="H48" s="143"/>
      <c r="I48" s="143"/>
      <c r="J48" s="143"/>
      <c r="K48" s="143"/>
      <c r="L48" s="143"/>
      <c r="M48" s="143"/>
      <c r="N48" s="143"/>
      <c r="O48" s="143"/>
    </row>
    <row r="49" spans="1:15" ht="15.75">
      <c r="A49" s="149" t="s">
        <v>159</v>
      </c>
      <c r="B49" s="148" t="s">
        <v>52</v>
      </c>
      <c r="C49" s="260" t="s">
        <v>53</v>
      </c>
      <c r="D49" s="147">
        <f t="shared" si="5"/>
        <v>0</v>
      </c>
      <c r="E49" s="143"/>
      <c r="F49" s="143"/>
      <c r="G49" s="143"/>
      <c r="H49" s="162"/>
      <c r="I49" s="143"/>
      <c r="J49" s="143"/>
      <c r="K49" s="159"/>
      <c r="L49" s="161"/>
      <c r="M49" s="143"/>
      <c r="N49" s="143"/>
      <c r="O49" s="143"/>
    </row>
    <row r="50" spans="1:15" ht="15.75">
      <c r="A50" s="150" t="s">
        <v>160</v>
      </c>
      <c r="B50" s="148" t="s">
        <v>54</v>
      </c>
      <c r="C50" s="260" t="s">
        <v>55</v>
      </c>
      <c r="D50" s="147">
        <f t="shared" si="5"/>
        <v>0</v>
      </c>
      <c r="E50" s="143"/>
      <c r="F50" s="143"/>
      <c r="G50" s="143"/>
      <c r="H50" s="143"/>
      <c r="I50" s="143"/>
      <c r="J50" s="143"/>
      <c r="K50" s="143"/>
      <c r="L50" s="161"/>
      <c r="M50" s="143"/>
      <c r="N50" s="143"/>
      <c r="O50" s="143"/>
    </row>
    <row r="51" spans="1:15" ht="15.75">
      <c r="A51" s="149" t="s">
        <v>161</v>
      </c>
      <c r="B51" s="148" t="s">
        <v>56</v>
      </c>
      <c r="C51" s="260" t="s">
        <v>57</v>
      </c>
      <c r="D51" s="147">
        <f t="shared" si="5"/>
        <v>0</v>
      </c>
      <c r="E51" s="147"/>
      <c r="F51" s="147"/>
      <c r="G51" s="147"/>
      <c r="H51" s="147"/>
      <c r="I51" s="146"/>
      <c r="J51" s="146"/>
      <c r="K51" s="146"/>
      <c r="L51" s="146"/>
      <c r="M51" s="146"/>
      <c r="N51" s="146"/>
      <c r="O51" s="146"/>
    </row>
    <row r="52" spans="1:15" ht="31.5">
      <c r="A52" s="149" t="s">
        <v>162</v>
      </c>
      <c r="B52" s="148" t="s">
        <v>58</v>
      </c>
      <c r="C52" s="260" t="s">
        <v>59</v>
      </c>
      <c r="D52" s="147">
        <f t="shared" si="5"/>
        <v>0</v>
      </c>
      <c r="E52" s="147"/>
      <c r="F52" s="147"/>
      <c r="G52" s="147"/>
      <c r="H52" s="147"/>
      <c r="I52" s="146"/>
      <c r="J52" s="146"/>
      <c r="K52" s="146"/>
      <c r="L52" s="146"/>
      <c r="M52" s="146"/>
      <c r="N52" s="146"/>
      <c r="O52" s="146"/>
    </row>
    <row r="53" spans="1:15" ht="15.75">
      <c r="A53" s="149" t="s">
        <v>163</v>
      </c>
      <c r="B53" s="148" t="s">
        <v>60</v>
      </c>
      <c r="C53" s="260" t="s">
        <v>61</v>
      </c>
      <c r="D53" s="147">
        <f t="shared" si="5"/>
        <v>0</v>
      </c>
      <c r="E53" s="147"/>
      <c r="F53" s="147"/>
      <c r="G53" s="147"/>
      <c r="H53" s="147"/>
      <c r="I53" s="146"/>
      <c r="J53" s="146"/>
      <c r="K53" s="146"/>
      <c r="L53" s="146"/>
      <c r="M53" s="146"/>
      <c r="N53" s="146"/>
      <c r="O53" s="159"/>
    </row>
    <row r="54" spans="1:15" ht="15.75">
      <c r="A54" s="149" t="s">
        <v>164</v>
      </c>
      <c r="B54" s="148" t="s">
        <v>71</v>
      </c>
      <c r="C54" s="260" t="s">
        <v>72</v>
      </c>
      <c r="D54" s="278">
        <f t="shared" si="5"/>
        <v>0</v>
      </c>
      <c r="E54" s="143"/>
      <c r="F54" s="143"/>
      <c r="G54" s="143"/>
      <c r="H54" s="143"/>
      <c r="I54" s="143"/>
      <c r="J54" s="143"/>
      <c r="K54" s="143"/>
      <c r="L54" s="161"/>
      <c r="M54" s="146"/>
      <c r="N54" s="160"/>
      <c r="O54" s="160"/>
    </row>
    <row r="55" spans="1:15" ht="15.75">
      <c r="A55" s="149" t="s">
        <v>165</v>
      </c>
      <c r="B55" s="148" t="s">
        <v>181</v>
      </c>
      <c r="C55" s="260" t="s">
        <v>74</v>
      </c>
      <c r="D55" s="278">
        <f t="shared" si="5"/>
        <v>0.56999999999999995</v>
      </c>
      <c r="E55" s="143"/>
      <c r="F55" s="159"/>
      <c r="G55" s="143"/>
      <c r="H55" s="159">
        <v>0.56999999999999995</v>
      </c>
      <c r="I55" s="143"/>
      <c r="J55" s="143"/>
      <c r="K55" s="159"/>
      <c r="L55" s="143"/>
      <c r="M55" s="143"/>
      <c r="N55" s="143"/>
      <c r="O55" s="146"/>
    </row>
    <row r="56" spans="1:15" ht="15.75">
      <c r="A56" s="149" t="s">
        <v>166</v>
      </c>
      <c r="B56" s="148" t="s">
        <v>75</v>
      </c>
      <c r="C56" s="260" t="s">
        <v>76</v>
      </c>
      <c r="D56" s="278">
        <f t="shared" si="5"/>
        <v>0</v>
      </c>
      <c r="E56" s="143"/>
      <c r="F56" s="143"/>
      <c r="G56" s="143"/>
      <c r="H56" s="143"/>
      <c r="I56" s="143"/>
      <c r="J56" s="143"/>
      <c r="K56" s="143"/>
      <c r="L56" s="143"/>
      <c r="M56" s="143"/>
      <c r="N56" s="143"/>
      <c r="O56" s="143"/>
    </row>
    <row r="57" spans="1:15" s="135" customFormat="1" ht="15.75">
      <c r="A57" s="149" t="s">
        <v>167</v>
      </c>
      <c r="B57" s="148" t="s">
        <v>77</v>
      </c>
      <c r="C57" s="260" t="s">
        <v>78</v>
      </c>
      <c r="D57" s="278">
        <f t="shared" si="5"/>
        <v>0</v>
      </c>
      <c r="E57" s="143"/>
      <c r="F57" s="143"/>
      <c r="G57" s="143"/>
      <c r="H57" s="143"/>
      <c r="I57" s="143"/>
      <c r="J57" s="143"/>
      <c r="K57" s="143"/>
      <c r="L57" s="143"/>
      <c r="M57" s="143"/>
      <c r="N57" s="143"/>
      <c r="O57" s="143"/>
    </row>
    <row r="58" spans="1:15" s="10" customFormat="1" ht="15.75">
      <c r="A58" s="145">
        <v>3</v>
      </c>
      <c r="B58" s="144" t="s">
        <v>79</v>
      </c>
      <c r="C58" s="259" t="s">
        <v>80</v>
      </c>
      <c r="D58" s="35">
        <f t="shared" si="5"/>
        <v>0</v>
      </c>
      <c r="E58" s="35"/>
      <c r="F58" s="35"/>
      <c r="G58" s="35"/>
      <c r="H58" s="35"/>
      <c r="I58" s="317"/>
      <c r="J58" s="317"/>
      <c r="K58" s="317"/>
      <c r="L58" s="317"/>
      <c r="M58" s="317"/>
      <c r="N58" s="317"/>
      <c r="O58" s="317"/>
    </row>
    <row r="64" spans="1:15">
      <c r="E64" s="142"/>
      <c r="F64" s="142"/>
      <c r="G64" s="142"/>
      <c r="H64" s="142"/>
      <c r="I64" s="142"/>
      <c r="J64" s="142"/>
      <c r="K64" s="142"/>
      <c r="L64" s="142"/>
      <c r="M64" s="142"/>
      <c r="N64" s="142"/>
      <c r="O64" s="142"/>
    </row>
  </sheetData>
  <mergeCells count="7">
    <mergeCell ref="A2:O2"/>
    <mergeCell ref="A3:O3"/>
    <mergeCell ref="A4:A6"/>
    <mergeCell ref="B4:B6"/>
    <mergeCell ref="C4:C6"/>
    <mergeCell ref="D4:D6"/>
    <mergeCell ref="E4:O5"/>
  </mergeCells>
  <pageMargins left="0.7" right="0.7" top="0.2" bottom="0.32"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A6" workbookViewId="0">
      <pane ySplit="1" topLeftCell="A52" activePane="bottomLeft" state="frozen"/>
      <selection activeCell="A6" sqref="A6"/>
      <selection pane="bottomLeft" activeCell="H20" sqref="H20"/>
    </sheetView>
  </sheetViews>
  <sheetFormatPr defaultColWidth="9.140625" defaultRowHeight="12.75"/>
  <cols>
    <col min="1" max="1" width="6.7109375" style="263" customWidth="1"/>
    <col min="2" max="2" width="26.28515625" style="263" customWidth="1"/>
    <col min="3" max="3" width="7.42578125" style="263" customWidth="1"/>
    <col min="4" max="4" width="10" style="263" customWidth="1"/>
    <col min="5" max="5" width="11.42578125" style="263" bestFit="1" customWidth="1"/>
    <col min="6" max="6" width="14.7109375" style="263" customWidth="1"/>
    <col min="7" max="7" width="11.42578125" style="263" bestFit="1" customWidth="1"/>
    <col min="8" max="9" width="11.42578125" style="105" bestFit="1" customWidth="1"/>
    <col min="10" max="10" width="12.5703125" style="105" bestFit="1" customWidth="1"/>
    <col min="11" max="12" width="11.42578125" style="105" bestFit="1" customWidth="1"/>
    <col min="13" max="13" width="12.5703125" style="105" bestFit="1" customWidth="1"/>
    <col min="14" max="14" width="11.5703125" style="105" bestFit="1" customWidth="1"/>
    <col min="15" max="15" width="12.5703125" style="105" bestFit="1" customWidth="1"/>
    <col min="16" max="16384" width="9.140625" style="263"/>
  </cols>
  <sheetData>
    <row r="1" spans="1:17">
      <c r="D1" s="279"/>
    </row>
    <row r="2" spans="1:17" ht="15.75">
      <c r="A2" s="1255" t="s">
        <v>364</v>
      </c>
      <c r="B2" s="1255"/>
      <c r="C2" s="1255"/>
      <c r="D2" s="1255"/>
      <c r="E2" s="1255"/>
      <c r="F2" s="1255"/>
      <c r="G2" s="1255"/>
      <c r="H2" s="1255"/>
      <c r="I2" s="1255"/>
      <c r="J2" s="1255"/>
      <c r="K2" s="1255"/>
      <c r="L2" s="1255"/>
      <c r="M2" s="1255"/>
      <c r="N2" s="1255"/>
      <c r="O2" s="1255"/>
    </row>
    <row r="3" spans="1:17">
      <c r="A3" s="1256" t="s">
        <v>0</v>
      </c>
      <c r="B3" s="1256"/>
      <c r="C3" s="1256"/>
      <c r="D3" s="1256"/>
      <c r="E3" s="1256"/>
      <c r="F3" s="1256"/>
      <c r="G3" s="1256"/>
      <c r="H3" s="1256"/>
      <c r="I3" s="1256"/>
      <c r="J3" s="1256"/>
      <c r="K3" s="1256"/>
      <c r="L3" s="1256"/>
      <c r="M3" s="1256"/>
      <c r="N3" s="1256"/>
      <c r="O3" s="1256"/>
    </row>
    <row r="4" spans="1:17">
      <c r="A4" s="1254" t="s">
        <v>1</v>
      </c>
      <c r="B4" s="1254" t="s">
        <v>234</v>
      </c>
      <c r="C4" s="1254" t="s">
        <v>3</v>
      </c>
      <c r="D4" s="1254" t="s">
        <v>4</v>
      </c>
      <c r="E4" s="1254" t="s">
        <v>5</v>
      </c>
      <c r="F4" s="1254"/>
      <c r="G4" s="1254"/>
      <c r="H4" s="1254"/>
      <c r="I4" s="1254"/>
      <c r="J4" s="1254"/>
      <c r="K4" s="1254"/>
      <c r="L4" s="1254"/>
      <c r="M4" s="1254"/>
      <c r="N4" s="1254"/>
      <c r="O4" s="1254"/>
    </row>
    <row r="5" spans="1:17">
      <c r="A5" s="1254"/>
      <c r="B5" s="1254"/>
      <c r="C5" s="1254"/>
      <c r="D5" s="1254"/>
      <c r="E5" s="1254"/>
      <c r="F5" s="1254"/>
      <c r="G5" s="1254"/>
      <c r="H5" s="1254"/>
      <c r="I5" s="1254"/>
      <c r="J5" s="1254"/>
      <c r="K5" s="1254"/>
      <c r="L5" s="1254"/>
      <c r="M5" s="1254"/>
      <c r="N5" s="1254"/>
      <c r="O5" s="1254"/>
    </row>
    <row r="6" spans="1:17" ht="28.5">
      <c r="A6" s="1254"/>
      <c r="B6" s="1254"/>
      <c r="C6" s="1254"/>
      <c r="D6" s="1254"/>
      <c r="E6" s="280" t="s">
        <v>111</v>
      </c>
      <c r="F6" s="281" t="s">
        <v>190</v>
      </c>
      <c r="G6" s="281" t="s">
        <v>169</v>
      </c>
      <c r="H6" s="281" t="s">
        <v>170</v>
      </c>
      <c r="I6" s="281" t="s">
        <v>172</v>
      </c>
      <c r="J6" s="281" t="s">
        <v>198</v>
      </c>
      <c r="K6" s="281" t="s">
        <v>197</v>
      </c>
      <c r="L6" s="281" t="s">
        <v>191</v>
      </c>
      <c r="M6" s="281" t="s">
        <v>189</v>
      </c>
      <c r="N6" s="281" t="s">
        <v>174</v>
      </c>
      <c r="O6" s="281" t="s">
        <v>173</v>
      </c>
    </row>
    <row r="7" spans="1:17" s="284" customFormat="1" ht="15.75">
      <c r="A7" s="282"/>
      <c r="B7" s="258" t="s">
        <v>230</v>
      </c>
      <c r="C7" s="258"/>
      <c r="D7" s="283">
        <f>SUM(E7:O7)</f>
        <v>18.589999999999996</v>
      </c>
      <c r="E7" s="283">
        <f t="shared" ref="E7:O7" si="0">E8+E20+E58</f>
        <v>0.14000000000000001</v>
      </c>
      <c r="F7" s="283">
        <f t="shared" si="0"/>
        <v>0.13</v>
      </c>
      <c r="G7" s="283">
        <f t="shared" si="0"/>
        <v>0.02</v>
      </c>
      <c r="H7" s="283">
        <f t="shared" si="0"/>
        <v>17.52</v>
      </c>
      <c r="I7" s="283">
        <f t="shared" si="0"/>
        <v>0.02</v>
      </c>
      <c r="J7" s="283">
        <f t="shared" si="0"/>
        <v>0.15</v>
      </c>
      <c r="K7" s="283">
        <f t="shared" si="0"/>
        <v>0</v>
      </c>
      <c r="L7" s="283">
        <f t="shared" si="0"/>
        <v>0</v>
      </c>
      <c r="M7" s="283">
        <f t="shared" si="0"/>
        <v>0.5</v>
      </c>
      <c r="N7" s="283">
        <f t="shared" si="0"/>
        <v>0</v>
      </c>
      <c r="O7" s="283">
        <f t="shared" si="0"/>
        <v>0.11</v>
      </c>
    </row>
    <row r="8" spans="1:17" s="284" customFormat="1" ht="15.75">
      <c r="A8" s="285">
        <v>1</v>
      </c>
      <c r="B8" s="286" t="s">
        <v>6</v>
      </c>
      <c r="C8" s="259" t="s">
        <v>7</v>
      </c>
      <c r="D8" s="304">
        <f>D9+SUM(D11:D15)+SUM(D17:D19)</f>
        <v>16.52</v>
      </c>
      <c r="E8" s="304">
        <f>E9+SUM(E11:E15)+SUM(E17:E19)</f>
        <v>0</v>
      </c>
      <c r="F8" s="304">
        <f t="shared" ref="F8:O8" si="1">F9+SUM(F11:F15)+SUM(F17:F19)</f>
        <v>0</v>
      </c>
      <c r="G8" s="304">
        <f t="shared" si="1"/>
        <v>0</v>
      </c>
      <c r="H8" s="304">
        <f t="shared" si="1"/>
        <v>16.52</v>
      </c>
      <c r="I8" s="304">
        <f t="shared" si="1"/>
        <v>0</v>
      </c>
      <c r="J8" s="304">
        <f t="shared" si="1"/>
        <v>0</v>
      </c>
      <c r="K8" s="304">
        <f t="shared" si="1"/>
        <v>0</v>
      </c>
      <c r="L8" s="304">
        <f t="shared" si="1"/>
        <v>0</v>
      </c>
      <c r="M8" s="304">
        <f t="shared" si="1"/>
        <v>0</v>
      </c>
      <c r="N8" s="304">
        <f t="shared" si="1"/>
        <v>0</v>
      </c>
      <c r="O8" s="304">
        <f t="shared" si="1"/>
        <v>0</v>
      </c>
    </row>
    <row r="9" spans="1:17" ht="15.75">
      <c r="A9" s="287" t="s">
        <v>139</v>
      </c>
      <c r="B9" s="288" t="s">
        <v>8</v>
      </c>
      <c r="C9" s="260" t="s">
        <v>9</v>
      </c>
      <c r="D9" s="294">
        <f t="shared" ref="D9:D19" si="2">SUM(E9:O9)</f>
        <v>0</v>
      </c>
      <c r="E9" s="289"/>
      <c r="F9" s="289"/>
      <c r="G9" s="289"/>
      <c r="H9" s="290"/>
      <c r="I9" s="289"/>
      <c r="J9" s="289"/>
      <c r="K9" s="289"/>
      <c r="L9" s="291"/>
      <c r="M9" s="289"/>
      <c r="N9" s="289"/>
      <c r="O9" s="289"/>
    </row>
    <row r="10" spans="1:17" ht="31.5">
      <c r="A10" s="287"/>
      <c r="B10" s="292" t="s">
        <v>10</v>
      </c>
      <c r="C10" s="261" t="s">
        <v>11</v>
      </c>
      <c r="D10" s="294">
        <f t="shared" si="2"/>
        <v>0</v>
      </c>
      <c r="E10" s="289"/>
      <c r="F10" s="289"/>
      <c r="G10" s="289"/>
      <c r="H10" s="289"/>
      <c r="I10" s="289"/>
      <c r="J10" s="289"/>
      <c r="K10" s="289"/>
      <c r="L10" s="291"/>
      <c r="M10" s="289"/>
      <c r="N10" s="289"/>
      <c r="O10" s="289"/>
    </row>
    <row r="11" spans="1:17" ht="31.5">
      <c r="A11" s="287" t="s">
        <v>140</v>
      </c>
      <c r="B11" s="288" t="s">
        <v>12</v>
      </c>
      <c r="C11" s="260" t="s">
        <v>13</v>
      </c>
      <c r="D11" s="294">
        <f t="shared" si="2"/>
        <v>0</v>
      </c>
      <c r="E11" s="289"/>
      <c r="F11" s="289"/>
      <c r="G11" s="289"/>
      <c r="H11" s="290"/>
      <c r="I11" s="291"/>
      <c r="J11" s="291"/>
      <c r="K11" s="289"/>
      <c r="L11" s="291"/>
      <c r="M11" s="289"/>
      <c r="N11" s="289"/>
      <c r="O11" s="289"/>
      <c r="P11" s="279"/>
      <c r="Q11" s="293"/>
    </row>
    <row r="12" spans="1:17" ht="15.75">
      <c r="A12" s="287" t="s">
        <v>141</v>
      </c>
      <c r="B12" s="288" t="s">
        <v>14</v>
      </c>
      <c r="C12" s="260" t="s">
        <v>15</v>
      </c>
      <c r="D12" s="294">
        <f t="shared" si="2"/>
        <v>0</v>
      </c>
      <c r="E12" s="289"/>
      <c r="F12" s="289"/>
      <c r="G12" s="289"/>
      <c r="H12" s="290"/>
      <c r="I12" s="289"/>
      <c r="J12" s="289"/>
      <c r="K12" s="289"/>
      <c r="L12" s="291"/>
      <c r="M12" s="289"/>
      <c r="N12" s="289"/>
      <c r="O12" s="289"/>
    </row>
    <row r="13" spans="1:17" ht="15.75">
      <c r="A13" s="287" t="s">
        <v>142</v>
      </c>
      <c r="B13" s="288" t="s">
        <v>16</v>
      </c>
      <c r="C13" s="260" t="s">
        <v>17</v>
      </c>
      <c r="D13" s="294">
        <f t="shared" si="2"/>
        <v>0</v>
      </c>
      <c r="E13" s="289"/>
      <c r="F13" s="289"/>
      <c r="G13" s="289"/>
      <c r="H13" s="289"/>
      <c r="I13" s="289"/>
      <c r="J13" s="289"/>
      <c r="K13" s="289"/>
      <c r="L13" s="291"/>
      <c r="M13" s="289"/>
      <c r="N13" s="289"/>
      <c r="O13" s="289"/>
    </row>
    <row r="14" spans="1:17" ht="15.75">
      <c r="A14" s="287" t="s">
        <v>143</v>
      </c>
      <c r="B14" s="288" t="s">
        <v>18</v>
      </c>
      <c r="C14" s="260" t="s">
        <v>19</v>
      </c>
      <c r="D14" s="294">
        <f t="shared" si="2"/>
        <v>0</v>
      </c>
      <c r="E14" s="289"/>
      <c r="F14" s="289"/>
      <c r="G14" s="294"/>
      <c r="H14" s="294"/>
      <c r="I14" s="291"/>
      <c r="J14" s="291"/>
      <c r="K14" s="289"/>
      <c r="L14" s="291"/>
      <c r="M14" s="291"/>
      <c r="N14" s="289"/>
      <c r="O14" s="291"/>
    </row>
    <row r="15" spans="1:17" ht="15.75">
      <c r="A15" s="287" t="s">
        <v>144</v>
      </c>
      <c r="B15" s="288" t="s">
        <v>20</v>
      </c>
      <c r="C15" s="260" t="s">
        <v>21</v>
      </c>
      <c r="D15" s="294">
        <f t="shared" si="2"/>
        <v>0</v>
      </c>
      <c r="E15" s="289"/>
      <c r="F15" s="289"/>
      <c r="G15" s="289"/>
      <c r="H15" s="289"/>
      <c r="I15" s="289"/>
      <c r="J15" s="289"/>
      <c r="K15" s="289"/>
      <c r="L15" s="291"/>
      <c r="M15" s="289"/>
      <c r="N15" s="289"/>
      <c r="O15" s="289"/>
    </row>
    <row r="16" spans="1:17" ht="31.5">
      <c r="A16" s="287"/>
      <c r="B16" s="288" t="s">
        <v>243</v>
      </c>
      <c r="C16" s="260" t="s">
        <v>247</v>
      </c>
      <c r="D16" s="294">
        <f t="shared" si="2"/>
        <v>0</v>
      </c>
      <c r="E16" s="289"/>
      <c r="F16" s="289"/>
      <c r="G16" s="289"/>
      <c r="H16" s="289"/>
      <c r="I16" s="289"/>
      <c r="J16" s="289"/>
      <c r="K16" s="289"/>
      <c r="L16" s="291"/>
      <c r="M16" s="295"/>
      <c r="N16" s="295"/>
      <c r="O16" s="295"/>
    </row>
    <row r="17" spans="1:16" ht="15.75">
      <c r="A17" s="287" t="s">
        <v>145</v>
      </c>
      <c r="B17" s="288" t="s">
        <v>22</v>
      </c>
      <c r="C17" s="260" t="s">
        <v>23</v>
      </c>
      <c r="D17" s="294">
        <f t="shared" si="2"/>
        <v>0</v>
      </c>
      <c r="E17" s="294"/>
      <c r="F17" s="294"/>
      <c r="G17" s="294"/>
      <c r="H17" s="294"/>
      <c r="I17" s="291"/>
      <c r="J17" s="291"/>
      <c r="K17" s="291"/>
      <c r="L17" s="291"/>
      <c r="M17" s="291"/>
      <c r="N17" s="291"/>
      <c r="O17" s="291"/>
    </row>
    <row r="18" spans="1:16" ht="15.75">
      <c r="A18" s="287" t="s">
        <v>146</v>
      </c>
      <c r="B18" s="288" t="s">
        <v>24</v>
      </c>
      <c r="C18" s="260" t="s">
        <v>25</v>
      </c>
      <c r="D18" s="294">
        <f t="shared" si="2"/>
        <v>0</v>
      </c>
      <c r="E18" s="289"/>
      <c r="F18" s="289"/>
      <c r="G18" s="289"/>
      <c r="H18" s="289"/>
      <c r="I18" s="289"/>
      <c r="J18" s="289"/>
      <c r="K18" s="289"/>
      <c r="L18" s="289"/>
      <c r="M18" s="289"/>
      <c r="N18" s="289"/>
      <c r="O18" s="289"/>
    </row>
    <row r="19" spans="1:16" s="105" customFormat="1" ht="15.75">
      <c r="A19" s="287" t="s">
        <v>147</v>
      </c>
      <c r="B19" s="288" t="s">
        <v>26</v>
      </c>
      <c r="C19" s="260" t="s">
        <v>27</v>
      </c>
      <c r="D19" s="294">
        <f t="shared" si="2"/>
        <v>16.52</v>
      </c>
      <c r="E19" s="294"/>
      <c r="F19" s="294"/>
      <c r="G19" s="294"/>
      <c r="H19" s="294">
        <f>17.75-1.23</f>
        <v>16.52</v>
      </c>
      <c r="I19" s="294"/>
      <c r="J19" s="294"/>
      <c r="K19" s="294"/>
      <c r="L19" s="294"/>
      <c r="M19" s="294"/>
      <c r="N19" s="294"/>
      <c r="O19" s="294"/>
    </row>
    <row r="20" spans="1:16" s="284" customFormat="1" ht="15.75">
      <c r="A20" s="285">
        <v>2</v>
      </c>
      <c r="B20" s="286" t="s">
        <v>28</v>
      </c>
      <c r="C20" s="259" t="s">
        <v>29</v>
      </c>
      <c r="D20" s="283">
        <f t="shared" ref="D20:D52" si="3">SUM(E20:O20)</f>
        <v>2.0699999999999998</v>
      </c>
      <c r="E20" s="304">
        <f>SUM(E21:E29)+SUM(E46:E57)</f>
        <v>0.14000000000000001</v>
      </c>
      <c r="F20" s="304">
        <f t="shared" ref="F20:O20" si="4">SUM(F21:F29)+SUM(F46:F57)</f>
        <v>0.13</v>
      </c>
      <c r="G20" s="304">
        <f t="shared" si="4"/>
        <v>0.02</v>
      </c>
      <c r="H20" s="304">
        <f t="shared" si="4"/>
        <v>1</v>
      </c>
      <c r="I20" s="304">
        <f t="shared" si="4"/>
        <v>0.02</v>
      </c>
      <c r="J20" s="304">
        <f t="shared" si="4"/>
        <v>0.15</v>
      </c>
      <c r="K20" s="304">
        <f t="shared" si="4"/>
        <v>0</v>
      </c>
      <c r="L20" s="304">
        <f t="shared" si="4"/>
        <v>0</v>
      </c>
      <c r="M20" s="304">
        <f t="shared" si="4"/>
        <v>0.5</v>
      </c>
      <c r="N20" s="304">
        <f t="shared" si="4"/>
        <v>0</v>
      </c>
      <c r="O20" s="304">
        <f t="shared" si="4"/>
        <v>0.11</v>
      </c>
    </row>
    <row r="21" spans="1:16" ht="15.75">
      <c r="A21" s="287" t="s">
        <v>148</v>
      </c>
      <c r="B21" s="288" t="s">
        <v>30</v>
      </c>
      <c r="C21" s="260" t="s">
        <v>31</v>
      </c>
      <c r="D21" s="294">
        <f t="shared" si="3"/>
        <v>0</v>
      </c>
      <c r="E21" s="289"/>
      <c r="F21" s="289"/>
      <c r="G21" s="289"/>
      <c r="H21" s="289"/>
      <c r="I21" s="289"/>
      <c r="J21" s="289"/>
      <c r="K21" s="289"/>
      <c r="L21" s="289"/>
      <c r="M21" s="289"/>
      <c r="N21" s="289"/>
      <c r="O21" s="289"/>
    </row>
    <row r="22" spans="1:16" ht="15.75">
      <c r="A22" s="287" t="s">
        <v>138</v>
      </c>
      <c r="B22" s="288" t="s">
        <v>32</v>
      </c>
      <c r="C22" s="260" t="s">
        <v>33</v>
      </c>
      <c r="D22" s="294">
        <f t="shared" si="3"/>
        <v>0</v>
      </c>
      <c r="E22" s="289"/>
      <c r="F22" s="289"/>
      <c r="G22" s="289"/>
      <c r="H22" s="289"/>
      <c r="I22" s="289"/>
      <c r="J22" s="289"/>
      <c r="K22" s="289"/>
      <c r="L22" s="289"/>
      <c r="M22" s="289"/>
      <c r="N22" s="289"/>
      <c r="O22" s="289"/>
    </row>
    <row r="23" spans="1:16" ht="15.75">
      <c r="A23" s="287" t="s">
        <v>149</v>
      </c>
      <c r="B23" s="288" t="s">
        <v>34</v>
      </c>
      <c r="C23" s="260" t="s">
        <v>35</v>
      </c>
      <c r="D23" s="294">
        <f t="shared" si="3"/>
        <v>0</v>
      </c>
      <c r="E23" s="294"/>
      <c r="F23" s="294"/>
      <c r="G23" s="294"/>
      <c r="H23" s="294"/>
      <c r="I23" s="291"/>
      <c r="J23" s="291"/>
      <c r="K23" s="291"/>
      <c r="L23" s="291"/>
      <c r="M23" s="291"/>
      <c r="N23" s="291"/>
      <c r="O23" s="291"/>
    </row>
    <row r="24" spans="1:16" ht="15.75">
      <c r="A24" s="287" t="s">
        <v>150</v>
      </c>
      <c r="B24" s="288" t="s">
        <v>36</v>
      </c>
      <c r="C24" s="260" t="s">
        <v>37</v>
      </c>
      <c r="D24" s="294">
        <f t="shared" si="3"/>
        <v>0</v>
      </c>
      <c r="E24" s="289"/>
      <c r="F24" s="289"/>
      <c r="G24" s="289"/>
      <c r="H24" s="289"/>
      <c r="I24" s="289"/>
      <c r="J24" s="289"/>
      <c r="K24" s="289"/>
      <c r="L24" s="289"/>
      <c r="M24" s="289"/>
      <c r="N24" s="289"/>
      <c r="O24" s="289"/>
    </row>
    <row r="25" spans="1:16" ht="15" customHeight="1">
      <c r="A25" s="287" t="s">
        <v>151</v>
      </c>
      <c r="B25" s="288" t="s">
        <v>38</v>
      </c>
      <c r="C25" s="260" t="s">
        <v>39</v>
      </c>
      <c r="D25" s="294">
        <f t="shared" si="3"/>
        <v>0.1</v>
      </c>
      <c r="E25" s="294"/>
      <c r="F25" s="294"/>
      <c r="G25" s="294">
        <v>0.02</v>
      </c>
      <c r="H25" s="294"/>
      <c r="I25" s="291"/>
      <c r="J25" s="291"/>
      <c r="K25" s="291"/>
      <c r="L25" s="291"/>
      <c r="M25" s="291"/>
      <c r="N25" s="291"/>
      <c r="O25" s="291">
        <v>0.08</v>
      </c>
    </row>
    <row r="26" spans="1:16" ht="31.5">
      <c r="A26" s="287" t="s">
        <v>152</v>
      </c>
      <c r="B26" s="288" t="s">
        <v>40</v>
      </c>
      <c r="C26" s="260" t="s">
        <v>41</v>
      </c>
      <c r="D26" s="294">
        <f t="shared" si="3"/>
        <v>0.5</v>
      </c>
      <c r="E26" s="294"/>
      <c r="F26" s="294"/>
      <c r="G26" s="294"/>
      <c r="H26" s="290"/>
      <c r="I26" s="291"/>
      <c r="J26" s="291"/>
      <c r="K26" s="291"/>
      <c r="L26" s="291"/>
      <c r="M26" s="291">
        <v>0.5</v>
      </c>
      <c r="N26" s="291"/>
      <c r="O26" s="289"/>
    </row>
    <row r="27" spans="1:16" ht="31.5">
      <c r="A27" s="287" t="s">
        <v>153</v>
      </c>
      <c r="B27" s="288" t="s">
        <v>42</v>
      </c>
      <c r="C27" s="260" t="s">
        <v>43</v>
      </c>
      <c r="D27" s="294">
        <f t="shared" si="3"/>
        <v>0</v>
      </c>
      <c r="E27" s="289"/>
      <c r="F27" s="289"/>
      <c r="G27" s="289"/>
      <c r="H27" s="289"/>
      <c r="I27" s="289"/>
      <c r="J27" s="289"/>
      <c r="K27" s="289"/>
      <c r="L27" s="289"/>
      <c r="M27" s="289"/>
      <c r="N27" s="289"/>
      <c r="O27" s="289"/>
    </row>
    <row r="28" spans="1:16" ht="31.5">
      <c r="A28" s="287" t="s">
        <v>154</v>
      </c>
      <c r="B28" s="288" t="s">
        <v>179</v>
      </c>
      <c r="C28" s="260" t="s">
        <v>66</v>
      </c>
      <c r="D28" s="294">
        <f t="shared" si="3"/>
        <v>0</v>
      </c>
      <c r="E28" s="289"/>
      <c r="F28" s="289"/>
      <c r="G28" s="289"/>
      <c r="H28" s="289"/>
      <c r="I28" s="289"/>
      <c r="J28" s="289"/>
      <c r="K28" s="289"/>
      <c r="L28" s="289"/>
      <c r="M28" s="289"/>
      <c r="N28" s="289"/>
      <c r="O28" s="289"/>
    </row>
    <row r="29" spans="1:16" s="309" customFormat="1" ht="15" customHeight="1">
      <c r="A29" s="270" t="s">
        <v>155</v>
      </c>
      <c r="B29" s="305" t="s">
        <v>180</v>
      </c>
      <c r="C29" s="272" t="s">
        <v>45</v>
      </c>
      <c r="D29" s="306">
        <f t="shared" si="3"/>
        <v>1</v>
      </c>
      <c r="E29" s="307">
        <f>SUM(E30:E45)</f>
        <v>0</v>
      </c>
      <c r="F29" s="307">
        <f t="shared" ref="F29:O29" si="5">SUM(F30:F45)</f>
        <v>0</v>
      </c>
      <c r="G29" s="307">
        <f t="shared" si="5"/>
        <v>0</v>
      </c>
      <c r="H29" s="307">
        <f t="shared" si="5"/>
        <v>1</v>
      </c>
      <c r="I29" s="307">
        <f t="shared" si="5"/>
        <v>0</v>
      </c>
      <c r="J29" s="307">
        <f t="shared" si="5"/>
        <v>0</v>
      </c>
      <c r="K29" s="307">
        <f t="shared" si="5"/>
        <v>0</v>
      </c>
      <c r="L29" s="307">
        <f t="shared" si="5"/>
        <v>0</v>
      </c>
      <c r="M29" s="307">
        <f t="shared" si="5"/>
        <v>0</v>
      </c>
      <c r="N29" s="307">
        <f t="shared" si="5"/>
        <v>0</v>
      </c>
      <c r="O29" s="307">
        <f t="shared" si="5"/>
        <v>0</v>
      </c>
      <c r="P29" s="308"/>
    </row>
    <row r="30" spans="1:16" s="300" customFormat="1" ht="15.75">
      <c r="A30" s="154"/>
      <c r="B30" s="296" t="s">
        <v>216</v>
      </c>
      <c r="C30" s="262" t="s">
        <v>196</v>
      </c>
      <c r="D30" s="298">
        <f t="shared" si="3"/>
        <v>0</v>
      </c>
      <c r="E30" s="298"/>
      <c r="F30" s="298"/>
      <c r="G30" s="298"/>
      <c r="H30" s="298"/>
      <c r="I30" s="298"/>
      <c r="J30" s="298"/>
      <c r="K30" s="298"/>
      <c r="L30" s="298"/>
      <c r="M30" s="298"/>
      <c r="N30" s="298"/>
      <c r="O30" s="298"/>
      <c r="P30" s="299"/>
    </row>
    <row r="31" spans="1:16" s="300" customFormat="1" ht="15.75">
      <c r="A31" s="154"/>
      <c r="B31" s="296" t="s">
        <v>217</v>
      </c>
      <c r="C31" s="262" t="s">
        <v>194</v>
      </c>
      <c r="D31" s="298">
        <f t="shared" si="3"/>
        <v>0</v>
      </c>
      <c r="E31" s="298"/>
      <c r="F31" s="298"/>
      <c r="G31" s="298"/>
      <c r="H31" s="298"/>
      <c r="I31" s="298"/>
      <c r="J31" s="298"/>
      <c r="K31" s="298"/>
      <c r="L31" s="298"/>
      <c r="M31" s="298"/>
      <c r="N31" s="298"/>
      <c r="O31" s="298"/>
      <c r="P31" s="299"/>
    </row>
    <row r="32" spans="1:16" s="300" customFormat="1" ht="30">
      <c r="A32" s="154"/>
      <c r="B32" s="296" t="s">
        <v>210</v>
      </c>
      <c r="C32" s="262" t="s">
        <v>220</v>
      </c>
      <c r="D32" s="298">
        <f t="shared" si="3"/>
        <v>0</v>
      </c>
      <c r="E32" s="298"/>
      <c r="F32" s="298"/>
      <c r="G32" s="298"/>
      <c r="H32" s="298"/>
      <c r="I32" s="298"/>
      <c r="J32" s="298"/>
      <c r="K32" s="298"/>
      <c r="L32" s="298"/>
      <c r="M32" s="298"/>
      <c r="N32" s="298"/>
      <c r="O32" s="298"/>
      <c r="P32" s="299"/>
    </row>
    <row r="33" spans="1:16" s="300" customFormat="1" ht="15.75">
      <c r="A33" s="154"/>
      <c r="B33" s="296" t="s">
        <v>211</v>
      </c>
      <c r="C33" s="262" t="s">
        <v>221</v>
      </c>
      <c r="D33" s="298">
        <f t="shared" si="3"/>
        <v>0</v>
      </c>
      <c r="E33" s="298"/>
      <c r="F33" s="298"/>
      <c r="G33" s="298"/>
      <c r="H33" s="298"/>
      <c r="I33" s="298"/>
      <c r="J33" s="298"/>
      <c r="K33" s="298"/>
      <c r="L33" s="298"/>
      <c r="M33" s="298"/>
      <c r="N33" s="298"/>
      <c r="O33" s="298"/>
      <c r="P33" s="299"/>
    </row>
    <row r="34" spans="1:16" s="300" customFormat="1" ht="31.5">
      <c r="A34" s="154"/>
      <c r="B34" s="296" t="s">
        <v>212</v>
      </c>
      <c r="C34" s="262" t="s">
        <v>192</v>
      </c>
      <c r="D34" s="298">
        <f t="shared" si="3"/>
        <v>0</v>
      </c>
      <c r="E34" s="298"/>
      <c r="F34" s="298"/>
      <c r="G34" s="298"/>
      <c r="H34" s="298"/>
      <c r="I34" s="298"/>
      <c r="J34" s="298"/>
      <c r="K34" s="298"/>
      <c r="L34" s="298"/>
      <c r="M34" s="298"/>
      <c r="N34" s="298"/>
      <c r="O34" s="298"/>
      <c r="P34" s="299"/>
    </row>
    <row r="35" spans="1:16" s="300" customFormat="1" ht="30">
      <c r="A35" s="154"/>
      <c r="B35" s="296" t="s">
        <v>213</v>
      </c>
      <c r="C35" s="262" t="s">
        <v>195</v>
      </c>
      <c r="D35" s="297">
        <f t="shared" si="3"/>
        <v>0</v>
      </c>
      <c r="E35" s="298"/>
      <c r="F35" s="298"/>
      <c r="G35" s="298"/>
      <c r="H35" s="298"/>
      <c r="I35" s="298"/>
      <c r="J35" s="298"/>
      <c r="K35" s="298"/>
      <c r="L35" s="298"/>
      <c r="M35" s="298"/>
      <c r="N35" s="298"/>
      <c r="O35" s="298"/>
      <c r="P35" s="299"/>
    </row>
    <row r="36" spans="1:16" s="300" customFormat="1" ht="15.75">
      <c r="A36" s="154"/>
      <c r="B36" s="296" t="s">
        <v>248</v>
      </c>
      <c r="C36" s="262" t="s">
        <v>193</v>
      </c>
      <c r="D36" s="298">
        <f t="shared" si="3"/>
        <v>0</v>
      </c>
      <c r="E36" s="298"/>
      <c r="F36" s="298"/>
      <c r="G36" s="298"/>
      <c r="H36" s="298"/>
      <c r="I36" s="298"/>
      <c r="J36" s="298"/>
      <c r="K36" s="298"/>
      <c r="L36" s="298"/>
      <c r="M36" s="298"/>
      <c r="N36" s="298"/>
      <c r="O36" s="298"/>
      <c r="P36" s="299"/>
    </row>
    <row r="37" spans="1:16" s="300" customFormat="1" ht="30">
      <c r="A37" s="154"/>
      <c r="B37" s="296" t="s">
        <v>218</v>
      </c>
      <c r="C37" s="262" t="s">
        <v>224</v>
      </c>
      <c r="D37" s="298">
        <f t="shared" si="3"/>
        <v>0</v>
      </c>
      <c r="E37" s="298"/>
      <c r="F37" s="298"/>
      <c r="G37" s="298"/>
      <c r="H37" s="298"/>
      <c r="I37" s="298"/>
      <c r="J37" s="298"/>
      <c r="K37" s="298"/>
      <c r="L37" s="298"/>
      <c r="M37" s="298"/>
      <c r="N37" s="298"/>
      <c r="O37" s="298"/>
      <c r="P37" s="299"/>
    </row>
    <row r="38" spans="1:16" s="300" customFormat="1" ht="31.5">
      <c r="A38" s="154"/>
      <c r="B38" s="296" t="s">
        <v>244</v>
      </c>
      <c r="C38" s="262" t="s">
        <v>245</v>
      </c>
      <c r="D38" s="298">
        <f t="shared" si="3"/>
        <v>0</v>
      </c>
      <c r="E38" s="298"/>
      <c r="F38" s="298"/>
      <c r="G38" s="298"/>
      <c r="H38" s="298"/>
      <c r="I38" s="298"/>
      <c r="J38" s="298"/>
      <c r="K38" s="298"/>
      <c r="L38" s="298"/>
      <c r="M38" s="298"/>
      <c r="N38" s="298"/>
      <c r="O38" s="298"/>
      <c r="P38" s="299"/>
    </row>
    <row r="39" spans="1:16" s="300" customFormat="1" ht="13.5" customHeight="1">
      <c r="A39" s="154"/>
      <c r="B39" s="296" t="s">
        <v>46</v>
      </c>
      <c r="C39" s="262" t="s">
        <v>47</v>
      </c>
      <c r="D39" s="298">
        <f t="shared" si="3"/>
        <v>0</v>
      </c>
      <c r="E39" s="298"/>
      <c r="F39" s="298"/>
      <c r="G39" s="298"/>
      <c r="H39" s="298"/>
      <c r="I39" s="298"/>
      <c r="J39" s="298"/>
      <c r="K39" s="298"/>
      <c r="L39" s="298"/>
      <c r="M39" s="298"/>
      <c r="N39" s="298"/>
      <c r="O39" s="298"/>
      <c r="P39" s="299"/>
    </row>
    <row r="40" spans="1:16" s="313" customFormat="1" ht="19.5" customHeight="1">
      <c r="A40" s="310"/>
      <c r="B40" s="292" t="s">
        <v>50</v>
      </c>
      <c r="C40" s="261" t="s">
        <v>51</v>
      </c>
      <c r="D40" s="311">
        <f t="shared" si="3"/>
        <v>0</v>
      </c>
      <c r="E40" s="312"/>
      <c r="F40" s="312"/>
      <c r="G40" s="312"/>
      <c r="H40" s="312"/>
      <c r="I40" s="312"/>
      <c r="J40" s="312"/>
      <c r="K40" s="312"/>
      <c r="L40" s="312"/>
      <c r="M40" s="312"/>
      <c r="N40" s="312"/>
      <c r="O40" s="312"/>
    </row>
    <row r="41" spans="1:16" s="313" customFormat="1" ht="15.75">
      <c r="A41" s="314"/>
      <c r="B41" s="292" t="s">
        <v>62</v>
      </c>
      <c r="C41" s="261" t="s">
        <v>63</v>
      </c>
      <c r="D41" s="311">
        <f t="shared" si="3"/>
        <v>1</v>
      </c>
      <c r="E41" s="315"/>
      <c r="F41" s="315"/>
      <c r="G41" s="315"/>
      <c r="H41" s="315">
        <v>1</v>
      </c>
      <c r="I41" s="312"/>
      <c r="J41" s="312"/>
      <c r="K41" s="312"/>
      <c r="L41" s="312"/>
      <c r="M41" s="312"/>
      <c r="N41" s="312"/>
      <c r="O41" s="312"/>
    </row>
    <row r="42" spans="1:16" s="313" customFormat="1" ht="31.5">
      <c r="A42" s="314"/>
      <c r="B42" s="292" t="s">
        <v>246</v>
      </c>
      <c r="C42" s="261" t="s">
        <v>64</v>
      </c>
      <c r="D42" s="311">
        <f t="shared" si="3"/>
        <v>0</v>
      </c>
      <c r="E42" s="312"/>
      <c r="F42" s="312"/>
      <c r="G42" s="312"/>
      <c r="H42" s="312"/>
      <c r="I42" s="312"/>
      <c r="J42" s="312"/>
      <c r="K42" s="312"/>
      <c r="L42" s="312"/>
      <c r="M42" s="312"/>
      <c r="N42" s="312"/>
      <c r="O42" s="312"/>
    </row>
    <row r="43" spans="1:16" s="313" customFormat="1" ht="31.5">
      <c r="A43" s="314"/>
      <c r="B43" s="292" t="s">
        <v>214</v>
      </c>
      <c r="C43" s="261" t="s">
        <v>222</v>
      </c>
      <c r="D43" s="311">
        <f t="shared" si="3"/>
        <v>0</v>
      </c>
      <c r="F43" s="312"/>
      <c r="G43" s="312"/>
      <c r="H43" s="312"/>
      <c r="I43" s="312"/>
      <c r="J43" s="312"/>
      <c r="K43" s="312"/>
      <c r="L43" s="312"/>
      <c r="M43" s="312"/>
      <c r="N43" s="312"/>
      <c r="O43" s="312"/>
    </row>
    <row r="44" spans="1:16" s="313" customFormat="1" ht="31.5">
      <c r="A44" s="314"/>
      <c r="B44" s="292" t="s">
        <v>215</v>
      </c>
      <c r="C44" s="261" t="s">
        <v>223</v>
      </c>
      <c r="D44" s="311">
        <f t="shared" si="3"/>
        <v>0</v>
      </c>
      <c r="E44" s="312"/>
      <c r="F44" s="312"/>
      <c r="G44" s="312"/>
      <c r="H44" s="312"/>
      <c r="I44" s="312"/>
      <c r="J44" s="312"/>
      <c r="K44" s="312"/>
      <c r="L44" s="312"/>
      <c r="M44" s="312"/>
      <c r="N44" s="312"/>
      <c r="O44" s="312"/>
    </row>
    <row r="45" spans="1:16" s="313" customFormat="1" ht="15.75">
      <c r="A45" s="314"/>
      <c r="B45" s="292" t="s">
        <v>219</v>
      </c>
      <c r="C45" s="261" t="s">
        <v>204</v>
      </c>
      <c r="D45" s="311">
        <f t="shared" si="3"/>
        <v>0</v>
      </c>
      <c r="E45" s="312"/>
      <c r="F45" s="312"/>
      <c r="G45" s="312"/>
      <c r="H45" s="315"/>
      <c r="I45" s="312"/>
      <c r="J45" s="312"/>
      <c r="K45" s="312"/>
      <c r="L45" s="316"/>
      <c r="M45" s="312"/>
      <c r="N45" s="312"/>
      <c r="O45" s="312"/>
    </row>
    <row r="46" spans="1:16" ht="15.75">
      <c r="A46" s="287" t="s">
        <v>156</v>
      </c>
      <c r="B46" s="288" t="s">
        <v>48</v>
      </c>
      <c r="C46" s="260" t="s">
        <v>49</v>
      </c>
      <c r="D46" s="294">
        <f t="shared" si="3"/>
        <v>0</v>
      </c>
      <c r="E46" s="289"/>
      <c r="F46" s="294"/>
      <c r="G46" s="294"/>
      <c r="H46" s="294"/>
      <c r="I46" s="291"/>
      <c r="J46" s="291"/>
      <c r="K46" s="291"/>
      <c r="L46" s="291"/>
      <c r="M46" s="291"/>
      <c r="N46" s="291"/>
      <c r="O46" s="291"/>
    </row>
    <row r="47" spans="1:16" ht="15.75">
      <c r="A47" s="287" t="s">
        <v>157</v>
      </c>
      <c r="B47" s="288" t="s">
        <v>67</v>
      </c>
      <c r="C47" s="260" t="s">
        <v>68</v>
      </c>
      <c r="D47" s="294">
        <f t="shared" si="3"/>
        <v>0</v>
      </c>
      <c r="E47" s="294"/>
      <c r="F47" s="294"/>
      <c r="G47" s="294"/>
      <c r="H47" s="294"/>
      <c r="I47" s="291"/>
      <c r="J47" s="291"/>
      <c r="K47" s="291"/>
      <c r="L47" s="291"/>
      <c r="M47" s="291"/>
      <c r="N47" s="291"/>
      <c r="O47" s="291"/>
    </row>
    <row r="48" spans="1:16" ht="31.5">
      <c r="A48" s="287" t="s">
        <v>158</v>
      </c>
      <c r="B48" s="288" t="s">
        <v>69</v>
      </c>
      <c r="C48" s="260" t="s">
        <v>70</v>
      </c>
      <c r="D48" s="294">
        <f t="shared" si="3"/>
        <v>0</v>
      </c>
      <c r="E48" s="289"/>
      <c r="F48" s="289"/>
      <c r="G48" s="289"/>
      <c r="I48" s="289"/>
      <c r="J48" s="289"/>
      <c r="K48" s="289"/>
      <c r="L48" s="289"/>
      <c r="M48" s="289"/>
      <c r="N48" s="289"/>
      <c r="O48" s="289"/>
    </row>
    <row r="49" spans="1:15" ht="13.5" customHeight="1">
      <c r="A49" s="287" t="s">
        <v>159</v>
      </c>
      <c r="B49" s="288" t="s">
        <v>52</v>
      </c>
      <c r="C49" s="260" t="s">
        <v>53</v>
      </c>
      <c r="D49" s="294">
        <f t="shared" si="3"/>
        <v>0.32999999999999996</v>
      </c>
      <c r="E49" s="289"/>
      <c r="F49" s="289">
        <v>0.13</v>
      </c>
      <c r="G49" s="289"/>
      <c r="H49" s="290"/>
      <c r="I49" s="289">
        <v>0.02</v>
      </c>
      <c r="J49" s="289">
        <v>0.15</v>
      </c>
      <c r="K49" s="290"/>
      <c r="L49" s="295"/>
      <c r="M49" s="289"/>
      <c r="N49" s="289"/>
      <c r="O49" s="289">
        <v>0.03</v>
      </c>
    </row>
    <row r="50" spans="1:15" ht="15.75">
      <c r="A50" s="301" t="s">
        <v>160</v>
      </c>
      <c r="B50" s="288" t="s">
        <v>54</v>
      </c>
      <c r="C50" s="260" t="s">
        <v>55</v>
      </c>
      <c r="D50" s="294">
        <f t="shared" si="3"/>
        <v>0.14000000000000001</v>
      </c>
      <c r="E50" s="289">
        <v>0.14000000000000001</v>
      </c>
      <c r="F50" s="289"/>
      <c r="G50" s="289"/>
      <c r="H50" s="289"/>
      <c r="I50" s="289"/>
      <c r="J50" s="289"/>
      <c r="K50" s="289"/>
      <c r="L50" s="295"/>
      <c r="M50" s="289"/>
      <c r="N50" s="289"/>
      <c r="O50" s="289"/>
    </row>
    <row r="51" spans="1:15" ht="15.75">
      <c r="A51" s="287" t="s">
        <v>161</v>
      </c>
      <c r="B51" s="288" t="s">
        <v>56</v>
      </c>
      <c r="C51" s="260" t="s">
        <v>57</v>
      </c>
      <c r="D51" s="294">
        <f t="shared" si="3"/>
        <v>0</v>
      </c>
      <c r="E51" s="294"/>
      <c r="F51" s="294"/>
      <c r="G51" s="294"/>
      <c r="H51" s="294"/>
      <c r="I51" s="291"/>
      <c r="J51" s="291"/>
      <c r="K51" s="291"/>
      <c r="L51" s="291"/>
      <c r="M51" s="291"/>
      <c r="N51" s="291"/>
      <c r="O51" s="291"/>
    </row>
    <row r="52" spans="1:15" ht="31.5">
      <c r="A52" s="287" t="s">
        <v>162</v>
      </c>
      <c r="B52" s="288" t="s">
        <v>58</v>
      </c>
      <c r="C52" s="260" t="s">
        <v>59</v>
      </c>
      <c r="D52" s="294">
        <f t="shared" si="3"/>
        <v>0</v>
      </c>
      <c r="E52" s="294"/>
      <c r="F52" s="294"/>
      <c r="G52" s="294"/>
      <c r="H52" s="294"/>
      <c r="I52" s="291"/>
      <c r="J52" s="291"/>
      <c r="K52" s="291"/>
      <c r="L52" s="291"/>
      <c r="M52" s="291"/>
      <c r="N52" s="291"/>
      <c r="O52" s="291"/>
    </row>
    <row r="53" spans="1:15" ht="31.5">
      <c r="A53" s="287" t="s">
        <v>163</v>
      </c>
      <c r="B53" s="288" t="s">
        <v>60</v>
      </c>
      <c r="C53" s="260" t="s">
        <v>61</v>
      </c>
      <c r="D53" s="294"/>
      <c r="E53" s="294"/>
      <c r="F53" s="294"/>
      <c r="G53" s="294"/>
      <c r="H53" s="294"/>
      <c r="I53" s="291"/>
      <c r="J53" s="291"/>
      <c r="K53" s="291"/>
      <c r="L53" s="291"/>
      <c r="M53" s="291"/>
      <c r="N53" s="291"/>
      <c r="O53" s="290"/>
    </row>
    <row r="54" spans="1:15" ht="15.75">
      <c r="A54" s="287" t="s">
        <v>164</v>
      </c>
      <c r="B54" s="288" t="s">
        <v>71</v>
      </c>
      <c r="C54" s="260" t="s">
        <v>72</v>
      </c>
      <c r="D54" s="294"/>
      <c r="E54" s="289"/>
      <c r="F54" s="289"/>
      <c r="G54" s="289"/>
      <c r="H54" s="302"/>
      <c r="I54" s="303"/>
      <c r="J54" s="303"/>
      <c r="K54" s="289"/>
      <c r="L54" s="295"/>
      <c r="M54" s="291"/>
      <c r="N54" s="303"/>
      <c r="O54" s="289"/>
    </row>
    <row r="55" spans="1:15" ht="15.75">
      <c r="A55" s="287" t="s">
        <v>165</v>
      </c>
      <c r="B55" s="288" t="s">
        <v>181</v>
      </c>
      <c r="C55" s="260" t="s">
        <v>74</v>
      </c>
      <c r="D55" s="294">
        <f>SUM(E55:O55)</f>
        <v>0</v>
      </c>
      <c r="E55" s="289"/>
      <c r="F55" s="290"/>
      <c r="G55" s="289"/>
      <c r="H55" s="290"/>
      <c r="I55" s="289"/>
      <c r="J55" s="289"/>
      <c r="K55" s="290"/>
      <c r="L55" s="289"/>
      <c r="M55" s="289"/>
      <c r="N55" s="289"/>
      <c r="O55" s="291"/>
    </row>
    <row r="56" spans="1:15" ht="31.5">
      <c r="A56" s="287" t="s">
        <v>166</v>
      </c>
      <c r="B56" s="288" t="s">
        <v>75</v>
      </c>
      <c r="C56" s="260" t="s">
        <v>76</v>
      </c>
      <c r="D56" s="294">
        <f>SUM(E56:O56)</f>
        <v>0</v>
      </c>
      <c r="E56" s="289"/>
      <c r="F56" s="289"/>
      <c r="G56" s="289"/>
      <c r="H56" s="289"/>
      <c r="I56" s="289"/>
      <c r="J56" s="289"/>
      <c r="K56" s="289"/>
      <c r="L56" s="289"/>
      <c r="M56" s="289"/>
      <c r="N56" s="289"/>
      <c r="O56" s="289"/>
    </row>
    <row r="57" spans="1:15" s="105" customFormat="1" ht="15.75">
      <c r="A57" s="287" t="s">
        <v>167</v>
      </c>
      <c r="B57" s="288" t="s">
        <v>77</v>
      </c>
      <c r="C57" s="260" t="s">
        <v>78</v>
      </c>
      <c r="D57" s="294">
        <f>SUM(E57:O57)</f>
        <v>0</v>
      </c>
      <c r="E57" s="289"/>
      <c r="F57" s="289"/>
      <c r="G57" s="289"/>
      <c r="H57" s="289"/>
      <c r="I57" s="289"/>
      <c r="J57" s="289"/>
      <c r="K57" s="289"/>
      <c r="L57" s="289"/>
      <c r="M57" s="289"/>
      <c r="N57" s="289"/>
      <c r="O57" s="289"/>
    </row>
    <row r="58" spans="1:15" ht="15.75">
      <c r="A58" s="285">
        <v>3</v>
      </c>
      <c r="B58" s="286" t="s">
        <v>79</v>
      </c>
      <c r="C58" s="259" t="s">
        <v>80</v>
      </c>
      <c r="D58" s="294"/>
      <c r="E58" s="294"/>
      <c r="F58" s="294"/>
      <c r="G58" s="294"/>
      <c r="H58" s="294"/>
      <c r="I58" s="291"/>
      <c r="J58" s="291"/>
      <c r="K58" s="291"/>
      <c r="L58" s="291"/>
      <c r="M58" s="291"/>
      <c r="N58" s="291"/>
      <c r="O58" s="291"/>
    </row>
    <row r="62" spans="1:15">
      <c r="E62" s="279">
        <f>E7-'Cộng giảm HT'!E7</f>
        <v>0</v>
      </c>
      <c r="F62" s="279">
        <f>F7-'Cộng giảm HT'!F7</f>
        <v>0</v>
      </c>
      <c r="G62" s="279">
        <f>G7-'Cộng giảm HT'!G7</f>
        <v>0</v>
      </c>
      <c r="H62" s="279">
        <f>H7-'Cộng giảm HT'!H7</f>
        <v>0</v>
      </c>
      <c r="I62" s="279">
        <f>I7-'Cộng giảm HT'!I7</f>
        <v>0</v>
      </c>
      <c r="J62" s="279">
        <f>J7-'Cộng giảm HT'!J7</f>
        <v>0</v>
      </c>
      <c r="K62" s="279">
        <f>K7-'Cộng giảm HT'!K7</f>
        <v>0</v>
      </c>
      <c r="L62" s="279">
        <f>L7-'Cộng giảm HT'!L7</f>
        <v>0</v>
      </c>
      <c r="M62" s="279">
        <f>M7-'Cộng giảm HT'!M7</f>
        <v>0</v>
      </c>
      <c r="N62" s="279">
        <f>N7-'Cộng giảm HT'!N7</f>
        <v>0</v>
      </c>
      <c r="O62" s="279">
        <f>O7-'Cộng giảm HT'!O7</f>
        <v>0</v>
      </c>
    </row>
    <row r="64" spans="1:15">
      <c r="D64" s="279"/>
    </row>
  </sheetData>
  <mergeCells count="7">
    <mergeCell ref="A2:O2"/>
    <mergeCell ref="A3:O3"/>
    <mergeCell ref="A4:A6"/>
    <mergeCell ref="B4:B6"/>
    <mergeCell ref="C4:C6"/>
    <mergeCell ref="D4:D6"/>
    <mergeCell ref="E4:O5"/>
  </mergeCells>
  <pageMargins left="0.56000000000000005" right="0.43" top="0.26" bottom="0.19"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4"/>
  <sheetViews>
    <sheetView workbookViewId="0">
      <selection activeCell="E60" sqref="E60"/>
    </sheetView>
  </sheetViews>
  <sheetFormatPr defaultColWidth="9.140625" defaultRowHeight="12.75"/>
  <cols>
    <col min="1" max="1" width="5.28515625" style="135" customWidth="1"/>
    <col min="2" max="2" width="41.42578125" style="135" customWidth="1"/>
    <col min="3" max="3" width="8.42578125" style="335" customWidth="1"/>
    <col min="4" max="4" width="13.5703125" style="135" customWidth="1"/>
    <col min="5" max="5" width="11.140625" style="135" customWidth="1"/>
    <col min="6" max="6" width="12.42578125" style="135" bestFit="1" customWidth="1"/>
    <col min="7" max="7" width="10.28515625" style="135" customWidth="1"/>
    <col min="8" max="8" width="4.5703125" style="135" customWidth="1"/>
    <col min="9" max="9" width="4.28515625" style="135" customWidth="1"/>
    <col min="10" max="10" width="9.140625" style="135"/>
    <col min="11" max="11" width="9.85546875" style="135" bestFit="1" customWidth="1"/>
    <col min="12" max="12" width="9.85546875" style="135" customWidth="1"/>
    <col min="13" max="16384" width="9.140625" style="135"/>
  </cols>
  <sheetData>
    <row r="1" spans="1:12" ht="30" customHeight="1">
      <c r="A1" s="1253" t="s">
        <v>1</v>
      </c>
      <c r="B1" s="1253" t="s">
        <v>2</v>
      </c>
      <c r="C1" s="1253" t="s">
        <v>3</v>
      </c>
      <c r="D1" s="1259" t="s">
        <v>983</v>
      </c>
      <c r="E1" s="1260"/>
      <c r="F1" s="1259" t="s">
        <v>984</v>
      </c>
      <c r="G1" s="1260"/>
      <c r="H1" s="1257"/>
      <c r="I1" s="369"/>
      <c r="J1" s="369"/>
    </row>
    <row r="2" spans="1:12" ht="28.5" customHeight="1">
      <c r="A2" s="1253"/>
      <c r="B2" s="1253"/>
      <c r="C2" s="1258"/>
      <c r="D2" s="368" t="s">
        <v>339</v>
      </c>
      <c r="E2" s="368" t="s">
        <v>340</v>
      </c>
      <c r="F2" s="368" t="s">
        <v>339</v>
      </c>
      <c r="G2" s="368" t="s">
        <v>340</v>
      </c>
      <c r="H2" s="1257"/>
      <c r="I2" s="369"/>
      <c r="J2" s="369"/>
    </row>
    <row r="3" spans="1:12" s="10" customFormat="1" ht="15.75">
      <c r="A3" s="370"/>
      <c r="B3" s="370" t="s">
        <v>131</v>
      </c>
      <c r="C3" s="370"/>
      <c r="D3" s="319">
        <f>'B1'!D8</f>
        <v>143172.85999999999</v>
      </c>
      <c r="E3" s="319"/>
      <c r="F3" s="319">
        <f>'B6'!H6</f>
        <v>143172.85999999999</v>
      </c>
      <c r="G3" s="321"/>
      <c r="H3" s="139"/>
      <c r="I3" s="138"/>
      <c r="J3" s="138"/>
      <c r="L3" s="138"/>
    </row>
    <row r="4" spans="1:12" s="10" customFormat="1" ht="15.75">
      <c r="A4" s="370">
        <v>1</v>
      </c>
      <c r="B4" s="322" t="s">
        <v>6</v>
      </c>
      <c r="C4" s="370" t="s">
        <v>7</v>
      </c>
      <c r="D4" s="319">
        <f>'B1'!D10</f>
        <v>134734.37</v>
      </c>
      <c r="E4" s="319">
        <f>D4/$D$3*100</f>
        <v>94.106082675166235</v>
      </c>
      <c r="F4" s="319">
        <f>'B6'!H8</f>
        <v>134501.56999999998</v>
      </c>
      <c r="G4" s="321">
        <f>F4/$F$3*100</f>
        <v>93.943482025853214</v>
      </c>
      <c r="H4" s="139"/>
      <c r="I4" s="138"/>
      <c r="J4" s="138"/>
    </row>
    <row r="5" spans="1:12" ht="15.75" hidden="1">
      <c r="A5" s="323" t="s">
        <v>139</v>
      </c>
      <c r="B5" s="324" t="s">
        <v>8</v>
      </c>
      <c r="C5" s="323" t="s">
        <v>9</v>
      </c>
      <c r="D5" s="320">
        <f>'B1'!D11</f>
        <v>1206.1199999999999</v>
      </c>
      <c r="E5" s="320">
        <f t="shared" ref="E5:E54" si="0">D5/$D$3*100</f>
        <v>0.84242223002320404</v>
      </c>
      <c r="F5" s="320">
        <f>'B6'!H9</f>
        <v>1203.32</v>
      </c>
      <c r="G5" s="325">
        <f t="shared" ref="G5:G54" si="1">F5/$F$3*100</f>
        <v>0.84046655211050481</v>
      </c>
      <c r="H5" s="139"/>
      <c r="I5" s="138"/>
      <c r="J5" s="138"/>
    </row>
    <row r="6" spans="1:12" ht="15.75" hidden="1">
      <c r="A6" s="323"/>
      <c r="B6" s="326" t="s">
        <v>10</v>
      </c>
      <c r="C6" s="327" t="s">
        <v>11</v>
      </c>
      <c r="D6" s="336">
        <f>'B1'!D12</f>
        <v>737.82999999999993</v>
      </c>
      <c r="E6" s="320">
        <f t="shared" si="0"/>
        <v>0.51534208368820733</v>
      </c>
      <c r="F6" s="336">
        <f>'B6'!H10</f>
        <v>736.53</v>
      </c>
      <c r="G6" s="325">
        <f t="shared" si="1"/>
        <v>0.51443409037159704</v>
      </c>
      <c r="H6" s="139"/>
      <c r="I6" s="138"/>
      <c r="J6" s="138"/>
      <c r="K6" s="140"/>
      <c r="L6" s="140"/>
    </row>
    <row r="7" spans="1:12" s="105" customFormat="1" ht="15.75" hidden="1">
      <c r="A7" s="329" t="s">
        <v>140</v>
      </c>
      <c r="B7" s="330" t="s">
        <v>12</v>
      </c>
      <c r="C7" s="329" t="s">
        <v>13</v>
      </c>
      <c r="D7" s="320">
        <f>'B1'!D13</f>
        <v>15432.95</v>
      </c>
      <c r="E7" s="320">
        <f t="shared" si="0"/>
        <v>10.779242658140657</v>
      </c>
      <c r="F7" s="320">
        <f>'B6'!H11</f>
        <v>15053.07</v>
      </c>
      <c r="G7" s="325">
        <f t="shared" si="1"/>
        <v>10.513913041899142</v>
      </c>
      <c r="H7" s="139"/>
      <c r="I7" s="136"/>
      <c r="J7" s="136"/>
      <c r="K7" s="137"/>
      <c r="L7" s="137"/>
    </row>
    <row r="8" spans="1:12" ht="15.75" hidden="1">
      <c r="A8" s="323" t="s">
        <v>141</v>
      </c>
      <c r="B8" s="324" t="s">
        <v>14</v>
      </c>
      <c r="C8" s="323" t="s">
        <v>15</v>
      </c>
      <c r="D8" s="320">
        <f>'B1'!D14</f>
        <v>27265.360000000001</v>
      </c>
      <c r="E8" s="320">
        <f t="shared" si="0"/>
        <v>19.043665119213237</v>
      </c>
      <c r="F8" s="320">
        <f>'B6'!H12</f>
        <v>27446.910000000003</v>
      </c>
      <c r="G8" s="325">
        <f t="shared" si="1"/>
        <v>19.170469878159874</v>
      </c>
      <c r="H8" s="139"/>
      <c r="I8" s="138"/>
      <c r="J8" s="138"/>
      <c r="K8" s="140"/>
      <c r="L8" s="140"/>
    </row>
    <row r="9" spans="1:12" ht="15.75" hidden="1">
      <c r="A9" s="323" t="s">
        <v>142</v>
      </c>
      <c r="B9" s="324" t="s">
        <v>16</v>
      </c>
      <c r="C9" s="323" t="s">
        <v>17</v>
      </c>
      <c r="D9" s="320">
        <f>'B1'!D15</f>
        <v>13311.81</v>
      </c>
      <c r="E9" s="320">
        <f t="shared" si="0"/>
        <v>9.2977188553752441</v>
      </c>
      <c r="F9" s="320">
        <f>'B6'!H13</f>
        <v>13276.07</v>
      </c>
      <c r="G9" s="325">
        <f t="shared" si="1"/>
        <v>9.2727560237324305</v>
      </c>
      <c r="H9" s="139"/>
      <c r="I9" s="138"/>
      <c r="J9" s="138"/>
    </row>
    <row r="10" spans="1:12" ht="15.75" hidden="1">
      <c r="A10" s="323" t="s">
        <v>143</v>
      </c>
      <c r="B10" s="324" t="s">
        <v>18</v>
      </c>
      <c r="C10" s="323" t="s">
        <v>19</v>
      </c>
      <c r="D10" s="320">
        <f>'B1'!D16</f>
        <v>43026.239999999998</v>
      </c>
      <c r="E10" s="320">
        <f t="shared" si="0"/>
        <v>30.051952583750861</v>
      </c>
      <c r="F10" s="320">
        <f>'B6'!H14</f>
        <v>43026.239999999998</v>
      </c>
      <c r="G10" s="325">
        <f t="shared" si="1"/>
        <v>30.051952583750861</v>
      </c>
      <c r="H10" s="139"/>
      <c r="I10" s="138"/>
      <c r="J10" s="138"/>
    </row>
    <row r="11" spans="1:12" ht="15.75" hidden="1">
      <c r="A11" s="323" t="s">
        <v>144</v>
      </c>
      <c r="B11" s="324" t="s">
        <v>20</v>
      </c>
      <c r="C11" s="323" t="s">
        <v>21</v>
      </c>
      <c r="D11" s="320">
        <f>'B1'!D17</f>
        <v>34255.949999999997</v>
      </c>
      <c r="E11" s="320">
        <f t="shared" si="0"/>
        <v>23.926287426262213</v>
      </c>
      <c r="F11" s="320">
        <f>'B6'!H15</f>
        <v>34235.089999999997</v>
      </c>
      <c r="G11" s="325">
        <f t="shared" si="1"/>
        <v>23.911717625812599</v>
      </c>
      <c r="H11" s="139"/>
      <c r="I11" s="138"/>
      <c r="J11" s="138"/>
    </row>
    <row r="12" spans="1:12" s="110" customFormat="1" ht="15" hidden="1" customHeight="1">
      <c r="A12" s="327"/>
      <c r="B12" s="326" t="s">
        <v>243</v>
      </c>
      <c r="C12" s="327" t="s">
        <v>247</v>
      </c>
      <c r="D12" s="336">
        <f>'B1'!D18</f>
        <v>29661.960000000003</v>
      </c>
      <c r="E12" s="336">
        <f t="shared" si="0"/>
        <v>20.717585721204429</v>
      </c>
      <c r="F12" s="336">
        <f>'B6'!H16</f>
        <v>29661.960000000003</v>
      </c>
      <c r="G12" s="328">
        <f t="shared" si="1"/>
        <v>20.717585721204429</v>
      </c>
      <c r="H12" s="337"/>
      <c r="I12" s="338"/>
      <c r="J12" s="338"/>
    </row>
    <row r="13" spans="1:12" ht="15.75" hidden="1">
      <c r="A13" s="323" t="s">
        <v>145</v>
      </c>
      <c r="B13" s="324" t="s">
        <v>22</v>
      </c>
      <c r="C13" s="323" t="s">
        <v>23</v>
      </c>
      <c r="D13" s="320">
        <f>'B1'!D19</f>
        <v>122.69</v>
      </c>
      <c r="E13" s="320">
        <f t="shared" si="0"/>
        <v>8.5693615396102318E-2</v>
      </c>
      <c r="F13" s="320">
        <f>'B6'!H17</f>
        <v>122.26</v>
      </c>
      <c r="G13" s="325">
        <f t="shared" si="1"/>
        <v>8.5393279145223489E-2</v>
      </c>
      <c r="H13" s="139"/>
      <c r="I13" s="138"/>
      <c r="J13" s="138"/>
    </row>
    <row r="14" spans="1:12" ht="15.75" hidden="1">
      <c r="A14" s="323" t="s">
        <v>146</v>
      </c>
      <c r="B14" s="324" t="s">
        <v>24</v>
      </c>
      <c r="C14" s="323" t="s">
        <v>25</v>
      </c>
      <c r="D14" s="320">
        <f>'B1'!D20</f>
        <v>0</v>
      </c>
      <c r="E14" s="320">
        <f t="shared" si="0"/>
        <v>0</v>
      </c>
      <c r="F14" s="320">
        <f>'B6'!H18</f>
        <v>0</v>
      </c>
      <c r="G14" s="325">
        <f t="shared" si="1"/>
        <v>0</v>
      </c>
      <c r="H14" s="139"/>
      <c r="I14" s="138"/>
      <c r="J14" s="138"/>
    </row>
    <row r="15" spans="1:12" ht="15.75" hidden="1">
      <c r="A15" s="323" t="s">
        <v>147</v>
      </c>
      <c r="B15" s="324" t="s">
        <v>26</v>
      </c>
      <c r="C15" s="323" t="s">
        <v>27</v>
      </c>
      <c r="D15" s="320">
        <f>'B1'!D21</f>
        <v>113.24999999999999</v>
      </c>
      <c r="E15" s="320">
        <f t="shared" si="0"/>
        <v>7.9100187004715841E-2</v>
      </c>
      <c r="F15" s="320">
        <f>'B6'!H19</f>
        <v>138.61000000000001</v>
      </c>
      <c r="G15" s="325">
        <f t="shared" si="1"/>
        <v>9.6813041242593059E-2</v>
      </c>
      <c r="H15" s="139"/>
      <c r="I15" s="140"/>
      <c r="J15" s="140"/>
    </row>
    <row r="16" spans="1:12" s="10" customFormat="1" ht="15.75">
      <c r="A16" s="370">
        <v>2</v>
      </c>
      <c r="B16" s="322" t="s">
        <v>28</v>
      </c>
      <c r="C16" s="370" t="s">
        <v>29</v>
      </c>
      <c r="D16" s="319">
        <f>'B1'!D22</f>
        <v>8267.58</v>
      </c>
      <c r="E16" s="319">
        <f t="shared" si="0"/>
        <v>5.7745441419553964</v>
      </c>
      <c r="F16" s="319">
        <f>'B6'!H20</f>
        <v>8516.7099999999991</v>
      </c>
      <c r="G16" s="321">
        <f t="shared" si="1"/>
        <v>5.9485505842378226</v>
      </c>
      <c r="H16" s="318"/>
      <c r="I16" s="138"/>
      <c r="J16" s="138"/>
    </row>
    <row r="17" spans="1:12" ht="15.75" hidden="1">
      <c r="A17" s="323" t="s">
        <v>148</v>
      </c>
      <c r="B17" s="324" t="s">
        <v>30</v>
      </c>
      <c r="C17" s="323" t="s">
        <v>31</v>
      </c>
      <c r="D17" s="320">
        <f>'B1'!D23</f>
        <v>117.88</v>
      </c>
      <c r="E17" s="320">
        <f t="shared" si="0"/>
        <v>8.2334040124643737E-2</v>
      </c>
      <c r="F17" s="320">
        <f>'B6'!H21</f>
        <v>123.28</v>
      </c>
      <c r="G17" s="325">
        <f t="shared" si="1"/>
        <v>8.6105704670563971E-2</v>
      </c>
      <c r="H17" s="139"/>
      <c r="I17" s="138"/>
      <c r="J17" s="138"/>
    </row>
    <row r="18" spans="1:12" ht="15.75" hidden="1">
      <c r="A18" s="323" t="s">
        <v>138</v>
      </c>
      <c r="B18" s="324" t="s">
        <v>32</v>
      </c>
      <c r="C18" s="323" t="s">
        <v>33</v>
      </c>
      <c r="D18" s="320">
        <f>'B1'!D24</f>
        <v>0.97</v>
      </c>
      <c r="E18" s="320">
        <f t="shared" si="0"/>
        <v>6.7750270547085542E-4</v>
      </c>
      <c r="F18" s="320">
        <f>'B6'!H22</f>
        <v>4.2700000000000005</v>
      </c>
      <c r="G18" s="325">
        <f t="shared" si="1"/>
        <v>2.982408816866549E-3</v>
      </c>
      <c r="H18" s="139"/>
      <c r="I18" s="138"/>
      <c r="J18" s="138"/>
    </row>
    <row r="19" spans="1:12" ht="15.75" hidden="1">
      <c r="A19" s="323" t="s">
        <v>149</v>
      </c>
      <c r="B19" s="324" t="s">
        <v>34</v>
      </c>
      <c r="C19" s="323" t="s">
        <v>35</v>
      </c>
      <c r="D19" s="320">
        <f>'B1'!D25</f>
        <v>0</v>
      </c>
      <c r="E19" s="320">
        <f t="shared" si="0"/>
        <v>0</v>
      </c>
      <c r="F19" s="320">
        <f>'B6'!H23</f>
        <v>0</v>
      </c>
      <c r="G19" s="325">
        <f t="shared" si="1"/>
        <v>0</v>
      </c>
      <c r="H19" s="139"/>
      <c r="I19" s="138"/>
      <c r="J19" s="138"/>
    </row>
    <row r="20" spans="1:12" ht="15.75" hidden="1">
      <c r="A20" s="323" t="s">
        <v>150</v>
      </c>
      <c r="B20" s="324" t="s">
        <v>36</v>
      </c>
      <c r="C20" s="323" t="s">
        <v>37</v>
      </c>
      <c r="D20" s="320">
        <f>'B1'!D26</f>
        <v>0</v>
      </c>
      <c r="E20" s="320">
        <f t="shared" si="0"/>
        <v>0</v>
      </c>
      <c r="F20" s="320">
        <f>'B6'!H24</f>
        <v>1.01</v>
      </c>
      <c r="G20" s="325">
        <f t="shared" si="1"/>
        <v>7.0544096136656079E-4</v>
      </c>
      <c r="H20" s="139"/>
      <c r="I20" s="138"/>
      <c r="J20" s="138"/>
    </row>
    <row r="21" spans="1:12" ht="15.75" hidden="1">
      <c r="A21" s="323" t="s">
        <v>151</v>
      </c>
      <c r="B21" s="324" t="s">
        <v>38</v>
      </c>
      <c r="C21" s="323" t="s">
        <v>39</v>
      </c>
      <c r="D21" s="320">
        <f>'B1'!D27</f>
        <v>5.26</v>
      </c>
      <c r="E21" s="320">
        <f t="shared" si="0"/>
        <v>3.6738806502852567E-3</v>
      </c>
      <c r="F21" s="320">
        <f>'B6'!H25</f>
        <v>5.83</v>
      </c>
      <c r="G21" s="325">
        <f t="shared" si="1"/>
        <v>4.0720007967990583E-3</v>
      </c>
      <c r="H21" s="139"/>
      <c r="I21" s="138"/>
      <c r="J21" s="138"/>
    </row>
    <row r="22" spans="1:12" ht="15.75" hidden="1">
      <c r="A22" s="323" t="s">
        <v>152</v>
      </c>
      <c r="B22" s="324" t="s">
        <v>40</v>
      </c>
      <c r="C22" s="323" t="s">
        <v>41</v>
      </c>
      <c r="D22" s="320">
        <f>'B1'!D28</f>
        <v>56.789999999999992</v>
      </c>
      <c r="E22" s="320">
        <f t="shared" si="0"/>
        <v>3.9665338807927698E-2</v>
      </c>
      <c r="F22" s="320">
        <f>'B6'!H26</f>
        <v>61.519999999999996</v>
      </c>
      <c r="G22" s="325">
        <f t="shared" si="1"/>
        <v>4.2969037567594869E-2</v>
      </c>
      <c r="H22" s="139"/>
      <c r="I22" s="138"/>
      <c r="J22" s="138"/>
    </row>
    <row r="23" spans="1:12" ht="15.75" hidden="1">
      <c r="A23" s="323" t="s">
        <v>153</v>
      </c>
      <c r="B23" s="324" t="s">
        <v>42</v>
      </c>
      <c r="C23" s="323" t="s">
        <v>43</v>
      </c>
      <c r="D23" s="320">
        <f>'B1'!D29</f>
        <v>4.66</v>
      </c>
      <c r="E23" s="320">
        <f t="shared" si="0"/>
        <v>3.2548068118496767E-3</v>
      </c>
      <c r="F23" s="320">
        <f>'B6'!H27</f>
        <v>4.66</v>
      </c>
      <c r="G23" s="325">
        <f t="shared" si="1"/>
        <v>3.2548068118496767E-3</v>
      </c>
      <c r="H23" s="139"/>
      <c r="I23" s="138"/>
      <c r="J23" s="138"/>
    </row>
    <row r="24" spans="1:12" ht="15.75" hidden="1">
      <c r="A24" s="323" t="s">
        <v>154</v>
      </c>
      <c r="B24" s="324" t="s">
        <v>179</v>
      </c>
      <c r="C24" s="323" t="s">
        <v>66</v>
      </c>
      <c r="D24" s="320">
        <f>'B1'!D30</f>
        <v>22.73</v>
      </c>
      <c r="E24" s="320">
        <f t="shared" si="0"/>
        <v>1.5875913912734581E-2</v>
      </c>
      <c r="F24" s="320">
        <f>'B6'!H28</f>
        <v>25.19</v>
      </c>
      <c r="G24" s="325">
        <f t="shared" si="1"/>
        <v>1.7594116650320461E-2</v>
      </c>
      <c r="H24" s="139"/>
      <c r="I24" s="138"/>
      <c r="J24" s="138"/>
    </row>
    <row r="25" spans="1:12" ht="15.75" hidden="1">
      <c r="A25" s="323" t="s">
        <v>155</v>
      </c>
      <c r="B25" s="324" t="s">
        <v>180</v>
      </c>
      <c r="C25" s="323" t="s">
        <v>45</v>
      </c>
      <c r="D25" s="320">
        <f>'B1'!D31</f>
        <v>6099.9</v>
      </c>
      <c r="E25" s="320">
        <f t="shared" si="0"/>
        <v>4.2605141784553302</v>
      </c>
      <c r="F25" s="320">
        <f>'B6'!H29</f>
        <v>6260.7400000000016</v>
      </c>
      <c r="G25" s="325">
        <f t="shared" si="1"/>
        <v>4.3728539054119633</v>
      </c>
      <c r="H25" s="139"/>
      <c r="I25" s="138"/>
      <c r="J25" s="138"/>
    </row>
    <row r="26" spans="1:12" ht="15.75" hidden="1">
      <c r="A26" s="323"/>
      <c r="B26" s="324" t="s">
        <v>216</v>
      </c>
      <c r="C26" s="323" t="s">
        <v>196</v>
      </c>
      <c r="D26" s="320">
        <f>'B1'!D32</f>
        <v>1158.3399999999999</v>
      </c>
      <c r="E26" s="320">
        <f t="shared" si="0"/>
        <v>0.80904998335578404</v>
      </c>
      <c r="F26" s="320">
        <f>'B6'!H30</f>
        <v>1249.18</v>
      </c>
      <c r="G26" s="325">
        <f t="shared" si="1"/>
        <v>0.87249776249493116</v>
      </c>
      <c r="H26" s="139"/>
      <c r="I26" s="138"/>
      <c r="J26" s="138"/>
    </row>
    <row r="27" spans="1:12" ht="15.75" hidden="1">
      <c r="A27" s="323"/>
      <c r="B27" s="324" t="s">
        <v>217</v>
      </c>
      <c r="C27" s="323" t="s">
        <v>194</v>
      </c>
      <c r="D27" s="320">
        <f>'B1'!D33</f>
        <v>90.080000000000013</v>
      </c>
      <c r="E27" s="320">
        <f t="shared" si="0"/>
        <v>6.2916952277128513E-2</v>
      </c>
      <c r="F27" s="320">
        <f>'B6'!H31</f>
        <v>133.47999999999999</v>
      </c>
      <c r="G27" s="325">
        <f t="shared" si="1"/>
        <v>9.3229959923968833E-2</v>
      </c>
      <c r="H27" s="139"/>
      <c r="I27" s="138"/>
      <c r="J27" s="138"/>
    </row>
    <row r="28" spans="1:12" ht="15.75" hidden="1">
      <c r="A28" s="323"/>
      <c r="B28" s="324" t="s">
        <v>210</v>
      </c>
      <c r="C28" s="323" t="s">
        <v>220</v>
      </c>
      <c r="D28" s="320">
        <f>'B1'!D34</f>
        <v>6.19</v>
      </c>
      <c r="E28" s="320">
        <f t="shared" si="0"/>
        <v>4.3234450998604068E-3</v>
      </c>
      <c r="F28" s="320">
        <f>'B6'!H32</f>
        <v>6.19</v>
      </c>
      <c r="G28" s="325">
        <f t="shared" si="1"/>
        <v>4.3234450998604068E-3</v>
      </c>
      <c r="H28" s="139"/>
      <c r="I28" s="138"/>
      <c r="J28" s="138"/>
      <c r="L28" s="140"/>
    </row>
    <row r="29" spans="1:12" ht="15.75" hidden="1">
      <c r="A29" s="323"/>
      <c r="B29" s="324" t="s">
        <v>211</v>
      </c>
      <c r="C29" s="323" t="s">
        <v>221</v>
      </c>
      <c r="D29" s="320">
        <f>'B1'!D35</f>
        <v>4.96</v>
      </c>
      <c r="E29" s="320">
        <f t="shared" si="0"/>
        <v>3.4643437310674665E-3</v>
      </c>
      <c r="F29" s="320">
        <f>'B6'!H33</f>
        <v>4.96</v>
      </c>
      <c r="G29" s="325">
        <f t="shared" si="1"/>
        <v>3.4643437310674665E-3</v>
      </c>
      <c r="H29" s="139"/>
      <c r="I29" s="138"/>
      <c r="J29" s="138"/>
    </row>
    <row r="30" spans="1:12" ht="15.75" hidden="1">
      <c r="A30" s="323"/>
      <c r="B30" s="324" t="s">
        <v>212</v>
      </c>
      <c r="C30" s="323" t="s">
        <v>192</v>
      </c>
      <c r="D30" s="320">
        <f>'B1'!D36</f>
        <v>63.25</v>
      </c>
      <c r="E30" s="320">
        <f t="shared" si="0"/>
        <v>4.4177367135084127E-2</v>
      </c>
      <c r="F30" s="320">
        <f>'B6'!H34</f>
        <v>63.89</v>
      </c>
      <c r="G30" s="325">
        <f t="shared" si="1"/>
        <v>4.4624379229415416E-2</v>
      </c>
      <c r="H30" s="139"/>
      <c r="I30" s="138"/>
      <c r="J30" s="138"/>
    </row>
    <row r="31" spans="1:12" ht="15.75" hidden="1">
      <c r="A31" s="323"/>
      <c r="B31" s="324" t="s">
        <v>213</v>
      </c>
      <c r="C31" s="323" t="s">
        <v>195</v>
      </c>
      <c r="D31" s="320">
        <f>'B1'!D37</f>
        <v>16.670000000000002</v>
      </c>
      <c r="E31" s="320">
        <f t="shared" si="0"/>
        <v>1.1643268144535217E-2</v>
      </c>
      <c r="F31" s="320">
        <f>'B6'!H35</f>
        <v>16.670000000000002</v>
      </c>
      <c r="G31" s="325">
        <f t="shared" si="1"/>
        <v>1.1643268144535217E-2</v>
      </c>
      <c r="H31" s="139"/>
      <c r="I31" s="138"/>
      <c r="J31" s="138"/>
    </row>
    <row r="32" spans="1:12" ht="15.75" hidden="1">
      <c r="A32" s="323"/>
      <c r="B32" s="324" t="s">
        <v>248</v>
      </c>
      <c r="C32" s="323" t="s">
        <v>193</v>
      </c>
      <c r="D32" s="320">
        <f>'B1'!D38</f>
        <v>4625.3500000000004</v>
      </c>
      <c r="E32" s="320">
        <f t="shared" si="0"/>
        <v>3.2306052976800217</v>
      </c>
      <c r="F32" s="320">
        <f>'B6'!H36</f>
        <v>4651.7300000000005</v>
      </c>
      <c r="G32" s="325">
        <f t="shared" si="1"/>
        <v>3.2490305774432398</v>
      </c>
      <c r="H32" s="139"/>
      <c r="I32" s="138"/>
      <c r="J32" s="138"/>
    </row>
    <row r="33" spans="1:10" ht="15.75" hidden="1">
      <c r="A33" s="323"/>
      <c r="B33" s="324" t="s">
        <v>218</v>
      </c>
      <c r="C33" s="323" t="s">
        <v>224</v>
      </c>
      <c r="D33" s="320">
        <f>'B1'!D39</f>
        <v>1.02</v>
      </c>
      <c r="E33" s="320">
        <f t="shared" si="0"/>
        <v>7.1242552534048708E-4</v>
      </c>
      <c r="F33" s="320">
        <f>'B6'!H37</f>
        <v>1.02</v>
      </c>
      <c r="G33" s="325">
        <f t="shared" si="1"/>
        <v>7.1242552534048708E-4</v>
      </c>
      <c r="H33" s="139"/>
      <c r="I33" s="138"/>
      <c r="J33" s="138"/>
    </row>
    <row r="34" spans="1:10" ht="15.75" hidden="1">
      <c r="A34" s="323"/>
      <c r="B34" s="324" t="s">
        <v>244</v>
      </c>
      <c r="C34" s="323" t="s">
        <v>245</v>
      </c>
      <c r="D34" s="320">
        <f>'B1'!D40</f>
        <v>0</v>
      </c>
      <c r="E34" s="320">
        <f t="shared" si="0"/>
        <v>0</v>
      </c>
      <c r="F34" s="320">
        <f>'B6'!H38</f>
        <v>0</v>
      </c>
      <c r="G34" s="325">
        <f t="shared" si="1"/>
        <v>0</v>
      </c>
      <c r="H34" s="139"/>
      <c r="I34" s="138"/>
      <c r="J34" s="138"/>
    </row>
    <row r="35" spans="1:10" ht="15.75" hidden="1">
      <c r="A35" s="323"/>
      <c r="B35" s="324" t="s">
        <v>46</v>
      </c>
      <c r="C35" s="323" t="s">
        <v>47</v>
      </c>
      <c r="D35" s="320">
        <f>'B1'!D41</f>
        <v>3.86</v>
      </c>
      <c r="E35" s="320">
        <f t="shared" si="0"/>
        <v>2.6960416939355689E-3</v>
      </c>
      <c r="F35" s="320">
        <f>'B6'!H39</f>
        <v>3.86</v>
      </c>
      <c r="G35" s="325">
        <f t="shared" si="1"/>
        <v>2.6960416939355689E-3</v>
      </c>
      <c r="H35" s="139"/>
      <c r="I35" s="138"/>
      <c r="J35" s="138"/>
    </row>
    <row r="36" spans="1:10" ht="15.75" hidden="1">
      <c r="A36" s="323"/>
      <c r="B36" s="324" t="s">
        <v>50</v>
      </c>
      <c r="C36" s="323" t="s">
        <v>51</v>
      </c>
      <c r="D36" s="320">
        <f>'B1'!D42</f>
        <v>2.66</v>
      </c>
      <c r="E36" s="320">
        <f t="shared" si="0"/>
        <v>1.8578940170644075E-3</v>
      </c>
      <c r="F36" s="320">
        <f>'B6'!H40</f>
        <v>2.66</v>
      </c>
      <c r="G36" s="325">
        <f t="shared" si="1"/>
        <v>1.8578940170644075E-3</v>
      </c>
      <c r="H36" s="139"/>
      <c r="I36" s="138"/>
      <c r="J36" s="138"/>
    </row>
    <row r="37" spans="1:10" ht="15.75" hidden="1">
      <c r="A37" s="323"/>
      <c r="B37" s="324" t="s">
        <v>62</v>
      </c>
      <c r="C37" s="323" t="s">
        <v>63</v>
      </c>
      <c r="D37" s="320">
        <f>'B1'!D43</f>
        <v>6.8500000000000005</v>
      </c>
      <c r="E37" s="320">
        <f t="shared" si="0"/>
        <v>4.7844263221395464E-3</v>
      </c>
      <c r="F37" s="320">
        <f>'B6'!H41</f>
        <v>6.8500000000000005</v>
      </c>
      <c r="G37" s="325">
        <f t="shared" si="1"/>
        <v>4.7844263221395464E-3</v>
      </c>
      <c r="H37" s="139"/>
      <c r="I37" s="138"/>
      <c r="J37" s="138"/>
    </row>
    <row r="38" spans="1:10" ht="15.75" hidden="1">
      <c r="A38" s="323"/>
      <c r="B38" s="324" t="s">
        <v>246</v>
      </c>
      <c r="C38" s="323" t="s">
        <v>64</v>
      </c>
      <c r="D38" s="320">
        <f>'B1'!D44</f>
        <v>116.26</v>
      </c>
      <c r="E38" s="320">
        <f t="shared" si="0"/>
        <v>8.1202540760867678E-2</v>
      </c>
      <c r="F38" s="320">
        <f>'B6'!H42</f>
        <v>115.92999999999999</v>
      </c>
      <c r="G38" s="325">
        <f t="shared" si="1"/>
        <v>8.0972050149728095E-2</v>
      </c>
      <c r="H38" s="139"/>
      <c r="I38" s="138"/>
      <c r="J38" s="138"/>
    </row>
    <row r="39" spans="1:10" ht="15.75" hidden="1">
      <c r="A39" s="323"/>
      <c r="B39" s="324" t="s">
        <v>214</v>
      </c>
      <c r="C39" s="323" t="s">
        <v>222</v>
      </c>
      <c r="D39" s="320">
        <f>'B1'!D45</f>
        <v>0</v>
      </c>
      <c r="E39" s="320">
        <f t="shared" si="0"/>
        <v>0</v>
      </c>
      <c r="F39" s="320">
        <f>'B6'!H43</f>
        <v>0</v>
      </c>
      <c r="G39" s="325">
        <f t="shared" si="1"/>
        <v>0</v>
      </c>
      <c r="H39" s="139"/>
      <c r="I39" s="138"/>
      <c r="J39" s="138"/>
    </row>
    <row r="40" spans="1:10" ht="15.75" hidden="1">
      <c r="A40" s="323"/>
      <c r="B40" s="324" t="s">
        <v>215</v>
      </c>
      <c r="C40" s="323" t="s">
        <v>223</v>
      </c>
      <c r="D40" s="320">
        <f>'B1'!D46</f>
        <v>0.66</v>
      </c>
      <c r="E40" s="320">
        <f t="shared" si="0"/>
        <v>4.6098122227913874E-4</v>
      </c>
      <c r="F40" s="320">
        <f>'B6'!H44</f>
        <v>0.66</v>
      </c>
      <c r="G40" s="325">
        <f t="shared" si="1"/>
        <v>4.6098122227913874E-4</v>
      </c>
      <c r="H40" s="139"/>
      <c r="I40" s="138"/>
      <c r="J40" s="138"/>
    </row>
    <row r="41" spans="1:10" ht="15.75" hidden="1">
      <c r="A41" s="323"/>
      <c r="B41" s="324" t="s">
        <v>219</v>
      </c>
      <c r="C41" s="323" t="s">
        <v>204</v>
      </c>
      <c r="D41" s="320">
        <f>'B1'!D47</f>
        <v>3.7499999999999996</v>
      </c>
      <c r="E41" s="320">
        <f t="shared" si="0"/>
        <v>2.6192114902223785E-3</v>
      </c>
      <c r="F41" s="320">
        <f>'B6'!H45</f>
        <v>3.6599999999999997</v>
      </c>
      <c r="G41" s="325">
        <f t="shared" si="1"/>
        <v>2.5563504144570414E-3</v>
      </c>
      <c r="H41" s="139"/>
      <c r="I41" s="138"/>
      <c r="J41" s="138"/>
    </row>
    <row r="42" spans="1:10" ht="15.75" hidden="1">
      <c r="A42" s="323" t="s">
        <v>156</v>
      </c>
      <c r="B42" s="324" t="s">
        <v>48</v>
      </c>
      <c r="C42" s="323" t="s">
        <v>49</v>
      </c>
      <c r="D42" s="320">
        <f>'B1'!D48</f>
        <v>0</v>
      </c>
      <c r="E42" s="320">
        <f t="shared" si="0"/>
        <v>0</v>
      </c>
      <c r="F42" s="320">
        <f>'B6'!H46</f>
        <v>0</v>
      </c>
      <c r="G42" s="325">
        <f t="shared" si="1"/>
        <v>0</v>
      </c>
      <c r="H42" s="139"/>
      <c r="I42" s="140"/>
      <c r="J42" s="140"/>
    </row>
    <row r="43" spans="1:10" ht="15.75" hidden="1">
      <c r="A43" s="323" t="s">
        <v>157</v>
      </c>
      <c r="B43" s="324" t="s">
        <v>67</v>
      </c>
      <c r="C43" s="323" t="s">
        <v>68</v>
      </c>
      <c r="D43" s="320">
        <f>'B1'!D49</f>
        <v>13.11</v>
      </c>
      <c r="E43" s="320">
        <f t="shared" si="0"/>
        <v>9.1567633698174371E-3</v>
      </c>
      <c r="F43" s="320">
        <f>'B6'!H47</f>
        <v>13.11</v>
      </c>
      <c r="G43" s="325">
        <f t="shared" si="1"/>
        <v>9.1567633698174371E-3</v>
      </c>
    </row>
    <row r="44" spans="1:10" ht="15.75" hidden="1">
      <c r="A44" s="323" t="s">
        <v>158</v>
      </c>
      <c r="B44" s="324" t="s">
        <v>69</v>
      </c>
      <c r="C44" s="323" t="s">
        <v>70</v>
      </c>
      <c r="D44" s="320">
        <f>'B1'!D50</f>
        <v>3.08</v>
      </c>
      <c r="E44" s="320">
        <f t="shared" si="0"/>
        <v>2.1512457039693138E-3</v>
      </c>
      <c r="F44" s="320">
        <f>'B6'!H48</f>
        <v>5.82</v>
      </c>
      <c r="G44" s="325">
        <f t="shared" si="1"/>
        <v>4.0650162328251327E-3</v>
      </c>
    </row>
    <row r="45" spans="1:10" ht="15.75" hidden="1">
      <c r="A45" s="323" t="s">
        <v>159</v>
      </c>
      <c r="B45" s="324" t="s">
        <v>52</v>
      </c>
      <c r="C45" s="323" t="s">
        <v>53</v>
      </c>
      <c r="D45" s="320">
        <f>'B1'!D51</f>
        <v>726.61</v>
      </c>
      <c r="E45" s="320">
        <f t="shared" si="0"/>
        <v>0.50750540290946211</v>
      </c>
      <c r="F45" s="320">
        <f>'B6'!H49</f>
        <v>785.7600000000001</v>
      </c>
      <c r="G45" s="325">
        <f t="shared" si="1"/>
        <v>0.54881909881523649</v>
      </c>
    </row>
    <row r="46" spans="1:10" ht="15.75" hidden="1">
      <c r="A46" s="331" t="s">
        <v>160</v>
      </c>
      <c r="B46" s="331" t="s">
        <v>54</v>
      </c>
      <c r="C46" s="333" t="s">
        <v>55</v>
      </c>
      <c r="D46" s="320">
        <f>'B1'!D52</f>
        <v>122.77000000000001</v>
      </c>
      <c r="E46" s="320">
        <f t="shared" si="0"/>
        <v>8.574949190789373E-2</v>
      </c>
      <c r="F46" s="320">
        <f>'B6'!H50</f>
        <v>132.91999999999999</v>
      </c>
      <c r="G46" s="325">
        <f t="shared" si="1"/>
        <v>9.2838824341428955E-2</v>
      </c>
    </row>
    <row r="47" spans="1:10" ht="15.75" hidden="1">
      <c r="A47" s="331" t="s">
        <v>161</v>
      </c>
      <c r="B47" s="331" t="s">
        <v>56</v>
      </c>
      <c r="C47" s="333" t="s">
        <v>57</v>
      </c>
      <c r="D47" s="320">
        <f>'B1'!D53</f>
        <v>21.6</v>
      </c>
      <c r="E47" s="320">
        <f t="shared" si="0"/>
        <v>1.5086658183680903E-2</v>
      </c>
      <c r="F47" s="320">
        <f>'B6'!H51</f>
        <v>19.62</v>
      </c>
      <c r="G47" s="325">
        <f t="shared" si="1"/>
        <v>1.3703714516843487E-2</v>
      </c>
    </row>
    <row r="48" spans="1:10" ht="15.75" hidden="1">
      <c r="A48" s="331" t="s">
        <v>162</v>
      </c>
      <c r="B48" s="331" t="s">
        <v>58</v>
      </c>
      <c r="C48" s="333" t="s">
        <v>59</v>
      </c>
      <c r="D48" s="320">
        <f>'B1'!D54</f>
        <v>5.03</v>
      </c>
      <c r="E48" s="320">
        <f t="shared" si="0"/>
        <v>3.5132356788849513E-3</v>
      </c>
      <c r="F48" s="320">
        <f>'B6'!H52</f>
        <v>5.03</v>
      </c>
      <c r="G48" s="325">
        <f t="shared" si="1"/>
        <v>3.5132356788849513E-3</v>
      </c>
    </row>
    <row r="49" spans="1:7" ht="15.75" hidden="1">
      <c r="A49" s="331" t="s">
        <v>163</v>
      </c>
      <c r="B49" s="331" t="s">
        <v>60</v>
      </c>
      <c r="C49" s="333" t="s">
        <v>61</v>
      </c>
      <c r="D49" s="320">
        <f>'B1'!D55</f>
        <v>0</v>
      </c>
      <c r="E49" s="320">
        <f t="shared" si="0"/>
        <v>0</v>
      </c>
      <c r="F49" s="320">
        <f>'B6'!H53</f>
        <v>0</v>
      </c>
      <c r="G49" s="325">
        <f t="shared" si="1"/>
        <v>0</v>
      </c>
    </row>
    <row r="50" spans="1:7" ht="15.75" hidden="1">
      <c r="A50" s="331" t="s">
        <v>164</v>
      </c>
      <c r="B50" s="331" t="s">
        <v>71</v>
      </c>
      <c r="C50" s="333" t="s">
        <v>72</v>
      </c>
      <c r="D50" s="320">
        <f>'B1'!D56</f>
        <v>0.27</v>
      </c>
      <c r="E50" s="320">
        <f t="shared" si="0"/>
        <v>1.8858322729601131E-4</v>
      </c>
      <c r="F50" s="320">
        <f>'B6'!H54</f>
        <v>0.27</v>
      </c>
      <c r="G50" s="325">
        <f t="shared" si="1"/>
        <v>1.8858322729601131E-4</v>
      </c>
    </row>
    <row r="51" spans="1:7" ht="15.75" hidden="1">
      <c r="A51" s="331" t="s">
        <v>165</v>
      </c>
      <c r="B51" s="331" t="s">
        <v>181</v>
      </c>
      <c r="C51" s="333" t="s">
        <v>74</v>
      </c>
      <c r="D51" s="320">
        <f>'B1'!D57</f>
        <v>1000.5</v>
      </c>
      <c r="E51" s="320">
        <f t="shared" si="0"/>
        <v>0.69880562559133075</v>
      </c>
      <c r="F51" s="320">
        <f>'B6'!H55</f>
        <v>1000.5</v>
      </c>
      <c r="G51" s="325">
        <f t="shared" si="1"/>
        <v>0.69880562559133075</v>
      </c>
    </row>
    <row r="52" spans="1:7" ht="15.75" hidden="1">
      <c r="A52" s="331" t="s">
        <v>166</v>
      </c>
      <c r="B52" s="331" t="s">
        <v>75</v>
      </c>
      <c r="C52" s="333" t="s">
        <v>76</v>
      </c>
      <c r="D52" s="320">
        <f>'B1'!D58</f>
        <v>64.550000000000011</v>
      </c>
      <c r="E52" s="320">
        <f t="shared" si="0"/>
        <v>4.5085360451694562E-2</v>
      </c>
      <c r="F52" s="320">
        <f>'B6'!H56</f>
        <v>64.550000000000011</v>
      </c>
      <c r="G52" s="325">
        <f t="shared" si="1"/>
        <v>4.5085360451694562E-2</v>
      </c>
    </row>
    <row r="53" spans="1:7" ht="15.75" hidden="1">
      <c r="A53" s="331" t="s">
        <v>167</v>
      </c>
      <c r="B53" s="331" t="s">
        <v>77</v>
      </c>
      <c r="C53" s="333" t="s">
        <v>78</v>
      </c>
      <c r="D53" s="320">
        <f>'B1'!D59</f>
        <v>1.8699999999999999</v>
      </c>
      <c r="E53" s="320">
        <f t="shared" si="0"/>
        <v>1.3061134631242263E-3</v>
      </c>
      <c r="F53" s="320">
        <f>'B6'!H57</f>
        <v>2.6300000000000003</v>
      </c>
      <c r="G53" s="325">
        <f t="shared" si="1"/>
        <v>1.8369403251426285E-3</v>
      </c>
    </row>
    <row r="54" spans="1:7" s="10" customFormat="1" ht="15.75">
      <c r="A54" s="332">
        <v>3</v>
      </c>
      <c r="B54" s="332" t="s">
        <v>79</v>
      </c>
      <c r="C54" s="334" t="s">
        <v>80</v>
      </c>
      <c r="D54" s="319">
        <f>'B1'!D60</f>
        <v>170.91000000000003</v>
      </c>
      <c r="E54" s="319">
        <f t="shared" si="0"/>
        <v>0.11937318287837517</v>
      </c>
      <c r="F54" s="319">
        <f>'B6'!H58</f>
        <v>154.58000000000001</v>
      </c>
      <c r="G54" s="321">
        <f t="shared" si="1"/>
        <v>0.10796738990895344</v>
      </c>
    </row>
  </sheetData>
  <mergeCells count="6">
    <mergeCell ref="H1:H2"/>
    <mergeCell ref="A1:A2"/>
    <mergeCell ref="B1:B2"/>
    <mergeCell ref="C1:C2"/>
    <mergeCell ref="D1:E1"/>
    <mergeCell ref="F1:G1"/>
  </mergeCells>
  <pageMargins left="0.7" right="0.3"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workbookViewId="0">
      <selection sqref="A1:E13"/>
    </sheetView>
  </sheetViews>
  <sheetFormatPr defaultRowHeight="12.75"/>
  <cols>
    <col min="1" max="1" width="5.28515625" customWidth="1"/>
    <col min="2" max="2" width="17.7109375" customWidth="1"/>
    <col min="3" max="3" width="20.7109375" customWidth="1"/>
    <col min="4" max="4" width="22.42578125" customWidth="1"/>
    <col min="5" max="5" width="11.85546875" customWidth="1"/>
  </cols>
  <sheetData>
    <row r="1" spans="1:5" ht="33" customHeight="1">
      <c r="A1" s="866" t="s">
        <v>233</v>
      </c>
      <c r="B1" s="164" t="s">
        <v>232</v>
      </c>
      <c r="C1" s="164" t="s">
        <v>994</v>
      </c>
      <c r="D1" s="164" t="s">
        <v>995</v>
      </c>
      <c r="E1" s="164" t="s">
        <v>231</v>
      </c>
    </row>
    <row r="2" spans="1:5" ht="16.5">
      <c r="A2" s="165">
        <v>1</v>
      </c>
      <c r="B2" s="166" t="s">
        <v>168</v>
      </c>
      <c r="C2" s="167">
        <v>31.59</v>
      </c>
      <c r="D2" s="167">
        <v>31.59</v>
      </c>
      <c r="E2" s="168">
        <f t="shared" ref="E2:E12" si="0">D2-C2</f>
        <v>0</v>
      </c>
    </row>
    <row r="3" spans="1:5" ht="16.5">
      <c r="A3" s="165">
        <v>2</v>
      </c>
      <c r="B3" s="166" t="s">
        <v>121</v>
      </c>
      <c r="C3" s="167">
        <v>105.51</v>
      </c>
      <c r="D3" s="167">
        <v>105.51</v>
      </c>
      <c r="E3" s="168">
        <f t="shared" si="0"/>
        <v>0</v>
      </c>
    </row>
    <row r="4" spans="1:5" ht="16.5">
      <c r="A4" s="165">
        <v>3</v>
      </c>
      <c r="B4" s="166" t="s">
        <v>120</v>
      </c>
      <c r="C4" s="167">
        <v>190.1</v>
      </c>
      <c r="D4" s="167">
        <v>190.1</v>
      </c>
      <c r="E4" s="169">
        <f t="shared" si="0"/>
        <v>0</v>
      </c>
    </row>
    <row r="5" spans="1:5" ht="16.5">
      <c r="A5" s="165">
        <v>4</v>
      </c>
      <c r="B5" s="166" t="s">
        <v>119</v>
      </c>
      <c r="C5" s="167">
        <v>152.99</v>
      </c>
      <c r="D5" s="167">
        <v>152.99</v>
      </c>
      <c r="E5" s="168">
        <f t="shared" si="0"/>
        <v>0</v>
      </c>
    </row>
    <row r="6" spans="1:5" ht="16.5">
      <c r="A6" s="165">
        <v>5</v>
      </c>
      <c r="B6" s="166" t="s">
        <v>114</v>
      </c>
      <c r="C6" s="167">
        <v>36.89</v>
      </c>
      <c r="D6" s="167">
        <v>36.89</v>
      </c>
      <c r="E6" s="168">
        <f t="shared" si="0"/>
        <v>0</v>
      </c>
    </row>
    <row r="7" spans="1:5" ht="16.5">
      <c r="A7" s="165">
        <v>6</v>
      </c>
      <c r="B7" s="166" t="s">
        <v>113</v>
      </c>
      <c r="C7" s="167">
        <v>61.61</v>
      </c>
      <c r="D7" s="167">
        <v>61.61</v>
      </c>
      <c r="E7" s="168">
        <f t="shared" si="0"/>
        <v>0</v>
      </c>
    </row>
    <row r="8" spans="1:5" ht="16.5">
      <c r="A8" s="165">
        <v>7</v>
      </c>
      <c r="B8" s="166" t="s">
        <v>117</v>
      </c>
      <c r="C8" s="167">
        <v>88.62</v>
      </c>
      <c r="D8" s="167">
        <v>88.62</v>
      </c>
      <c r="E8" s="168">
        <f t="shared" si="0"/>
        <v>0</v>
      </c>
    </row>
    <row r="9" spans="1:5" ht="16.5">
      <c r="A9" s="165">
        <v>8</v>
      </c>
      <c r="B9" s="166" t="s">
        <v>112</v>
      </c>
      <c r="C9" s="167">
        <v>139.13999999999999</v>
      </c>
      <c r="D9" s="167">
        <v>139.13999999999999</v>
      </c>
      <c r="E9" s="168">
        <f t="shared" si="0"/>
        <v>0</v>
      </c>
    </row>
    <row r="10" spans="1:5" ht="16.5">
      <c r="A10" s="165">
        <v>9</v>
      </c>
      <c r="B10" s="166" t="s">
        <v>115</v>
      </c>
      <c r="C10" s="167">
        <v>38.92</v>
      </c>
      <c r="D10" s="167">
        <v>38.92</v>
      </c>
      <c r="E10" s="168">
        <f t="shared" si="0"/>
        <v>0</v>
      </c>
    </row>
    <row r="11" spans="1:5" ht="16.5">
      <c r="A11" s="165">
        <v>10</v>
      </c>
      <c r="B11" s="166" t="s">
        <v>116</v>
      </c>
      <c r="C11" s="167">
        <v>81.680000000000007</v>
      </c>
      <c r="D11" s="167">
        <v>81.680000000000007</v>
      </c>
      <c r="E11" s="168">
        <f t="shared" si="0"/>
        <v>0</v>
      </c>
    </row>
    <row r="12" spans="1:5" ht="16.5">
      <c r="A12" s="165">
        <v>11</v>
      </c>
      <c r="B12" s="166" t="s">
        <v>118</v>
      </c>
      <c r="C12" s="167">
        <v>73.45</v>
      </c>
      <c r="D12" s="167">
        <v>73.45</v>
      </c>
      <c r="E12" s="168">
        <f t="shared" si="0"/>
        <v>0</v>
      </c>
    </row>
    <row r="13" spans="1:5" ht="16.5">
      <c r="A13" s="1261" t="s">
        <v>230</v>
      </c>
      <c r="B13" s="1261"/>
      <c r="C13" s="170">
        <f>SUM(C2:C12)</f>
        <v>1000.5</v>
      </c>
      <c r="D13" s="170">
        <f>SUM(D2:D12)</f>
        <v>1000.5</v>
      </c>
      <c r="E13" s="170">
        <f>SUM(E2:E12)</f>
        <v>0</v>
      </c>
    </row>
  </sheetData>
  <mergeCells count="1">
    <mergeCell ref="A13:B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125"/>
  <sheetViews>
    <sheetView topLeftCell="A9" zoomScale="80" zoomScaleNormal="80" workbookViewId="0">
      <pane ySplit="1" topLeftCell="A10" activePane="bottomLeft" state="frozen"/>
      <selection activeCell="A9" sqref="A9"/>
      <selection pane="bottomLeft" activeCell="G9" sqref="G9:G67"/>
    </sheetView>
  </sheetViews>
  <sheetFormatPr defaultRowHeight="15"/>
  <cols>
    <col min="1" max="1" width="8" style="925" customWidth="1"/>
    <col min="2" max="2" width="35.28515625" style="981" customWidth="1"/>
    <col min="3" max="3" width="9.140625" style="900" customWidth="1"/>
    <col min="4" max="4" width="8.140625" style="900" customWidth="1"/>
    <col min="5" max="5" width="9.42578125" style="921" customWidth="1"/>
    <col min="6" max="6" width="9.7109375" style="922" customWidth="1"/>
    <col min="7" max="7" width="10" style="921" customWidth="1"/>
    <col min="8" max="8" width="6.140625" style="921" customWidth="1"/>
    <col min="9" max="9" width="7" style="921" customWidth="1"/>
    <col min="10" max="10" width="11.7109375" style="921" bestFit="1" customWidth="1"/>
    <col min="11" max="11" width="11.140625" style="921" customWidth="1"/>
    <col min="12" max="12" width="7.140625" style="921" customWidth="1"/>
    <col min="13" max="13" width="7.42578125" style="921" customWidth="1"/>
    <col min="14" max="15" width="6.42578125" style="921" customWidth="1"/>
    <col min="16" max="19" width="6.28515625" style="921" customWidth="1"/>
    <col min="20" max="21" width="6.7109375" style="921" customWidth="1"/>
    <col min="22" max="22" width="7.7109375" style="921" customWidth="1"/>
    <col min="23" max="23" width="17.5703125" style="923" customWidth="1"/>
    <col min="24" max="24" width="37" style="898" hidden="1" customWidth="1"/>
    <col min="25" max="25" width="31.5703125" style="897" customWidth="1"/>
    <col min="26" max="26" width="93" style="897" hidden="1" customWidth="1"/>
    <col min="27" max="258" width="9.140625" style="898"/>
    <col min="259" max="259" width="10.42578125" style="898" customWidth="1"/>
    <col min="260" max="260" width="51.28515625" style="898" customWidth="1"/>
    <col min="261" max="261" width="9.140625" style="898"/>
    <col min="262" max="262" width="8.140625" style="898" customWidth="1"/>
    <col min="263" max="263" width="9.42578125" style="898" customWidth="1"/>
    <col min="264" max="265" width="9.7109375" style="898" customWidth="1"/>
    <col min="266" max="267" width="10" style="898" customWidth="1"/>
    <col min="268" max="268" width="10.7109375" style="898" customWidth="1"/>
    <col min="269" max="269" width="10.140625" style="898" customWidth="1"/>
    <col min="270" max="277" width="9.140625" style="898" customWidth="1"/>
    <col min="278" max="278" width="9.28515625" style="898" customWidth="1"/>
    <col min="279" max="279" width="17.5703125" style="898" customWidth="1"/>
    <col min="280" max="280" width="37.85546875" style="898" customWidth="1"/>
    <col min="281" max="514" width="9.140625" style="898"/>
    <col min="515" max="515" width="10.42578125" style="898" customWidth="1"/>
    <col min="516" max="516" width="51.28515625" style="898" customWidth="1"/>
    <col min="517" max="517" width="9.140625" style="898"/>
    <col min="518" max="518" width="8.140625" style="898" customWidth="1"/>
    <col min="519" max="519" width="9.42578125" style="898" customWidth="1"/>
    <col min="520" max="521" width="9.7109375" style="898" customWidth="1"/>
    <col min="522" max="523" width="10" style="898" customWidth="1"/>
    <col min="524" max="524" width="10.7109375" style="898" customWidth="1"/>
    <col min="525" max="525" width="10.140625" style="898" customWidth="1"/>
    <col min="526" max="533" width="9.140625" style="898" customWidth="1"/>
    <col min="534" max="534" width="9.28515625" style="898" customWidth="1"/>
    <col min="535" max="535" width="17.5703125" style="898" customWidth="1"/>
    <col min="536" max="536" width="37.85546875" style="898" customWidth="1"/>
    <col min="537" max="770" width="9.140625" style="898"/>
    <col min="771" max="771" width="10.42578125" style="898" customWidth="1"/>
    <col min="772" max="772" width="51.28515625" style="898" customWidth="1"/>
    <col min="773" max="773" width="9.140625" style="898"/>
    <col min="774" max="774" width="8.140625" style="898" customWidth="1"/>
    <col min="775" max="775" width="9.42578125" style="898" customWidth="1"/>
    <col min="776" max="777" width="9.7109375" style="898" customWidth="1"/>
    <col min="778" max="779" width="10" style="898" customWidth="1"/>
    <col min="780" max="780" width="10.7109375" style="898" customWidth="1"/>
    <col min="781" max="781" width="10.140625" style="898" customWidth="1"/>
    <col min="782" max="789" width="9.140625" style="898" customWidth="1"/>
    <col min="790" max="790" width="9.28515625" style="898" customWidth="1"/>
    <col min="791" max="791" width="17.5703125" style="898" customWidth="1"/>
    <col min="792" max="792" width="37.85546875" style="898" customWidth="1"/>
    <col min="793" max="1026" width="9.140625" style="898"/>
    <col min="1027" max="1027" width="10.42578125" style="898" customWidth="1"/>
    <col min="1028" max="1028" width="51.28515625" style="898" customWidth="1"/>
    <col min="1029" max="1029" width="9.140625" style="898"/>
    <col min="1030" max="1030" width="8.140625" style="898" customWidth="1"/>
    <col min="1031" max="1031" width="9.42578125" style="898" customWidth="1"/>
    <col min="1032" max="1033" width="9.7109375" style="898" customWidth="1"/>
    <col min="1034" max="1035" width="10" style="898" customWidth="1"/>
    <col min="1036" max="1036" width="10.7109375" style="898" customWidth="1"/>
    <col min="1037" max="1037" width="10.140625" style="898" customWidth="1"/>
    <col min="1038" max="1045" width="9.140625" style="898" customWidth="1"/>
    <col min="1046" max="1046" width="9.28515625" style="898" customWidth="1"/>
    <col min="1047" max="1047" width="17.5703125" style="898" customWidth="1"/>
    <col min="1048" max="1048" width="37.85546875" style="898" customWidth="1"/>
    <col min="1049" max="1282" width="9.140625" style="898"/>
    <col min="1283" max="1283" width="10.42578125" style="898" customWidth="1"/>
    <col min="1284" max="1284" width="51.28515625" style="898" customWidth="1"/>
    <col min="1285" max="1285" width="9.140625" style="898"/>
    <col min="1286" max="1286" width="8.140625" style="898" customWidth="1"/>
    <col min="1287" max="1287" width="9.42578125" style="898" customWidth="1"/>
    <col min="1288" max="1289" width="9.7109375" style="898" customWidth="1"/>
    <col min="1290" max="1291" width="10" style="898" customWidth="1"/>
    <col min="1292" max="1292" width="10.7109375" style="898" customWidth="1"/>
    <col min="1293" max="1293" width="10.140625" style="898" customWidth="1"/>
    <col min="1294" max="1301" width="9.140625" style="898" customWidth="1"/>
    <col min="1302" max="1302" width="9.28515625" style="898" customWidth="1"/>
    <col min="1303" max="1303" width="17.5703125" style="898" customWidth="1"/>
    <col min="1304" max="1304" width="37.85546875" style="898" customWidth="1"/>
    <col min="1305" max="1538" width="9.140625" style="898"/>
    <col min="1539" max="1539" width="10.42578125" style="898" customWidth="1"/>
    <col min="1540" max="1540" width="51.28515625" style="898" customWidth="1"/>
    <col min="1541" max="1541" width="9.140625" style="898"/>
    <col min="1542" max="1542" width="8.140625" style="898" customWidth="1"/>
    <col min="1543" max="1543" width="9.42578125" style="898" customWidth="1"/>
    <col min="1544" max="1545" width="9.7109375" style="898" customWidth="1"/>
    <col min="1546" max="1547" width="10" style="898" customWidth="1"/>
    <col min="1548" max="1548" width="10.7109375" style="898" customWidth="1"/>
    <col min="1549" max="1549" width="10.140625" style="898" customWidth="1"/>
    <col min="1550" max="1557" width="9.140625" style="898" customWidth="1"/>
    <col min="1558" max="1558" width="9.28515625" style="898" customWidth="1"/>
    <col min="1559" max="1559" width="17.5703125" style="898" customWidth="1"/>
    <col min="1560" max="1560" width="37.85546875" style="898" customWidth="1"/>
    <col min="1561" max="1794" width="9.140625" style="898"/>
    <col min="1795" max="1795" width="10.42578125" style="898" customWidth="1"/>
    <col min="1796" max="1796" width="51.28515625" style="898" customWidth="1"/>
    <col min="1797" max="1797" width="9.140625" style="898"/>
    <col min="1798" max="1798" width="8.140625" style="898" customWidth="1"/>
    <col min="1799" max="1799" width="9.42578125" style="898" customWidth="1"/>
    <col min="1800" max="1801" width="9.7109375" style="898" customWidth="1"/>
    <col min="1802" max="1803" width="10" style="898" customWidth="1"/>
    <col min="1804" max="1804" width="10.7109375" style="898" customWidth="1"/>
    <col min="1805" max="1805" width="10.140625" style="898" customWidth="1"/>
    <col min="1806" max="1813" width="9.140625" style="898" customWidth="1"/>
    <col min="1814" max="1814" width="9.28515625" style="898" customWidth="1"/>
    <col min="1815" max="1815" width="17.5703125" style="898" customWidth="1"/>
    <col min="1816" max="1816" width="37.85546875" style="898" customWidth="1"/>
    <col min="1817" max="2050" width="9.140625" style="898"/>
    <col min="2051" max="2051" width="10.42578125" style="898" customWidth="1"/>
    <col min="2052" max="2052" width="51.28515625" style="898" customWidth="1"/>
    <col min="2053" max="2053" width="9.140625" style="898"/>
    <col min="2054" max="2054" width="8.140625" style="898" customWidth="1"/>
    <col min="2055" max="2055" width="9.42578125" style="898" customWidth="1"/>
    <col min="2056" max="2057" width="9.7109375" style="898" customWidth="1"/>
    <col min="2058" max="2059" width="10" style="898" customWidth="1"/>
    <col min="2060" max="2060" width="10.7109375" style="898" customWidth="1"/>
    <col min="2061" max="2061" width="10.140625" style="898" customWidth="1"/>
    <col min="2062" max="2069" width="9.140625" style="898" customWidth="1"/>
    <col min="2070" max="2070" width="9.28515625" style="898" customWidth="1"/>
    <col min="2071" max="2071" width="17.5703125" style="898" customWidth="1"/>
    <col min="2072" max="2072" width="37.85546875" style="898" customWidth="1"/>
    <col min="2073" max="2306" width="9.140625" style="898"/>
    <col min="2307" max="2307" width="10.42578125" style="898" customWidth="1"/>
    <col min="2308" max="2308" width="51.28515625" style="898" customWidth="1"/>
    <col min="2309" max="2309" width="9.140625" style="898"/>
    <col min="2310" max="2310" width="8.140625" style="898" customWidth="1"/>
    <col min="2311" max="2311" width="9.42578125" style="898" customWidth="1"/>
    <col min="2312" max="2313" width="9.7109375" style="898" customWidth="1"/>
    <col min="2314" max="2315" width="10" style="898" customWidth="1"/>
    <col min="2316" max="2316" width="10.7109375" style="898" customWidth="1"/>
    <col min="2317" max="2317" width="10.140625" style="898" customWidth="1"/>
    <col min="2318" max="2325" width="9.140625" style="898" customWidth="1"/>
    <col min="2326" max="2326" width="9.28515625" style="898" customWidth="1"/>
    <col min="2327" max="2327" width="17.5703125" style="898" customWidth="1"/>
    <col min="2328" max="2328" width="37.85546875" style="898" customWidth="1"/>
    <col min="2329" max="2562" width="9.140625" style="898"/>
    <col min="2563" max="2563" width="10.42578125" style="898" customWidth="1"/>
    <col min="2564" max="2564" width="51.28515625" style="898" customWidth="1"/>
    <col min="2565" max="2565" width="9.140625" style="898"/>
    <col min="2566" max="2566" width="8.140625" style="898" customWidth="1"/>
    <col min="2567" max="2567" width="9.42578125" style="898" customWidth="1"/>
    <col min="2568" max="2569" width="9.7109375" style="898" customWidth="1"/>
    <col min="2570" max="2571" width="10" style="898" customWidth="1"/>
    <col min="2572" max="2572" width="10.7109375" style="898" customWidth="1"/>
    <col min="2573" max="2573" width="10.140625" style="898" customWidth="1"/>
    <col min="2574" max="2581" width="9.140625" style="898" customWidth="1"/>
    <col min="2582" max="2582" width="9.28515625" style="898" customWidth="1"/>
    <col min="2583" max="2583" width="17.5703125" style="898" customWidth="1"/>
    <col min="2584" max="2584" width="37.85546875" style="898" customWidth="1"/>
    <col min="2585" max="2818" width="9.140625" style="898"/>
    <col min="2819" max="2819" width="10.42578125" style="898" customWidth="1"/>
    <col min="2820" max="2820" width="51.28515625" style="898" customWidth="1"/>
    <col min="2821" max="2821" width="9.140625" style="898"/>
    <col min="2822" max="2822" width="8.140625" style="898" customWidth="1"/>
    <col min="2823" max="2823" width="9.42578125" style="898" customWidth="1"/>
    <col min="2824" max="2825" width="9.7109375" style="898" customWidth="1"/>
    <col min="2826" max="2827" width="10" style="898" customWidth="1"/>
    <col min="2828" max="2828" width="10.7109375" style="898" customWidth="1"/>
    <col min="2829" max="2829" width="10.140625" style="898" customWidth="1"/>
    <col min="2830" max="2837" width="9.140625" style="898" customWidth="1"/>
    <col min="2838" max="2838" width="9.28515625" style="898" customWidth="1"/>
    <col min="2839" max="2839" width="17.5703125" style="898" customWidth="1"/>
    <col min="2840" max="2840" width="37.85546875" style="898" customWidth="1"/>
    <col min="2841" max="3074" width="9.140625" style="898"/>
    <col min="3075" max="3075" width="10.42578125" style="898" customWidth="1"/>
    <col min="3076" max="3076" width="51.28515625" style="898" customWidth="1"/>
    <col min="3077" max="3077" width="9.140625" style="898"/>
    <col min="3078" max="3078" width="8.140625" style="898" customWidth="1"/>
    <col min="3079" max="3079" width="9.42578125" style="898" customWidth="1"/>
    <col min="3080" max="3081" width="9.7109375" style="898" customWidth="1"/>
    <col min="3082" max="3083" width="10" style="898" customWidth="1"/>
    <col min="3084" max="3084" width="10.7109375" style="898" customWidth="1"/>
    <col min="3085" max="3085" width="10.140625" style="898" customWidth="1"/>
    <col min="3086" max="3093" width="9.140625" style="898" customWidth="1"/>
    <col min="3094" max="3094" width="9.28515625" style="898" customWidth="1"/>
    <col min="3095" max="3095" width="17.5703125" style="898" customWidth="1"/>
    <col min="3096" max="3096" width="37.85546875" style="898" customWidth="1"/>
    <col min="3097" max="3330" width="9.140625" style="898"/>
    <col min="3331" max="3331" width="10.42578125" style="898" customWidth="1"/>
    <col min="3332" max="3332" width="51.28515625" style="898" customWidth="1"/>
    <col min="3333" max="3333" width="9.140625" style="898"/>
    <col min="3334" max="3334" width="8.140625" style="898" customWidth="1"/>
    <col min="3335" max="3335" width="9.42578125" style="898" customWidth="1"/>
    <col min="3336" max="3337" width="9.7109375" style="898" customWidth="1"/>
    <col min="3338" max="3339" width="10" style="898" customWidth="1"/>
    <col min="3340" max="3340" width="10.7109375" style="898" customWidth="1"/>
    <col min="3341" max="3341" width="10.140625" style="898" customWidth="1"/>
    <col min="3342" max="3349" width="9.140625" style="898" customWidth="1"/>
    <col min="3350" max="3350" width="9.28515625" style="898" customWidth="1"/>
    <col min="3351" max="3351" width="17.5703125" style="898" customWidth="1"/>
    <col min="3352" max="3352" width="37.85546875" style="898" customWidth="1"/>
    <col min="3353" max="3586" width="9.140625" style="898"/>
    <col min="3587" max="3587" width="10.42578125" style="898" customWidth="1"/>
    <col min="3588" max="3588" width="51.28515625" style="898" customWidth="1"/>
    <col min="3589" max="3589" width="9.140625" style="898"/>
    <col min="3590" max="3590" width="8.140625" style="898" customWidth="1"/>
    <col min="3591" max="3591" width="9.42578125" style="898" customWidth="1"/>
    <col min="3592" max="3593" width="9.7109375" style="898" customWidth="1"/>
    <col min="3594" max="3595" width="10" style="898" customWidth="1"/>
    <col min="3596" max="3596" width="10.7109375" style="898" customWidth="1"/>
    <col min="3597" max="3597" width="10.140625" style="898" customWidth="1"/>
    <col min="3598" max="3605" width="9.140625" style="898" customWidth="1"/>
    <col min="3606" max="3606" width="9.28515625" style="898" customWidth="1"/>
    <col min="3607" max="3607" width="17.5703125" style="898" customWidth="1"/>
    <col min="3608" max="3608" width="37.85546875" style="898" customWidth="1"/>
    <col min="3609" max="3842" width="9.140625" style="898"/>
    <col min="3843" max="3843" width="10.42578125" style="898" customWidth="1"/>
    <col min="3844" max="3844" width="51.28515625" style="898" customWidth="1"/>
    <col min="3845" max="3845" width="9.140625" style="898"/>
    <col min="3846" max="3846" width="8.140625" style="898" customWidth="1"/>
    <col min="3847" max="3847" width="9.42578125" style="898" customWidth="1"/>
    <col min="3848" max="3849" width="9.7109375" style="898" customWidth="1"/>
    <col min="3850" max="3851" width="10" style="898" customWidth="1"/>
    <col min="3852" max="3852" width="10.7109375" style="898" customWidth="1"/>
    <col min="3853" max="3853" width="10.140625" style="898" customWidth="1"/>
    <col min="3854" max="3861" width="9.140625" style="898" customWidth="1"/>
    <col min="3862" max="3862" width="9.28515625" style="898" customWidth="1"/>
    <col min="3863" max="3863" width="17.5703125" style="898" customWidth="1"/>
    <col min="3864" max="3864" width="37.85546875" style="898" customWidth="1"/>
    <col min="3865" max="4098" width="9.140625" style="898"/>
    <col min="4099" max="4099" width="10.42578125" style="898" customWidth="1"/>
    <col min="4100" max="4100" width="51.28515625" style="898" customWidth="1"/>
    <col min="4101" max="4101" width="9.140625" style="898"/>
    <col min="4102" max="4102" width="8.140625" style="898" customWidth="1"/>
    <col min="4103" max="4103" width="9.42578125" style="898" customWidth="1"/>
    <col min="4104" max="4105" width="9.7109375" style="898" customWidth="1"/>
    <col min="4106" max="4107" width="10" style="898" customWidth="1"/>
    <col min="4108" max="4108" width="10.7109375" style="898" customWidth="1"/>
    <col min="4109" max="4109" width="10.140625" style="898" customWidth="1"/>
    <col min="4110" max="4117" width="9.140625" style="898" customWidth="1"/>
    <col min="4118" max="4118" width="9.28515625" style="898" customWidth="1"/>
    <col min="4119" max="4119" width="17.5703125" style="898" customWidth="1"/>
    <col min="4120" max="4120" width="37.85546875" style="898" customWidth="1"/>
    <col min="4121" max="4354" width="9.140625" style="898"/>
    <col min="4355" max="4355" width="10.42578125" style="898" customWidth="1"/>
    <col min="4356" max="4356" width="51.28515625" style="898" customWidth="1"/>
    <col min="4357" max="4357" width="9.140625" style="898"/>
    <col min="4358" max="4358" width="8.140625" style="898" customWidth="1"/>
    <col min="4359" max="4359" width="9.42578125" style="898" customWidth="1"/>
    <col min="4360" max="4361" width="9.7109375" style="898" customWidth="1"/>
    <col min="4362" max="4363" width="10" style="898" customWidth="1"/>
    <col min="4364" max="4364" width="10.7109375" style="898" customWidth="1"/>
    <col min="4365" max="4365" width="10.140625" style="898" customWidth="1"/>
    <col min="4366" max="4373" width="9.140625" style="898" customWidth="1"/>
    <col min="4374" max="4374" width="9.28515625" style="898" customWidth="1"/>
    <col min="4375" max="4375" width="17.5703125" style="898" customWidth="1"/>
    <col min="4376" max="4376" width="37.85546875" style="898" customWidth="1"/>
    <col min="4377" max="4610" width="9.140625" style="898"/>
    <col min="4611" max="4611" width="10.42578125" style="898" customWidth="1"/>
    <col min="4612" max="4612" width="51.28515625" style="898" customWidth="1"/>
    <col min="4613" max="4613" width="9.140625" style="898"/>
    <col min="4614" max="4614" width="8.140625" style="898" customWidth="1"/>
    <col min="4615" max="4615" width="9.42578125" style="898" customWidth="1"/>
    <col min="4616" max="4617" width="9.7109375" style="898" customWidth="1"/>
    <col min="4618" max="4619" width="10" style="898" customWidth="1"/>
    <col min="4620" max="4620" width="10.7109375" style="898" customWidth="1"/>
    <col min="4621" max="4621" width="10.140625" style="898" customWidth="1"/>
    <col min="4622" max="4629" width="9.140625" style="898" customWidth="1"/>
    <col min="4630" max="4630" width="9.28515625" style="898" customWidth="1"/>
    <col min="4631" max="4631" width="17.5703125" style="898" customWidth="1"/>
    <col min="4632" max="4632" width="37.85546875" style="898" customWidth="1"/>
    <col min="4633" max="4866" width="9.140625" style="898"/>
    <col min="4867" max="4867" width="10.42578125" style="898" customWidth="1"/>
    <col min="4868" max="4868" width="51.28515625" style="898" customWidth="1"/>
    <col min="4869" max="4869" width="9.140625" style="898"/>
    <col min="4870" max="4870" width="8.140625" style="898" customWidth="1"/>
    <col min="4871" max="4871" width="9.42578125" style="898" customWidth="1"/>
    <col min="4872" max="4873" width="9.7109375" style="898" customWidth="1"/>
    <col min="4874" max="4875" width="10" style="898" customWidth="1"/>
    <col min="4876" max="4876" width="10.7109375" style="898" customWidth="1"/>
    <col min="4877" max="4877" width="10.140625" style="898" customWidth="1"/>
    <col min="4878" max="4885" width="9.140625" style="898" customWidth="1"/>
    <col min="4886" max="4886" width="9.28515625" style="898" customWidth="1"/>
    <col min="4887" max="4887" width="17.5703125" style="898" customWidth="1"/>
    <col min="4888" max="4888" width="37.85546875" style="898" customWidth="1"/>
    <col min="4889" max="5122" width="9.140625" style="898"/>
    <col min="5123" max="5123" width="10.42578125" style="898" customWidth="1"/>
    <col min="5124" max="5124" width="51.28515625" style="898" customWidth="1"/>
    <col min="5125" max="5125" width="9.140625" style="898"/>
    <col min="5126" max="5126" width="8.140625" style="898" customWidth="1"/>
    <col min="5127" max="5127" width="9.42578125" style="898" customWidth="1"/>
    <col min="5128" max="5129" width="9.7109375" style="898" customWidth="1"/>
    <col min="5130" max="5131" width="10" style="898" customWidth="1"/>
    <col min="5132" max="5132" width="10.7109375" style="898" customWidth="1"/>
    <col min="5133" max="5133" width="10.140625" style="898" customWidth="1"/>
    <col min="5134" max="5141" width="9.140625" style="898" customWidth="1"/>
    <col min="5142" max="5142" width="9.28515625" style="898" customWidth="1"/>
    <col min="5143" max="5143" width="17.5703125" style="898" customWidth="1"/>
    <col min="5144" max="5144" width="37.85546875" style="898" customWidth="1"/>
    <col min="5145" max="5378" width="9.140625" style="898"/>
    <col min="5379" max="5379" width="10.42578125" style="898" customWidth="1"/>
    <col min="5380" max="5380" width="51.28515625" style="898" customWidth="1"/>
    <col min="5381" max="5381" width="9.140625" style="898"/>
    <col min="5382" max="5382" width="8.140625" style="898" customWidth="1"/>
    <col min="5383" max="5383" width="9.42578125" style="898" customWidth="1"/>
    <col min="5384" max="5385" width="9.7109375" style="898" customWidth="1"/>
    <col min="5386" max="5387" width="10" style="898" customWidth="1"/>
    <col min="5388" max="5388" width="10.7109375" style="898" customWidth="1"/>
    <col min="5389" max="5389" width="10.140625" style="898" customWidth="1"/>
    <col min="5390" max="5397" width="9.140625" style="898" customWidth="1"/>
    <col min="5398" max="5398" width="9.28515625" style="898" customWidth="1"/>
    <col min="5399" max="5399" width="17.5703125" style="898" customWidth="1"/>
    <col min="5400" max="5400" width="37.85546875" style="898" customWidth="1"/>
    <col min="5401" max="5634" width="9.140625" style="898"/>
    <col min="5635" max="5635" width="10.42578125" style="898" customWidth="1"/>
    <col min="5636" max="5636" width="51.28515625" style="898" customWidth="1"/>
    <col min="5637" max="5637" width="9.140625" style="898"/>
    <col min="5638" max="5638" width="8.140625" style="898" customWidth="1"/>
    <col min="5639" max="5639" width="9.42578125" style="898" customWidth="1"/>
    <col min="5640" max="5641" width="9.7109375" style="898" customWidth="1"/>
    <col min="5642" max="5643" width="10" style="898" customWidth="1"/>
    <col min="5644" max="5644" width="10.7109375" style="898" customWidth="1"/>
    <col min="5645" max="5645" width="10.140625" style="898" customWidth="1"/>
    <col min="5646" max="5653" width="9.140625" style="898" customWidth="1"/>
    <col min="5654" max="5654" width="9.28515625" style="898" customWidth="1"/>
    <col min="5655" max="5655" width="17.5703125" style="898" customWidth="1"/>
    <col min="5656" max="5656" width="37.85546875" style="898" customWidth="1"/>
    <col min="5657" max="5890" width="9.140625" style="898"/>
    <col min="5891" max="5891" width="10.42578125" style="898" customWidth="1"/>
    <col min="5892" max="5892" width="51.28515625" style="898" customWidth="1"/>
    <col min="5893" max="5893" width="9.140625" style="898"/>
    <col min="5894" max="5894" width="8.140625" style="898" customWidth="1"/>
    <col min="5895" max="5895" width="9.42578125" style="898" customWidth="1"/>
    <col min="5896" max="5897" width="9.7109375" style="898" customWidth="1"/>
    <col min="5898" max="5899" width="10" style="898" customWidth="1"/>
    <col min="5900" max="5900" width="10.7109375" style="898" customWidth="1"/>
    <col min="5901" max="5901" width="10.140625" style="898" customWidth="1"/>
    <col min="5902" max="5909" width="9.140625" style="898" customWidth="1"/>
    <col min="5910" max="5910" width="9.28515625" style="898" customWidth="1"/>
    <col min="5911" max="5911" width="17.5703125" style="898" customWidth="1"/>
    <col min="5912" max="5912" width="37.85546875" style="898" customWidth="1"/>
    <col min="5913" max="6146" width="9.140625" style="898"/>
    <col min="6147" max="6147" width="10.42578125" style="898" customWidth="1"/>
    <col min="6148" max="6148" width="51.28515625" style="898" customWidth="1"/>
    <col min="6149" max="6149" width="9.140625" style="898"/>
    <col min="6150" max="6150" width="8.140625" style="898" customWidth="1"/>
    <col min="6151" max="6151" width="9.42578125" style="898" customWidth="1"/>
    <col min="6152" max="6153" width="9.7109375" style="898" customWidth="1"/>
    <col min="6154" max="6155" width="10" style="898" customWidth="1"/>
    <col min="6156" max="6156" width="10.7109375" style="898" customWidth="1"/>
    <col min="6157" max="6157" width="10.140625" style="898" customWidth="1"/>
    <col min="6158" max="6165" width="9.140625" style="898" customWidth="1"/>
    <col min="6166" max="6166" width="9.28515625" style="898" customWidth="1"/>
    <col min="6167" max="6167" width="17.5703125" style="898" customWidth="1"/>
    <col min="6168" max="6168" width="37.85546875" style="898" customWidth="1"/>
    <col min="6169" max="6402" width="9.140625" style="898"/>
    <col min="6403" max="6403" width="10.42578125" style="898" customWidth="1"/>
    <col min="6404" max="6404" width="51.28515625" style="898" customWidth="1"/>
    <col min="6405" max="6405" width="9.140625" style="898"/>
    <col min="6406" max="6406" width="8.140625" style="898" customWidth="1"/>
    <col min="6407" max="6407" width="9.42578125" style="898" customWidth="1"/>
    <col min="6408" max="6409" width="9.7109375" style="898" customWidth="1"/>
    <col min="6410" max="6411" width="10" style="898" customWidth="1"/>
    <col min="6412" max="6412" width="10.7109375" style="898" customWidth="1"/>
    <col min="6413" max="6413" width="10.140625" style="898" customWidth="1"/>
    <col min="6414" max="6421" width="9.140625" style="898" customWidth="1"/>
    <col min="6422" max="6422" width="9.28515625" style="898" customWidth="1"/>
    <col min="6423" max="6423" width="17.5703125" style="898" customWidth="1"/>
    <col min="6424" max="6424" width="37.85546875" style="898" customWidth="1"/>
    <col min="6425" max="6658" width="9.140625" style="898"/>
    <col min="6659" max="6659" width="10.42578125" style="898" customWidth="1"/>
    <col min="6660" max="6660" width="51.28515625" style="898" customWidth="1"/>
    <col min="6661" max="6661" width="9.140625" style="898"/>
    <col min="6662" max="6662" width="8.140625" style="898" customWidth="1"/>
    <col min="6663" max="6663" width="9.42578125" style="898" customWidth="1"/>
    <col min="6664" max="6665" width="9.7109375" style="898" customWidth="1"/>
    <col min="6666" max="6667" width="10" style="898" customWidth="1"/>
    <col min="6668" max="6668" width="10.7109375" style="898" customWidth="1"/>
    <col min="6669" max="6669" width="10.140625" style="898" customWidth="1"/>
    <col min="6670" max="6677" width="9.140625" style="898" customWidth="1"/>
    <col min="6678" max="6678" width="9.28515625" style="898" customWidth="1"/>
    <col min="6679" max="6679" width="17.5703125" style="898" customWidth="1"/>
    <col min="6680" max="6680" width="37.85546875" style="898" customWidth="1"/>
    <col min="6681" max="6914" width="9.140625" style="898"/>
    <col min="6915" max="6915" width="10.42578125" style="898" customWidth="1"/>
    <col min="6916" max="6916" width="51.28515625" style="898" customWidth="1"/>
    <col min="6917" max="6917" width="9.140625" style="898"/>
    <col min="6918" max="6918" width="8.140625" style="898" customWidth="1"/>
    <col min="6919" max="6919" width="9.42578125" style="898" customWidth="1"/>
    <col min="6920" max="6921" width="9.7109375" style="898" customWidth="1"/>
    <col min="6922" max="6923" width="10" style="898" customWidth="1"/>
    <col min="6924" max="6924" width="10.7109375" style="898" customWidth="1"/>
    <col min="6925" max="6925" width="10.140625" style="898" customWidth="1"/>
    <col min="6926" max="6933" width="9.140625" style="898" customWidth="1"/>
    <col min="6934" max="6934" width="9.28515625" style="898" customWidth="1"/>
    <col min="6935" max="6935" width="17.5703125" style="898" customWidth="1"/>
    <col min="6936" max="6936" width="37.85546875" style="898" customWidth="1"/>
    <col min="6937" max="7170" width="9.140625" style="898"/>
    <col min="7171" max="7171" width="10.42578125" style="898" customWidth="1"/>
    <col min="7172" max="7172" width="51.28515625" style="898" customWidth="1"/>
    <col min="7173" max="7173" width="9.140625" style="898"/>
    <col min="7174" max="7174" width="8.140625" style="898" customWidth="1"/>
    <col min="7175" max="7175" width="9.42578125" style="898" customWidth="1"/>
    <col min="7176" max="7177" width="9.7109375" style="898" customWidth="1"/>
    <col min="7178" max="7179" width="10" style="898" customWidth="1"/>
    <col min="7180" max="7180" width="10.7109375" style="898" customWidth="1"/>
    <col min="7181" max="7181" width="10.140625" style="898" customWidth="1"/>
    <col min="7182" max="7189" width="9.140625" style="898" customWidth="1"/>
    <col min="7190" max="7190" width="9.28515625" style="898" customWidth="1"/>
    <col min="7191" max="7191" width="17.5703125" style="898" customWidth="1"/>
    <col min="7192" max="7192" width="37.85546875" style="898" customWidth="1"/>
    <col min="7193" max="7426" width="9.140625" style="898"/>
    <col min="7427" max="7427" width="10.42578125" style="898" customWidth="1"/>
    <col min="7428" max="7428" width="51.28515625" style="898" customWidth="1"/>
    <col min="7429" max="7429" width="9.140625" style="898"/>
    <col min="7430" max="7430" width="8.140625" style="898" customWidth="1"/>
    <col min="7431" max="7431" width="9.42578125" style="898" customWidth="1"/>
    <col min="7432" max="7433" width="9.7109375" style="898" customWidth="1"/>
    <col min="7434" max="7435" width="10" style="898" customWidth="1"/>
    <col min="7436" max="7436" width="10.7109375" style="898" customWidth="1"/>
    <col min="7437" max="7437" width="10.140625" style="898" customWidth="1"/>
    <col min="7438" max="7445" width="9.140625" style="898" customWidth="1"/>
    <col min="7446" max="7446" width="9.28515625" style="898" customWidth="1"/>
    <col min="7447" max="7447" width="17.5703125" style="898" customWidth="1"/>
    <col min="7448" max="7448" width="37.85546875" style="898" customWidth="1"/>
    <col min="7449" max="7682" width="9.140625" style="898"/>
    <col min="7683" max="7683" width="10.42578125" style="898" customWidth="1"/>
    <col min="7684" max="7684" width="51.28515625" style="898" customWidth="1"/>
    <col min="7685" max="7685" width="9.140625" style="898"/>
    <col min="7686" max="7686" width="8.140625" style="898" customWidth="1"/>
    <col min="7687" max="7687" width="9.42578125" style="898" customWidth="1"/>
    <col min="7688" max="7689" width="9.7109375" style="898" customWidth="1"/>
    <col min="7690" max="7691" width="10" style="898" customWidth="1"/>
    <col min="7692" max="7692" width="10.7109375" style="898" customWidth="1"/>
    <col min="7693" max="7693" width="10.140625" style="898" customWidth="1"/>
    <col min="7694" max="7701" width="9.140625" style="898" customWidth="1"/>
    <col min="7702" max="7702" width="9.28515625" style="898" customWidth="1"/>
    <col min="7703" max="7703" width="17.5703125" style="898" customWidth="1"/>
    <col min="7704" max="7704" width="37.85546875" style="898" customWidth="1"/>
    <col min="7705" max="7938" width="9.140625" style="898"/>
    <col min="7939" max="7939" width="10.42578125" style="898" customWidth="1"/>
    <col min="7940" max="7940" width="51.28515625" style="898" customWidth="1"/>
    <col min="7941" max="7941" width="9.140625" style="898"/>
    <col min="7942" max="7942" width="8.140625" style="898" customWidth="1"/>
    <col min="7943" max="7943" width="9.42578125" style="898" customWidth="1"/>
    <col min="7944" max="7945" width="9.7109375" style="898" customWidth="1"/>
    <col min="7946" max="7947" width="10" style="898" customWidth="1"/>
    <col min="7948" max="7948" width="10.7109375" style="898" customWidth="1"/>
    <col min="7949" max="7949" width="10.140625" style="898" customWidth="1"/>
    <col min="7950" max="7957" width="9.140625" style="898" customWidth="1"/>
    <col min="7958" max="7958" width="9.28515625" style="898" customWidth="1"/>
    <col min="7959" max="7959" width="17.5703125" style="898" customWidth="1"/>
    <col min="7960" max="7960" width="37.85546875" style="898" customWidth="1"/>
    <col min="7961" max="8194" width="9.140625" style="898"/>
    <col min="8195" max="8195" width="10.42578125" style="898" customWidth="1"/>
    <col min="8196" max="8196" width="51.28515625" style="898" customWidth="1"/>
    <col min="8197" max="8197" width="9.140625" style="898"/>
    <col min="8198" max="8198" width="8.140625" style="898" customWidth="1"/>
    <col min="8199" max="8199" width="9.42578125" style="898" customWidth="1"/>
    <col min="8200" max="8201" width="9.7109375" style="898" customWidth="1"/>
    <col min="8202" max="8203" width="10" style="898" customWidth="1"/>
    <col min="8204" max="8204" width="10.7109375" style="898" customWidth="1"/>
    <col min="8205" max="8205" width="10.140625" style="898" customWidth="1"/>
    <col min="8206" max="8213" width="9.140625" style="898" customWidth="1"/>
    <col min="8214" max="8214" width="9.28515625" style="898" customWidth="1"/>
    <col min="8215" max="8215" width="17.5703125" style="898" customWidth="1"/>
    <col min="8216" max="8216" width="37.85546875" style="898" customWidth="1"/>
    <col min="8217" max="8450" width="9.140625" style="898"/>
    <col min="8451" max="8451" width="10.42578125" style="898" customWidth="1"/>
    <col min="8452" max="8452" width="51.28515625" style="898" customWidth="1"/>
    <col min="8453" max="8453" width="9.140625" style="898"/>
    <col min="8454" max="8454" width="8.140625" style="898" customWidth="1"/>
    <col min="8455" max="8455" width="9.42578125" style="898" customWidth="1"/>
    <col min="8456" max="8457" width="9.7109375" style="898" customWidth="1"/>
    <col min="8458" max="8459" width="10" style="898" customWidth="1"/>
    <col min="8460" max="8460" width="10.7109375" style="898" customWidth="1"/>
    <col min="8461" max="8461" width="10.140625" style="898" customWidth="1"/>
    <col min="8462" max="8469" width="9.140625" style="898" customWidth="1"/>
    <col min="8470" max="8470" width="9.28515625" style="898" customWidth="1"/>
    <col min="8471" max="8471" width="17.5703125" style="898" customWidth="1"/>
    <col min="8472" max="8472" width="37.85546875" style="898" customWidth="1"/>
    <col min="8473" max="8706" width="9.140625" style="898"/>
    <col min="8707" max="8707" width="10.42578125" style="898" customWidth="1"/>
    <col min="8708" max="8708" width="51.28515625" style="898" customWidth="1"/>
    <col min="8709" max="8709" width="9.140625" style="898"/>
    <col min="8710" max="8710" width="8.140625" style="898" customWidth="1"/>
    <col min="8711" max="8711" width="9.42578125" style="898" customWidth="1"/>
    <col min="8712" max="8713" width="9.7109375" style="898" customWidth="1"/>
    <col min="8714" max="8715" width="10" style="898" customWidth="1"/>
    <col min="8716" max="8716" width="10.7109375" style="898" customWidth="1"/>
    <col min="8717" max="8717" width="10.140625" style="898" customWidth="1"/>
    <col min="8718" max="8725" width="9.140625" style="898" customWidth="1"/>
    <col min="8726" max="8726" width="9.28515625" style="898" customWidth="1"/>
    <col min="8727" max="8727" width="17.5703125" style="898" customWidth="1"/>
    <col min="8728" max="8728" width="37.85546875" style="898" customWidth="1"/>
    <col min="8729" max="8962" width="9.140625" style="898"/>
    <col min="8963" max="8963" width="10.42578125" style="898" customWidth="1"/>
    <col min="8964" max="8964" width="51.28515625" style="898" customWidth="1"/>
    <col min="8965" max="8965" width="9.140625" style="898"/>
    <col min="8966" max="8966" width="8.140625" style="898" customWidth="1"/>
    <col min="8967" max="8967" width="9.42578125" style="898" customWidth="1"/>
    <col min="8968" max="8969" width="9.7109375" style="898" customWidth="1"/>
    <col min="8970" max="8971" width="10" style="898" customWidth="1"/>
    <col min="8972" max="8972" width="10.7109375" style="898" customWidth="1"/>
    <col min="8973" max="8973" width="10.140625" style="898" customWidth="1"/>
    <col min="8974" max="8981" width="9.140625" style="898" customWidth="1"/>
    <col min="8982" max="8982" width="9.28515625" style="898" customWidth="1"/>
    <col min="8983" max="8983" width="17.5703125" style="898" customWidth="1"/>
    <col min="8984" max="8984" width="37.85546875" style="898" customWidth="1"/>
    <col min="8985" max="9218" width="9.140625" style="898"/>
    <col min="9219" max="9219" width="10.42578125" style="898" customWidth="1"/>
    <col min="9220" max="9220" width="51.28515625" style="898" customWidth="1"/>
    <col min="9221" max="9221" width="9.140625" style="898"/>
    <col min="9222" max="9222" width="8.140625" style="898" customWidth="1"/>
    <col min="9223" max="9223" width="9.42578125" style="898" customWidth="1"/>
    <col min="9224" max="9225" width="9.7109375" style="898" customWidth="1"/>
    <col min="9226" max="9227" width="10" style="898" customWidth="1"/>
    <col min="9228" max="9228" width="10.7109375" style="898" customWidth="1"/>
    <col min="9229" max="9229" width="10.140625" style="898" customWidth="1"/>
    <col min="9230" max="9237" width="9.140625" style="898" customWidth="1"/>
    <col min="9238" max="9238" width="9.28515625" style="898" customWidth="1"/>
    <col min="9239" max="9239" width="17.5703125" style="898" customWidth="1"/>
    <col min="9240" max="9240" width="37.85546875" style="898" customWidth="1"/>
    <col min="9241" max="9474" width="9.140625" style="898"/>
    <col min="9475" max="9475" width="10.42578125" style="898" customWidth="1"/>
    <col min="9476" max="9476" width="51.28515625" style="898" customWidth="1"/>
    <col min="9477" max="9477" width="9.140625" style="898"/>
    <col min="9478" max="9478" width="8.140625" style="898" customWidth="1"/>
    <col min="9479" max="9479" width="9.42578125" style="898" customWidth="1"/>
    <col min="9480" max="9481" width="9.7109375" style="898" customWidth="1"/>
    <col min="9482" max="9483" width="10" style="898" customWidth="1"/>
    <col min="9484" max="9484" width="10.7109375" style="898" customWidth="1"/>
    <col min="9485" max="9485" width="10.140625" style="898" customWidth="1"/>
    <col min="9486" max="9493" width="9.140625" style="898" customWidth="1"/>
    <col min="9494" max="9494" width="9.28515625" style="898" customWidth="1"/>
    <col min="9495" max="9495" width="17.5703125" style="898" customWidth="1"/>
    <col min="9496" max="9496" width="37.85546875" style="898" customWidth="1"/>
    <col min="9497" max="9730" width="9.140625" style="898"/>
    <col min="9731" max="9731" width="10.42578125" style="898" customWidth="1"/>
    <col min="9732" max="9732" width="51.28515625" style="898" customWidth="1"/>
    <col min="9733" max="9733" width="9.140625" style="898"/>
    <col min="9734" max="9734" width="8.140625" style="898" customWidth="1"/>
    <col min="9735" max="9735" width="9.42578125" style="898" customWidth="1"/>
    <col min="9736" max="9737" width="9.7109375" style="898" customWidth="1"/>
    <col min="9738" max="9739" width="10" style="898" customWidth="1"/>
    <col min="9740" max="9740" width="10.7109375" style="898" customWidth="1"/>
    <col min="9741" max="9741" width="10.140625" style="898" customWidth="1"/>
    <col min="9742" max="9749" width="9.140625" style="898" customWidth="1"/>
    <col min="9750" max="9750" width="9.28515625" style="898" customWidth="1"/>
    <col min="9751" max="9751" width="17.5703125" style="898" customWidth="1"/>
    <col min="9752" max="9752" width="37.85546875" style="898" customWidth="1"/>
    <col min="9753" max="9986" width="9.140625" style="898"/>
    <col min="9987" max="9987" width="10.42578125" style="898" customWidth="1"/>
    <col min="9988" max="9988" width="51.28515625" style="898" customWidth="1"/>
    <col min="9989" max="9989" width="9.140625" style="898"/>
    <col min="9990" max="9990" width="8.140625" style="898" customWidth="1"/>
    <col min="9991" max="9991" width="9.42578125" style="898" customWidth="1"/>
    <col min="9992" max="9993" width="9.7109375" style="898" customWidth="1"/>
    <col min="9994" max="9995" width="10" style="898" customWidth="1"/>
    <col min="9996" max="9996" width="10.7109375" style="898" customWidth="1"/>
    <col min="9997" max="9997" width="10.140625" style="898" customWidth="1"/>
    <col min="9998" max="10005" width="9.140625" style="898" customWidth="1"/>
    <col min="10006" max="10006" width="9.28515625" style="898" customWidth="1"/>
    <col min="10007" max="10007" width="17.5703125" style="898" customWidth="1"/>
    <col min="10008" max="10008" width="37.85546875" style="898" customWidth="1"/>
    <col min="10009" max="10242" width="9.140625" style="898"/>
    <col min="10243" max="10243" width="10.42578125" style="898" customWidth="1"/>
    <col min="10244" max="10244" width="51.28515625" style="898" customWidth="1"/>
    <col min="10245" max="10245" width="9.140625" style="898"/>
    <col min="10246" max="10246" width="8.140625" style="898" customWidth="1"/>
    <col min="10247" max="10247" width="9.42578125" style="898" customWidth="1"/>
    <col min="10248" max="10249" width="9.7109375" style="898" customWidth="1"/>
    <col min="10250" max="10251" width="10" style="898" customWidth="1"/>
    <col min="10252" max="10252" width="10.7109375" style="898" customWidth="1"/>
    <col min="10253" max="10253" width="10.140625" style="898" customWidth="1"/>
    <col min="10254" max="10261" width="9.140625" style="898" customWidth="1"/>
    <col min="10262" max="10262" width="9.28515625" style="898" customWidth="1"/>
    <col min="10263" max="10263" width="17.5703125" style="898" customWidth="1"/>
    <col min="10264" max="10264" width="37.85546875" style="898" customWidth="1"/>
    <col min="10265" max="10498" width="9.140625" style="898"/>
    <col min="10499" max="10499" width="10.42578125" style="898" customWidth="1"/>
    <col min="10500" max="10500" width="51.28515625" style="898" customWidth="1"/>
    <col min="10501" max="10501" width="9.140625" style="898"/>
    <col min="10502" max="10502" width="8.140625" style="898" customWidth="1"/>
    <col min="10503" max="10503" width="9.42578125" style="898" customWidth="1"/>
    <col min="10504" max="10505" width="9.7109375" style="898" customWidth="1"/>
    <col min="10506" max="10507" width="10" style="898" customWidth="1"/>
    <col min="10508" max="10508" width="10.7109375" style="898" customWidth="1"/>
    <col min="10509" max="10509" width="10.140625" style="898" customWidth="1"/>
    <col min="10510" max="10517" width="9.140625" style="898" customWidth="1"/>
    <col min="10518" max="10518" width="9.28515625" style="898" customWidth="1"/>
    <col min="10519" max="10519" width="17.5703125" style="898" customWidth="1"/>
    <col min="10520" max="10520" width="37.85546875" style="898" customWidth="1"/>
    <col min="10521" max="10754" width="9.140625" style="898"/>
    <col min="10755" max="10755" width="10.42578125" style="898" customWidth="1"/>
    <col min="10756" max="10756" width="51.28515625" style="898" customWidth="1"/>
    <col min="10757" max="10757" width="9.140625" style="898"/>
    <col min="10758" max="10758" width="8.140625" style="898" customWidth="1"/>
    <col min="10759" max="10759" width="9.42578125" style="898" customWidth="1"/>
    <col min="10760" max="10761" width="9.7109375" style="898" customWidth="1"/>
    <col min="10762" max="10763" width="10" style="898" customWidth="1"/>
    <col min="10764" max="10764" width="10.7109375" style="898" customWidth="1"/>
    <col min="10765" max="10765" width="10.140625" style="898" customWidth="1"/>
    <col min="10766" max="10773" width="9.140625" style="898" customWidth="1"/>
    <col min="10774" max="10774" width="9.28515625" style="898" customWidth="1"/>
    <col min="10775" max="10775" width="17.5703125" style="898" customWidth="1"/>
    <col min="10776" max="10776" width="37.85546875" style="898" customWidth="1"/>
    <col min="10777" max="11010" width="9.140625" style="898"/>
    <col min="11011" max="11011" width="10.42578125" style="898" customWidth="1"/>
    <col min="11012" max="11012" width="51.28515625" style="898" customWidth="1"/>
    <col min="11013" max="11013" width="9.140625" style="898"/>
    <col min="11014" max="11014" width="8.140625" style="898" customWidth="1"/>
    <col min="11015" max="11015" width="9.42578125" style="898" customWidth="1"/>
    <col min="11016" max="11017" width="9.7109375" style="898" customWidth="1"/>
    <col min="11018" max="11019" width="10" style="898" customWidth="1"/>
    <col min="11020" max="11020" width="10.7109375" style="898" customWidth="1"/>
    <col min="11021" max="11021" width="10.140625" style="898" customWidth="1"/>
    <col min="11022" max="11029" width="9.140625" style="898" customWidth="1"/>
    <col min="11030" max="11030" width="9.28515625" style="898" customWidth="1"/>
    <col min="11031" max="11031" width="17.5703125" style="898" customWidth="1"/>
    <col min="11032" max="11032" width="37.85546875" style="898" customWidth="1"/>
    <col min="11033" max="11266" width="9.140625" style="898"/>
    <col min="11267" max="11267" width="10.42578125" style="898" customWidth="1"/>
    <col min="11268" max="11268" width="51.28515625" style="898" customWidth="1"/>
    <col min="11269" max="11269" width="9.140625" style="898"/>
    <col min="11270" max="11270" width="8.140625" style="898" customWidth="1"/>
    <col min="11271" max="11271" width="9.42578125" style="898" customWidth="1"/>
    <col min="11272" max="11273" width="9.7109375" style="898" customWidth="1"/>
    <col min="11274" max="11275" width="10" style="898" customWidth="1"/>
    <col min="11276" max="11276" width="10.7109375" style="898" customWidth="1"/>
    <col min="11277" max="11277" width="10.140625" style="898" customWidth="1"/>
    <col min="11278" max="11285" width="9.140625" style="898" customWidth="1"/>
    <col min="11286" max="11286" width="9.28515625" style="898" customWidth="1"/>
    <col min="11287" max="11287" width="17.5703125" style="898" customWidth="1"/>
    <col min="11288" max="11288" width="37.85546875" style="898" customWidth="1"/>
    <col min="11289" max="11522" width="9.140625" style="898"/>
    <col min="11523" max="11523" width="10.42578125" style="898" customWidth="1"/>
    <col min="11524" max="11524" width="51.28515625" style="898" customWidth="1"/>
    <col min="11525" max="11525" width="9.140625" style="898"/>
    <col min="11526" max="11526" width="8.140625" style="898" customWidth="1"/>
    <col min="11527" max="11527" width="9.42578125" style="898" customWidth="1"/>
    <col min="11528" max="11529" width="9.7109375" style="898" customWidth="1"/>
    <col min="11530" max="11531" width="10" style="898" customWidth="1"/>
    <col min="11532" max="11532" width="10.7109375" style="898" customWidth="1"/>
    <col min="11533" max="11533" width="10.140625" style="898" customWidth="1"/>
    <col min="11534" max="11541" width="9.140625" style="898" customWidth="1"/>
    <col min="11542" max="11542" width="9.28515625" style="898" customWidth="1"/>
    <col min="11543" max="11543" width="17.5703125" style="898" customWidth="1"/>
    <col min="11544" max="11544" width="37.85546875" style="898" customWidth="1"/>
    <col min="11545" max="11778" width="9.140625" style="898"/>
    <col min="11779" max="11779" width="10.42578125" style="898" customWidth="1"/>
    <col min="11780" max="11780" width="51.28515625" style="898" customWidth="1"/>
    <col min="11781" max="11781" width="9.140625" style="898"/>
    <col min="11782" max="11782" width="8.140625" style="898" customWidth="1"/>
    <col min="11783" max="11783" width="9.42578125" style="898" customWidth="1"/>
    <col min="11784" max="11785" width="9.7109375" style="898" customWidth="1"/>
    <col min="11786" max="11787" width="10" style="898" customWidth="1"/>
    <col min="11788" max="11788" width="10.7109375" style="898" customWidth="1"/>
    <col min="11789" max="11789" width="10.140625" style="898" customWidth="1"/>
    <col min="11790" max="11797" width="9.140625" style="898" customWidth="1"/>
    <col min="11798" max="11798" width="9.28515625" style="898" customWidth="1"/>
    <col min="11799" max="11799" width="17.5703125" style="898" customWidth="1"/>
    <col min="11800" max="11800" width="37.85546875" style="898" customWidth="1"/>
    <col min="11801" max="12034" width="9.140625" style="898"/>
    <col min="12035" max="12035" width="10.42578125" style="898" customWidth="1"/>
    <col min="12036" max="12036" width="51.28515625" style="898" customWidth="1"/>
    <col min="12037" max="12037" width="9.140625" style="898"/>
    <col min="12038" max="12038" width="8.140625" style="898" customWidth="1"/>
    <col min="12039" max="12039" width="9.42578125" style="898" customWidth="1"/>
    <col min="12040" max="12041" width="9.7109375" style="898" customWidth="1"/>
    <col min="12042" max="12043" width="10" style="898" customWidth="1"/>
    <col min="12044" max="12044" width="10.7109375" style="898" customWidth="1"/>
    <col min="12045" max="12045" width="10.140625" style="898" customWidth="1"/>
    <col min="12046" max="12053" width="9.140625" style="898" customWidth="1"/>
    <col min="12054" max="12054" width="9.28515625" style="898" customWidth="1"/>
    <col min="12055" max="12055" width="17.5703125" style="898" customWidth="1"/>
    <col min="12056" max="12056" width="37.85546875" style="898" customWidth="1"/>
    <col min="12057" max="12290" width="9.140625" style="898"/>
    <col min="12291" max="12291" width="10.42578125" style="898" customWidth="1"/>
    <col min="12292" max="12292" width="51.28515625" style="898" customWidth="1"/>
    <col min="12293" max="12293" width="9.140625" style="898"/>
    <col min="12294" max="12294" width="8.140625" style="898" customWidth="1"/>
    <col min="12295" max="12295" width="9.42578125" style="898" customWidth="1"/>
    <col min="12296" max="12297" width="9.7109375" style="898" customWidth="1"/>
    <col min="12298" max="12299" width="10" style="898" customWidth="1"/>
    <col min="12300" max="12300" width="10.7109375" style="898" customWidth="1"/>
    <col min="12301" max="12301" width="10.140625" style="898" customWidth="1"/>
    <col min="12302" max="12309" width="9.140625" style="898" customWidth="1"/>
    <col min="12310" max="12310" width="9.28515625" style="898" customWidth="1"/>
    <col min="12311" max="12311" width="17.5703125" style="898" customWidth="1"/>
    <col min="12312" max="12312" width="37.85546875" style="898" customWidth="1"/>
    <col min="12313" max="12546" width="9.140625" style="898"/>
    <col min="12547" max="12547" width="10.42578125" style="898" customWidth="1"/>
    <col min="12548" max="12548" width="51.28515625" style="898" customWidth="1"/>
    <col min="12549" max="12549" width="9.140625" style="898"/>
    <col min="12550" max="12550" width="8.140625" style="898" customWidth="1"/>
    <col min="12551" max="12551" width="9.42578125" style="898" customWidth="1"/>
    <col min="12552" max="12553" width="9.7109375" style="898" customWidth="1"/>
    <col min="12554" max="12555" width="10" style="898" customWidth="1"/>
    <col min="12556" max="12556" width="10.7109375" style="898" customWidth="1"/>
    <col min="12557" max="12557" width="10.140625" style="898" customWidth="1"/>
    <col min="12558" max="12565" width="9.140625" style="898" customWidth="1"/>
    <col min="12566" max="12566" width="9.28515625" style="898" customWidth="1"/>
    <col min="12567" max="12567" width="17.5703125" style="898" customWidth="1"/>
    <col min="12568" max="12568" width="37.85546875" style="898" customWidth="1"/>
    <col min="12569" max="12802" width="9.140625" style="898"/>
    <col min="12803" max="12803" width="10.42578125" style="898" customWidth="1"/>
    <col min="12804" max="12804" width="51.28515625" style="898" customWidth="1"/>
    <col min="12805" max="12805" width="9.140625" style="898"/>
    <col min="12806" max="12806" width="8.140625" style="898" customWidth="1"/>
    <col min="12807" max="12807" width="9.42578125" style="898" customWidth="1"/>
    <col min="12808" max="12809" width="9.7109375" style="898" customWidth="1"/>
    <col min="12810" max="12811" width="10" style="898" customWidth="1"/>
    <col min="12812" max="12812" width="10.7109375" style="898" customWidth="1"/>
    <col min="12813" max="12813" width="10.140625" style="898" customWidth="1"/>
    <col min="12814" max="12821" width="9.140625" style="898" customWidth="1"/>
    <col min="12822" max="12822" width="9.28515625" style="898" customWidth="1"/>
    <col min="12823" max="12823" width="17.5703125" style="898" customWidth="1"/>
    <col min="12824" max="12824" width="37.85546875" style="898" customWidth="1"/>
    <col min="12825" max="13058" width="9.140625" style="898"/>
    <col min="13059" max="13059" width="10.42578125" style="898" customWidth="1"/>
    <col min="13060" max="13060" width="51.28515625" style="898" customWidth="1"/>
    <col min="13061" max="13061" width="9.140625" style="898"/>
    <col min="13062" max="13062" width="8.140625" style="898" customWidth="1"/>
    <col min="13063" max="13063" width="9.42578125" style="898" customWidth="1"/>
    <col min="13064" max="13065" width="9.7109375" style="898" customWidth="1"/>
    <col min="13066" max="13067" width="10" style="898" customWidth="1"/>
    <col min="13068" max="13068" width="10.7109375" style="898" customWidth="1"/>
    <col min="13069" max="13069" width="10.140625" style="898" customWidth="1"/>
    <col min="13070" max="13077" width="9.140625" style="898" customWidth="1"/>
    <col min="13078" max="13078" width="9.28515625" style="898" customWidth="1"/>
    <col min="13079" max="13079" width="17.5703125" style="898" customWidth="1"/>
    <col min="13080" max="13080" width="37.85546875" style="898" customWidth="1"/>
    <col min="13081" max="13314" width="9.140625" style="898"/>
    <col min="13315" max="13315" width="10.42578125" style="898" customWidth="1"/>
    <col min="13316" max="13316" width="51.28515625" style="898" customWidth="1"/>
    <col min="13317" max="13317" width="9.140625" style="898"/>
    <col min="13318" max="13318" width="8.140625" style="898" customWidth="1"/>
    <col min="13319" max="13319" width="9.42578125" style="898" customWidth="1"/>
    <col min="13320" max="13321" width="9.7109375" style="898" customWidth="1"/>
    <col min="13322" max="13323" width="10" style="898" customWidth="1"/>
    <col min="13324" max="13324" width="10.7109375" style="898" customWidth="1"/>
    <col min="13325" max="13325" width="10.140625" style="898" customWidth="1"/>
    <col min="13326" max="13333" width="9.140625" style="898" customWidth="1"/>
    <col min="13334" max="13334" width="9.28515625" style="898" customWidth="1"/>
    <col min="13335" max="13335" width="17.5703125" style="898" customWidth="1"/>
    <col min="13336" max="13336" width="37.85546875" style="898" customWidth="1"/>
    <col min="13337" max="13570" width="9.140625" style="898"/>
    <col min="13571" max="13571" width="10.42578125" style="898" customWidth="1"/>
    <col min="13572" max="13572" width="51.28515625" style="898" customWidth="1"/>
    <col min="13573" max="13573" width="9.140625" style="898"/>
    <col min="13574" max="13574" width="8.140625" style="898" customWidth="1"/>
    <col min="13575" max="13575" width="9.42578125" style="898" customWidth="1"/>
    <col min="13576" max="13577" width="9.7109375" style="898" customWidth="1"/>
    <col min="13578" max="13579" width="10" style="898" customWidth="1"/>
    <col min="13580" max="13580" width="10.7109375" style="898" customWidth="1"/>
    <col min="13581" max="13581" width="10.140625" style="898" customWidth="1"/>
    <col min="13582" max="13589" width="9.140625" style="898" customWidth="1"/>
    <col min="13590" max="13590" width="9.28515625" style="898" customWidth="1"/>
    <col min="13591" max="13591" width="17.5703125" style="898" customWidth="1"/>
    <col min="13592" max="13592" width="37.85546875" style="898" customWidth="1"/>
    <col min="13593" max="13826" width="9.140625" style="898"/>
    <col min="13827" max="13827" width="10.42578125" style="898" customWidth="1"/>
    <col min="13828" max="13828" width="51.28515625" style="898" customWidth="1"/>
    <col min="13829" max="13829" width="9.140625" style="898"/>
    <col min="13830" max="13830" width="8.140625" style="898" customWidth="1"/>
    <col min="13831" max="13831" width="9.42578125" style="898" customWidth="1"/>
    <col min="13832" max="13833" width="9.7109375" style="898" customWidth="1"/>
    <col min="13834" max="13835" width="10" style="898" customWidth="1"/>
    <col min="13836" max="13836" width="10.7109375" style="898" customWidth="1"/>
    <col min="13837" max="13837" width="10.140625" style="898" customWidth="1"/>
    <col min="13838" max="13845" width="9.140625" style="898" customWidth="1"/>
    <col min="13846" max="13846" width="9.28515625" style="898" customWidth="1"/>
    <col min="13847" max="13847" width="17.5703125" style="898" customWidth="1"/>
    <col min="13848" max="13848" width="37.85546875" style="898" customWidth="1"/>
    <col min="13849" max="14082" width="9.140625" style="898"/>
    <col min="14083" max="14083" width="10.42578125" style="898" customWidth="1"/>
    <col min="14084" max="14084" width="51.28515625" style="898" customWidth="1"/>
    <col min="14085" max="14085" width="9.140625" style="898"/>
    <col min="14086" max="14086" width="8.140625" style="898" customWidth="1"/>
    <col min="14087" max="14087" width="9.42578125" style="898" customWidth="1"/>
    <col min="14088" max="14089" width="9.7109375" style="898" customWidth="1"/>
    <col min="14090" max="14091" width="10" style="898" customWidth="1"/>
    <col min="14092" max="14092" width="10.7109375" style="898" customWidth="1"/>
    <col min="14093" max="14093" width="10.140625" style="898" customWidth="1"/>
    <col min="14094" max="14101" width="9.140625" style="898" customWidth="1"/>
    <col min="14102" max="14102" width="9.28515625" style="898" customWidth="1"/>
    <col min="14103" max="14103" width="17.5703125" style="898" customWidth="1"/>
    <col min="14104" max="14104" width="37.85546875" style="898" customWidth="1"/>
    <col min="14105" max="14338" width="9.140625" style="898"/>
    <col min="14339" max="14339" width="10.42578125" style="898" customWidth="1"/>
    <col min="14340" max="14340" width="51.28515625" style="898" customWidth="1"/>
    <col min="14341" max="14341" width="9.140625" style="898"/>
    <col min="14342" max="14342" width="8.140625" style="898" customWidth="1"/>
    <col min="14343" max="14343" width="9.42578125" style="898" customWidth="1"/>
    <col min="14344" max="14345" width="9.7109375" style="898" customWidth="1"/>
    <col min="14346" max="14347" width="10" style="898" customWidth="1"/>
    <col min="14348" max="14348" width="10.7109375" style="898" customWidth="1"/>
    <col min="14349" max="14349" width="10.140625" style="898" customWidth="1"/>
    <col min="14350" max="14357" width="9.140625" style="898" customWidth="1"/>
    <col min="14358" max="14358" width="9.28515625" style="898" customWidth="1"/>
    <col min="14359" max="14359" width="17.5703125" style="898" customWidth="1"/>
    <col min="14360" max="14360" width="37.85546875" style="898" customWidth="1"/>
    <col min="14361" max="14594" width="9.140625" style="898"/>
    <col min="14595" max="14595" width="10.42578125" style="898" customWidth="1"/>
    <col min="14596" max="14596" width="51.28515625" style="898" customWidth="1"/>
    <col min="14597" max="14597" width="9.140625" style="898"/>
    <col min="14598" max="14598" width="8.140625" style="898" customWidth="1"/>
    <col min="14599" max="14599" width="9.42578125" style="898" customWidth="1"/>
    <col min="14600" max="14601" width="9.7109375" style="898" customWidth="1"/>
    <col min="14602" max="14603" width="10" style="898" customWidth="1"/>
    <col min="14604" max="14604" width="10.7109375" style="898" customWidth="1"/>
    <col min="14605" max="14605" width="10.140625" style="898" customWidth="1"/>
    <col min="14606" max="14613" width="9.140625" style="898" customWidth="1"/>
    <col min="14614" max="14614" width="9.28515625" style="898" customWidth="1"/>
    <col min="14615" max="14615" width="17.5703125" style="898" customWidth="1"/>
    <col min="14616" max="14616" width="37.85546875" style="898" customWidth="1"/>
    <col min="14617" max="14850" width="9.140625" style="898"/>
    <col min="14851" max="14851" width="10.42578125" style="898" customWidth="1"/>
    <col min="14852" max="14852" width="51.28515625" style="898" customWidth="1"/>
    <col min="14853" max="14853" width="9.140625" style="898"/>
    <col min="14854" max="14854" width="8.140625" style="898" customWidth="1"/>
    <col min="14855" max="14855" width="9.42578125" style="898" customWidth="1"/>
    <col min="14856" max="14857" width="9.7109375" style="898" customWidth="1"/>
    <col min="14858" max="14859" width="10" style="898" customWidth="1"/>
    <col min="14860" max="14860" width="10.7109375" style="898" customWidth="1"/>
    <col min="14861" max="14861" width="10.140625" style="898" customWidth="1"/>
    <col min="14862" max="14869" width="9.140625" style="898" customWidth="1"/>
    <col min="14870" max="14870" width="9.28515625" style="898" customWidth="1"/>
    <col min="14871" max="14871" width="17.5703125" style="898" customWidth="1"/>
    <col min="14872" max="14872" width="37.85546875" style="898" customWidth="1"/>
    <col min="14873" max="15106" width="9.140625" style="898"/>
    <col min="15107" max="15107" width="10.42578125" style="898" customWidth="1"/>
    <col min="15108" max="15108" width="51.28515625" style="898" customWidth="1"/>
    <col min="15109" max="15109" width="9.140625" style="898"/>
    <col min="15110" max="15110" width="8.140625" style="898" customWidth="1"/>
    <col min="15111" max="15111" width="9.42578125" style="898" customWidth="1"/>
    <col min="15112" max="15113" width="9.7109375" style="898" customWidth="1"/>
    <col min="15114" max="15115" width="10" style="898" customWidth="1"/>
    <col min="15116" max="15116" width="10.7109375" style="898" customWidth="1"/>
    <col min="15117" max="15117" width="10.140625" style="898" customWidth="1"/>
    <col min="15118" max="15125" width="9.140625" style="898" customWidth="1"/>
    <col min="15126" max="15126" width="9.28515625" style="898" customWidth="1"/>
    <col min="15127" max="15127" width="17.5703125" style="898" customWidth="1"/>
    <col min="15128" max="15128" width="37.85546875" style="898" customWidth="1"/>
    <col min="15129" max="15362" width="9.140625" style="898"/>
    <col min="15363" max="15363" width="10.42578125" style="898" customWidth="1"/>
    <col min="15364" max="15364" width="51.28515625" style="898" customWidth="1"/>
    <col min="15365" max="15365" width="9.140625" style="898"/>
    <col min="15366" max="15366" width="8.140625" style="898" customWidth="1"/>
    <col min="15367" max="15367" width="9.42578125" style="898" customWidth="1"/>
    <col min="15368" max="15369" width="9.7109375" style="898" customWidth="1"/>
    <col min="15370" max="15371" width="10" style="898" customWidth="1"/>
    <col min="15372" max="15372" width="10.7109375" style="898" customWidth="1"/>
    <col min="15373" max="15373" width="10.140625" style="898" customWidth="1"/>
    <col min="15374" max="15381" width="9.140625" style="898" customWidth="1"/>
    <col min="15382" max="15382" width="9.28515625" style="898" customWidth="1"/>
    <col min="15383" max="15383" width="17.5703125" style="898" customWidth="1"/>
    <col min="15384" max="15384" width="37.85546875" style="898" customWidth="1"/>
    <col min="15385" max="15618" width="9.140625" style="898"/>
    <col min="15619" max="15619" width="10.42578125" style="898" customWidth="1"/>
    <col min="15620" max="15620" width="51.28515625" style="898" customWidth="1"/>
    <col min="15621" max="15621" width="9.140625" style="898"/>
    <col min="15622" max="15622" width="8.140625" style="898" customWidth="1"/>
    <col min="15623" max="15623" width="9.42578125" style="898" customWidth="1"/>
    <col min="15624" max="15625" width="9.7109375" style="898" customWidth="1"/>
    <col min="15626" max="15627" width="10" style="898" customWidth="1"/>
    <col min="15628" max="15628" width="10.7109375" style="898" customWidth="1"/>
    <col min="15629" max="15629" width="10.140625" style="898" customWidth="1"/>
    <col min="15630" max="15637" width="9.140625" style="898" customWidth="1"/>
    <col min="15638" max="15638" width="9.28515625" style="898" customWidth="1"/>
    <col min="15639" max="15639" width="17.5703125" style="898" customWidth="1"/>
    <col min="15640" max="15640" width="37.85546875" style="898" customWidth="1"/>
    <col min="15641" max="15874" width="9.140625" style="898"/>
    <col min="15875" max="15875" width="10.42578125" style="898" customWidth="1"/>
    <col min="15876" max="15876" width="51.28515625" style="898" customWidth="1"/>
    <col min="15877" max="15877" width="9.140625" style="898"/>
    <col min="15878" max="15878" width="8.140625" style="898" customWidth="1"/>
    <col min="15879" max="15879" width="9.42578125" style="898" customWidth="1"/>
    <col min="15880" max="15881" width="9.7109375" style="898" customWidth="1"/>
    <col min="15882" max="15883" width="10" style="898" customWidth="1"/>
    <col min="15884" max="15884" width="10.7109375" style="898" customWidth="1"/>
    <col min="15885" max="15885" width="10.140625" style="898" customWidth="1"/>
    <col min="15886" max="15893" width="9.140625" style="898" customWidth="1"/>
    <col min="15894" max="15894" width="9.28515625" style="898" customWidth="1"/>
    <col min="15895" max="15895" width="17.5703125" style="898" customWidth="1"/>
    <col min="15896" max="15896" width="37.85546875" style="898" customWidth="1"/>
    <col min="15897" max="16130" width="9.140625" style="898"/>
    <col min="16131" max="16131" width="10.42578125" style="898" customWidth="1"/>
    <col min="16132" max="16132" width="51.28515625" style="898" customWidth="1"/>
    <col min="16133" max="16133" width="9.140625" style="898"/>
    <col min="16134" max="16134" width="8.140625" style="898" customWidth="1"/>
    <col min="16135" max="16135" width="9.42578125" style="898" customWidth="1"/>
    <col min="16136" max="16137" width="9.7109375" style="898" customWidth="1"/>
    <col min="16138" max="16139" width="10" style="898" customWidth="1"/>
    <col min="16140" max="16140" width="10.7109375" style="898" customWidth="1"/>
    <col min="16141" max="16141" width="10.140625" style="898" customWidth="1"/>
    <col min="16142" max="16149" width="9.140625" style="898" customWidth="1"/>
    <col min="16150" max="16150" width="9.28515625" style="898" customWidth="1"/>
    <col min="16151" max="16151" width="17.5703125" style="898" customWidth="1"/>
    <col min="16152" max="16152" width="37.85546875" style="898" customWidth="1"/>
    <col min="16153" max="16384" width="9.140625" style="898"/>
  </cols>
  <sheetData>
    <row r="1" spans="1:26" ht="15" customHeight="1">
      <c r="A1" s="1262" t="s">
        <v>183</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row>
    <row r="2" spans="1:26" s="899" customFormat="1" ht="24" customHeight="1">
      <c r="A2" s="1263" t="s">
        <v>783</v>
      </c>
      <c r="B2" s="1263"/>
      <c r="C2" s="1263"/>
      <c r="D2" s="1263"/>
      <c r="E2" s="1263"/>
      <c r="F2" s="1263"/>
      <c r="G2" s="1263"/>
      <c r="H2" s="1263"/>
      <c r="I2" s="1263"/>
      <c r="J2" s="1263"/>
      <c r="K2" s="1263"/>
      <c r="L2" s="1263"/>
      <c r="M2" s="1263"/>
      <c r="N2" s="1263"/>
      <c r="O2" s="1263"/>
      <c r="P2" s="1263"/>
      <c r="Q2" s="1263"/>
      <c r="R2" s="1263"/>
      <c r="S2" s="1263"/>
      <c r="T2" s="1263"/>
      <c r="U2" s="1263"/>
      <c r="V2" s="1263"/>
      <c r="W2" s="1263"/>
      <c r="X2" s="1263"/>
      <c r="Y2" s="1263"/>
      <c r="Z2" s="897"/>
    </row>
    <row r="3" spans="1:26" ht="15" customHeight="1">
      <c r="A3" s="1264" t="s">
        <v>0</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row>
    <row r="4" spans="1:26" s="900" customFormat="1" ht="14.25" customHeight="1">
      <c r="A4" s="1265" t="s">
        <v>1</v>
      </c>
      <c r="B4" s="1268" t="s">
        <v>132</v>
      </c>
      <c r="C4" s="1271" t="s">
        <v>3</v>
      </c>
      <c r="D4" s="1271" t="s">
        <v>361</v>
      </c>
      <c r="E4" s="1271" t="s">
        <v>311</v>
      </c>
      <c r="F4" s="1274" t="s">
        <v>182</v>
      </c>
      <c r="G4" s="1277" t="s">
        <v>133</v>
      </c>
      <c r="H4" s="1278"/>
      <c r="I4" s="1278"/>
      <c r="J4" s="1278"/>
      <c r="K4" s="1278"/>
      <c r="L4" s="1278"/>
      <c r="M4" s="1278"/>
      <c r="N4" s="1278"/>
      <c r="O4" s="1278"/>
      <c r="P4" s="1278"/>
      <c r="Q4" s="1278"/>
      <c r="R4" s="1278"/>
      <c r="S4" s="1278"/>
      <c r="T4" s="1278"/>
      <c r="U4" s="1278"/>
      <c r="V4" s="1279"/>
      <c r="W4" s="1271" t="s">
        <v>310</v>
      </c>
      <c r="X4" s="1287" t="s">
        <v>798</v>
      </c>
      <c r="Y4" s="1288" t="s">
        <v>309</v>
      </c>
      <c r="Z4" s="1287" t="s">
        <v>798</v>
      </c>
    </row>
    <row r="5" spans="1:26" s="900" customFormat="1" ht="15" hidden="1" customHeight="1">
      <c r="A5" s="1266"/>
      <c r="B5" s="1269"/>
      <c r="C5" s="1272"/>
      <c r="D5" s="1272"/>
      <c r="E5" s="1272"/>
      <c r="F5" s="1275"/>
      <c r="G5" s="1280"/>
      <c r="H5" s="1263"/>
      <c r="I5" s="1263"/>
      <c r="J5" s="1263"/>
      <c r="K5" s="1263"/>
      <c r="L5" s="1263"/>
      <c r="M5" s="1263"/>
      <c r="N5" s="1263"/>
      <c r="O5" s="1263"/>
      <c r="P5" s="1263"/>
      <c r="Q5" s="1263"/>
      <c r="R5" s="1263"/>
      <c r="S5" s="1263"/>
      <c r="T5" s="1263"/>
      <c r="U5" s="1263"/>
      <c r="V5" s="1281"/>
      <c r="W5" s="1272"/>
      <c r="X5" s="1287"/>
      <c r="Y5" s="1289"/>
      <c r="Z5" s="1287"/>
    </row>
    <row r="6" spans="1:26" s="900" customFormat="1" ht="15" customHeight="1">
      <c r="A6" s="1266"/>
      <c r="B6" s="1269"/>
      <c r="C6" s="1272"/>
      <c r="D6" s="1272"/>
      <c r="E6" s="1272"/>
      <c r="F6" s="1275"/>
      <c r="G6" s="1282"/>
      <c r="H6" s="1283"/>
      <c r="I6" s="1283"/>
      <c r="J6" s="1283"/>
      <c r="K6" s="1283"/>
      <c r="L6" s="1283"/>
      <c r="M6" s="1283"/>
      <c r="N6" s="1283"/>
      <c r="O6" s="1283"/>
      <c r="P6" s="1283"/>
      <c r="Q6" s="1283"/>
      <c r="R6" s="1283"/>
      <c r="S6" s="1283"/>
      <c r="T6" s="1283"/>
      <c r="U6" s="1283"/>
      <c r="V6" s="1284"/>
      <c r="W6" s="1272"/>
      <c r="X6" s="1287"/>
      <c r="Y6" s="1289"/>
      <c r="Z6" s="1287"/>
    </row>
    <row r="7" spans="1:26" s="900" customFormat="1" ht="42.75">
      <c r="A7" s="1267"/>
      <c r="B7" s="1270"/>
      <c r="C7" s="1273"/>
      <c r="D7" s="1273"/>
      <c r="E7" s="1273"/>
      <c r="F7" s="1276"/>
      <c r="G7" s="1009" t="s">
        <v>308</v>
      </c>
      <c r="H7" s="1009"/>
      <c r="I7" s="1009"/>
      <c r="J7" s="1010" t="s">
        <v>134</v>
      </c>
      <c r="K7" s="1011"/>
      <c r="L7" s="1011"/>
      <c r="M7" s="1011"/>
      <c r="N7" s="1011"/>
      <c r="O7" s="1011"/>
      <c r="P7" s="1011"/>
      <c r="Q7" s="1011"/>
      <c r="R7" s="1021"/>
      <c r="S7" s="1011"/>
      <c r="T7" s="1011"/>
      <c r="U7" s="1044"/>
      <c r="V7" s="1012"/>
      <c r="W7" s="1273"/>
      <c r="X7" s="1287"/>
      <c r="Y7" s="1290"/>
      <c r="Z7" s="1287"/>
    </row>
    <row r="8" spans="1:26" s="902" customFormat="1" ht="30">
      <c r="A8" s="901">
        <v>-1</v>
      </c>
      <c r="B8" s="995">
        <v>-2</v>
      </c>
      <c r="C8" s="901">
        <v>-3</v>
      </c>
      <c r="D8" s="901">
        <v>-3</v>
      </c>
      <c r="E8" s="901" t="s">
        <v>359</v>
      </c>
      <c r="F8" s="931">
        <v>-5</v>
      </c>
      <c r="G8" s="901" t="s">
        <v>360</v>
      </c>
      <c r="H8" s="901">
        <v>-7</v>
      </c>
      <c r="I8" s="901"/>
      <c r="J8" s="901">
        <v>-8</v>
      </c>
      <c r="K8" s="901">
        <v>-9</v>
      </c>
      <c r="L8" s="901">
        <v>-11</v>
      </c>
      <c r="M8" s="901">
        <v>-12</v>
      </c>
      <c r="N8" s="901">
        <v>-13</v>
      </c>
      <c r="O8" s="901"/>
      <c r="P8" s="901">
        <v>-14</v>
      </c>
      <c r="Q8" s="901">
        <v>-15</v>
      </c>
      <c r="R8" s="901"/>
      <c r="S8" s="901">
        <v>-17</v>
      </c>
      <c r="T8" s="901">
        <v>-18</v>
      </c>
      <c r="U8" s="901"/>
      <c r="V8" s="901">
        <v>-19</v>
      </c>
      <c r="W8" s="901">
        <v>-20</v>
      </c>
      <c r="X8" s="943"/>
      <c r="Y8" s="932"/>
      <c r="Z8" s="954"/>
    </row>
    <row r="9" spans="1:26">
      <c r="A9" s="868"/>
      <c r="B9" s="872"/>
      <c r="C9" s="870"/>
      <c r="D9" s="870"/>
      <c r="E9" s="871" t="s">
        <v>202</v>
      </c>
      <c r="F9" s="903"/>
      <c r="G9" s="871"/>
      <c r="H9" s="1009" t="s">
        <v>9</v>
      </c>
      <c r="I9" s="1009" t="s">
        <v>11</v>
      </c>
      <c r="J9" s="1023" t="s">
        <v>13</v>
      </c>
      <c r="K9" s="1023" t="s">
        <v>15</v>
      </c>
      <c r="L9" s="904" t="s">
        <v>21</v>
      </c>
      <c r="M9" s="904" t="s">
        <v>17</v>
      </c>
      <c r="N9" s="904" t="s">
        <v>23</v>
      </c>
      <c r="O9" s="904" t="s">
        <v>204</v>
      </c>
      <c r="P9" s="1023" t="s">
        <v>192</v>
      </c>
      <c r="Q9" s="904" t="s">
        <v>193</v>
      </c>
      <c r="R9" s="904" t="s">
        <v>57</v>
      </c>
      <c r="S9" s="1023" t="s">
        <v>55</v>
      </c>
      <c r="T9" s="904" t="s">
        <v>53</v>
      </c>
      <c r="U9" s="904" t="s">
        <v>74</v>
      </c>
      <c r="V9" s="1023" t="s">
        <v>80</v>
      </c>
      <c r="W9" s="872"/>
      <c r="X9" s="944"/>
      <c r="Y9" s="1008"/>
      <c r="Z9" s="1013"/>
    </row>
    <row r="10" spans="1:26" ht="28.5" hidden="1">
      <c r="A10" s="873">
        <v>1</v>
      </c>
      <c r="B10" s="876" t="s">
        <v>307</v>
      </c>
      <c r="C10" s="875"/>
      <c r="D10" s="875"/>
      <c r="E10" s="878"/>
      <c r="F10" s="905"/>
      <c r="G10" s="878"/>
      <c r="H10" s="878"/>
      <c r="I10" s="878"/>
      <c r="J10" s="878"/>
      <c r="K10" s="878"/>
      <c r="L10" s="878"/>
      <c r="M10" s="878"/>
      <c r="N10" s="878"/>
      <c r="O10" s="878"/>
      <c r="P10" s="878"/>
      <c r="Q10" s="878"/>
      <c r="R10" s="878"/>
      <c r="S10" s="878"/>
      <c r="T10" s="878"/>
      <c r="U10" s="878"/>
      <c r="V10" s="878"/>
      <c r="W10" s="876"/>
      <c r="X10" s="949"/>
      <c r="Y10" s="1013"/>
      <c r="Z10" s="1013"/>
    </row>
    <row r="11" spans="1:26" ht="28.5" hidden="1">
      <c r="A11" s="873" t="s">
        <v>139</v>
      </c>
      <c r="B11" s="876" t="s">
        <v>1005</v>
      </c>
      <c r="C11" s="874"/>
      <c r="D11" s="874"/>
      <c r="E11" s="878"/>
      <c r="F11" s="905"/>
      <c r="G11" s="878"/>
      <c r="H11" s="878"/>
      <c r="I11" s="878"/>
      <c r="J11" s="878"/>
      <c r="K11" s="878"/>
      <c r="L11" s="878"/>
      <c r="M11" s="878"/>
      <c r="N11" s="878"/>
      <c r="O11" s="878"/>
      <c r="P11" s="878"/>
      <c r="Q11" s="878"/>
      <c r="R11" s="878"/>
      <c r="S11" s="878"/>
      <c r="T11" s="878"/>
      <c r="U11" s="878"/>
      <c r="V11" s="878"/>
      <c r="W11" s="876"/>
      <c r="X11" s="949"/>
      <c r="Y11" s="1013"/>
      <c r="Z11" s="1013"/>
    </row>
    <row r="12" spans="1:26" ht="150" hidden="1">
      <c r="A12" s="1013">
        <v>1</v>
      </c>
      <c r="B12" s="883" t="s">
        <v>227</v>
      </c>
      <c r="C12" s="875" t="s">
        <v>45</v>
      </c>
      <c r="D12" s="875" t="s">
        <v>196</v>
      </c>
      <c r="E12" s="879">
        <f>F12+G12</f>
        <v>0.5</v>
      </c>
      <c r="F12" s="910">
        <v>0.4</v>
      </c>
      <c r="G12" s="907">
        <f t="shared" ref="G12:G17" si="0">H12+SUM(J12:V12)</f>
        <v>0.1</v>
      </c>
      <c r="H12" s="907"/>
      <c r="I12" s="907"/>
      <c r="J12" s="907">
        <v>0.02</v>
      </c>
      <c r="K12" s="871"/>
      <c r="L12" s="871"/>
      <c r="M12" s="871"/>
      <c r="N12" s="871"/>
      <c r="O12" s="871"/>
      <c r="P12" s="871">
        <v>0.05</v>
      </c>
      <c r="Q12" s="871"/>
      <c r="R12" s="871"/>
      <c r="S12" s="871">
        <v>0.03</v>
      </c>
      <c r="T12" s="871"/>
      <c r="U12" s="871"/>
      <c r="V12" s="871"/>
      <c r="W12" s="883" t="s">
        <v>168</v>
      </c>
      <c r="X12" s="949"/>
      <c r="Y12" s="1013" t="s">
        <v>937</v>
      </c>
      <c r="Z12" s="1013"/>
    </row>
    <row r="13" spans="1:26" ht="135" hidden="1">
      <c r="A13" s="1025">
        <v>2</v>
      </c>
      <c r="B13" s="883" t="s">
        <v>336</v>
      </c>
      <c r="C13" s="875" t="s">
        <v>55</v>
      </c>
      <c r="D13" s="875" t="s">
        <v>55</v>
      </c>
      <c r="E13" s="879">
        <f>F13+G13</f>
        <v>7.0699999999999994</v>
      </c>
      <c r="F13" s="910"/>
      <c r="G13" s="907">
        <f t="shared" si="0"/>
        <v>7.0699999999999994</v>
      </c>
      <c r="H13" s="907"/>
      <c r="I13" s="907"/>
      <c r="J13" s="907">
        <v>2.73</v>
      </c>
      <c r="K13" s="871">
        <v>4.22</v>
      </c>
      <c r="L13" s="871"/>
      <c r="M13" s="871"/>
      <c r="N13" s="871"/>
      <c r="O13" s="871"/>
      <c r="P13" s="871"/>
      <c r="Q13" s="871"/>
      <c r="R13" s="871">
        <v>0.12</v>
      </c>
      <c r="S13" s="871"/>
      <c r="T13" s="871"/>
      <c r="U13" s="871"/>
      <c r="V13" s="871"/>
      <c r="W13" s="883" t="s">
        <v>168</v>
      </c>
      <c r="X13" s="949"/>
      <c r="Y13" s="1013" t="s">
        <v>938</v>
      </c>
      <c r="Z13" s="1013"/>
    </row>
    <row r="14" spans="1:26" ht="60" hidden="1">
      <c r="A14" s="1025">
        <v>3</v>
      </c>
      <c r="B14" s="883" t="s">
        <v>301</v>
      </c>
      <c r="C14" s="875" t="s">
        <v>45</v>
      </c>
      <c r="D14" s="875" t="s">
        <v>196</v>
      </c>
      <c r="E14" s="879">
        <f t="shared" ref="E14:E78" si="1">F14+G14</f>
        <v>45</v>
      </c>
      <c r="F14" s="910">
        <f>45-G14</f>
        <v>36.6</v>
      </c>
      <c r="G14" s="907">
        <f t="shared" si="0"/>
        <v>8.4</v>
      </c>
      <c r="H14" s="907"/>
      <c r="I14" s="907"/>
      <c r="J14" s="907">
        <v>0.11</v>
      </c>
      <c r="K14" s="871">
        <f>22.1-13.92</f>
        <v>8.1800000000000015</v>
      </c>
      <c r="L14" s="871"/>
      <c r="M14" s="871"/>
      <c r="N14" s="871"/>
      <c r="O14" s="871"/>
      <c r="P14" s="871"/>
      <c r="Q14" s="871"/>
      <c r="R14" s="871"/>
      <c r="S14" s="871"/>
      <c r="T14" s="871"/>
      <c r="U14" s="871"/>
      <c r="V14" s="871">
        <v>0.11</v>
      </c>
      <c r="W14" s="883" t="s">
        <v>169</v>
      </c>
      <c r="X14" s="949"/>
      <c r="Y14" s="1013" t="s">
        <v>802</v>
      </c>
      <c r="Z14" s="1013"/>
    </row>
    <row r="15" spans="1:26" ht="135" hidden="1">
      <c r="A15" s="1025">
        <v>4</v>
      </c>
      <c r="B15" s="883" t="s">
        <v>319</v>
      </c>
      <c r="C15" s="875" t="s">
        <v>45</v>
      </c>
      <c r="D15" s="875" t="s">
        <v>192</v>
      </c>
      <c r="E15" s="879">
        <f t="shared" si="1"/>
        <v>1.2</v>
      </c>
      <c r="F15" s="910"/>
      <c r="G15" s="907">
        <f t="shared" si="0"/>
        <v>1.2</v>
      </c>
      <c r="H15" s="907"/>
      <c r="I15" s="907"/>
      <c r="J15" s="907">
        <v>0.5</v>
      </c>
      <c r="K15" s="871">
        <v>0.7</v>
      </c>
      <c r="L15" s="871"/>
      <c r="M15" s="871"/>
      <c r="N15" s="871"/>
      <c r="O15" s="871"/>
      <c r="P15" s="871"/>
      <c r="Q15" s="871"/>
      <c r="R15" s="871"/>
      <c r="S15" s="871"/>
      <c r="T15" s="871"/>
      <c r="U15" s="871"/>
      <c r="V15" s="871"/>
      <c r="W15" s="883" t="s">
        <v>190</v>
      </c>
      <c r="X15" s="949"/>
      <c r="Y15" s="1013" t="s">
        <v>939</v>
      </c>
      <c r="Z15" s="1013"/>
    </row>
    <row r="16" spans="1:26" ht="135" hidden="1">
      <c r="A16" s="1025">
        <v>5</v>
      </c>
      <c r="B16" s="883" t="s">
        <v>320</v>
      </c>
      <c r="C16" s="875" t="s">
        <v>55</v>
      </c>
      <c r="D16" s="875" t="s">
        <v>55</v>
      </c>
      <c r="E16" s="879">
        <f t="shared" si="1"/>
        <v>1.3</v>
      </c>
      <c r="F16" s="910">
        <v>1.3</v>
      </c>
      <c r="G16" s="907">
        <f t="shared" si="0"/>
        <v>0</v>
      </c>
      <c r="H16" s="907"/>
      <c r="I16" s="907"/>
      <c r="J16" s="907"/>
      <c r="K16" s="871"/>
      <c r="L16" s="871"/>
      <c r="M16" s="871"/>
      <c r="N16" s="871"/>
      <c r="O16" s="871"/>
      <c r="P16" s="871"/>
      <c r="Q16" s="871"/>
      <c r="R16" s="871"/>
      <c r="S16" s="871"/>
      <c r="T16" s="871"/>
      <c r="U16" s="871"/>
      <c r="V16" s="871"/>
      <c r="W16" s="883" t="s">
        <v>168</v>
      </c>
      <c r="X16" s="949"/>
      <c r="Y16" s="1013" t="s">
        <v>939</v>
      </c>
      <c r="Z16" s="1013"/>
    </row>
    <row r="17" spans="1:26" ht="150" hidden="1">
      <c r="A17" s="1025">
        <v>6</v>
      </c>
      <c r="B17" s="883" t="s">
        <v>321</v>
      </c>
      <c r="C17" s="875" t="s">
        <v>45</v>
      </c>
      <c r="D17" s="875" t="s">
        <v>196</v>
      </c>
      <c r="E17" s="879">
        <f t="shared" si="1"/>
        <v>1</v>
      </c>
      <c r="F17" s="910">
        <f>1-G17</f>
        <v>0.82000000000000006</v>
      </c>
      <c r="G17" s="907">
        <f t="shared" si="0"/>
        <v>0.18</v>
      </c>
      <c r="H17" s="907"/>
      <c r="I17" s="907"/>
      <c r="J17" s="907">
        <v>0.02</v>
      </c>
      <c r="K17" s="871">
        <v>0.05</v>
      </c>
      <c r="L17" s="871"/>
      <c r="M17" s="871"/>
      <c r="N17" s="871"/>
      <c r="O17" s="871"/>
      <c r="P17" s="871"/>
      <c r="Q17" s="871"/>
      <c r="R17" s="871">
        <v>0.03</v>
      </c>
      <c r="S17" s="871">
        <v>0.08</v>
      </c>
      <c r="T17" s="871"/>
      <c r="U17" s="871"/>
      <c r="V17" s="871"/>
      <c r="W17" s="883" t="s">
        <v>168</v>
      </c>
      <c r="X17" s="949"/>
      <c r="Y17" s="1013" t="s">
        <v>940</v>
      </c>
      <c r="Z17" s="1013"/>
    </row>
    <row r="18" spans="1:26" s="1043" customFormat="1" ht="14.25" hidden="1">
      <c r="A18" s="1035" t="s">
        <v>140</v>
      </c>
      <c r="B18" s="896" t="s">
        <v>1006</v>
      </c>
      <c r="C18" s="874"/>
      <c r="D18" s="874"/>
      <c r="E18" s="1039"/>
      <c r="F18" s="1040"/>
      <c r="G18" s="878"/>
      <c r="H18" s="878"/>
      <c r="I18" s="878"/>
      <c r="J18" s="878"/>
      <c r="K18" s="1041"/>
      <c r="L18" s="1041"/>
      <c r="M18" s="1041"/>
      <c r="N18" s="1041"/>
      <c r="O18" s="1041"/>
      <c r="P18" s="1041"/>
      <c r="Q18" s="1041"/>
      <c r="R18" s="1041"/>
      <c r="S18" s="1041"/>
      <c r="T18" s="1041"/>
      <c r="U18" s="1041"/>
      <c r="V18" s="1041"/>
      <c r="W18" s="896"/>
      <c r="X18" s="1042"/>
      <c r="Y18" s="1036"/>
      <c r="Z18" s="1035"/>
    </row>
    <row r="19" spans="1:26" ht="105" hidden="1">
      <c r="A19" s="1025">
        <v>7</v>
      </c>
      <c r="B19" s="980" t="s">
        <v>809</v>
      </c>
      <c r="C19" s="875" t="s">
        <v>45</v>
      </c>
      <c r="D19" s="875" t="s">
        <v>196</v>
      </c>
      <c r="E19" s="879">
        <f t="shared" si="1"/>
        <v>0.2</v>
      </c>
      <c r="F19" s="910">
        <v>0.2</v>
      </c>
      <c r="G19" s="907">
        <f t="shared" ref="G19:G50" si="2">H19+SUM(J19:V19)</f>
        <v>0</v>
      </c>
      <c r="H19" s="907"/>
      <c r="I19" s="907"/>
      <c r="J19" s="907"/>
      <c r="K19" s="871"/>
      <c r="L19" s="871"/>
      <c r="M19" s="871"/>
      <c r="N19" s="871"/>
      <c r="O19" s="871"/>
      <c r="P19" s="871"/>
      <c r="Q19" s="871"/>
      <c r="R19" s="871"/>
      <c r="S19" s="871"/>
      <c r="T19" s="871"/>
      <c r="U19" s="871"/>
      <c r="V19" s="871"/>
      <c r="W19" s="883" t="s">
        <v>172</v>
      </c>
      <c r="X19" s="949"/>
      <c r="Y19" s="953" t="s">
        <v>840</v>
      </c>
      <c r="Z19" s="1013"/>
    </row>
    <row r="20" spans="1:26" ht="105" hidden="1">
      <c r="A20" s="1025">
        <v>8</v>
      </c>
      <c r="B20" s="980" t="s">
        <v>819</v>
      </c>
      <c r="C20" s="875" t="s">
        <v>45</v>
      </c>
      <c r="D20" s="875" t="s">
        <v>196</v>
      </c>
      <c r="E20" s="879">
        <f t="shared" si="1"/>
        <v>0.2</v>
      </c>
      <c r="F20" s="910">
        <v>0.2</v>
      </c>
      <c r="G20" s="907">
        <f t="shared" si="2"/>
        <v>0</v>
      </c>
      <c r="H20" s="907"/>
      <c r="I20" s="907"/>
      <c r="J20" s="907"/>
      <c r="K20" s="871"/>
      <c r="L20" s="871"/>
      <c r="M20" s="871"/>
      <c r="N20" s="871"/>
      <c r="O20" s="871"/>
      <c r="P20" s="871"/>
      <c r="Q20" s="871"/>
      <c r="R20" s="871"/>
      <c r="S20" s="871"/>
      <c r="T20" s="871"/>
      <c r="U20" s="871"/>
      <c r="V20" s="871"/>
      <c r="W20" s="883" t="s">
        <v>172</v>
      </c>
      <c r="X20" s="949"/>
      <c r="Y20" s="953" t="s">
        <v>840</v>
      </c>
      <c r="Z20" s="1013"/>
    </row>
    <row r="21" spans="1:26" ht="135" hidden="1">
      <c r="A21" s="1025">
        <v>9</v>
      </c>
      <c r="B21" s="1015" t="s">
        <v>389</v>
      </c>
      <c r="C21" s="875" t="s">
        <v>45</v>
      </c>
      <c r="D21" s="875" t="s">
        <v>196</v>
      </c>
      <c r="E21" s="879">
        <f t="shared" si="1"/>
        <v>0.7</v>
      </c>
      <c r="F21" s="910">
        <v>0.7</v>
      </c>
      <c r="G21" s="907">
        <f t="shared" si="2"/>
        <v>0</v>
      </c>
      <c r="H21" s="907"/>
      <c r="I21" s="907"/>
      <c r="J21" s="907"/>
      <c r="K21" s="871"/>
      <c r="L21" s="871"/>
      <c r="M21" s="871"/>
      <c r="N21" s="871"/>
      <c r="O21" s="871"/>
      <c r="P21" s="871"/>
      <c r="Q21" s="871"/>
      <c r="R21" s="871"/>
      <c r="S21" s="871"/>
      <c r="T21" s="871"/>
      <c r="U21" s="871"/>
      <c r="V21" s="871"/>
      <c r="W21" s="883" t="s">
        <v>172</v>
      </c>
      <c r="X21" s="949"/>
      <c r="Y21" s="947" t="s">
        <v>838</v>
      </c>
      <c r="Z21" s="1013" t="s">
        <v>864</v>
      </c>
    </row>
    <row r="22" spans="1:26" ht="135" hidden="1">
      <c r="A22" s="1025">
        <v>10</v>
      </c>
      <c r="B22" s="980" t="s">
        <v>454</v>
      </c>
      <c r="C22" s="875" t="s">
        <v>45</v>
      </c>
      <c r="D22" s="875" t="s">
        <v>196</v>
      </c>
      <c r="E22" s="879">
        <f t="shared" si="1"/>
        <v>0.5</v>
      </c>
      <c r="F22" s="910">
        <v>0.5</v>
      </c>
      <c r="G22" s="907">
        <f t="shared" si="2"/>
        <v>0</v>
      </c>
      <c r="H22" s="907"/>
      <c r="I22" s="907"/>
      <c r="J22" s="907"/>
      <c r="K22" s="871"/>
      <c r="L22" s="871"/>
      <c r="M22" s="871"/>
      <c r="N22" s="871"/>
      <c r="O22" s="871"/>
      <c r="P22" s="871"/>
      <c r="Q22" s="871"/>
      <c r="R22" s="871"/>
      <c r="S22" s="871"/>
      <c r="T22" s="871"/>
      <c r="U22" s="871"/>
      <c r="V22" s="871"/>
      <c r="W22" s="883" t="s">
        <v>171</v>
      </c>
      <c r="X22" s="949"/>
      <c r="Y22" s="947" t="s">
        <v>838</v>
      </c>
      <c r="Z22" s="1013" t="s">
        <v>870</v>
      </c>
    </row>
    <row r="23" spans="1:26" ht="105" hidden="1">
      <c r="A23" s="1025">
        <v>11</v>
      </c>
      <c r="B23" s="980" t="s">
        <v>372</v>
      </c>
      <c r="C23" s="875" t="s">
        <v>45</v>
      </c>
      <c r="D23" s="875" t="s">
        <v>196</v>
      </c>
      <c r="E23" s="879">
        <f t="shared" si="1"/>
        <v>0.65</v>
      </c>
      <c r="F23" s="910">
        <v>0.65</v>
      </c>
      <c r="G23" s="907">
        <f t="shared" si="2"/>
        <v>0</v>
      </c>
      <c r="H23" s="907"/>
      <c r="I23" s="907"/>
      <c r="J23" s="907"/>
      <c r="K23" s="871"/>
      <c r="L23" s="871"/>
      <c r="M23" s="871"/>
      <c r="N23" s="871"/>
      <c r="O23" s="871"/>
      <c r="P23" s="871"/>
      <c r="Q23" s="871"/>
      <c r="R23" s="871"/>
      <c r="S23" s="871"/>
      <c r="T23" s="871"/>
      <c r="U23" s="871"/>
      <c r="V23" s="871"/>
      <c r="W23" s="883" t="s">
        <v>171</v>
      </c>
      <c r="X23" s="949"/>
      <c r="Y23" s="953" t="s">
        <v>840</v>
      </c>
      <c r="Z23" s="1013"/>
    </row>
    <row r="24" spans="1:26" ht="105" hidden="1">
      <c r="A24" s="1025">
        <v>12</v>
      </c>
      <c r="B24" s="883" t="s">
        <v>403</v>
      </c>
      <c r="C24" s="875" t="s">
        <v>45</v>
      </c>
      <c r="D24" s="875" t="s">
        <v>196</v>
      </c>
      <c r="E24" s="879">
        <f t="shared" si="1"/>
        <v>0.5</v>
      </c>
      <c r="F24" s="910">
        <v>0.5</v>
      </c>
      <c r="G24" s="907">
        <f t="shared" si="2"/>
        <v>0</v>
      </c>
      <c r="H24" s="907"/>
      <c r="I24" s="907"/>
      <c r="J24" s="907"/>
      <c r="K24" s="871"/>
      <c r="L24" s="871"/>
      <c r="M24" s="871"/>
      <c r="N24" s="871"/>
      <c r="O24" s="871"/>
      <c r="P24" s="871"/>
      <c r="Q24" s="871"/>
      <c r="R24" s="871"/>
      <c r="S24" s="871"/>
      <c r="T24" s="871"/>
      <c r="U24" s="871"/>
      <c r="V24" s="871"/>
      <c r="W24" s="883" t="s">
        <v>171</v>
      </c>
      <c r="X24" s="949"/>
      <c r="Y24" s="953" t="s">
        <v>840</v>
      </c>
      <c r="Z24" s="1013" t="s">
        <v>892</v>
      </c>
    </row>
    <row r="25" spans="1:26" ht="135" hidden="1">
      <c r="A25" s="1025">
        <v>13</v>
      </c>
      <c r="B25" s="942" t="s">
        <v>341</v>
      </c>
      <c r="C25" s="875" t="s">
        <v>68</v>
      </c>
      <c r="D25" s="875" t="s">
        <v>68</v>
      </c>
      <c r="E25" s="879">
        <f t="shared" si="1"/>
        <v>0.03</v>
      </c>
      <c r="F25" s="906">
        <v>0.03</v>
      </c>
      <c r="G25" s="907">
        <f t="shared" si="2"/>
        <v>0</v>
      </c>
      <c r="H25" s="907"/>
      <c r="I25" s="907"/>
      <c r="J25" s="908"/>
      <c r="K25" s="908"/>
      <c r="L25" s="908"/>
      <c r="M25" s="908"/>
      <c r="N25" s="908"/>
      <c r="O25" s="908"/>
      <c r="P25" s="908"/>
      <c r="Q25" s="908"/>
      <c r="R25" s="908"/>
      <c r="S25" s="908"/>
      <c r="T25" s="908"/>
      <c r="U25" s="908"/>
      <c r="V25" s="908"/>
      <c r="W25" s="884" t="s">
        <v>189</v>
      </c>
      <c r="X25" s="949"/>
      <c r="Y25" s="945" t="s">
        <v>835</v>
      </c>
      <c r="Z25" s="1013" t="s">
        <v>853</v>
      </c>
    </row>
    <row r="26" spans="1:26" ht="135" hidden="1">
      <c r="A26" s="1025">
        <v>14</v>
      </c>
      <c r="B26" s="883" t="s">
        <v>391</v>
      </c>
      <c r="C26" s="875" t="s">
        <v>45</v>
      </c>
      <c r="D26" s="875" t="s">
        <v>196</v>
      </c>
      <c r="E26" s="879">
        <f t="shared" si="1"/>
        <v>0.7</v>
      </c>
      <c r="F26" s="910">
        <v>0.7</v>
      </c>
      <c r="G26" s="907">
        <f t="shared" si="2"/>
        <v>0</v>
      </c>
      <c r="H26" s="907"/>
      <c r="I26" s="907"/>
      <c r="J26" s="907"/>
      <c r="K26" s="871"/>
      <c r="L26" s="871"/>
      <c r="M26" s="871"/>
      <c r="N26" s="871"/>
      <c r="O26" s="871"/>
      <c r="P26" s="871"/>
      <c r="Q26" s="871"/>
      <c r="R26" s="871"/>
      <c r="S26" s="871"/>
      <c r="T26" s="871"/>
      <c r="U26" s="871"/>
      <c r="V26" s="871"/>
      <c r="W26" s="883" t="s">
        <v>189</v>
      </c>
      <c r="X26" s="949"/>
      <c r="Y26" s="947" t="s">
        <v>838</v>
      </c>
      <c r="Z26" s="1013" t="s">
        <v>873</v>
      </c>
    </row>
    <row r="27" spans="1:26" ht="135" hidden="1">
      <c r="A27" s="1025">
        <v>15</v>
      </c>
      <c r="B27" s="883" t="s">
        <v>392</v>
      </c>
      <c r="C27" s="875" t="s">
        <v>45</v>
      </c>
      <c r="D27" s="875" t="s">
        <v>196</v>
      </c>
      <c r="E27" s="879">
        <f t="shared" si="1"/>
        <v>1.2</v>
      </c>
      <c r="F27" s="910">
        <v>1.2</v>
      </c>
      <c r="G27" s="907">
        <f t="shared" si="2"/>
        <v>0</v>
      </c>
      <c r="H27" s="907"/>
      <c r="I27" s="907"/>
      <c r="J27" s="907"/>
      <c r="K27" s="871"/>
      <c r="L27" s="871"/>
      <c r="M27" s="871"/>
      <c r="N27" s="871"/>
      <c r="O27" s="871"/>
      <c r="P27" s="871"/>
      <c r="Q27" s="871"/>
      <c r="R27" s="871"/>
      <c r="S27" s="871"/>
      <c r="T27" s="871"/>
      <c r="U27" s="871"/>
      <c r="V27" s="871"/>
      <c r="W27" s="883" t="s">
        <v>189</v>
      </c>
      <c r="X27" s="949"/>
      <c r="Y27" s="947" t="s">
        <v>838</v>
      </c>
      <c r="Z27" s="1013" t="s">
        <v>874</v>
      </c>
    </row>
    <row r="28" spans="1:26" ht="105" hidden="1">
      <c r="A28" s="1025">
        <v>16</v>
      </c>
      <c r="B28" s="883" t="s">
        <v>404</v>
      </c>
      <c r="C28" s="875" t="s">
        <v>45</v>
      </c>
      <c r="D28" s="875" t="s">
        <v>196</v>
      </c>
      <c r="E28" s="879">
        <f t="shared" si="1"/>
        <v>0.17</v>
      </c>
      <c r="F28" s="910">
        <v>0.17</v>
      </c>
      <c r="G28" s="907">
        <f t="shared" si="2"/>
        <v>0</v>
      </c>
      <c r="H28" s="907"/>
      <c r="I28" s="907"/>
      <c r="J28" s="907"/>
      <c r="K28" s="871"/>
      <c r="L28" s="871"/>
      <c r="M28" s="871"/>
      <c r="N28" s="871"/>
      <c r="O28" s="871"/>
      <c r="P28" s="871"/>
      <c r="Q28" s="871"/>
      <c r="R28" s="871"/>
      <c r="S28" s="871"/>
      <c r="T28" s="871"/>
      <c r="U28" s="871"/>
      <c r="V28" s="871"/>
      <c r="W28" s="883" t="s">
        <v>189</v>
      </c>
      <c r="X28" s="949"/>
      <c r="Y28" s="953" t="s">
        <v>840</v>
      </c>
      <c r="Z28" s="1013" t="s">
        <v>881</v>
      </c>
    </row>
    <row r="29" spans="1:26" ht="105" hidden="1">
      <c r="A29" s="1025">
        <v>17</v>
      </c>
      <c r="B29" s="883" t="s">
        <v>405</v>
      </c>
      <c r="C29" s="875" t="s">
        <v>45</v>
      </c>
      <c r="D29" s="875" t="s">
        <v>196</v>
      </c>
      <c r="E29" s="879">
        <f t="shared" si="1"/>
        <v>0.05</v>
      </c>
      <c r="F29" s="910">
        <v>0.05</v>
      </c>
      <c r="G29" s="907">
        <f t="shared" si="2"/>
        <v>0</v>
      </c>
      <c r="H29" s="907"/>
      <c r="I29" s="907"/>
      <c r="J29" s="907"/>
      <c r="K29" s="871"/>
      <c r="L29" s="871"/>
      <c r="M29" s="871"/>
      <c r="N29" s="871"/>
      <c r="O29" s="871"/>
      <c r="P29" s="871"/>
      <c r="Q29" s="871"/>
      <c r="R29" s="871"/>
      <c r="S29" s="871"/>
      <c r="T29" s="871"/>
      <c r="U29" s="871"/>
      <c r="V29" s="871"/>
      <c r="W29" s="883" t="s">
        <v>189</v>
      </c>
      <c r="X29" s="949"/>
      <c r="Y29" s="953" t="s">
        <v>840</v>
      </c>
      <c r="Z29" s="1013" t="s">
        <v>882</v>
      </c>
    </row>
    <row r="30" spans="1:26" ht="105" hidden="1">
      <c r="A30" s="1025">
        <v>18</v>
      </c>
      <c r="B30" s="883" t="s">
        <v>406</v>
      </c>
      <c r="C30" s="875" t="s">
        <v>45</v>
      </c>
      <c r="D30" s="875" t="s">
        <v>196</v>
      </c>
      <c r="E30" s="879">
        <f t="shared" si="1"/>
        <v>0.05</v>
      </c>
      <c r="F30" s="910">
        <v>0.05</v>
      </c>
      <c r="G30" s="907">
        <f t="shared" si="2"/>
        <v>0</v>
      </c>
      <c r="H30" s="907"/>
      <c r="I30" s="907"/>
      <c r="J30" s="907"/>
      <c r="K30" s="871"/>
      <c r="L30" s="871"/>
      <c r="M30" s="871"/>
      <c r="N30" s="871"/>
      <c r="O30" s="871"/>
      <c r="P30" s="871"/>
      <c r="Q30" s="871"/>
      <c r="R30" s="871"/>
      <c r="S30" s="871"/>
      <c r="T30" s="871"/>
      <c r="U30" s="871"/>
      <c r="V30" s="871"/>
      <c r="W30" s="883" t="s">
        <v>189</v>
      </c>
      <c r="X30" s="949"/>
      <c r="Y30" s="953" t="s">
        <v>840</v>
      </c>
      <c r="Z30" s="1013" t="s">
        <v>883</v>
      </c>
    </row>
    <row r="31" spans="1:26" ht="105" hidden="1">
      <c r="A31" s="1025">
        <v>19</v>
      </c>
      <c r="B31" s="883" t="s">
        <v>407</v>
      </c>
      <c r="C31" s="875" t="s">
        <v>45</v>
      </c>
      <c r="D31" s="875" t="s">
        <v>196</v>
      </c>
      <c r="E31" s="879">
        <f t="shared" si="1"/>
        <v>0.05</v>
      </c>
      <c r="F31" s="910">
        <v>0.05</v>
      </c>
      <c r="G31" s="907">
        <f t="shared" si="2"/>
        <v>0</v>
      </c>
      <c r="H31" s="907"/>
      <c r="I31" s="907"/>
      <c r="J31" s="907"/>
      <c r="K31" s="871"/>
      <c r="L31" s="871"/>
      <c r="M31" s="871"/>
      <c r="N31" s="871"/>
      <c r="O31" s="871"/>
      <c r="P31" s="871"/>
      <c r="Q31" s="871"/>
      <c r="R31" s="871"/>
      <c r="S31" s="871"/>
      <c r="T31" s="871"/>
      <c r="U31" s="871"/>
      <c r="V31" s="871"/>
      <c r="W31" s="883" t="s">
        <v>189</v>
      </c>
      <c r="X31" s="949"/>
      <c r="Y31" s="953" t="s">
        <v>840</v>
      </c>
      <c r="Z31" s="1013" t="s">
        <v>884</v>
      </c>
    </row>
    <row r="32" spans="1:26" ht="105" hidden="1">
      <c r="A32" s="1025">
        <v>20</v>
      </c>
      <c r="B32" s="883" t="s">
        <v>408</v>
      </c>
      <c r="C32" s="875" t="s">
        <v>45</v>
      </c>
      <c r="D32" s="875" t="s">
        <v>196</v>
      </c>
      <c r="E32" s="879">
        <f t="shared" si="1"/>
        <v>0.09</v>
      </c>
      <c r="F32" s="910">
        <v>0.09</v>
      </c>
      <c r="G32" s="907">
        <f t="shared" si="2"/>
        <v>0</v>
      </c>
      <c r="H32" s="907"/>
      <c r="I32" s="907"/>
      <c r="J32" s="907"/>
      <c r="K32" s="871"/>
      <c r="L32" s="871"/>
      <c r="M32" s="871"/>
      <c r="N32" s="871"/>
      <c r="O32" s="871"/>
      <c r="P32" s="871"/>
      <c r="Q32" s="871"/>
      <c r="R32" s="871"/>
      <c r="S32" s="871"/>
      <c r="T32" s="871"/>
      <c r="U32" s="871"/>
      <c r="V32" s="871"/>
      <c r="W32" s="883" t="s">
        <v>189</v>
      </c>
      <c r="X32" s="949"/>
      <c r="Y32" s="953" t="s">
        <v>840</v>
      </c>
      <c r="Z32" s="1013" t="s">
        <v>885</v>
      </c>
    </row>
    <row r="33" spans="1:26" ht="105" hidden="1">
      <c r="A33" s="1025">
        <v>21</v>
      </c>
      <c r="B33" s="883" t="s">
        <v>409</v>
      </c>
      <c r="C33" s="875" t="s">
        <v>45</v>
      </c>
      <c r="D33" s="875" t="s">
        <v>196</v>
      </c>
      <c r="E33" s="879">
        <f t="shared" si="1"/>
        <v>0.09</v>
      </c>
      <c r="F33" s="910">
        <v>0.09</v>
      </c>
      <c r="G33" s="907">
        <f t="shared" si="2"/>
        <v>0</v>
      </c>
      <c r="H33" s="907"/>
      <c r="I33" s="907"/>
      <c r="J33" s="907"/>
      <c r="K33" s="871"/>
      <c r="L33" s="871"/>
      <c r="M33" s="871"/>
      <c r="N33" s="871"/>
      <c r="O33" s="871"/>
      <c r="P33" s="871"/>
      <c r="Q33" s="871"/>
      <c r="R33" s="871"/>
      <c r="S33" s="871"/>
      <c r="T33" s="871"/>
      <c r="U33" s="871"/>
      <c r="V33" s="871"/>
      <c r="W33" s="883" t="s">
        <v>189</v>
      </c>
      <c r="X33" s="949"/>
      <c r="Y33" s="953" t="s">
        <v>840</v>
      </c>
      <c r="Z33" s="1013" t="s">
        <v>886</v>
      </c>
    </row>
    <row r="34" spans="1:26" ht="105" hidden="1">
      <c r="A34" s="1025">
        <v>22</v>
      </c>
      <c r="B34" s="883" t="s">
        <v>412</v>
      </c>
      <c r="C34" s="875" t="s">
        <v>45</v>
      </c>
      <c r="D34" s="875" t="s">
        <v>196</v>
      </c>
      <c r="E34" s="879">
        <f t="shared" si="1"/>
        <v>0.02</v>
      </c>
      <c r="F34" s="910">
        <v>0.02</v>
      </c>
      <c r="G34" s="907">
        <f t="shared" si="2"/>
        <v>0</v>
      </c>
      <c r="H34" s="907"/>
      <c r="I34" s="907"/>
      <c r="J34" s="907"/>
      <c r="K34" s="871"/>
      <c r="L34" s="871"/>
      <c r="M34" s="871"/>
      <c r="N34" s="871"/>
      <c r="O34" s="871"/>
      <c r="P34" s="871"/>
      <c r="Q34" s="871"/>
      <c r="R34" s="871"/>
      <c r="S34" s="871"/>
      <c r="T34" s="871"/>
      <c r="U34" s="871"/>
      <c r="V34" s="871"/>
      <c r="W34" s="883" t="s">
        <v>189</v>
      </c>
      <c r="X34" s="949"/>
      <c r="Y34" s="953" t="s">
        <v>840</v>
      </c>
      <c r="Z34" s="1013" t="s">
        <v>887</v>
      </c>
    </row>
    <row r="35" spans="1:26" ht="105" hidden="1">
      <c r="A35" s="1025">
        <v>23</v>
      </c>
      <c r="B35" s="883" t="s">
        <v>411</v>
      </c>
      <c r="C35" s="875" t="s">
        <v>45</v>
      </c>
      <c r="D35" s="875" t="s">
        <v>196</v>
      </c>
      <c r="E35" s="879">
        <f t="shared" si="1"/>
        <v>0.01</v>
      </c>
      <c r="F35" s="910">
        <v>0.01</v>
      </c>
      <c r="G35" s="907">
        <f t="shared" si="2"/>
        <v>0</v>
      </c>
      <c r="H35" s="907"/>
      <c r="I35" s="907"/>
      <c r="J35" s="907"/>
      <c r="K35" s="871"/>
      <c r="L35" s="871"/>
      <c r="M35" s="871"/>
      <c r="N35" s="871"/>
      <c r="O35" s="871"/>
      <c r="P35" s="871"/>
      <c r="Q35" s="871"/>
      <c r="R35" s="871"/>
      <c r="S35" s="871"/>
      <c r="T35" s="871"/>
      <c r="U35" s="871"/>
      <c r="V35" s="871"/>
      <c r="W35" s="883" t="s">
        <v>189</v>
      </c>
      <c r="X35" s="949"/>
      <c r="Y35" s="953" t="s">
        <v>840</v>
      </c>
      <c r="Z35" s="1013" t="s">
        <v>889</v>
      </c>
    </row>
    <row r="36" spans="1:26" ht="75" hidden="1">
      <c r="A36" s="1025">
        <v>24</v>
      </c>
      <c r="B36" s="1014" t="s">
        <v>299</v>
      </c>
      <c r="C36" s="996" t="s">
        <v>41</v>
      </c>
      <c r="D36" s="996" t="s">
        <v>41</v>
      </c>
      <c r="E36" s="879">
        <f t="shared" si="1"/>
        <v>0.5</v>
      </c>
      <c r="F36" s="910"/>
      <c r="G36" s="907">
        <f t="shared" si="2"/>
        <v>0.5</v>
      </c>
      <c r="H36" s="907"/>
      <c r="I36" s="907"/>
      <c r="J36" s="871"/>
      <c r="K36" s="871">
        <v>0.5</v>
      </c>
      <c r="L36" s="871"/>
      <c r="M36" s="871"/>
      <c r="N36" s="871"/>
      <c r="O36" s="871"/>
      <c r="P36" s="871"/>
      <c r="Q36" s="871"/>
      <c r="R36" s="871"/>
      <c r="S36" s="871"/>
      <c r="T36" s="871"/>
      <c r="U36" s="871"/>
      <c r="V36" s="871"/>
      <c r="W36" s="883" t="s">
        <v>189</v>
      </c>
      <c r="X36" s="949"/>
      <c r="Y36" s="1013" t="s">
        <v>974</v>
      </c>
      <c r="Z36" s="1013" t="s">
        <v>897</v>
      </c>
    </row>
    <row r="37" spans="1:26" ht="135" hidden="1">
      <c r="A37" s="1025">
        <v>25</v>
      </c>
      <c r="B37" s="883" t="s">
        <v>300</v>
      </c>
      <c r="C37" s="875" t="s">
        <v>45</v>
      </c>
      <c r="D37" s="875" t="s">
        <v>196</v>
      </c>
      <c r="E37" s="879">
        <f t="shared" si="1"/>
        <v>0.17</v>
      </c>
      <c r="F37" s="910">
        <v>0.17</v>
      </c>
      <c r="G37" s="907">
        <f t="shared" si="2"/>
        <v>0</v>
      </c>
      <c r="H37" s="907"/>
      <c r="I37" s="907"/>
      <c r="J37" s="907"/>
      <c r="K37" s="871"/>
      <c r="L37" s="871"/>
      <c r="M37" s="871"/>
      <c r="N37" s="871"/>
      <c r="O37" s="871"/>
      <c r="P37" s="871"/>
      <c r="Q37" s="871"/>
      <c r="R37" s="871"/>
      <c r="S37" s="871"/>
      <c r="T37" s="871"/>
      <c r="U37" s="871"/>
      <c r="V37" s="871"/>
      <c r="W37" s="883" t="s">
        <v>173</v>
      </c>
      <c r="X37" s="949"/>
      <c r="Y37" s="947" t="s">
        <v>838</v>
      </c>
      <c r="Z37" s="1013" t="s">
        <v>875</v>
      </c>
    </row>
    <row r="38" spans="1:26" ht="135" hidden="1">
      <c r="A38" s="1025">
        <v>26</v>
      </c>
      <c r="B38" s="883" t="s">
        <v>394</v>
      </c>
      <c r="C38" s="875" t="s">
        <v>45</v>
      </c>
      <c r="D38" s="875" t="s">
        <v>196</v>
      </c>
      <c r="E38" s="879">
        <f t="shared" si="1"/>
        <v>1</v>
      </c>
      <c r="F38" s="910">
        <v>1</v>
      </c>
      <c r="G38" s="907">
        <f t="shared" si="2"/>
        <v>0</v>
      </c>
      <c r="H38" s="907"/>
      <c r="I38" s="907"/>
      <c r="J38" s="907"/>
      <c r="K38" s="871"/>
      <c r="L38" s="871"/>
      <c r="M38" s="871"/>
      <c r="N38" s="871"/>
      <c r="O38" s="871"/>
      <c r="P38" s="871"/>
      <c r="Q38" s="871"/>
      <c r="R38" s="871"/>
      <c r="S38" s="871"/>
      <c r="T38" s="871"/>
      <c r="U38" s="871"/>
      <c r="V38" s="871"/>
      <c r="W38" s="883" t="s">
        <v>173</v>
      </c>
      <c r="X38" s="949"/>
      <c r="Y38" s="947" t="s">
        <v>838</v>
      </c>
      <c r="Z38" s="1013"/>
    </row>
    <row r="39" spans="1:26" ht="105" hidden="1">
      <c r="A39" s="1025">
        <v>27</v>
      </c>
      <c r="B39" s="993" t="s">
        <v>813</v>
      </c>
      <c r="C39" s="875" t="s">
        <v>45</v>
      </c>
      <c r="D39" s="875" t="s">
        <v>196</v>
      </c>
      <c r="E39" s="879">
        <f t="shared" si="1"/>
        <v>0.2</v>
      </c>
      <c r="F39" s="910">
        <v>0.2</v>
      </c>
      <c r="G39" s="907">
        <f t="shared" si="2"/>
        <v>0</v>
      </c>
      <c r="H39" s="907"/>
      <c r="I39" s="907"/>
      <c r="J39" s="907"/>
      <c r="K39" s="871"/>
      <c r="L39" s="871"/>
      <c r="M39" s="871"/>
      <c r="N39" s="871"/>
      <c r="O39" s="871"/>
      <c r="P39" s="871"/>
      <c r="Q39" s="871"/>
      <c r="R39" s="871"/>
      <c r="S39" s="871"/>
      <c r="T39" s="871"/>
      <c r="U39" s="871"/>
      <c r="V39" s="871"/>
      <c r="W39" s="883" t="s">
        <v>173</v>
      </c>
      <c r="X39" s="949"/>
      <c r="Y39" s="953" t="s">
        <v>840</v>
      </c>
      <c r="Z39" s="1013"/>
    </row>
    <row r="40" spans="1:26" ht="105" hidden="1">
      <c r="A40" s="1025">
        <v>28</v>
      </c>
      <c r="B40" s="980" t="s">
        <v>814</v>
      </c>
      <c r="C40" s="875" t="s">
        <v>45</v>
      </c>
      <c r="D40" s="875" t="s">
        <v>196</v>
      </c>
      <c r="E40" s="879">
        <f t="shared" si="1"/>
        <v>0.2</v>
      </c>
      <c r="F40" s="910">
        <v>0.2</v>
      </c>
      <c r="G40" s="907">
        <f t="shared" si="2"/>
        <v>0</v>
      </c>
      <c r="H40" s="907"/>
      <c r="I40" s="907"/>
      <c r="J40" s="907"/>
      <c r="K40" s="871"/>
      <c r="L40" s="871"/>
      <c r="M40" s="871"/>
      <c r="N40" s="871"/>
      <c r="O40" s="871"/>
      <c r="P40" s="871"/>
      <c r="Q40" s="871"/>
      <c r="R40" s="871"/>
      <c r="S40" s="871"/>
      <c r="T40" s="871"/>
      <c r="U40" s="871"/>
      <c r="V40" s="871"/>
      <c r="W40" s="883" t="s">
        <v>173</v>
      </c>
      <c r="X40" s="949"/>
      <c r="Y40" s="953" t="s">
        <v>840</v>
      </c>
      <c r="Z40" s="1013"/>
    </row>
    <row r="41" spans="1:26" ht="105" hidden="1">
      <c r="A41" s="1025">
        <v>29</v>
      </c>
      <c r="B41" s="980" t="s">
        <v>373</v>
      </c>
      <c r="C41" s="875" t="s">
        <v>45</v>
      </c>
      <c r="D41" s="875" t="s">
        <v>196</v>
      </c>
      <c r="E41" s="879">
        <f t="shared" si="1"/>
        <v>0.35</v>
      </c>
      <c r="F41" s="910">
        <v>0.35</v>
      </c>
      <c r="G41" s="907">
        <f t="shared" si="2"/>
        <v>0</v>
      </c>
      <c r="H41" s="907"/>
      <c r="I41" s="907"/>
      <c r="J41" s="907"/>
      <c r="K41" s="871"/>
      <c r="L41" s="871"/>
      <c r="M41" s="871"/>
      <c r="N41" s="871"/>
      <c r="O41" s="871"/>
      <c r="P41" s="871"/>
      <c r="Q41" s="871"/>
      <c r="R41" s="871"/>
      <c r="S41" s="871"/>
      <c r="T41" s="871"/>
      <c r="U41" s="871"/>
      <c r="V41" s="871"/>
      <c r="W41" s="883" t="s">
        <v>173</v>
      </c>
      <c r="X41" s="949"/>
      <c r="Y41" s="953" t="s">
        <v>840</v>
      </c>
      <c r="Z41" s="1013"/>
    </row>
    <row r="42" spans="1:26" ht="105" hidden="1">
      <c r="A42" s="1025">
        <v>30</v>
      </c>
      <c r="B42" s="980" t="s">
        <v>374</v>
      </c>
      <c r="C42" s="875" t="s">
        <v>45</v>
      </c>
      <c r="D42" s="875" t="s">
        <v>196</v>
      </c>
      <c r="E42" s="879">
        <f t="shared" si="1"/>
        <v>0.16</v>
      </c>
      <c r="F42" s="910">
        <v>0.16</v>
      </c>
      <c r="G42" s="907">
        <f t="shared" si="2"/>
        <v>0</v>
      </c>
      <c r="H42" s="907"/>
      <c r="I42" s="907"/>
      <c r="J42" s="907"/>
      <c r="K42" s="871"/>
      <c r="L42" s="871"/>
      <c r="M42" s="871"/>
      <c r="N42" s="871"/>
      <c r="O42" s="871"/>
      <c r="P42" s="871"/>
      <c r="Q42" s="871"/>
      <c r="R42" s="871"/>
      <c r="S42" s="871"/>
      <c r="T42" s="871"/>
      <c r="U42" s="871"/>
      <c r="V42" s="871"/>
      <c r="W42" s="883" t="s">
        <v>173</v>
      </c>
      <c r="X42" s="949"/>
      <c r="Y42" s="953" t="s">
        <v>840</v>
      </c>
      <c r="Z42" s="1013"/>
    </row>
    <row r="43" spans="1:26" ht="135" hidden="1">
      <c r="A43" s="1025">
        <v>31</v>
      </c>
      <c r="B43" s="980" t="s">
        <v>451</v>
      </c>
      <c r="C43" s="875" t="s">
        <v>45</v>
      </c>
      <c r="D43" s="875" t="s">
        <v>196</v>
      </c>
      <c r="E43" s="879">
        <f t="shared" si="1"/>
        <v>0.5</v>
      </c>
      <c r="F43" s="910">
        <v>0.5</v>
      </c>
      <c r="G43" s="907">
        <f t="shared" si="2"/>
        <v>0</v>
      </c>
      <c r="H43" s="907"/>
      <c r="I43" s="907"/>
      <c r="J43" s="907"/>
      <c r="K43" s="871"/>
      <c r="L43" s="871"/>
      <c r="M43" s="871"/>
      <c r="N43" s="871"/>
      <c r="O43" s="871"/>
      <c r="P43" s="871"/>
      <c r="Q43" s="871"/>
      <c r="R43" s="871"/>
      <c r="S43" s="871"/>
      <c r="T43" s="871"/>
      <c r="U43" s="871"/>
      <c r="V43" s="871"/>
      <c r="W43" s="883" t="s">
        <v>174</v>
      </c>
      <c r="X43" s="949"/>
      <c r="Y43" s="947" t="s">
        <v>838</v>
      </c>
      <c r="Z43" s="1013" t="s">
        <v>866</v>
      </c>
    </row>
    <row r="44" spans="1:26" ht="135" hidden="1">
      <c r="A44" s="1025">
        <v>32</v>
      </c>
      <c r="B44" s="883" t="s">
        <v>452</v>
      </c>
      <c r="C44" s="875" t="s">
        <v>45</v>
      </c>
      <c r="D44" s="875" t="s">
        <v>196</v>
      </c>
      <c r="E44" s="879">
        <f t="shared" si="1"/>
        <v>0.5</v>
      </c>
      <c r="F44" s="910">
        <v>0.5</v>
      </c>
      <c r="G44" s="907">
        <f t="shared" si="2"/>
        <v>0</v>
      </c>
      <c r="H44" s="907"/>
      <c r="I44" s="907"/>
      <c r="J44" s="907"/>
      <c r="K44" s="871"/>
      <c r="L44" s="871"/>
      <c r="M44" s="871"/>
      <c r="N44" s="871"/>
      <c r="O44" s="871"/>
      <c r="P44" s="871"/>
      <c r="Q44" s="871"/>
      <c r="R44" s="871"/>
      <c r="S44" s="871"/>
      <c r="T44" s="871"/>
      <c r="U44" s="871"/>
      <c r="V44" s="871"/>
      <c r="W44" s="883" t="s">
        <v>174</v>
      </c>
      <c r="X44" s="949"/>
      <c r="Y44" s="947" t="s">
        <v>838</v>
      </c>
      <c r="Z44" s="1013" t="s">
        <v>866</v>
      </c>
    </row>
    <row r="45" spans="1:26" ht="135" hidden="1">
      <c r="A45" s="1025">
        <v>33</v>
      </c>
      <c r="B45" s="883" t="s">
        <v>397</v>
      </c>
      <c r="C45" s="875" t="s">
        <v>45</v>
      </c>
      <c r="D45" s="875" t="s">
        <v>196</v>
      </c>
      <c r="E45" s="879">
        <f t="shared" si="1"/>
        <v>1.4</v>
      </c>
      <c r="F45" s="910">
        <v>1.4</v>
      </c>
      <c r="G45" s="907">
        <f t="shared" si="2"/>
        <v>0</v>
      </c>
      <c r="H45" s="907"/>
      <c r="I45" s="907"/>
      <c r="J45" s="907"/>
      <c r="K45" s="871"/>
      <c r="L45" s="871"/>
      <c r="M45" s="871"/>
      <c r="N45" s="871"/>
      <c r="O45" s="871"/>
      <c r="P45" s="871"/>
      <c r="Q45" s="871"/>
      <c r="R45" s="871"/>
      <c r="S45" s="871"/>
      <c r="T45" s="871"/>
      <c r="U45" s="871"/>
      <c r="V45" s="871"/>
      <c r="W45" s="883" t="s">
        <v>174</v>
      </c>
      <c r="X45" s="949"/>
      <c r="Y45" s="947" t="s">
        <v>838</v>
      </c>
      <c r="Z45" s="1013" t="s">
        <v>867</v>
      </c>
    </row>
    <row r="46" spans="1:26" ht="135" hidden="1">
      <c r="A46" s="1025">
        <v>34</v>
      </c>
      <c r="B46" s="883" t="s">
        <v>318</v>
      </c>
      <c r="C46" s="875" t="s">
        <v>45</v>
      </c>
      <c r="D46" s="875" t="s">
        <v>192</v>
      </c>
      <c r="E46" s="879">
        <f t="shared" si="1"/>
        <v>0.05</v>
      </c>
      <c r="F46" s="906">
        <v>0.05</v>
      </c>
      <c r="G46" s="907">
        <f t="shared" si="2"/>
        <v>0</v>
      </c>
      <c r="H46" s="907"/>
      <c r="I46" s="907"/>
      <c r="J46" s="907"/>
      <c r="K46" s="871"/>
      <c r="L46" s="871"/>
      <c r="M46" s="871"/>
      <c r="N46" s="871"/>
      <c r="O46" s="871"/>
      <c r="P46" s="871"/>
      <c r="Q46" s="871"/>
      <c r="R46" s="871"/>
      <c r="S46" s="871"/>
      <c r="T46" s="871"/>
      <c r="U46" s="871"/>
      <c r="V46" s="871"/>
      <c r="W46" s="883" t="s">
        <v>191</v>
      </c>
      <c r="X46" s="949"/>
      <c r="Y46" s="1013" t="s">
        <v>833</v>
      </c>
      <c r="Z46" s="1013" t="s">
        <v>848</v>
      </c>
    </row>
    <row r="47" spans="1:26" ht="45" hidden="1" customHeight="1">
      <c r="A47" s="1025">
        <v>35</v>
      </c>
      <c r="B47" s="980" t="s">
        <v>368</v>
      </c>
      <c r="C47" s="875" t="s">
        <v>45</v>
      </c>
      <c r="D47" s="875" t="s">
        <v>196</v>
      </c>
      <c r="E47" s="879">
        <f t="shared" si="1"/>
        <v>0.24</v>
      </c>
      <c r="F47" s="910">
        <v>0.24</v>
      </c>
      <c r="G47" s="907">
        <f t="shared" si="2"/>
        <v>0</v>
      </c>
      <c r="H47" s="907"/>
      <c r="I47" s="907"/>
      <c r="J47" s="907"/>
      <c r="K47" s="871"/>
      <c r="L47" s="871"/>
      <c r="M47" s="871"/>
      <c r="N47" s="871"/>
      <c r="O47" s="871"/>
      <c r="P47" s="871"/>
      <c r="Q47" s="871"/>
      <c r="R47" s="871"/>
      <c r="S47" s="871"/>
      <c r="T47" s="871"/>
      <c r="U47" s="871"/>
      <c r="V47" s="871"/>
      <c r="W47" s="883" t="s">
        <v>191</v>
      </c>
      <c r="X47" s="949"/>
      <c r="Y47" s="953" t="s">
        <v>840</v>
      </c>
      <c r="Z47" s="1013"/>
    </row>
    <row r="48" spans="1:26" ht="105" hidden="1">
      <c r="A48" s="1025">
        <v>36</v>
      </c>
      <c r="B48" s="980" t="s">
        <v>369</v>
      </c>
      <c r="C48" s="875" t="s">
        <v>45</v>
      </c>
      <c r="D48" s="875" t="s">
        <v>196</v>
      </c>
      <c r="E48" s="879">
        <f t="shared" si="1"/>
        <v>0.35</v>
      </c>
      <c r="F48" s="910">
        <v>0.35</v>
      </c>
      <c r="G48" s="907">
        <f t="shared" si="2"/>
        <v>0</v>
      </c>
      <c r="H48" s="907"/>
      <c r="I48" s="907"/>
      <c r="J48" s="907"/>
      <c r="K48" s="871"/>
      <c r="L48" s="871"/>
      <c r="M48" s="871"/>
      <c r="N48" s="871"/>
      <c r="O48" s="871"/>
      <c r="P48" s="871"/>
      <c r="Q48" s="871"/>
      <c r="R48" s="871"/>
      <c r="S48" s="871"/>
      <c r="T48" s="871"/>
      <c r="U48" s="871"/>
      <c r="V48" s="871"/>
      <c r="W48" s="883" t="s">
        <v>191</v>
      </c>
      <c r="X48" s="949"/>
      <c r="Y48" s="953" t="s">
        <v>840</v>
      </c>
      <c r="Z48" s="1013"/>
    </row>
    <row r="49" spans="1:26" ht="105" hidden="1">
      <c r="A49" s="1025">
        <v>37</v>
      </c>
      <c r="B49" s="883" t="s">
        <v>401</v>
      </c>
      <c r="C49" s="875" t="s">
        <v>68</v>
      </c>
      <c r="D49" s="875" t="s">
        <v>68</v>
      </c>
      <c r="E49" s="879">
        <f t="shared" si="1"/>
        <v>0.02</v>
      </c>
      <c r="F49" s="910">
        <v>0.02</v>
      </c>
      <c r="G49" s="907">
        <f t="shared" si="2"/>
        <v>0</v>
      </c>
      <c r="H49" s="907"/>
      <c r="I49" s="907"/>
      <c r="J49" s="907"/>
      <c r="K49" s="871"/>
      <c r="L49" s="871"/>
      <c r="M49" s="871"/>
      <c r="N49" s="871"/>
      <c r="O49" s="871"/>
      <c r="P49" s="871"/>
      <c r="Q49" s="871"/>
      <c r="R49" s="871"/>
      <c r="S49" s="871"/>
      <c r="T49" s="871"/>
      <c r="U49" s="871"/>
      <c r="V49" s="871"/>
      <c r="W49" s="883" t="s">
        <v>191</v>
      </c>
      <c r="X49" s="949"/>
      <c r="Y49" s="953" t="s">
        <v>840</v>
      </c>
      <c r="Z49" s="1013" t="s">
        <v>890</v>
      </c>
    </row>
    <row r="50" spans="1:26" ht="105" hidden="1">
      <c r="A50" s="1025">
        <v>38</v>
      </c>
      <c r="B50" s="883" t="s">
        <v>402</v>
      </c>
      <c r="C50" s="875" t="s">
        <v>68</v>
      </c>
      <c r="D50" s="875" t="s">
        <v>68</v>
      </c>
      <c r="E50" s="879">
        <f t="shared" si="1"/>
        <v>0.02</v>
      </c>
      <c r="F50" s="910">
        <v>0.02</v>
      </c>
      <c r="G50" s="907">
        <f t="shared" si="2"/>
        <v>0</v>
      </c>
      <c r="H50" s="907"/>
      <c r="I50" s="907"/>
      <c r="J50" s="907"/>
      <c r="K50" s="871"/>
      <c r="L50" s="871"/>
      <c r="M50" s="871"/>
      <c r="N50" s="871"/>
      <c r="O50" s="871"/>
      <c r="P50" s="871"/>
      <c r="Q50" s="871"/>
      <c r="R50" s="871"/>
      <c r="S50" s="871"/>
      <c r="T50" s="871"/>
      <c r="U50" s="871"/>
      <c r="V50" s="871"/>
      <c r="W50" s="883" t="s">
        <v>191</v>
      </c>
      <c r="X50" s="949"/>
      <c r="Y50" s="953" t="s">
        <v>840</v>
      </c>
      <c r="Z50" s="1013" t="s">
        <v>891</v>
      </c>
    </row>
    <row r="51" spans="1:26" ht="105" hidden="1">
      <c r="A51" s="1025">
        <v>39</v>
      </c>
      <c r="B51" s="980" t="s">
        <v>383</v>
      </c>
      <c r="C51" s="875" t="s">
        <v>45</v>
      </c>
      <c r="D51" s="875" t="s">
        <v>196</v>
      </c>
      <c r="E51" s="879">
        <f t="shared" si="1"/>
        <v>0.16</v>
      </c>
      <c r="F51" s="910">
        <v>0.16</v>
      </c>
      <c r="G51" s="907">
        <f t="shared" ref="G51:G82" si="3">H51+SUM(J51:V51)</f>
        <v>0</v>
      </c>
      <c r="H51" s="907"/>
      <c r="I51" s="907"/>
      <c r="J51" s="907"/>
      <c r="K51" s="871"/>
      <c r="L51" s="871"/>
      <c r="M51" s="871"/>
      <c r="N51" s="871"/>
      <c r="O51" s="871"/>
      <c r="P51" s="871"/>
      <c r="Q51" s="871"/>
      <c r="R51" s="871"/>
      <c r="S51" s="871"/>
      <c r="T51" s="871"/>
      <c r="U51" s="871"/>
      <c r="V51" s="871"/>
      <c r="W51" s="883" t="s">
        <v>191</v>
      </c>
      <c r="X51" s="949"/>
      <c r="Y51" s="953" t="s">
        <v>840</v>
      </c>
      <c r="Z51" s="1013"/>
    </row>
    <row r="52" spans="1:26" ht="135" hidden="1">
      <c r="A52" s="1025">
        <v>40</v>
      </c>
      <c r="B52" s="980" t="s">
        <v>909</v>
      </c>
      <c r="C52" s="875" t="s">
        <v>45</v>
      </c>
      <c r="D52" s="875" t="s">
        <v>196</v>
      </c>
      <c r="E52" s="879">
        <f t="shared" si="1"/>
        <v>0.5</v>
      </c>
      <c r="F52" s="910">
        <v>0.5</v>
      </c>
      <c r="G52" s="907">
        <f t="shared" si="3"/>
        <v>0</v>
      </c>
      <c r="H52" s="907"/>
      <c r="I52" s="907"/>
      <c r="J52" s="907"/>
      <c r="K52" s="871"/>
      <c r="L52" s="871"/>
      <c r="M52" s="871"/>
      <c r="N52" s="871"/>
      <c r="O52" s="871"/>
      <c r="P52" s="871"/>
      <c r="Q52" s="871"/>
      <c r="R52" s="871"/>
      <c r="S52" s="871"/>
      <c r="T52" s="871"/>
      <c r="U52" s="871"/>
      <c r="V52" s="871"/>
      <c r="W52" s="883" t="s">
        <v>168</v>
      </c>
      <c r="X52" s="949"/>
      <c r="Y52" s="947" t="s">
        <v>838</v>
      </c>
      <c r="Z52" s="1013" t="s">
        <v>868</v>
      </c>
    </row>
    <row r="53" spans="1:26" ht="135" hidden="1">
      <c r="A53" s="1025">
        <v>41</v>
      </c>
      <c r="B53" s="980" t="s">
        <v>911</v>
      </c>
      <c r="C53" s="875" t="s">
        <v>45</v>
      </c>
      <c r="D53" s="875" t="s">
        <v>196</v>
      </c>
      <c r="E53" s="879">
        <f t="shared" si="1"/>
        <v>0.5</v>
      </c>
      <c r="F53" s="910">
        <v>0.5</v>
      </c>
      <c r="G53" s="907">
        <f t="shared" si="3"/>
        <v>0</v>
      </c>
      <c r="H53" s="907"/>
      <c r="I53" s="907"/>
      <c r="J53" s="907"/>
      <c r="K53" s="871"/>
      <c r="L53" s="871"/>
      <c r="M53" s="871"/>
      <c r="N53" s="871"/>
      <c r="O53" s="871"/>
      <c r="P53" s="871"/>
      <c r="Q53" s="871"/>
      <c r="R53" s="871"/>
      <c r="S53" s="871"/>
      <c r="T53" s="871"/>
      <c r="U53" s="871"/>
      <c r="V53" s="871"/>
      <c r="W53" s="883" t="s">
        <v>168</v>
      </c>
      <c r="X53" s="949"/>
      <c r="Y53" s="947" t="s">
        <v>838</v>
      </c>
      <c r="Z53" s="1013"/>
    </row>
    <row r="54" spans="1:26" ht="135" hidden="1">
      <c r="A54" s="1025">
        <v>42</v>
      </c>
      <c r="B54" s="980" t="s">
        <v>453</v>
      </c>
      <c r="C54" s="875" t="s">
        <v>45</v>
      </c>
      <c r="D54" s="875" t="s">
        <v>196</v>
      </c>
      <c r="E54" s="879">
        <f t="shared" si="1"/>
        <v>0.5</v>
      </c>
      <c r="F54" s="910">
        <v>0.5</v>
      </c>
      <c r="G54" s="907">
        <f t="shared" si="3"/>
        <v>0</v>
      </c>
      <c r="H54" s="907"/>
      <c r="I54" s="907"/>
      <c r="J54" s="907"/>
      <c r="K54" s="871"/>
      <c r="L54" s="871"/>
      <c r="M54" s="871"/>
      <c r="N54" s="871"/>
      <c r="O54" s="871"/>
      <c r="P54" s="871"/>
      <c r="Q54" s="871"/>
      <c r="R54" s="871"/>
      <c r="S54" s="871"/>
      <c r="T54" s="871"/>
      <c r="U54" s="871"/>
      <c r="V54" s="871"/>
      <c r="W54" s="883" t="s">
        <v>168</v>
      </c>
      <c r="X54" s="949"/>
      <c r="Y54" s="947" t="s">
        <v>838</v>
      </c>
      <c r="Z54" s="1013" t="s">
        <v>869</v>
      </c>
    </row>
    <row r="55" spans="1:26" ht="105" hidden="1">
      <c r="A55" s="1025">
        <v>43</v>
      </c>
      <c r="B55" s="980" t="s">
        <v>912</v>
      </c>
      <c r="C55" s="875" t="s">
        <v>45</v>
      </c>
      <c r="D55" s="875" t="s">
        <v>196</v>
      </c>
      <c r="E55" s="879">
        <f t="shared" si="1"/>
        <v>0.2</v>
      </c>
      <c r="F55" s="910">
        <v>0.2</v>
      </c>
      <c r="G55" s="907">
        <f t="shared" si="3"/>
        <v>0</v>
      </c>
      <c r="H55" s="907"/>
      <c r="I55" s="907"/>
      <c r="J55" s="907"/>
      <c r="K55" s="871"/>
      <c r="L55" s="871"/>
      <c r="M55" s="871"/>
      <c r="N55" s="871"/>
      <c r="O55" s="871"/>
      <c r="P55" s="871"/>
      <c r="Q55" s="871"/>
      <c r="R55" s="871"/>
      <c r="S55" s="871"/>
      <c r="T55" s="871"/>
      <c r="U55" s="871"/>
      <c r="V55" s="871"/>
      <c r="W55" s="883" t="s">
        <v>190</v>
      </c>
      <c r="X55" s="949"/>
      <c r="Y55" s="953" t="s">
        <v>840</v>
      </c>
      <c r="Z55" s="1013"/>
    </row>
    <row r="56" spans="1:26" ht="105" hidden="1">
      <c r="A56" s="1025">
        <v>44</v>
      </c>
      <c r="B56" s="980" t="s">
        <v>810</v>
      </c>
      <c r="C56" s="875" t="s">
        <v>45</v>
      </c>
      <c r="D56" s="875" t="s">
        <v>196</v>
      </c>
      <c r="E56" s="879">
        <f t="shared" si="1"/>
        <v>0.2</v>
      </c>
      <c r="F56" s="910">
        <v>0.2</v>
      </c>
      <c r="G56" s="907">
        <f t="shared" si="3"/>
        <v>0</v>
      </c>
      <c r="H56" s="907"/>
      <c r="I56" s="907"/>
      <c r="J56" s="907"/>
      <c r="K56" s="871"/>
      <c r="L56" s="871"/>
      <c r="M56" s="871"/>
      <c r="N56" s="871"/>
      <c r="O56" s="871"/>
      <c r="P56" s="871"/>
      <c r="Q56" s="871"/>
      <c r="R56" s="871"/>
      <c r="S56" s="871"/>
      <c r="T56" s="871"/>
      <c r="U56" s="871"/>
      <c r="V56" s="871"/>
      <c r="W56" s="883" t="s">
        <v>190</v>
      </c>
      <c r="X56" s="949"/>
      <c r="Y56" s="953" t="s">
        <v>840</v>
      </c>
      <c r="Z56" s="1013"/>
    </row>
    <row r="57" spans="1:26" ht="105" hidden="1">
      <c r="A57" s="1025">
        <v>45</v>
      </c>
      <c r="B57" s="980" t="s">
        <v>811</v>
      </c>
      <c r="C57" s="875" t="s">
        <v>45</v>
      </c>
      <c r="D57" s="875" t="s">
        <v>196</v>
      </c>
      <c r="E57" s="879">
        <f t="shared" si="1"/>
        <v>0.2</v>
      </c>
      <c r="F57" s="910">
        <v>0.2</v>
      </c>
      <c r="G57" s="907">
        <f t="shared" si="3"/>
        <v>0</v>
      </c>
      <c r="H57" s="907"/>
      <c r="I57" s="907"/>
      <c r="J57" s="907"/>
      <c r="K57" s="871"/>
      <c r="L57" s="871"/>
      <c r="M57" s="871"/>
      <c r="N57" s="871"/>
      <c r="O57" s="871"/>
      <c r="P57" s="871"/>
      <c r="Q57" s="871"/>
      <c r="R57" s="871"/>
      <c r="S57" s="871"/>
      <c r="T57" s="871"/>
      <c r="U57" s="871"/>
      <c r="V57" s="871"/>
      <c r="W57" s="883" t="s">
        <v>190</v>
      </c>
      <c r="X57" s="949"/>
      <c r="Y57" s="953" t="s">
        <v>840</v>
      </c>
      <c r="Z57" s="1013"/>
    </row>
    <row r="58" spans="1:26" ht="105" hidden="1">
      <c r="A58" s="1025">
        <v>46</v>
      </c>
      <c r="B58" s="980" t="s">
        <v>812</v>
      </c>
      <c r="C58" s="875" t="s">
        <v>45</v>
      </c>
      <c r="D58" s="875" t="s">
        <v>196</v>
      </c>
      <c r="E58" s="879">
        <f t="shared" si="1"/>
        <v>0.2</v>
      </c>
      <c r="F58" s="910">
        <v>0.2</v>
      </c>
      <c r="G58" s="907">
        <f t="shared" si="3"/>
        <v>0</v>
      </c>
      <c r="H58" s="907"/>
      <c r="I58" s="907"/>
      <c r="J58" s="907"/>
      <c r="K58" s="871"/>
      <c r="L58" s="871"/>
      <c r="M58" s="871"/>
      <c r="N58" s="871"/>
      <c r="O58" s="871"/>
      <c r="P58" s="871"/>
      <c r="Q58" s="871"/>
      <c r="R58" s="871"/>
      <c r="S58" s="871"/>
      <c r="T58" s="871"/>
      <c r="U58" s="871"/>
      <c r="V58" s="871"/>
      <c r="W58" s="883" t="s">
        <v>190</v>
      </c>
      <c r="X58" s="949"/>
      <c r="Y58" s="953" t="s">
        <v>840</v>
      </c>
      <c r="Z58" s="1013"/>
    </row>
    <row r="59" spans="1:26" ht="135" hidden="1">
      <c r="A59" s="1025">
        <v>47</v>
      </c>
      <c r="B59" s="980" t="s">
        <v>436</v>
      </c>
      <c r="C59" s="875" t="s">
        <v>45</v>
      </c>
      <c r="D59" s="875" t="s">
        <v>196</v>
      </c>
      <c r="E59" s="879">
        <f t="shared" si="1"/>
        <v>0.25</v>
      </c>
      <c r="F59" s="910">
        <v>0.25</v>
      </c>
      <c r="G59" s="907">
        <f t="shared" si="3"/>
        <v>0</v>
      </c>
      <c r="H59" s="907"/>
      <c r="I59" s="907"/>
      <c r="J59" s="907"/>
      <c r="K59" s="871"/>
      <c r="L59" s="871"/>
      <c r="M59" s="871"/>
      <c r="N59" s="871"/>
      <c r="O59" s="871"/>
      <c r="P59" s="871"/>
      <c r="Q59" s="871"/>
      <c r="R59" s="871"/>
      <c r="S59" s="871"/>
      <c r="T59" s="871"/>
      <c r="U59" s="871"/>
      <c r="V59" s="871"/>
      <c r="W59" s="883" t="s">
        <v>169</v>
      </c>
      <c r="X59" s="949"/>
      <c r="Y59" s="947" t="s">
        <v>838</v>
      </c>
      <c r="Z59" s="1013" t="s">
        <v>859</v>
      </c>
    </row>
    <row r="60" spans="1:26" ht="135" hidden="1">
      <c r="A60" s="1025">
        <v>48</v>
      </c>
      <c r="B60" s="883" t="s">
        <v>384</v>
      </c>
      <c r="C60" s="875" t="s">
        <v>45</v>
      </c>
      <c r="D60" s="875" t="s">
        <v>196</v>
      </c>
      <c r="E60" s="879">
        <f t="shared" si="1"/>
        <v>0.4</v>
      </c>
      <c r="F60" s="910">
        <v>0.4</v>
      </c>
      <c r="G60" s="907">
        <f t="shared" si="3"/>
        <v>0</v>
      </c>
      <c r="H60" s="907"/>
      <c r="I60" s="907"/>
      <c r="J60" s="907"/>
      <c r="K60" s="871"/>
      <c r="L60" s="871"/>
      <c r="M60" s="871"/>
      <c r="N60" s="871"/>
      <c r="O60" s="871"/>
      <c r="P60" s="871"/>
      <c r="Q60" s="871"/>
      <c r="R60" s="871"/>
      <c r="S60" s="871"/>
      <c r="T60" s="871"/>
      <c r="U60" s="871"/>
      <c r="V60" s="871"/>
      <c r="W60" s="883" t="s">
        <v>169</v>
      </c>
      <c r="X60" s="949"/>
      <c r="Y60" s="947" t="s">
        <v>838</v>
      </c>
      <c r="Z60" s="1013" t="s">
        <v>861</v>
      </c>
    </row>
    <row r="61" spans="1:26" ht="135" hidden="1">
      <c r="A61" s="1025">
        <v>49</v>
      </c>
      <c r="B61" s="883" t="s">
        <v>447</v>
      </c>
      <c r="C61" s="875" t="s">
        <v>45</v>
      </c>
      <c r="D61" s="875" t="s">
        <v>196</v>
      </c>
      <c r="E61" s="879">
        <f t="shared" si="1"/>
        <v>0.5</v>
      </c>
      <c r="F61" s="910">
        <v>0.5</v>
      </c>
      <c r="G61" s="907">
        <f t="shared" si="3"/>
        <v>0</v>
      </c>
      <c r="H61" s="907"/>
      <c r="I61" s="907"/>
      <c r="J61" s="907"/>
      <c r="K61" s="871"/>
      <c r="L61" s="871"/>
      <c r="M61" s="871"/>
      <c r="N61" s="871"/>
      <c r="O61" s="871"/>
      <c r="P61" s="871"/>
      <c r="Q61" s="871"/>
      <c r="R61" s="871"/>
      <c r="S61" s="871"/>
      <c r="T61" s="871"/>
      <c r="U61" s="871"/>
      <c r="V61" s="871"/>
      <c r="W61" s="883" t="s">
        <v>170</v>
      </c>
      <c r="X61" s="949"/>
      <c r="Y61" s="947" t="s">
        <v>838</v>
      </c>
      <c r="Z61" s="1013"/>
    </row>
    <row r="62" spans="1:26" ht="135" hidden="1">
      <c r="A62" s="1025">
        <v>50</v>
      </c>
      <c r="B62" s="883" t="s">
        <v>448</v>
      </c>
      <c r="C62" s="875" t="s">
        <v>45</v>
      </c>
      <c r="D62" s="875" t="s">
        <v>196</v>
      </c>
      <c r="E62" s="879">
        <f t="shared" si="1"/>
        <v>0.5</v>
      </c>
      <c r="F62" s="910">
        <v>0.5</v>
      </c>
      <c r="G62" s="907">
        <f t="shared" si="3"/>
        <v>0</v>
      </c>
      <c r="H62" s="907"/>
      <c r="I62" s="907"/>
      <c r="J62" s="907"/>
      <c r="K62" s="871"/>
      <c r="L62" s="871"/>
      <c r="M62" s="871"/>
      <c r="N62" s="871"/>
      <c r="O62" s="871"/>
      <c r="P62" s="871"/>
      <c r="Q62" s="871"/>
      <c r="R62" s="871"/>
      <c r="S62" s="871"/>
      <c r="T62" s="871"/>
      <c r="U62" s="871"/>
      <c r="V62" s="871"/>
      <c r="W62" s="883" t="s">
        <v>170</v>
      </c>
      <c r="X62" s="949"/>
      <c r="Y62" s="947" t="s">
        <v>838</v>
      </c>
      <c r="Z62" s="1013" t="s">
        <v>862</v>
      </c>
    </row>
    <row r="63" spans="1:26" ht="135" hidden="1">
      <c r="A63" s="1025">
        <v>51</v>
      </c>
      <c r="B63" s="883" t="s">
        <v>449</v>
      </c>
      <c r="C63" s="875" t="s">
        <v>45</v>
      </c>
      <c r="D63" s="875" t="s">
        <v>196</v>
      </c>
      <c r="E63" s="879">
        <f t="shared" si="1"/>
        <v>0.5</v>
      </c>
      <c r="F63" s="910">
        <v>0.5</v>
      </c>
      <c r="G63" s="907">
        <f t="shared" si="3"/>
        <v>0</v>
      </c>
      <c r="H63" s="907"/>
      <c r="I63" s="907"/>
      <c r="J63" s="907"/>
      <c r="K63" s="871"/>
      <c r="L63" s="871"/>
      <c r="M63" s="871"/>
      <c r="N63" s="871"/>
      <c r="O63" s="871"/>
      <c r="P63" s="871"/>
      <c r="Q63" s="871"/>
      <c r="R63" s="871"/>
      <c r="S63" s="871"/>
      <c r="T63" s="871"/>
      <c r="U63" s="871"/>
      <c r="V63" s="871"/>
      <c r="W63" s="883" t="s">
        <v>170</v>
      </c>
      <c r="X63" s="949"/>
      <c r="Y63" s="947" t="s">
        <v>838</v>
      </c>
      <c r="Z63" s="1013"/>
    </row>
    <row r="64" spans="1:26" ht="135" hidden="1">
      <c r="A64" s="1025">
        <v>52</v>
      </c>
      <c r="B64" s="883" t="s">
        <v>386</v>
      </c>
      <c r="C64" s="875" t="s">
        <v>45</v>
      </c>
      <c r="D64" s="875" t="s">
        <v>196</v>
      </c>
      <c r="E64" s="879">
        <f t="shared" si="1"/>
        <v>0.7</v>
      </c>
      <c r="F64" s="910">
        <v>0.7</v>
      </c>
      <c r="G64" s="907">
        <f t="shared" si="3"/>
        <v>0</v>
      </c>
      <c r="H64" s="907"/>
      <c r="I64" s="907"/>
      <c r="J64" s="907"/>
      <c r="K64" s="871"/>
      <c r="L64" s="871"/>
      <c r="M64" s="871"/>
      <c r="N64" s="871"/>
      <c r="O64" s="871"/>
      <c r="P64" s="871"/>
      <c r="Q64" s="871"/>
      <c r="R64" s="871"/>
      <c r="S64" s="871"/>
      <c r="T64" s="871"/>
      <c r="U64" s="871"/>
      <c r="V64" s="871"/>
      <c r="W64" s="883" t="s">
        <v>170</v>
      </c>
      <c r="X64" s="949"/>
      <c r="Y64" s="947" t="s">
        <v>838</v>
      </c>
      <c r="Z64" s="1013" t="s">
        <v>863</v>
      </c>
    </row>
    <row r="65" spans="1:27" ht="105" hidden="1">
      <c r="A65" s="1025">
        <v>53</v>
      </c>
      <c r="B65" s="980" t="s">
        <v>959</v>
      </c>
      <c r="C65" s="875" t="s">
        <v>45</v>
      </c>
      <c r="D65" s="875" t="s">
        <v>196</v>
      </c>
      <c r="E65" s="879">
        <f t="shared" si="1"/>
        <v>0.28000000000000003</v>
      </c>
      <c r="F65" s="910">
        <v>0.28000000000000003</v>
      </c>
      <c r="G65" s="907">
        <f t="shared" si="3"/>
        <v>0</v>
      </c>
      <c r="H65" s="907"/>
      <c r="I65" s="907"/>
      <c r="J65" s="907"/>
      <c r="K65" s="871"/>
      <c r="L65" s="871"/>
      <c r="M65" s="871"/>
      <c r="N65" s="871"/>
      <c r="O65" s="871"/>
      <c r="P65" s="871"/>
      <c r="Q65" s="871"/>
      <c r="R65" s="871"/>
      <c r="S65" s="871"/>
      <c r="T65" s="871"/>
      <c r="U65" s="871"/>
      <c r="V65" s="871"/>
      <c r="W65" s="883" t="s">
        <v>170</v>
      </c>
      <c r="X65" s="949"/>
      <c r="Y65" s="953" t="s">
        <v>840</v>
      </c>
      <c r="Z65" s="1013"/>
    </row>
    <row r="66" spans="1:27" ht="105" hidden="1">
      <c r="A66" s="1025">
        <v>54</v>
      </c>
      <c r="B66" s="980" t="s">
        <v>818</v>
      </c>
      <c r="C66" s="875" t="s">
        <v>68</v>
      </c>
      <c r="D66" s="875" t="s">
        <v>68</v>
      </c>
      <c r="E66" s="879">
        <f t="shared" si="1"/>
        <v>0.01</v>
      </c>
      <c r="F66" s="910">
        <v>0.01</v>
      </c>
      <c r="G66" s="907">
        <f t="shared" si="3"/>
        <v>0</v>
      </c>
      <c r="H66" s="907"/>
      <c r="I66" s="907"/>
      <c r="J66" s="907"/>
      <c r="K66" s="871"/>
      <c r="L66" s="871"/>
      <c r="M66" s="871"/>
      <c r="N66" s="871"/>
      <c r="O66" s="871"/>
      <c r="P66" s="871"/>
      <c r="Q66" s="871"/>
      <c r="R66" s="871"/>
      <c r="S66" s="871"/>
      <c r="T66" s="871"/>
      <c r="U66" s="871"/>
      <c r="V66" s="871"/>
      <c r="W66" s="883" t="s">
        <v>170</v>
      </c>
      <c r="X66" s="949"/>
      <c r="Y66" s="953" t="s">
        <v>840</v>
      </c>
      <c r="Z66" s="1013"/>
    </row>
    <row r="67" spans="1:27" ht="60">
      <c r="A67" s="1025">
        <v>55</v>
      </c>
      <c r="B67" s="1017" t="s">
        <v>895</v>
      </c>
      <c r="C67" s="875" t="s">
        <v>27</v>
      </c>
      <c r="D67" s="875" t="s">
        <v>27</v>
      </c>
      <c r="E67" s="879">
        <f t="shared" si="1"/>
        <v>17.75</v>
      </c>
      <c r="F67" s="910"/>
      <c r="G67" s="907">
        <f t="shared" si="3"/>
        <v>17.75</v>
      </c>
      <c r="H67" s="907"/>
      <c r="I67" s="907"/>
      <c r="J67" s="907">
        <v>7.25</v>
      </c>
      <c r="K67" s="907">
        <v>9.93</v>
      </c>
      <c r="L67" s="907"/>
      <c r="M67" s="907"/>
      <c r="N67" s="907"/>
      <c r="O67" s="907"/>
      <c r="P67" s="907"/>
      <c r="Q67" s="907"/>
      <c r="R67" s="907"/>
      <c r="S67" s="907"/>
      <c r="T67" s="907"/>
      <c r="U67" s="907">
        <v>0.56999999999999995</v>
      </c>
      <c r="V67" s="907"/>
      <c r="W67" s="880" t="s">
        <v>170</v>
      </c>
      <c r="X67" s="949"/>
      <c r="Y67" s="1016" t="s">
        <v>353</v>
      </c>
      <c r="Z67" s="1016" t="s">
        <v>842</v>
      </c>
      <c r="AA67" s="898" t="s">
        <v>960</v>
      </c>
    </row>
    <row r="68" spans="1:27" ht="105" hidden="1">
      <c r="A68" s="1025">
        <v>56</v>
      </c>
      <c r="B68" s="980" t="s">
        <v>806</v>
      </c>
      <c r="C68" s="875" t="s">
        <v>45</v>
      </c>
      <c r="D68" s="875" t="s">
        <v>196</v>
      </c>
      <c r="E68" s="879">
        <f t="shared" si="1"/>
        <v>0.2</v>
      </c>
      <c r="F68" s="910">
        <v>0.2</v>
      </c>
      <c r="G68" s="907">
        <f t="shared" si="3"/>
        <v>0</v>
      </c>
      <c r="H68" s="907"/>
      <c r="I68" s="907"/>
      <c r="J68" s="907"/>
      <c r="K68" s="871"/>
      <c r="L68" s="871"/>
      <c r="M68" s="871"/>
      <c r="N68" s="871"/>
      <c r="O68" s="871"/>
      <c r="P68" s="871"/>
      <c r="Q68" s="871"/>
      <c r="R68" s="871"/>
      <c r="S68" s="871"/>
      <c r="T68" s="871"/>
      <c r="U68" s="871"/>
      <c r="V68" s="871"/>
      <c r="W68" s="883" t="s">
        <v>197</v>
      </c>
      <c r="X68" s="949"/>
      <c r="Y68" s="953" t="s">
        <v>840</v>
      </c>
      <c r="Z68" s="1013"/>
    </row>
    <row r="69" spans="1:27" ht="105" hidden="1">
      <c r="A69" s="1025">
        <v>57</v>
      </c>
      <c r="B69" s="980" t="s">
        <v>370</v>
      </c>
      <c r="C69" s="875" t="s">
        <v>45</v>
      </c>
      <c r="D69" s="875" t="s">
        <v>196</v>
      </c>
      <c r="E69" s="879">
        <f t="shared" si="1"/>
        <v>0.36</v>
      </c>
      <c r="F69" s="910">
        <v>0.36</v>
      </c>
      <c r="G69" s="907">
        <f t="shared" si="3"/>
        <v>0</v>
      </c>
      <c r="H69" s="907"/>
      <c r="I69" s="907"/>
      <c r="J69" s="907"/>
      <c r="K69" s="871"/>
      <c r="L69" s="871"/>
      <c r="M69" s="871"/>
      <c r="N69" s="871"/>
      <c r="O69" s="871"/>
      <c r="P69" s="871"/>
      <c r="Q69" s="871"/>
      <c r="R69" s="871"/>
      <c r="S69" s="871"/>
      <c r="T69" s="871"/>
      <c r="U69" s="871"/>
      <c r="V69" s="871"/>
      <c r="W69" s="883" t="s">
        <v>197</v>
      </c>
      <c r="X69" s="949"/>
      <c r="Y69" s="953" t="s">
        <v>840</v>
      </c>
      <c r="Z69" s="1013"/>
    </row>
    <row r="70" spans="1:27" ht="105" hidden="1">
      <c r="A70" s="1025">
        <v>58</v>
      </c>
      <c r="B70" s="980" t="s">
        <v>807</v>
      </c>
      <c r="C70" s="875" t="s">
        <v>45</v>
      </c>
      <c r="D70" s="875" t="s">
        <v>196</v>
      </c>
      <c r="E70" s="879">
        <f t="shared" si="1"/>
        <v>0.2</v>
      </c>
      <c r="F70" s="910">
        <v>0.2</v>
      </c>
      <c r="G70" s="907">
        <f t="shared" si="3"/>
        <v>0</v>
      </c>
      <c r="H70" s="907"/>
      <c r="I70" s="907"/>
      <c r="J70" s="907"/>
      <c r="K70" s="871"/>
      <c r="L70" s="871"/>
      <c r="M70" s="871"/>
      <c r="N70" s="871"/>
      <c r="O70" s="871"/>
      <c r="P70" s="871"/>
      <c r="Q70" s="871"/>
      <c r="R70" s="871"/>
      <c r="S70" s="871"/>
      <c r="T70" s="871"/>
      <c r="U70" s="871"/>
      <c r="V70" s="871"/>
      <c r="W70" s="883" t="s">
        <v>197</v>
      </c>
      <c r="X70" s="949"/>
      <c r="Y70" s="953" t="s">
        <v>840</v>
      </c>
      <c r="Z70" s="1013"/>
    </row>
    <row r="71" spans="1:27" ht="105" hidden="1">
      <c r="A71" s="1025">
        <v>59</v>
      </c>
      <c r="B71" s="980" t="s">
        <v>808</v>
      </c>
      <c r="C71" s="875" t="s">
        <v>45</v>
      </c>
      <c r="D71" s="875" t="s">
        <v>196</v>
      </c>
      <c r="E71" s="879">
        <f t="shared" si="1"/>
        <v>0.2</v>
      </c>
      <c r="F71" s="910">
        <v>0.2</v>
      </c>
      <c r="G71" s="907">
        <f t="shared" si="3"/>
        <v>0</v>
      </c>
      <c r="H71" s="907"/>
      <c r="I71" s="907"/>
      <c r="J71" s="907"/>
      <c r="K71" s="871"/>
      <c r="L71" s="871"/>
      <c r="M71" s="871"/>
      <c r="N71" s="871"/>
      <c r="O71" s="871"/>
      <c r="P71" s="871"/>
      <c r="Q71" s="871"/>
      <c r="R71" s="871"/>
      <c r="S71" s="871"/>
      <c r="T71" s="871"/>
      <c r="U71" s="871"/>
      <c r="V71" s="871"/>
      <c r="W71" s="883" t="s">
        <v>197</v>
      </c>
      <c r="X71" s="949"/>
      <c r="Y71" s="953" t="s">
        <v>840</v>
      </c>
      <c r="Z71" s="1013"/>
    </row>
    <row r="72" spans="1:27" ht="105" hidden="1">
      <c r="A72" s="1025">
        <v>60</v>
      </c>
      <c r="B72" s="980" t="s">
        <v>371</v>
      </c>
      <c r="C72" s="875" t="s">
        <v>45</v>
      </c>
      <c r="D72" s="875" t="s">
        <v>196</v>
      </c>
      <c r="E72" s="879">
        <f t="shared" si="1"/>
        <v>0.3</v>
      </c>
      <c r="F72" s="910">
        <v>0.3</v>
      </c>
      <c r="G72" s="907">
        <f t="shared" si="3"/>
        <v>0</v>
      </c>
      <c r="H72" s="907"/>
      <c r="I72" s="907"/>
      <c r="J72" s="907"/>
      <c r="K72" s="871"/>
      <c r="L72" s="871"/>
      <c r="M72" s="871"/>
      <c r="N72" s="871"/>
      <c r="O72" s="871"/>
      <c r="P72" s="871"/>
      <c r="Q72" s="871"/>
      <c r="R72" s="871"/>
      <c r="S72" s="871"/>
      <c r="T72" s="871"/>
      <c r="U72" s="871"/>
      <c r="V72" s="871"/>
      <c r="W72" s="883" t="s">
        <v>197</v>
      </c>
      <c r="X72" s="949"/>
      <c r="Y72" s="953" t="s">
        <v>840</v>
      </c>
      <c r="Z72" s="1013"/>
    </row>
    <row r="73" spans="1:27" ht="105" hidden="1">
      <c r="A73" s="1025">
        <v>61</v>
      </c>
      <c r="B73" s="980" t="s">
        <v>815</v>
      </c>
      <c r="C73" s="875" t="s">
        <v>45</v>
      </c>
      <c r="D73" s="875" t="s">
        <v>196</v>
      </c>
      <c r="E73" s="879">
        <f t="shared" si="1"/>
        <v>0.2</v>
      </c>
      <c r="F73" s="910">
        <v>0.2</v>
      </c>
      <c r="G73" s="907">
        <f t="shared" si="3"/>
        <v>0</v>
      </c>
      <c r="H73" s="907"/>
      <c r="I73" s="907"/>
      <c r="J73" s="907"/>
      <c r="K73" s="871"/>
      <c r="L73" s="871"/>
      <c r="M73" s="871"/>
      <c r="N73" s="871"/>
      <c r="O73" s="871"/>
      <c r="P73" s="871"/>
      <c r="Q73" s="871"/>
      <c r="R73" s="871"/>
      <c r="S73" s="871"/>
      <c r="T73" s="871"/>
      <c r="U73" s="871"/>
      <c r="V73" s="871"/>
      <c r="W73" s="883" t="s">
        <v>173</v>
      </c>
      <c r="X73" s="949"/>
      <c r="Y73" s="953" t="s">
        <v>840</v>
      </c>
      <c r="Z73" s="1013"/>
    </row>
    <row r="74" spans="1:27" ht="105" hidden="1">
      <c r="A74" s="1025">
        <v>62</v>
      </c>
      <c r="B74" s="980" t="s">
        <v>375</v>
      </c>
      <c r="C74" s="875" t="s">
        <v>45</v>
      </c>
      <c r="D74" s="875" t="s">
        <v>196</v>
      </c>
      <c r="E74" s="879">
        <f t="shared" si="1"/>
        <v>0.32</v>
      </c>
      <c r="F74" s="910">
        <v>0.32</v>
      </c>
      <c r="G74" s="907">
        <f t="shared" si="3"/>
        <v>0</v>
      </c>
      <c r="H74" s="907"/>
      <c r="I74" s="907"/>
      <c r="J74" s="907"/>
      <c r="K74" s="871"/>
      <c r="L74" s="871"/>
      <c r="M74" s="871"/>
      <c r="N74" s="871"/>
      <c r="O74" s="871"/>
      <c r="P74" s="871"/>
      <c r="Q74" s="871"/>
      <c r="R74" s="871"/>
      <c r="S74" s="871"/>
      <c r="T74" s="871"/>
      <c r="U74" s="871"/>
      <c r="V74" s="871"/>
      <c r="W74" s="883" t="s">
        <v>174</v>
      </c>
      <c r="X74" s="949"/>
      <c r="Y74" s="953" t="s">
        <v>840</v>
      </c>
      <c r="Z74" s="1013"/>
    </row>
    <row r="75" spans="1:27" ht="105" hidden="1">
      <c r="A75" s="1025">
        <v>63</v>
      </c>
      <c r="B75" s="980" t="s">
        <v>377</v>
      </c>
      <c r="C75" s="875" t="s">
        <v>45</v>
      </c>
      <c r="D75" s="875" t="s">
        <v>196</v>
      </c>
      <c r="E75" s="879">
        <f t="shared" si="1"/>
        <v>0.26</v>
      </c>
      <c r="F75" s="910">
        <v>0.26</v>
      </c>
      <c r="G75" s="907">
        <f t="shared" si="3"/>
        <v>0</v>
      </c>
      <c r="H75" s="907"/>
      <c r="I75" s="907"/>
      <c r="J75" s="907"/>
      <c r="K75" s="871"/>
      <c r="L75" s="871"/>
      <c r="M75" s="871"/>
      <c r="N75" s="871"/>
      <c r="O75" s="871"/>
      <c r="P75" s="871"/>
      <c r="Q75" s="871"/>
      <c r="R75" s="871"/>
      <c r="S75" s="871"/>
      <c r="T75" s="871"/>
      <c r="U75" s="871"/>
      <c r="V75" s="871"/>
      <c r="W75" s="883" t="s">
        <v>174</v>
      </c>
      <c r="X75" s="949"/>
      <c r="Y75" s="953" t="s">
        <v>840</v>
      </c>
      <c r="Z75" s="1013"/>
    </row>
    <row r="76" spans="1:27" ht="105" hidden="1">
      <c r="A76" s="1025">
        <v>64</v>
      </c>
      <c r="B76" s="980" t="s">
        <v>378</v>
      </c>
      <c r="C76" s="875" t="s">
        <v>45</v>
      </c>
      <c r="D76" s="875" t="s">
        <v>196</v>
      </c>
      <c r="E76" s="879">
        <f t="shared" si="1"/>
        <v>0.37</v>
      </c>
      <c r="F76" s="910">
        <v>0.37</v>
      </c>
      <c r="G76" s="907">
        <f t="shared" si="3"/>
        <v>0</v>
      </c>
      <c r="H76" s="907"/>
      <c r="I76" s="907"/>
      <c r="J76" s="907"/>
      <c r="K76" s="871"/>
      <c r="L76" s="871"/>
      <c r="M76" s="871"/>
      <c r="N76" s="871"/>
      <c r="O76" s="871"/>
      <c r="P76" s="871"/>
      <c r="Q76" s="871"/>
      <c r="R76" s="871"/>
      <c r="S76" s="871"/>
      <c r="T76" s="871"/>
      <c r="U76" s="871"/>
      <c r="V76" s="871"/>
      <c r="W76" s="883" t="s">
        <v>169</v>
      </c>
      <c r="X76" s="949"/>
      <c r="Y76" s="953" t="s">
        <v>840</v>
      </c>
      <c r="Z76" s="1013"/>
    </row>
    <row r="77" spans="1:27" ht="105" hidden="1">
      <c r="A77" s="1025">
        <v>65</v>
      </c>
      <c r="B77" s="980" t="s">
        <v>379</v>
      </c>
      <c r="C77" s="875" t="s">
        <v>45</v>
      </c>
      <c r="D77" s="875" t="s">
        <v>196</v>
      </c>
      <c r="E77" s="879">
        <f t="shared" si="1"/>
        <v>0.17</v>
      </c>
      <c r="F77" s="910">
        <v>0.17</v>
      </c>
      <c r="G77" s="907">
        <f t="shared" si="3"/>
        <v>0</v>
      </c>
      <c r="H77" s="907"/>
      <c r="I77" s="907"/>
      <c r="J77" s="907"/>
      <c r="K77" s="871"/>
      <c r="L77" s="871"/>
      <c r="M77" s="871"/>
      <c r="N77" s="871"/>
      <c r="O77" s="871"/>
      <c r="P77" s="871"/>
      <c r="Q77" s="871"/>
      <c r="R77" s="871"/>
      <c r="S77" s="871"/>
      <c r="T77" s="871"/>
      <c r="U77" s="871"/>
      <c r="V77" s="871"/>
      <c r="W77" s="883" t="s">
        <v>169</v>
      </c>
      <c r="X77" s="949"/>
      <c r="Y77" s="953" t="s">
        <v>840</v>
      </c>
      <c r="Z77" s="1013"/>
    </row>
    <row r="78" spans="1:27" ht="105" hidden="1">
      <c r="A78" s="1025">
        <v>66</v>
      </c>
      <c r="B78" s="980" t="s">
        <v>816</v>
      </c>
      <c r="C78" s="875" t="s">
        <v>45</v>
      </c>
      <c r="D78" s="875" t="s">
        <v>194</v>
      </c>
      <c r="E78" s="879">
        <f t="shared" si="1"/>
        <v>0.2</v>
      </c>
      <c r="F78" s="910">
        <v>0.2</v>
      </c>
      <c r="G78" s="907">
        <f t="shared" si="3"/>
        <v>0</v>
      </c>
      <c r="H78" s="907"/>
      <c r="I78" s="907"/>
      <c r="J78" s="907"/>
      <c r="K78" s="871"/>
      <c r="L78" s="871"/>
      <c r="M78" s="871"/>
      <c r="N78" s="871"/>
      <c r="O78" s="871"/>
      <c r="P78" s="871"/>
      <c r="Q78" s="871"/>
      <c r="R78" s="871"/>
      <c r="S78" s="871"/>
      <c r="T78" s="871"/>
      <c r="U78" s="871"/>
      <c r="V78" s="871"/>
      <c r="W78" s="883" t="s">
        <v>169</v>
      </c>
      <c r="X78" s="949"/>
      <c r="Y78" s="953" t="s">
        <v>840</v>
      </c>
      <c r="Z78" s="1013" t="s">
        <v>877</v>
      </c>
    </row>
    <row r="79" spans="1:27" ht="105" hidden="1">
      <c r="A79" s="1025">
        <v>67</v>
      </c>
      <c r="B79" s="980" t="s">
        <v>817</v>
      </c>
      <c r="C79" s="875" t="s">
        <v>45</v>
      </c>
      <c r="D79" s="875" t="s">
        <v>194</v>
      </c>
      <c r="E79" s="879">
        <f t="shared" ref="E79:E92" si="4">F79+G79</f>
        <v>0.2</v>
      </c>
      <c r="F79" s="910">
        <v>0.2</v>
      </c>
      <c r="G79" s="907">
        <f t="shared" si="3"/>
        <v>0</v>
      </c>
      <c r="H79" s="907"/>
      <c r="I79" s="907"/>
      <c r="J79" s="907"/>
      <c r="K79" s="871"/>
      <c r="L79" s="871"/>
      <c r="M79" s="871"/>
      <c r="N79" s="871"/>
      <c r="O79" s="871"/>
      <c r="P79" s="871"/>
      <c r="Q79" s="871"/>
      <c r="R79" s="871"/>
      <c r="S79" s="871"/>
      <c r="T79" s="871"/>
      <c r="U79" s="871"/>
      <c r="V79" s="871"/>
      <c r="W79" s="883" t="s">
        <v>169</v>
      </c>
      <c r="X79" s="949"/>
      <c r="Y79" s="953" t="s">
        <v>840</v>
      </c>
      <c r="Z79" s="1013" t="s">
        <v>878</v>
      </c>
    </row>
    <row r="80" spans="1:27" ht="105" hidden="1">
      <c r="A80" s="1025">
        <v>68</v>
      </c>
      <c r="B80" s="883" t="s">
        <v>413</v>
      </c>
      <c r="C80" s="875" t="s">
        <v>45</v>
      </c>
      <c r="D80" s="875" t="s">
        <v>195</v>
      </c>
      <c r="E80" s="879">
        <f t="shared" si="4"/>
        <v>0.2</v>
      </c>
      <c r="F80" s="910">
        <v>0.2</v>
      </c>
      <c r="G80" s="907">
        <f t="shared" si="3"/>
        <v>0</v>
      </c>
      <c r="H80" s="907"/>
      <c r="I80" s="907"/>
      <c r="J80" s="907"/>
      <c r="K80" s="871"/>
      <c r="L80" s="871"/>
      <c r="M80" s="871"/>
      <c r="N80" s="871"/>
      <c r="O80" s="871"/>
      <c r="P80" s="871"/>
      <c r="Q80" s="871"/>
      <c r="R80" s="871"/>
      <c r="S80" s="871"/>
      <c r="T80" s="871"/>
      <c r="U80" s="871"/>
      <c r="V80" s="871"/>
      <c r="W80" s="883" t="s">
        <v>169</v>
      </c>
      <c r="X80" s="949"/>
      <c r="Y80" s="953" t="s">
        <v>840</v>
      </c>
      <c r="Z80" s="1013" t="s">
        <v>879</v>
      </c>
    </row>
    <row r="81" spans="1:26" ht="105" hidden="1">
      <c r="A81" s="1025">
        <v>69</v>
      </c>
      <c r="B81" s="883" t="s">
        <v>414</v>
      </c>
      <c r="C81" s="875" t="s">
        <v>68</v>
      </c>
      <c r="D81" s="875" t="s">
        <v>68</v>
      </c>
      <c r="E81" s="879">
        <f t="shared" si="4"/>
        <v>0.02</v>
      </c>
      <c r="F81" s="910">
        <v>0.02</v>
      </c>
      <c r="G81" s="907">
        <f t="shared" si="3"/>
        <v>0</v>
      </c>
      <c r="H81" s="907"/>
      <c r="I81" s="907"/>
      <c r="J81" s="907"/>
      <c r="K81" s="871"/>
      <c r="L81" s="871"/>
      <c r="M81" s="871"/>
      <c r="N81" s="871"/>
      <c r="O81" s="871"/>
      <c r="P81" s="871"/>
      <c r="Q81" s="871"/>
      <c r="R81" s="871"/>
      <c r="S81" s="871"/>
      <c r="T81" s="871"/>
      <c r="U81" s="871"/>
      <c r="V81" s="871"/>
      <c r="W81" s="883" t="s">
        <v>169</v>
      </c>
      <c r="X81" s="949"/>
      <c r="Y81" s="953" t="s">
        <v>840</v>
      </c>
      <c r="Z81" s="1013" t="s">
        <v>880</v>
      </c>
    </row>
    <row r="82" spans="1:26" ht="105" hidden="1">
      <c r="A82" s="1025">
        <v>70</v>
      </c>
      <c r="B82" s="883" t="s">
        <v>410</v>
      </c>
      <c r="C82" s="875" t="s">
        <v>45</v>
      </c>
      <c r="D82" s="875" t="s">
        <v>195</v>
      </c>
      <c r="E82" s="879">
        <f t="shared" si="4"/>
        <v>0.15</v>
      </c>
      <c r="F82" s="910">
        <v>0.15</v>
      </c>
      <c r="G82" s="907">
        <f t="shared" si="3"/>
        <v>0</v>
      </c>
      <c r="H82" s="907"/>
      <c r="I82" s="907"/>
      <c r="J82" s="907"/>
      <c r="K82" s="871"/>
      <c r="L82" s="871"/>
      <c r="M82" s="871"/>
      <c r="N82" s="871"/>
      <c r="O82" s="871"/>
      <c r="P82" s="871"/>
      <c r="Q82" s="871"/>
      <c r="R82" s="871"/>
      <c r="S82" s="871"/>
      <c r="T82" s="871"/>
      <c r="U82" s="871"/>
      <c r="V82" s="871"/>
      <c r="W82" s="883" t="s">
        <v>189</v>
      </c>
      <c r="X82" s="949"/>
      <c r="Y82" s="953" t="s">
        <v>840</v>
      </c>
      <c r="Z82" s="1013" t="s">
        <v>888</v>
      </c>
    </row>
    <row r="83" spans="1:26" ht="105" hidden="1">
      <c r="A83" s="1025">
        <v>71</v>
      </c>
      <c r="B83" s="980" t="s">
        <v>380</v>
      </c>
      <c r="C83" s="875" t="s">
        <v>45</v>
      </c>
      <c r="D83" s="875" t="s">
        <v>196</v>
      </c>
      <c r="E83" s="879">
        <f t="shared" si="4"/>
        <v>0.17</v>
      </c>
      <c r="F83" s="910">
        <v>0.17</v>
      </c>
      <c r="G83" s="907">
        <f t="shared" ref="G83:G87" si="5">H83+SUM(J83:V83)</f>
        <v>0</v>
      </c>
      <c r="H83" s="907"/>
      <c r="I83" s="907"/>
      <c r="J83" s="907"/>
      <c r="K83" s="871"/>
      <c r="L83" s="871"/>
      <c r="M83" s="871"/>
      <c r="N83" s="871"/>
      <c r="O83" s="871"/>
      <c r="P83" s="871"/>
      <c r="Q83" s="871"/>
      <c r="R83" s="871"/>
      <c r="S83" s="871"/>
      <c r="T83" s="871"/>
      <c r="U83" s="871"/>
      <c r="V83" s="871"/>
      <c r="W83" s="883" t="s">
        <v>170</v>
      </c>
      <c r="X83" s="949"/>
      <c r="Y83" s="953" t="s">
        <v>840</v>
      </c>
      <c r="Z83" s="1013"/>
    </row>
    <row r="84" spans="1:26" ht="105" hidden="1">
      <c r="A84" s="1025">
        <v>72</v>
      </c>
      <c r="B84" s="980" t="s">
        <v>381</v>
      </c>
      <c r="C84" s="875" t="s">
        <v>45</v>
      </c>
      <c r="D84" s="875" t="s">
        <v>196</v>
      </c>
      <c r="E84" s="879">
        <f t="shared" si="4"/>
        <v>0.12</v>
      </c>
      <c r="F84" s="910">
        <v>0.12</v>
      </c>
      <c r="G84" s="907">
        <f t="shared" si="5"/>
        <v>0</v>
      </c>
      <c r="H84" s="907"/>
      <c r="I84" s="907"/>
      <c r="J84" s="907"/>
      <c r="K84" s="871"/>
      <c r="L84" s="871"/>
      <c r="M84" s="871"/>
      <c r="N84" s="871"/>
      <c r="O84" s="871"/>
      <c r="P84" s="871"/>
      <c r="Q84" s="871"/>
      <c r="R84" s="871"/>
      <c r="S84" s="871"/>
      <c r="T84" s="871"/>
      <c r="U84" s="871"/>
      <c r="V84" s="871"/>
      <c r="W84" s="883" t="s">
        <v>170</v>
      </c>
      <c r="X84" s="949"/>
      <c r="Y84" s="953" t="s">
        <v>840</v>
      </c>
      <c r="Z84" s="1013"/>
    </row>
    <row r="85" spans="1:26" ht="105" hidden="1">
      <c r="A85" s="1025">
        <v>73</v>
      </c>
      <c r="B85" s="994" t="s">
        <v>820</v>
      </c>
      <c r="C85" s="875" t="s">
        <v>45</v>
      </c>
      <c r="D85" s="875" t="s">
        <v>196</v>
      </c>
      <c r="E85" s="879">
        <f t="shared" si="4"/>
        <v>0.2</v>
      </c>
      <c r="F85" s="910">
        <v>0.2</v>
      </c>
      <c r="G85" s="907">
        <f t="shared" si="5"/>
        <v>0</v>
      </c>
      <c r="H85" s="907"/>
      <c r="I85" s="907"/>
      <c r="J85" s="907"/>
      <c r="K85" s="871"/>
      <c r="L85" s="871"/>
      <c r="M85" s="871"/>
      <c r="N85" s="871"/>
      <c r="O85" s="871"/>
      <c r="P85" s="871"/>
      <c r="Q85" s="871"/>
      <c r="R85" s="871"/>
      <c r="S85" s="871"/>
      <c r="T85" s="871"/>
      <c r="U85" s="871"/>
      <c r="V85" s="871"/>
      <c r="W85" s="883" t="s">
        <v>197</v>
      </c>
      <c r="X85" s="949"/>
      <c r="Y85" s="953" t="s">
        <v>840</v>
      </c>
      <c r="Z85" s="1013"/>
    </row>
    <row r="86" spans="1:26" ht="105" hidden="1">
      <c r="A86" s="1025">
        <v>74</v>
      </c>
      <c r="B86" s="982" t="s">
        <v>822</v>
      </c>
      <c r="C86" s="875" t="s">
        <v>45</v>
      </c>
      <c r="D86" s="875" t="s">
        <v>196</v>
      </c>
      <c r="E86" s="879">
        <f t="shared" si="4"/>
        <v>0.2</v>
      </c>
      <c r="F86" s="910">
        <v>0.2</v>
      </c>
      <c r="G86" s="907">
        <f t="shared" si="5"/>
        <v>0</v>
      </c>
      <c r="H86" s="907"/>
      <c r="I86" s="907"/>
      <c r="J86" s="907"/>
      <c r="K86" s="871"/>
      <c r="L86" s="871"/>
      <c r="M86" s="871"/>
      <c r="N86" s="871"/>
      <c r="O86" s="871"/>
      <c r="P86" s="871"/>
      <c r="Q86" s="871"/>
      <c r="R86" s="871"/>
      <c r="S86" s="871"/>
      <c r="T86" s="871"/>
      <c r="U86" s="871"/>
      <c r="V86" s="871"/>
      <c r="W86" s="883" t="s">
        <v>197</v>
      </c>
      <c r="X86" s="949"/>
      <c r="Y86" s="953" t="s">
        <v>840</v>
      </c>
      <c r="Z86" s="1013"/>
    </row>
    <row r="87" spans="1:26" ht="105" hidden="1">
      <c r="A87" s="1025">
        <v>75</v>
      </c>
      <c r="B87" s="982" t="s">
        <v>824</v>
      </c>
      <c r="C87" s="875" t="s">
        <v>68</v>
      </c>
      <c r="D87" s="875" t="s">
        <v>68</v>
      </c>
      <c r="E87" s="879">
        <f t="shared" si="4"/>
        <v>0.01</v>
      </c>
      <c r="F87" s="910">
        <v>0.01</v>
      </c>
      <c r="G87" s="907">
        <f t="shared" si="5"/>
        <v>0</v>
      </c>
      <c r="H87" s="907"/>
      <c r="I87" s="907"/>
      <c r="J87" s="907"/>
      <c r="K87" s="871"/>
      <c r="L87" s="871"/>
      <c r="M87" s="871"/>
      <c r="N87" s="871"/>
      <c r="O87" s="871"/>
      <c r="P87" s="871"/>
      <c r="Q87" s="871"/>
      <c r="R87" s="871"/>
      <c r="S87" s="871"/>
      <c r="T87" s="871"/>
      <c r="U87" s="871"/>
      <c r="V87" s="871"/>
      <c r="W87" s="883" t="s">
        <v>197</v>
      </c>
      <c r="X87" s="949"/>
      <c r="Y87" s="953" t="s">
        <v>840</v>
      </c>
      <c r="Z87" s="1013"/>
    </row>
    <row r="88" spans="1:26" ht="105" hidden="1">
      <c r="A88" s="1025">
        <v>76</v>
      </c>
      <c r="B88" s="1022" t="s">
        <v>347</v>
      </c>
      <c r="C88" s="875" t="s">
        <v>45</v>
      </c>
      <c r="D88" s="875" t="s">
        <v>63</v>
      </c>
      <c r="E88" s="879">
        <v>1</v>
      </c>
      <c r="F88" s="910"/>
      <c r="G88" s="907">
        <v>1</v>
      </c>
      <c r="H88" s="907"/>
      <c r="I88" s="907"/>
      <c r="J88" s="907"/>
      <c r="K88" s="871">
        <v>1</v>
      </c>
      <c r="L88" s="871"/>
      <c r="M88" s="871"/>
      <c r="N88" s="871"/>
      <c r="O88" s="871"/>
      <c r="P88" s="871"/>
      <c r="Q88" s="871"/>
      <c r="R88" s="871"/>
      <c r="S88" s="871"/>
      <c r="T88" s="871"/>
      <c r="U88" s="871"/>
      <c r="V88" s="871"/>
      <c r="W88" s="883" t="s">
        <v>170</v>
      </c>
      <c r="X88" s="949"/>
      <c r="Y88" s="953" t="s">
        <v>993</v>
      </c>
      <c r="Z88" s="1024"/>
    </row>
    <row r="89" spans="1:26" ht="30" hidden="1">
      <c r="A89" s="1025">
        <v>77</v>
      </c>
      <c r="B89" s="1022" t="s">
        <v>989</v>
      </c>
      <c r="C89" s="875" t="s">
        <v>53</v>
      </c>
      <c r="D89" s="875" t="s">
        <v>53</v>
      </c>
      <c r="E89" s="879">
        <f t="shared" si="4"/>
        <v>0.02</v>
      </c>
      <c r="F89" s="910"/>
      <c r="G89" s="907">
        <f>H89+SUM(J89:V89)</f>
        <v>0.02</v>
      </c>
      <c r="H89" s="907"/>
      <c r="I89" s="907"/>
      <c r="J89" s="907">
        <v>0.02</v>
      </c>
      <c r="K89" s="871"/>
      <c r="L89" s="871"/>
      <c r="M89" s="871"/>
      <c r="N89" s="871"/>
      <c r="O89" s="871"/>
      <c r="P89" s="871"/>
      <c r="Q89" s="871"/>
      <c r="R89" s="871"/>
      <c r="S89" s="871"/>
      <c r="T89" s="871"/>
      <c r="U89" s="871"/>
      <c r="V89" s="871"/>
      <c r="W89" s="883" t="s">
        <v>172</v>
      </c>
      <c r="X89" s="949"/>
      <c r="Y89" s="953"/>
      <c r="Z89" s="1020"/>
    </row>
    <row r="90" spans="1:26" ht="30" hidden="1">
      <c r="A90" s="1025">
        <v>78</v>
      </c>
      <c r="B90" s="1022" t="s">
        <v>989</v>
      </c>
      <c r="C90" s="875" t="s">
        <v>53</v>
      </c>
      <c r="D90" s="875" t="s">
        <v>53</v>
      </c>
      <c r="E90" s="879">
        <f t="shared" si="4"/>
        <v>0.15003</v>
      </c>
      <c r="F90" s="910"/>
      <c r="G90" s="907">
        <f>H90+SUM(J90:V90)</f>
        <v>0.15003</v>
      </c>
      <c r="H90" s="907"/>
      <c r="I90" s="907"/>
      <c r="J90" s="907">
        <f>1300.3/10000</f>
        <v>0.13003000000000001</v>
      </c>
      <c r="K90" s="871">
        <v>0.02</v>
      </c>
      <c r="L90" s="871"/>
      <c r="M90" s="871"/>
      <c r="N90" s="871"/>
      <c r="O90" s="871"/>
      <c r="P90" s="871"/>
      <c r="Q90" s="871"/>
      <c r="R90" s="871"/>
      <c r="S90" s="871"/>
      <c r="T90" s="871"/>
      <c r="U90" s="871"/>
      <c r="V90" s="871"/>
      <c r="W90" s="883" t="s">
        <v>171</v>
      </c>
      <c r="X90" s="949"/>
      <c r="Y90" s="953"/>
      <c r="Z90" s="1020"/>
    </row>
    <row r="91" spans="1:26" ht="30" hidden="1">
      <c r="A91" s="1025">
        <v>79</v>
      </c>
      <c r="B91" s="1022" t="s">
        <v>989</v>
      </c>
      <c r="C91" s="875" t="s">
        <v>53</v>
      </c>
      <c r="D91" s="875" t="s">
        <v>53</v>
      </c>
      <c r="E91" s="879">
        <f t="shared" si="4"/>
        <v>0.03</v>
      </c>
      <c r="F91" s="910"/>
      <c r="G91" s="907">
        <f>H91+SUM(J91:V91)</f>
        <v>0.03</v>
      </c>
      <c r="H91" s="907"/>
      <c r="I91" s="907"/>
      <c r="J91" s="907"/>
      <c r="K91" s="871">
        <v>0.03</v>
      </c>
      <c r="L91" s="871"/>
      <c r="M91" s="871"/>
      <c r="N91" s="871"/>
      <c r="O91" s="871"/>
      <c r="P91" s="871"/>
      <c r="Q91" s="871"/>
      <c r="R91" s="871"/>
      <c r="S91" s="871"/>
      <c r="T91" s="871"/>
      <c r="U91" s="871"/>
      <c r="V91" s="871"/>
      <c r="W91" s="883" t="s">
        <v>173</v>
      </c>
      <c r="X91" s="949"/>
      <c r="Y91" s="953"/>
      <c r="Z91" s="1020"/>
    </row>
    <row r="92" spans="1:26" ht="30" hidden="1">
      <c r="A92" s="1025">
        <v>80</v>
      </c>
      <c r="B92" s="1022" t="s">
        <v>989</v>
      </c>
      <c r="C92" s="875" t="s">
        <v>53</v>
      </c>
      <c r="D92" s="875" t="s">
        <v>53</v>
      </c>
      <c r="E92" s="879">
        <f t="shared" si="4"/>
        <v>0.13</v>
      </c>
      <c r="F92" s="910"/>
      <c r="G92" s="907">
        <f>H92+SUM(J92:V92)</f>
        <v>0.13</v>
      </c>
      <c r="H92" s="907"/>
      <c r="I92" s="907"/>
      <c r="J92" s="907">
        <v>0.02</v>
      </c>
      <c r="K92" s="871">
        <v>0.11</v>
      </c>
      <c r="L92" s="871"/>
      <c r="M92" s="871"/>
      <c r="N92" s="871"/>
      <c r="O92" s="871"/>
      <c r="P92" s="871"/>
      <c r="Q92" s="871"/>
      <c r="R92" s="871"/>
      <c r="S92" s="871"/>
      <c r="T92" s="871"/>
      <c r="U92" s="871"/>
      <c r="V92" s="871"/>
      <c r="W92" s="883" t="s">
        <v>190</v>
      </c>
      <c r="X92" s="949"/>
      <c r="Y92" s="953"/>
      <c r="Z92" s="1020"/>
    </row>
    <row r="93" spans="1:26" ht="30" hidden="1">
      <c r="A93" s="1025">
        <v>81</v>
      </c>
      <c r="B93" s="1022" t="s">
        <v>989</v>
      </c>
      <c r="C93" s="875" t="s">
        <v>55</v>
      </c>
      <c r="D93" s="875" t="s">
        <v>55</v>
      </c>
      <c r="E93" s="879">
        <f t="shared" ref="E93" si="6">F93+G93</f>
        <v>0.14000000000000001</v>
      </c>
      <c r="F93" s="910"/>
      <c r="G93" s="907">
        <f>H93+SUM(J93:V93)</f>
        <v>0.14000000000000001</v>
      </c>
      <c r="H93" s="907"/>
      <c r="I93" s="907"/>
      <c r="J93" s="907">
        <v>0.11</v>
      </c>
      <c r="K93" s="871">
        <v>0.03</v>
      </c>
      <c r="L93" s="871"/>
      <c r="M93" s="871"/>
      <c r="N93" s="871"/>
      <c r="O93" s="871"/>
      <c r="P93" s="871"/>
      <c r="Q93" s="871"/>
      <c r="R93" s="871"/>
      <c r="S93" s="871"/>
      <c r="T93" s="871"/>
      <c r="U93" s="871"/>
      <c r="V93" s="871"/>
      <c r="W93" s="883" t="s">
        <v>168</v>
      </c>
      <c r="X93" s="949"/>
      <c r="Y93" s="953"/>
      <c r="Z93" s="1020"/>
    </row>
    <row r="94" spans="1:26" ht="15.75" hidden="1">
      <c r="A94" s="1038"/>
      <c r="B94" s="1034" t="s">
        <v>803</v>
      </c>
      <c r="C94" s="1027" t="s">
        <v>39</v>
      </c>
      <c r="D94" s="1027" t="s">
        <v>39</v>
      </c>
      <c r="E94" s="1028">
        <f>F94+G94</f>
        <v>0.02</v>
      </c>
      <c r="F94" s="1033"/>
      <c r="G94" s="1029">
        <f>H94+SUM(J94:X94)</f>
        <v>0.02</v>
      </c>
      <c r="H94" s="1029"/>
      <c r="I94" s="1029"/>
      <c r="J94" s="1030"/>
      <c r="K94" s="1031">
        <v>0.02</v>
      </c>
      <c r="L94" s="1031"/>
      <c r="M94" s="1031"/>
      <c r="N94" s="1031"/>
      <c r="O94" s="1031"/>
      <c r="P94" s="1031"/>
      <c r="Q94" s="1031"/>
      <c r="R94" s="1031"/>
      <c r="S94" s="1031"/>
      <c r="T94" s="1031"/>
      <c r="U94" s="1031"/>
      <c r="V94" s="1031"/>
      <c r="W94" s="1032" t="s">
        <v>169</v>
      </c>
      <c r="X94" s="1031"/>
      <c r="Y94" s="1032"/>
      <c r="Z94" s="1037"/>
    </row>
    <row r="95" spans="1:26" ht="15.75" hidden="1">
      <c r="A95" s="1038"/>
      <c r="B95" s="1034" t="s">
        <v>803</v>
      </c>
      <c r="C95" s="1027" t="s">
        <v>39</v>
      </c>
      <c r="D95" s="1027" t="s">
        <v>39</v>
      </c>
      <c r="E95" s="1028">
        <f>F95+G95</f>
        <v>0.08</v>
      </c>
      <c r="F95" s="1033"/>
      <c r="G95" s="1029">
        <f>H95+SUM(J95:X95)</f>
        <v>0.08</v>
      </c>
      <c r="H95" s="1029"/>
      <c r="I95" s="1029"/>
      <c r="J95" s="1030"/>
      <c r="K95" s="1031">
        <v>0.08</v>
      </c>
      <c r="L95" s="1031"/>
      <c r="M95" s="1031"/>
      <c r="N95" s="1031"/>
      <c r="O95" s="1031"/>
      <c r="P95" s="1031"/>
      <c r="Q95" s="1031"/>
      <c r="R95" s="1031"/>
      <c r="S95" s="1031"/>
      <c r="T95" s="1031"/>
      <c r="U95" s="1031"/>
      <c r="V95" s="1031"/>
      <c r="W95" s="1032" t="s">
        <v>173</v>
      </c>
      <c r="X95" s="1031"/>
      <c r="Y95" s="1032"/>
      <c r="Z95" s="1037"/>
    </row>
    <row r="96" spans="1:26" ht="15" hidden="1" customHeight="1">
      <c r="A96" s="1285" t="s">
        <v>281</v>
      </c>
      <c r="B96" s="1286"/>
      <c r="C96" s="940"/>
      <c r="D96" s="940"/>
      <c r="E96" s="919">
        <f>SUM(E12:E93)</f>
        <v>95.810030000000054</v>
      </c>
      <c r="F96" s="919">
        <f t="shared" ref="F96:V96" si="7">SUM(F12:F93)</f>
        <v>59.14000000000005</v>
      </c>
      <c r="G96" s="919">
        <f t="shared" si="7"/>
        <v>36.670030000000011</v>
      </c>
      <c r="H96" s="919">
        <f t="shared" si="7"/>
        <v>0</v>
      </c>
      <c r="I96" s="919">
        <f t="shared" si="7"/>
        <v>0</v>
      </c>
      <c r="J96" s="919">
        <f t="shared" si="7"/>
        <v>10.910029999999997</v>
      </c>
      <c r="K96" s="919">
        <f t="shared" si="7"/>
        <v>24.770000000000003</v>
      </c>
      <c r="L96" s="919">
        <f t="shared" si="7"/>
        <v>0</v>
      </c>
      <c r="M96" s="919">
        <f t="shared" si="7"/>
        <v>0</v>
      </c>
      <c r="N96" s="919">
        <f t="shared" si="7"/>
        <v>0</v>
      </c>
      <c r="O96" s="919">
        <f t="shared" si="7"/>
        <v>0</v>
      </c>
      <c r="P96" s="919">
        <f t="shared" si="7"/>
        <v>0.05</v>
      </c>
      <c r="Q96" s="919">
        <f t="shared" si="7"/>
        <v>0</v>
      </c>
      <c r="R96" s="919"/>
      <c r="S96" s="919">
        <f t="shared" si="7"/>
        <v>0.11</v>
      </c>
      <c r="T96" s="919">
        <f t="shared" si="7"/>
        <v>0</v>
      </c>
      <c r="U96" s="919"/>
      <c r="V96" s="919">
        <f t="shared" si="7"/>
        <v>0.11</v>
      </c>
      <c r="W96" s="896"/>
      <c r="X96" s="944"/>
      <c r="Y96" s="1013"/>
      <c r="Z96" s="1013"/>
    </row>
    <row r="97" spans="1:26" hidden="1">
      <c r="A97" s="920"/>
    </row>
    <row r="98" spans="1:26">
      <c r="A98" s="924"/>
    </row>
    <row r="99" spans="1:26">
      <c r="A99" s="924"/>
      <c r="B99" s="997"/>
      <c r="C99" s="926"/>
      <c r="G99" s="927"/>
    </row>
    <row r="100" spans="1:26">
      <c r="A100" s="924"/>
      <c r="B100" s="997"/>
      <c r="G100" s="927"/>
      <c r="H100" s="927"/>
      <c r="I100" s="927"/>
    </row>
    <row r="101" spans="1:26">
      <c r="A101" s="924"/>
      <c r="G101" s="928"/>
      <c r="H101" s="928"/>
      <c r="I101" s="928"/>
    </row>
    <row r="102" spans="1:26" s="921" customFormat="1">
      <c r="A102" s="924"/>
      <c r="B102" s="981"/>
      <c r="C102" s="900"/>
      <c r="D102" s="900"/>
      <c r="F102" s="922"/>
      <c r="G102" s="928"/>
      <c r="H102" s="928"/>
      <c r="I102" s="928"/>
      <c r="K102" s="1132"/>
      <c r="M102" s="927"/>
      <c r="N102" s="927"/>
      <c r="O102" s="927"/>
      <c r="W102" s="923"/>
      <c r="Y102" s="897"/>
      <c r="Z102" s="897"/>
    </row>
    <row r="103" spans="1:26" s="921" customFormat="1">
      <c r="A103" s="924"/>
      <c r="B103" s="981"/>
      <c r="C103" s="900"/>
      <c r="D103" s="900"/>
      <c r="F103" s="922"/>
      <c r="G103" s="928"/>
      <c r="H103" s="928"/>
      <c r="I103" s="928"/>
      <c r="K103" s="1132"/>
      <c r="M103" s="927"/>
      <c r="N103" s="927"/>
      <c r="O103" s="927"/>
      <c r="S103" s="927"/>
      <c r="W103" s="923"/>
      <c r="Y103" s="897"/>
      <c r="Z103" s="897"/>
    </row>
    <row r="104" spans="1:26" s="921" customFormat="1">
      <c r="A104" s="924"/>
      <c r="B104" s="981"/>
      <c r="C104" s="900"/>
      <c r="D104" s="900"/>
      <c r="F104" s="922"/>
      <c r="G104" s="928"/>
      <c r="H104" s="928"/>
      <c r="I104" s="928"/>
      <c r="K104" s="1132"/>
      <c r="W104" s="923"/>
      <c r="Y104" s="897"/>
      <c r="Z104" s="897"/>
    </row>
    <row r="105" spans="1:26" s="921" customFormat="1">
      <c r="A105" s="924"/>
      <c r="B105" s="998"/>
      <c r="C105" s="900"/>
      <c r="D105" s="900"/>
      <c r="F105" s="922"/>
      <c r="G105" s="928"/>
      <c r="H105" s="928"/>
      <c r="I105" s="928"/>
      <c r="K105" s="1132"/>
      <c r="W105" s="923"/>
      <c r="Y105" s="897"/>
      <c r="Z105" s="897"/>
    </row>
    <row r="106" spans="1:26" s="921" customFormat="1">
      <c r="A106" s="924"/>
      <c r="B106" s="981"/>
      <c r="C106" s="900"/>
      <c r="D106" s="900"/>
      <c r="F106" s="922"/>
      <c r="G106" s="928"/>
      <c r="H106" s="928"/>
      <c r="I106" s="928"/>
      <c r="K106" s="1132"/>
      <c r="W106" s="923"/>
      <c r="Y106" s="897"/>
      <c r="Z106" s="897"/>
    </row>
    <row r="107" spans="1:26" s="921" customFormat="1">
      <c r="A107" s="924"/>
      <c r="B107" s="981"/>
      <c r="C107" s="900"/>
      <c r="D107" s="900"/>
      <c r="F107" s="922"/>
      <c r="G107" s="928"/>
      <c r="H107" s="928"/>
      <c r="I107" s="928"/>
      <c r="W107" s="923"/>
      <c r="Y107" s="897"/>
      <c r="Z107" s="897"/>
    </row>
    <row r="108" spans="1:26" s="921" customFormat="1">
      <c r="A108" s="924"/>
      <c r="B108" s="981"/>
      <c r="C108" s="900"/>
      <c r="D108" s="900"/>
      <c r="F108" s="922"/>
      <c r="G108" s="928"/>
      <c r="H108" s="928"/>
      <c r="I108" s="928"/>
      <c r="W108" s="923"/>
      <c r="Y108" s="897"/>
      <c r="Z108" s="897"/>
    </row>
    <row r="109" spans="1:26" s="921" customFormat="1">
      <c r="A109" s="924"/>
      <c r="B109" s="981"/>
      <c r="C109" s="900"/>
      <c r="D109" s="900"/>
      <c r="F109" s="922"/>
      <c r="G109" s="928"/>
      <c r="H109" s="928"/>
      <c r="I109" s="928"/>
      <c r="W109" s="923"/>
      <c r="Y109" s="897"/>
      <c r="Z109" s="897"/>
    </row>
    <row r="110" spans="1:26" s="921" customFormat="1">
      <c r="A110" s="924"/>
      <c r="B110" s="981"/>
      <c r="C110" s="900"/>
      <c r="D110" s="900"/>
      <c r="F110" s="922"/>
      <c r="G110" s="928"/>
      <c r="H110" s="928"/>
      <c r="I110" s="928"/>
      <c r="W110" s="923"/>
      <c r="Y110" s="897"/>
      <c r="Z110" s="897"/>
    </row>
    <row r="111" spans="1:26" s="921" customFormat="1">
      <c r="A111" s="924"/>
      <c r="B111" s="981"/>
      <c r="C111" s="900"/>
      <c r="D111" s="900"/>
      <c r="F111" s="922"/>
      <c r="G111" s="928"/>
      <c r="H111" s="928"/>
      <c r="I111" s="928"/>
      <c r="W111" s="923"/>
      <c r="Y111" s="897"/>
      <c r="Z111" s="897"/>
    </row>
    <row r="112" spans="1:26" s="921" customFormat="1">
      <c r="A112" s="924"/>
      <c r="B112" s="981"/>
      <c r="C112" s="900"/>
      <c r="D112" s="900"/>
      <c r="F112" s="922"/>
      <c r="G112" s="928"/>
      <c r="H112" s="928"/>
      <c r="I112" s="928"/>
      <c r="W112" s="923"/>
      <c r="Y112" s="897"/>
      <c r="Z112" s="897"/>
    </row>
    <row r="113" spans="1:26" s="921" customFormat="1">
      <c r="A113" s="924"/>
      <c r="B113" s="981"/>
      <c r="C113" s="900"/>
      <c r="D113" s="900"/>
      <c r="F113" s="922"/>
      <c r="G113" s="928"/>
      <c r="H113" s="928"/>
      <c r="I113" s="928"/>
      <c r="W113" s="923"/>
      <c r="Y113" s="897"/>
      <c r="Z113" s="897"/>
    </row>
    <row r="114" spans="1:26" s="921" customFormat="1">
      <c r="A114" s="924"/>
      <c r="B114" s="981"/>
      <c r="C114" s="900"/>
      <c r="D114" s="900"/>
      <c r="F114" s="922"/>
      <c r="G114" s="928"/>
      <c r="H114" s="928"/>
      <c r="I114" s="928"/>
      <c r="W114" s="923"/>
      <c r="Y114" s="897"/>
      <c r="Z114" s="897"/>
    </row>
    <row r="115" spans="1:26" s="921" customFormat="1">
      <c r="A115" s="924"/>
      <c r="B115" s="981"/>
      <c r="C115" s="900"/>
      <c r="D115" s="900"/>
      <c r="F115" s="922"/>
      <c r="G115" s="928"/>
      <c r="H115" s="928"/>
      <c r="I115" s="928"/>
      <c r="W115" s="923"/>
      <c r="Y115" s="897"/>
      <c r="Z115" s="897"/>
    </row>
    <row r="116" spans="1:26" s="921" customFormat="1">
      <c r="A116" s="924"/>
      <c r="B116" s="981"/>
      <c r="C116" s="900"/>
      <c r="D116" s="900"/>
      <c r="F116" s="922"/>
      <c r="G116" s="928"/>
      <c r="H116" s="928"/>
      <c r="I116" s="928"/>
      <c r="W116" s="923"/>
      <c r="Y116" s="897"/>
      <c r="Z116" s="897"/>
    </row>
    <row r="117" spans="1:26" s="921" customFormat="1">
      <c r="A117" s="924"/>
      <c r="B117" s="981"/>
      <c r="C117" s="900"/>
      <c r="D117" s="900">
        <f>24+13+19</f>
        <v>56</v>
      </c>
      <c r="F117" s="922"/>
      <c r="G117" s="928"/>
      <c r="H117" s="928"/>
      <c r="I117" s="928"/>
      <c r="W117" s="923"/>
      <c r="Y117" s="897"/>
      <c r="Z117" s="897"/>
    </row>
    <row r="118" spans="1:26" s="921" customFormat="1">
      <c r="A118" s="924"/>
      <c r="B118" s="981"/>
      <c r="C118" s="900"/>
      <c r="D118" s="900"/>
      <c r="F118" s="922"/>
      <c r="G118" s="930"/>
      <c r="H118" s="930"/>
      <c r="I118" s="930"/>
      <c r="W118" s="923"/>
      <c r="Y118" s="897"/>
      <c r="Z118" s="897"/>
    </row>
    <row r="119" spans="1:26" s="921" customFormat="1">
      <c r="A119" s="924"/>
      <c r="B119" s="981"/>
      <c r="C119" s="900"/>
      <c r="D119" s="900"/>
      <c r="F119" s="922"/>
      <c r="W119" s="923"/>
      <c r="Y119" s="897"/>
      <c r="Z119" s="897"/>
    </row>
    <row r="120" spans="1:26" s="921" customFormat="1">
      <c r="A120" s="924"/>
      <c r="B120" s="981"/>
      <c r="C120" s="900"/>
      <c r="D120" s="900"/>
      <c r="F120" s="922"/>
      <c r="W120" s="923"/>
      <c r="Y120" s="897"/>
      <c r="Z120" s="897"/>
    </row>
    <row r="121" spans="1:26" s="921" customFormat="1">
      <c r="A121" s="924"/>
      <c r="B121" s="981"/>
      <c r="C121" s="900"/>
      <c r="D121" s="900"/>
      <c r="F121" s="922"/>
      <c r="W121" s="923"/>
      <c r="Y121" s="897"/>
      <c r="Z121" s="897"/>
    </row>
    <row r="122" spans="1:26" s="921" customFormat="1">
      <c r="A122" s="924"/>
      <c r="B122" s="981"/>
      <c r="C122" s="900"/>
      <c r="D122" s="900"/>
      <c r="F122" s="922"/>
      <c r="W122" s="923"/>
      <c r="Y122" s="897"/>
      <c r="Z122" s="897"/>
    </row>
    <row r="123" spans="1:26" s="921" customFormat="1">
      <c r="A123" s="924"/>
      <c r="B123" s="981"/>
      <c r="C123" s="900"/>
      <c r="D123" s="900"/>
      <c r="F123" s="922"/>
      <c r="W123" s="923"/>
      <c r="Y123" s="897"/>
      <c r="Z123" s="897"/>
    </row>
    <row r="124" spans="1:26" s="921" customFormat="1">
      <c r="A124" s="924"/>
      <c r="B124" s="981"/>
      <c r="C124" s="900"/>
      <c r="D124" s="900"/>
      <c r="F124" s="922"/>
      <c r="W124" s="923"/>
      <c r="Y124" s="897"/>
      <c r="Z124" s="897"/>
    </row>
    <row r="125" spans="1:26" s="921" customFormat="1">
      <c r="A125" s="924"/>
      <c r="B125" s="981"/>
      <c r="C125" s="900"/>
      <c r="D125" s="900"/>
      <c r="F125" s="922"/>
      <c r="W125" s="923"/>
      <c r="Y125" s="897"/>
      <c r="Z125" s="897"/>
    </row>
  </sheetData>
  <autoFilter ref="A9:Y97">
    <filterColumn colId="2">
      <filters>
        <filter val="NKH"/>
      </filters>
    </filterColumn>
    <filterColumn colId="22">
      <filters>
        <filter val="Xã Rờ Kơi"/>
      </filters>
    </filterColumn>
  </autoFilter>
  <mergeCells count="15">
    <mergeCell ref="A96:B96"/>
    <mergeCell ref="W4:W7"/>
    <mergeCell ref="X4:X7"/>
    <mergeCell ref="Y4:Y7"/>
    <mergeCell ref="Z4:Z7"/>
    <mergeCell ref="A1:Y1"/>
    <mergeCell ref="A2:Y2"/>
    <mergeCell ref="A3:Y3"/>
    <mergeCell ref="A4:A7"/>
    <mergeCell ref="B4:B7"/>
    <mergeCell ref="C4:C7"/>
    <mergeCell ref="D4:D7"/>
    <mergeCell ref="E4:E7"/>
    <mergeCell ref="F4:F7"/>
    <mergeCell ref="G4:V6"/>
  </mergeCells>
  <printOptions horizontalCentered="1"/>
  <pageMargins left="0.17" right="0.19685039370078741" top="0.57999999999999996" bottom="0.31496062992125984" header="0" footer="0.31496062992125984"/>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B10QH</vt:lpstr>
      <vt:lpstr>B3</vt:lpstr>
      <vt:lpstr>ss QH 2021-2030</vt:lpstr>
      <vt:lpstr>B1 (2)</vt:lpstr>
      <vt:lpstr>Cộng giảm HT</vt:lpstr>
      <vt:lpstr>CÔng TăngHT</vt:lpstr>
      <vt:lpstr>SS (2)</vt:lpstr>
      <vt:lpstr>Sheet3</vt:lpstr>
      <vt:lpstr>Đã thực hiện</vt:lpstr>
      <vt:lpstr>B1</vt:lpstr>
      <vt:lpstr>B2</vt:lpstr>
      <vt:lpstr>B6</vt:lpstr>
      <vt:lpstr>B7</vt:lpstr>
      <vt:lpstr>B8</vt:lpstr>
      <vt:lpstr>B9</vt:lpstr>
      <vt:lpstr>tạm thời bỏ</vt:lpstr>
      <vt:lpstr>B10 IN</vt:lpstr>
      <vt:lpstr>B10 2024</vt:lpstr>
      <vt:lpstr>SS</vt:lpstr>
      <vt:lpstr>B13</vt:lpstr>
      <vt:lpstr>CÔng Tăng</vt:lpstr>
      <vt:lpstr>Cộng giảm</vt:lpstr>
      <vt:lpstr>thu chi</vt:lpstr>
      <vt:lpstr>'B13'!OLE_LINK1</vt:lpstr>
      <vt:lpstr>'B1'!Print_Area</vt:lpstr>
      <vt:lpstr>'B10 2024'!Print_Area</vt:lpstr>
      <vt:lpstr>'B10 IN'!Print_Area</vt:lpstr>
      <vt:lpstr>'B13'!Print_Area</vt:lpstr>
      <vt:lpstr>'B6'!Print_Area</vt:lpstr>
      <vt:lpstr>'B7'!Print_Area</vt:lpstr>
      <vt:lpstr>'B8'!Print_Area</vt:lpstr>
      <vt:lpstr>'B9'!Print_Area</vt:lpstr>
      <vt:lpstr>'Đã thực hiện'!Print_Area</vt:lpstr>
      <vt:lpstr>'tạm thời bỏ'!Print_Area</vt:lpstr>
      <vt:lpstr>'B1'!Print_Titles</vt:lpstr>
      <vt:lpstr>'B10 2024'!Print_Titles</vt:lpstr>
      <vt:lpstr>'B10 IN'!Print_Titles</vt:lpstr>
      <vt:lpstr>B10QH!Print_Titles</vt:lpstr>
      <vt:lpstr>'B2'!Print_Titles</vt:lpstr>
      <vt:lpstr>'B3'!Print_Titles</vt:lpstr>
      <vt:lpstr>'B6'!Print_Titles</vt:lpstr>
      <vt:lpstr>'Đã thực hiện'!Print_Titles</vt:lpstr>
      <vt:lpstr>'tạm thời bỏ'!Print_Titles</vt:lpstr>
    </vt:vector>
  </TitlesOfParts>
  <Company>8XSPACE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Hieu</dc:creator>
  <cp:lastModifiedBy>Admin</cp:lastModifiedBy>
  <cp:lastPrinted>2023-10-20T08:17:36Z</cp:lastPrinted>
  <dcterms:created xsi:type="dcterms:W3CDTF">2014-08-23T06:49:19Z</dcterms:created>
  <dcterms:modified xsi:type="dcterms:W3CDTF">2023-10-25T01:09:15Z</dcterms:modified>
</cp:coreProperties>
</file>