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540" windowWidth="15600" windowHeight="6135" firstSheet="3" activeTab="6"/>
  </bookViews>
  <sheets>
    <sheet name="B31_TT342" sheetId="70" state="hidden" r:id="rId1"/>
    <sheet name="BIEU 29_TT342" sheetId="69" state="hidden" r:id="rId2"/>
    <sheet name="bieu 16" sheetId="68" state="hidden" r:id="rId3"/>
    <sheet name="32" sheetId="73" r:id="rId4"/>
    <sheet name="biểu 04" sheetId="74" r:id="rId5"/>
    <sheet name="mau 06" sheetId="66" state="hidden" r:id="rId6"/>
    <sheet name="Mau 05 UB (2)" sheetId="71" r:id="rId7"/>
    <sheet name="08 XA" sheetId="72" r:id="rId8"/>
    <sheet name="Sheet1" sheetId="75" state="hidden" r:id="rId9"/>
  </sheets>
  <externalReferences>
    <externalReference r:id="rId10"/>
    <externalReference r:id="rId11"/>
    <externalReference r:id="rId12"/>
    <externalReference r:id="rId13"/>
    <externalReference r:id="rId14"/>
    <externalReference r:id="rId15"/>
    <externalReference r:id="rId16"/>
    <externalReference r:id="rId17"/>
    <externalReference r:id="rId18"/>
  </externalReferences>
  <definedNames>
    <definedName name="_">#N/A</definedName>
    <definedName name="_??" localSheetId="7">BlankMacro1</definedName>
    <definedName name="_??" localSheetId="3">BlankMacro1</definedName>
    <definedName name="_??" localSheetId="6">BlankMacro1</definedName>
    <definedName name="_??">BlankMacro1</definedName>
    <definedName name="_??????1" localSheetId="7">BlankMacro1</definedName>
    <definedName name="_??????1" localSheetId="3">BlankMacro1</definedName>
    <definedName name="_??????1" localSheetId="6">BlankMacro1</definedName>
    <definedName name="_??????1">BlankMacro1</definedName>
    <definedName name="_??????2" localSheetId="7">BlankMacro1</definedName>
    <definedName name="_??????2" localSheetId="3">BlankMacro1</definedName>
    <definedName name="_??????2" localSheetId="6">BlankMacro1</definedName>
    <definedName name="_??????2">BlankMacro1</definedName>
    <definedName name="_??????3" localSheetId="7">BlankMacro1</definedName>
    <definedName name="_??????3" localSheetId="3">BlankMacro1</definedName>
    <definedName name="_??????3" localSheetId="6">BlankMacro1</definedName>
    <definedName name="_??????3">BlankMacro1</definedName>
    <definedName name="_??????4" localSheetId="7">BlankMacro1</definedName>
    <definedName name="_??????4" localSheetId="3">BlankMacro1</definedName>
    <definedName name="_??????4" localSheetId="6">BlankMacro1</definedName>
    <definedName name="_??????4">BlankMacro1</definedName>
    <definedName name="_??????5" localSheetId="7">BlankMacro1</definedName>
    <definedName name="_??????5" localSheetId="3">BlankMacro1</definedName>
    <definedName name="_??????5" localSheetId="6">BlankMacro1</definedName>
    <definedName name="_??????5">BlankMacro1</definedName>
    <definedName name="_??????6" localSheetId="7">BlankMacro1</definedName>
    <definedName name="_??????6" localSheetId="3">BlankMacro1</definedName>
    <definedName name="_??????6" localSheetId="6">BlankMacro1</definedName>
    <definedName name="_??????6">BlankMacro1</definedName>
    <definedName name="_________a1" localSheetId="7" hidden="1">{"'Sheet1'!$L$16"}</definedName>
    <definedName name="_________a1" localSheetId="3" hidden="1">{"'Sheet1'!$L$16"}</definedName>
    <definedName name="_________a1" localSheetId="6" hidden="1">{"'Sheet1'!$L$16"}</definedName>
    <definedName name="_________a1" hidden="1">{"'Sheet1'!$L$16"}</definedName>
    <definedName name="_________PA3" localSheetId="7" hidden="1">{"'Sheet1'!$L$16"}</definedName>
    <definedName name="_________PA3" localSheetId="3" hidden="1">{"'Sheet1'!$L$16"}</definedName>
    <definedName name="_________PA3" localSheetId="6" hidden="1">{"'Sheet1'!$L$16"}</definedName>
    <definedName name="_________PA3" hidden="1">{"'Sheet1'!$L$16"}</definedName>
    <definedName name="_______a1" localSheetId="7" hidden="1">{"'Sheet1'!$L$16"}</definedName>
    <definedName name="_______a1" localSheetId="3" hidden="1">{"'Sheet1'!$L$16"}</definedName>
    <definedName name="_______a1" localSheetId="6" hidden="1">{"'Sheet1'!$L$16"}</definedName>
    <definedName name="_______a1" hidden="1">{"'Sheet1'!$L$16"}</definedName>
    <definedName name="_______btm10" localSheetId="3">#REF!</definedName>
    <definedName name="_______btm10">#REF!</definedName>
    <definedName name="_______btm100" localSheetId="7">#REF!</definedName>
    <definedName name="_______btm100" localSheetId="3">#REF!</definedName>
    <definedName name="_______btm100">#REF!</definedName>
    <definedName name="_______hom2" localSheetId="7">#REF!</definedName>
    <definedName name="_______hom2" localSheetId="3">#REF!</definedName>
    <definedName name="_______hom2">#REF!</definedName>
    <definedName name="_______KM188" localSheetId="7">#REF!</definedName>
    <definedName name="_______KM188" localSheetId="3">#REF!</definedName>
    <definedName name="_______KM188">#REF!</definedName>
    <definedName name="_______km189" localSheetId="7">#REF!</definedName>
    <definedName name="_______km189" localSheetId="3">#REF!</definedName>
    <definedName name="_______km189">#REF!</definedName>
    <definedName name="_______km193" localSheetId="7">#REF!</definedName>
    <definedName name="_______km193" localSheetId="3">#REF!</definedName>
    <definedName name="_______km193">#REF!</definedName>
    <definedName name="_______km194" localSheetId="7">#REF!</definedName>
    <definedName name="_______km194" localSheetId="3">#REF!</definedName>
    <definedName name="_______km194">#REF!</definedName>
    <definedName name="_______km195" localSheetId="7">#REF!</definedName>
    <definedName name="_______km195" localSheetId="3">#REF!</definedName>
    <definedName name="_______km195">#REF!</definedName>
    <definedName name="_______km197" localSheetId="7">#REF!</definedName>
    <definedName name="_______km197" localSheetId="3">#REF!</definedName>
    <definedName name="_______km197">#REF!</definedName>
    <definedName name="_______km198" localSheetId="7">#REF!</definedName>
    <definedName name="_______km198" localSheetId="3">#REF!</definedName>
    <definedName name="_______km198">#REF!</definedName>
    <definedName name="_______NCL100" localSheetId="7">#REF!</definedName>
    <definedName name="_______NCL100" localSheetId="3">#REF!</definedName>
    <definedName name="_______NCL100">#REF!</definedName>
    <definedName name="_______NCL200" localSheetId="7">#REF!</definedName>
    <definedName name="_______NCL200" localSheetId="3">#REF!</definedName>
    <definedName name="_______NCL200">#REF!</definedName>
    <definedName name="_______NCL250" localSheetId="7">#REF!</definedName>
    <definedName name="_______NCL250" localSheetId="3">#REF!</definedName>
    <definedName name="_______NCL250">#REF!</definedName>
    <definedName name="_______nin190" localSheetId="7">#REF!</definedName>
    <definedName name="_______nin190" localSheetId="3">#REF!</definedName>
    <definedName name="_______nin190">#REF!</definedName>
    <definedName name="_______NSO2" localSheetId="7" hidden="1">{"'Sheet1'!$L$16"}</definedName>
    <definedName name="_______NSO2" localSheetId="3" hidden="1">{"'Sheet1'!$L$16"}</definedName>
    <definedName name="_______NSO2" localSheetId="6" hidden="1">{"'Sheet1'!$L$16"}</definedName>
    <definedName name="_______NSO2" hidden="1">{"'Sheet1'!$L$16"}</definedName>
    <definedName name="_______PA3" localSheetId="7" hidden="1">{"'Sheet1'!$L$16"}</definedName>
    <definedName name="_______PA3" localSheetId="3" hidden="1">{"'Sheet1'!$L$16"}</definedName>
    <definedName name="_______PA3" localSheetId="6" hidden="1">{"'Sheet1'!$L$16"}</definedName>
    <definedName name="_______PA3" hidden="1">{"'Sheet1'!$L$16"}</definedName>
    <definedName name="_______SN3" localSheetId="3">#REF!</definedName>
    <definedName name="_______SN3">#REF!</definedName>
    <definedName name="_______sua20" localSheetId="7">#REF!</definedName>
    <definedName name="_______sua20" localSheetId="3">#REF!</definedName>
    <definedName name="_______sua20">#REF!</definedName>
    <definedName name="_______sua30" localSheetId="7">#REF!</definedName>
    <definedName name="_______sua30" localSheetId="3">#REF!</definedName>
    <definedName name="_______sua30">#REF!</definedName>
    <definedName name="_______TB1" localSheetId="7">#REF!</definedName>
    <definedName name="_______TB1" localSheetId="3">#REF!</definedName>
    <definedName name="_______TB1">#REF!</definedName>
    <definedName name="_______TL3" localSheetId="7">#REF!</definedName>
    <definedName name="_______TL3" localSheetId="3">#REF!</definedName>
    <definedName name="_______TL3">#REF!</definedName>
    <definedName name="_______VL100" localSheetId="7">#REF!</definedName>
    <definedName name="_______VL100" localSheetId="3">#REF!</definedName>
    <definedName name="_______VL100">#REF!</definedName>
    <definedName name="_______VL250" localSheetId="7">#REF!</definedName>
    <definedName name="_______VL250" localSheetId="3">#REF!</definedName>
    <definedName name="_______VL250">#REF!</definedName>
    <definedName name="______a1" localSheetId="7" hidden="1">{"'Sheet1'!$L$16"}</definedName>
    <definedName name="______a1" localSheetId="3" hidden="1">{"'Sheet1'!$L$16"}</definedName>
    <definedName name="______a1" localSheetId="6" hidden="1">{"'Sheet1'!$L$16"}</definedName>
    <definedName name="______a1" hidden="1">{"'Sheet1'!$L$16"}</definedName>
    <definedName name="______boi1" localSheetId="3">#REF!</definedName>
    <definedName name="______boi1">#REF!</definedName>
    <definedName name="______boi2" localSheetId="7">#REF!</definedName>
    <definedName name="______boi2" localSheetId="3">#REF!</definedName>
    <definedName name="______boi2">#REF!</definedName>
    <definedName name="______boi3" localSheetId="7">#REF!</definedName>
    <definedName name="______boi3" localSheetId="3">#REF!</definedName>
    <definedName name="______boi3">#REF!</definedName>
    <definedName name="______boi4" localSheetId="7">#REF!</definedName>
    <definedName name="______boi4" localSheetId="3">#REF!</definedName>
    <definedName name="______boi4">#REF!</definedName>
    <definedName name="______btm10" localSheetId="7">#REF!</definedName>
    <definedName name="______btm10" localSheetId="3">#REF!</definedName>
    <definedName name="______btm10">#REF!</definedName>
    <definedName name="______btm100" localSheetId="7">#REF!</definedName>
    <definedName name="______btm100" localSheetId="3">#REF!</definedName>
    <definedName name="______btm100">#REF!</definedName>
    <definedName name="______BTM250" localSheetId="7">#REF!</definedName>
    <definedName name="______BTM250" localSheetId="3">#REF!</definedName>
    <definedName name="______BTM250">#REF!</definedName>
    <definedName name="______btM300" localSheetId="7">#REF!</definedName>
    <definedName name="______btM300" localSheetId="3">#REF!</definedName>
    <definedName name="______btM300">#REF!</definedName>
    <definedName name="______cao1" localSheetId="7">#REF!</definedName>
    <definedName name="______cao1" localSheetId="3">#REF!</definedName>
    <definedName name="______cao1">#REF!</definedName>
    <definedName name="______cao2" localSheetId="7">#REF!</definedName>
    <definedName name="______cao2" localSheetId="3">#REF!</definedName>
    <definedName name="______cao2">#REF!</definedName>
    <definedName name="______cao3" localSheetId="7">#REF!</definedName>
    <definedName name="______cao3" localSheetId="3">#REF!</definedName>
    <definedName name="______cao3">#REF!</definedName>
    <definedName name="______cao4" localSheetId="7">#REF!</definedName>
    <definedName name="______cao4" localSheetId="3">#REF!</definedName>
    <definedName name="______cao4">#REF!</definedName>
    <definedName name="______cao5" localSheetId="7">#REF!</definedName>
    <definedName name="______cao5" localSheetId="3">#REF!</definedName>
    <definedName name="______cao5">#REF!</definedName>
    <definedName name="______cao6" localSheetId="7">#REF!</definedName>
    <definedName name="______cao6" localSheetId="3">#REF!</definedName>
    <definedName name="______cao6">#REF!</definedName>
    <definedName name="______CON1" localSheetId="7">#REF!</definedName>
    <definedName name="______CON1" localSheetId="3">#REF!</definedName>
    <definedName name="______CON1">#REF!</definedName>
    <definedName name="______CON2" localSheetId="7">#REF!</definedName>
    <definedName name="______CON2" localSheetId="3">#REF!</definedName>
    <definedName name="______CON2">#REF!</definedName>
    <definedName name="______dai1" localSheetId="7">#REF!</definedName>
    <definedName name="______dai1" localSheetId="3">#REF!</definedName>
    <definedName name="______dai1">#REF!</definedName>
    <definedName name="______dai2" localSheetId="7">#REF!</definedName>
    <definedName name="______dai2" localSheetId="3">#REF!</definedName>
    <definedName name="______dai2">#REF!</definedName>
    <definedName name="______dai3" localSheetId="7">#REF!</definedName>
    <definedName name="______dai3" localSheetId="3">#REF!</definedName>
    <definedName name="______dai3">#REF!</definedName>
    <definedName name="______dai4" localSheetId="7">#REF!</definedName>
    <definedName name="______dai4" localSheetId="3">#REF!</definedName>
    <definedName name="______dai4">#REF!</definedName>
    <definedName name="______dai5" localSheetId="7">#REF!</definedName>
    <definedName name="______dai5" localSheetId="3">#REF!</definedName>
    <definedName name="______dai5">#REF!</definedName>
    <definedName name="______dai6" localSheetId="7">#REF!</definedName>
    <definedName name="______dai6" localSheetId="3">#REF!</definedName>
    <definedName name="______dai6">#REF!</definedName>
    <definedName name="______dan1" localSheetId="7">#REF!</definedName>
    <definedName name="______dan1" localSheetId="3">#REF!</definedName>
    <definedName name="______dan1">#REF!</definedName>
    <definedName name="______dan2" localSheetId="7">#REF!</definedName>
    <definedName name="______dan2" localSheetId="3">#REF!</definedName>
    <definedName name="______dan2">#REF!</definedName>
    <definedName name="______ddn400" localSheetId="7">#REF!</definedName>
    <definedName name="______ddn400" localSheetId="3">#REF!</definedName>
    <definedName name="______ddn400">#REF!</definedName>
    <definedName name="______ddn600" localSheetId="7">#REF!</definedName>
    <definedName name="______ddn600" localSheetId="3">#REF!</definedName>
    <definedName name="______ddn600">#REF!</definedName>
    <definedName name="______gon4" localSheetId="7">#REF!</definedName>
    <definedName name="______gon4" localSheetId="3">#REF!</definedName>
    <definedName name="______gon4">#REF!</definedName>
    <definedName name="______h1" localSheetId="7" hidden="1">{"'Sheet1'!$L$16"}</definedName>
    <definedName name="______h1" localSheetId="3" hidden="1">{"'Sheet1'!$L$16"}</definedName>
    <definedName name="______h1" localSheetId="6" hidden="1">{"'Sheet1'!$L$16"}</definedName>
    <definedName name="______h1" hidden="1">{"'Sheet1'!$L$16"}</definedName>
    <definedName name="______h10" localSheetId="7" hidden="1">{#N/A,#N/A,FALSE,"Chi tiÆt"}</definedName>
    <definedName name="______h10" localSheetId="3" hidden="1">{#N/A,#N/A,FALSE,"Chi tiÆt"}</definedName>
    <definedName name="______h10" localSheetId="6" hidden="1">{#N/A,#N/A,FALSE,"Chi tiÆt"}</definedName>
    <definedName name="______h10" hidden="1">{#N/A,#N/A,FALSE,"Chi tiÆt"}</definedName>
    <definedName name="______h2" localSheetId="7" hidden="1">{"'Sheet1'!$L$16"}</definedName>
    <definedName name="______h2" localSheetId="3" hidden="1">{"'Sheet1'!$L$16"}</definedName>
    <definedName name="______h2" localSheetId="6" hidden="1">{"'Sheet1'!$L$16"}</definedName>
    <definedName name="______h2" hidden="1">{"'Sheet1'!$L$16"}</definedName>
    <definedName name="______h3" localSheetId="7" hidden="1">{"'Sheet1'!$L$16"}</definedName>
    <definedName name="______h3" localSheetId="3" hidden="1">{"'Sheet1'!$L$16"}</definedName>
    <definedName name="______h3" localSheetId="6" hidden="1">{"'Sheet1'!$L$16"}</definedName>
    <definedName name="______h3" hidden="1">{"'Sheet1'!$L$16"}</definedName>
    <definedName name="______h5" localSheetId="7" hidden="1">{"'Sheet1'!$L$16"}</definedName>
    <definedName name="______h5" localSheetId="3" hidden="1">{"'Sheet1'!$L$16"}</definedName>
    <definedName name="______h5" localSheetId="6" hidden="1">{"'Sheet1'!$L$16"}</definedName>
    <definedName name="______h5" hidden="1">{"'Sheet1'!$L$16"}</definedName>
    <definedName name="______h6" localSheetId="7" hidden="1">{"'Sheet1'!$L$16"}</definedName>
    <definedName name="______h6" localSheetId="3" hidden="1">{"'Sheet1'!$L$16"}</definedName>
    <definedName name="______h6" localSheetId="6" hidden="1">{"'Sheet1'!$L$16"}</definedName>
    <definedName name="______h6" hidden="1">{"'Sheet1'!$L$16"}</definedName>
    <definedName name="______h7" localSheetId="7" hidden="1">{"'Sheet1'!$L$16"}</definedName>
    <definedName name="______h7" localSheetId="3" hidden="1">{"'Sheet1'!$L$16"}</definedName>
    <definedName name="______h7" localSheetId="6" hidden="1">{"'Sheet1'!$L$16"}</definedName>
    <definedName name="______h7" hidden="1">{"'Sheet1'!$L$16"}</definedName>
    <definedName name="______h8" localSheetId="7" hidden="1">{"'Sheet1'!$L$16"}</definedName>
    <definedName name="______h8" localSheetId="3" hidden="1">{"'Sheet1'!$L$16"}</definedName>
    <definedName name="______h8" localSheetId="6" hidden="1">{"'Sheet1'!$L$16"}</definedName>
    <definedName name="______h8" hidden="1">{"'Sheet1'!$L$16"}</definedName>
    <definedName name="______h9" localSheetId="7" hidden="1">{"'Sheet1'!$L$16"}</definedName>
    <definedName name="______h9" localSheetId="3" hidden="1">{"'Sheet1'!$L$16"}</definedName>
    <definedName name="______h9" localSheetId="6" hidden="1">{"'Sheet1'!$L$16"}</definedName>
    <definedName name="______h9" hidden="1">{"'Sheet1'!$L$16"}</definedName>
    <definedName name="______hom2" localSheetId="3">#REF!</definedName>
    <definedName name="______hom2">#REF!</definedName>
    <definedName name="______KM188" localSheetId="7">#REF!</definedName>
    <definedName name="______KM188" localSheetId="3">#REF!</definedName>
    <definedName name="______KM188">#REF!</definedName>
    <definedName name="______km189" localSheetId="7">#REF!</definedName>
    <definedName name="______km189" localSheetId="3">#REF!</definedName>
    <definedName name="______km189">#REF!</definedName>
    <definedName name="______km190" localSheetId="7">#REF!</definedName>
    <definedName name="______km190" localSheetId="3">#REF!</definedName>
    <definedName name="______km190">#REF!</definedName>
    <definedName name="______km191" localSheetId="7">#REF!</definedName>
    <definedName name="______km191" localSheetId="3">#REF!</definedName>
    <definedName name="______km191">#REF!</definedName>
    <definedName name="______km192" localSheetId="7">#REF!</definedName>
    <definedName name="______km192" localSheetId="3">#REF!</definedName>
    <definedName name="______km192">#REF!</definedName>
    <definedName name="______km193" localSheetId="7">#REF!</definedName>
    <definedName name="______km193" localSheetId="3">#REF!</definedName>
    <definedName name="______km193">#REF!</definedName>
    <definedName name="______km194" localSheetId="7">#REF!</definedName>
    <definedName name="______km194" localSheetId="3">#REF!</definedName>
    <definedName name="______km194">#REF!</definedName>
    <definedName name="______km195" localSheetId="7">#REF!</definedName>
    <definedName name="______km195" localSheetId="3">#REF!</definedName>
    <definedName name="______km195">#REF!</definedName>
    <definedName name="______km196" localSheetId="7">#REF!</definedName>
    <definedName name="______km196" localSheetId="3">#REF!</definedName>
    <definedName name="______km196">#REF!</definedName>
    <definedName name="______km197" localSheetId="7">#REF!</definedName>
    <definedName name="______km197" localSheetId="3">#REF!</definedName>
    <definedName name="______km197">#REF!</definedName>
    <definedName name="______km198" localSheetId="7">#REF!</definedName>
    <definedName name="______km198" localSheetId="3">#REF!</definedName>
    <definedName name="______km198">#REF!</definedName>
    <definedName name="______lap1" localSheetId="7">#REF!</definedName>
    <definedName name="______lap1" localSheetId="3">#REF!</definedName>
    <definedName name="______lap1">#REF!</definedName>
    <definedName name="______lap2" localSheetId="7">#REF!</definedName>
    <definedName name="______lap2" localSheetId="3">#REF!</definedName>
    <definedName name="______lap2">#REF!</definedName>
    <definedName name="______MAC12" localSheetId="7">#REF!</definedName>
    <definedName name="______MAC12" localSheetId="3">#REF!</definedName>
    <definedName name="______MAC12">#REF!</definedName>
    <definedName name="______MAC46" localSheetId="7">#REF!</definedName>
    <definedName name="______MAC46" localSheetId="3">#REF!</definedName>
    <definedName name="______MAC46">#REF!</definedName>
    <definedName name="______NCL100" localSheetId="7">#REF!</definedName>
    <definedName name="______NCL100" localSheetId="3">#REF!</definedName>
    <definedName name="______NCL100">#REF!</definedName>
    <definedName name="______NCL200" localSheetId="7">#REF!</definedName>
    <definedName name="______NCL200" localSheetId="3">#REF!</definedName>
    <definedName name="______NCL200">#REF!</definedName>
    <definedName name="______NCL250" localSheetId="7">#REF!</definedName>
    <definedName name="______NCL250" localSheetId="3">#REF!</definedName>
    <definedName name="______NCL250">#REF!</definedName>
    <definedName name="______NET2" localSheetId="7">#REF!</definedName>
    <definedName name="______NET2" localSheetId="3">#REF!</definedName>
    <definedName name="______NET2">#REF!</definedName>
    <definedName name="______nin190" localSheetId="7">#REF!</definedName>
    <definedName name="______nin190" localSheetId="3">#REF!</definedName>
    <definedName name="______nin190">#REF!</definedName>
    <definedName name="______NSO2" localSheetId="7" hidden="1">{"'Sheet1'!$L$16"}</definedName>
    <definedName name="______NSO2" localSheetId="3" hidden="1">{"'Sheet1'!$L$16"}</definedName>
    <definedName name="______NSO2" localSheetId="6" hidden="1">{"'Sheet1'!$L$16"}</definedName>
    <definedName name="______NSO2" hidden="1">{"'Sheet1'!$L$16"}</definedName>
    <definedName name="______PA3" localSheetId="7" hidden="1">{"'Sheet1'!$L$16"}</definedName>
    <definedName name="______PA3" localSheetId="3" hidden="1">{"'Sheet1'!$L$16"}</definedName>
    <definedName name="______PA3" localSheetId="6" hidden="1">{"'Sheet1'!$L$16"}</definedName>
    <definedName name="______PA3" hidden="1">{"'Sheet1'!$L$16"}</definedName>
    <definedName name="______phi10" localSheetId="3">#REF!</definedName>
    <definedName name="______phi10">#REF!</definedName>
    <definedName name="______phi12" localSheetId="7">#REF!</definedName>
    <definedName name="______phi12" localSheetId="3">#REF!</definedName>
    <definedName name="______phi12">#REF!</definedName>
    <definedName name="______phi14" localSheetId="7">#REF!</definedName>
    <definedName name="______phi14" localSheetId="3">#REF!</definedName>
    <definedName name="______phi14">#REF!</definedName>
    <definedName name="______phi16" localSheetId="7">#REF!</definedName>
    <definedName name="______phi16" localSheetId="3">#REF!</definedName>
    <definedName name="______phi16">#REF!</definedName>
    <definedName name="______phi18" localSheetId="7">#REF!</definedName>
    <definedName name="______phi18" localSheetId="3">#REF!</definedName>
    <definedName name="______phi18">#REF!</definedName>
    <definedName name="______phi20" localSheetId="7">#REF!</definedName>
    <definedName name="______phi20" localSheetId="3">#REF!</definedName>
    <definedName name="______phi20">#REF!</definedName>
    <definedName name="______phi22" localSheetId="7">#REF!</definedName>
    <definedName name="______phi22" localSheetId="3">#REF!</definedName>
    <definedName name="______phi22">#REF!</definedName>
    <definedName name="______phi25" localSheetId="7">#REF!</definedName>
    <definedName name="______phi25" localSheetId="3">#REF!</definedName>
    <definedName name="______phi25">#REF!</definedName>
    <definedName name="______phi28" localSheetId="7">#REF!</definedName>
    <definedName name="______phi28" localSheetId="3">#REF!</definedName>
    <definedName name="______phi28">#REF!</definedName>
    <definedName name="______phi6" localSheetId="7">#REF!</definedName>
    <definedName name="______phi6" localSheetId="3">#REF!</definedName>
    <definedName name="______phi6">#REF!</definedName>
    <definedName name="______phi8" localSheetId="7">#REF!</definedName>
    <definedName name="______phi8" localSheetId="3">#REF!</definedName>
    <definedName name="______phi8">#REF!</definedName>
    <definedName name="______PL1242" localSheetId="7">#REF!</definedName>
    <definedName name="______PL1242" localSheetId="3">#REF!</definedName>
    <definedName name="______PL1242">#REF!</definedName>
    <definedName name="______sat10" localSheetId="7">#REF!</definedName>
    <definedName name="______sat10" localSheetId="3">#REF!</definedName>
    <definedName name="______sat10">#REF!</definedName>
    <definedName name="______sat14" localSheetId="7">#REF!</definedName>
    <definedName name="______sat14" localSheetId="3">#REF!</definedName>
    <definedName name="______sat14">#REF!</definedName>
    <definedName name="______sat16" localSheetId="7">#REF!</definedName>
    <definedName name="______sat16" localSheetId="3">#REF!</definedName>
    <definedName name="______sat16">#REF!</definedName>
    <definedName name="______sat20" localSheetId="7">#REF!</definedName>
    <definedName name="______sat20" localSheetId="3">#REF!</definedName>
    <definedName name="______sat20">#REF!</definedName>
    <definedName name="______sat8" localSheetId="7">#REF!</definedName>
    <definedName name="______sat8" localSheetId="3">#REF!</definedName>
    <definedName name="______sat8">#REF!</definedName>
    <definedName name="______sc1" localSheetId="7">#REF!</definedName>
    <definedName name="______sc1" localSheetId="3">#REF!</definedName>
    <definedName name="______sc1">#REF!</definedName>
    <definedName name="______SC2" localSheetId="7">#REF!</definedName>
    <definedName name="______SC2" localSheetId="3">#REF!</definedName>
    <definedName name="______SC2">#REF!</definedName>
    <definedName name="______sc3" localSheetId="7">#REF!</definedName>
    <definedName name="______sc3" localSheetId="3">#REF!</definedName>
    <definedName name="______sc3">#REF!</definedName>
    <definedName name="______slg1" localSheetId="7">#REF!</definedName>
    <definedName name="______slg1" localSheetId="3">#REF!</definedName>
    <definedName name="______slg1">#REF!</definedName>
    <definedName name="______slg2" localSheetId="7">#REF!</definedName>
    <definedName name="______slg2" localSheetId="3">#REF!</definedName>
    <definedName name="______slg2">#REF!</definedName>
    <definedName name="______slg3" localSheetId="7">#REF!</definedName>
    <definedName name="______slg3" localSheetId="3">#REF!</definedName>
    <definedName name="______slg3">#REF!</definedName>
    <definedName name="______slg4" localSheetId="7">#REF!</definedName>
    <definedName name="______slg4" localSheetId="3">#REF!</definedName>
    <definedName name="______slg4">#REF!</definedName>
    <definedName name="______slg5" localSheetId="7">#REF!</definedName>
    <definedName name="______slg5" localSheetId="3">#REF!</definedName>
    <definedName name="______slg5">#REF!</definedName>
    <definedName name="______slg6" localSheetId="7">#REF!</definedName>
    <definedName name="______slg6" localSheetId="3">#REF!</definedName>
    <definedName name="______slg6">#REF!</definedName>
    <definedName name="______SN3" localSheetId="7">#REF!</definedName>
    <definedName name="______SN3" localSheetId="3">#REF!</definedName>
    <definedName name="______SN3">#REF!</definedName>
    <definedName name="______sua20" localSheetId="7">#REF!</definedName>
    <definedName name="______sua20" localSheetId="3">#REF!</definedName>
    <definedName name="______sua20">#REF!</definedName>
    <definedName name="______sua30" localSheetId="7">#REF!</definedName>
    <definedName name="______sua30" localSheetId="3">#REF!</definedName>
    <definedName name="______sua30">#REF!</definedName>
    <definedName name="______TB1" localSheetId="7">#REF!</definedName>
    <definedName name="______TB1" localSheetId="3">#REF!</definedName>
    <definedName name="______TB1">#REF!</definedName>
    <definedName name="______TH1" localSheetId="7">#REF!</definedName>
    <definedName name="______TH1" localSheetId="3">#REF!</definedName>
    <definedName name="______TH1">#REF!</definedName>
    <definedName name="______TH2" localSheetId="7">#REF!</definedName>
    <definedName name="______TH2" localSheetId="3">#REF!</definedName>
    <definedName name="______TH2">#REF!</definedName>
    <definedName name="______TH3" localSheetId="7">#REF!</definedName>
    <definedName name="______TH3" localSheetId="3">#REF!</definedName>
    <definedName name="______TH3">#REF!</definedName>
    <definedName name="______TK155" localSheetId="7">#REF!</definedName>
    <definedName name="______TK155" localSheetId="3">#REF!</definedName>
    <definedName name="______TK155">#REF!</definedName>
    <definedName name="______TK422" localSheetId="7">#REF!</definedName>
    <definedName name="______TK422" localSheetId="3">#REF!</definedName>
    <definedName name="______TK422">#REF!</definedName>
    <definedName name="______TL1" localSheetId="7">#REF!</definedName>
    <definedName name="______TL1" localSheetId="3">#REF!</definedName>
    <definedName name="______TL1">#REF!</definedName>
    <definedName name="______TL2" localSheetId="7">#REF!</definedName>
    <definedName name="______TL2" localSheetId="3">#REF!</definedName>
    <definedName name="______TL2">#REF!</definedName>
    <definedName name="______TL3" localSheetId="7">#REF!</definedName>
    <definedName name="______TL3" localSheetId="3">#REF!</definedName>
    <definedName name="______TL3">#REF!</definedName>
    <definedName name="______TLA120" localSheetId="7">#REF!</definedName>
    <definedName name="______TLA120" localSheetId="3">#REF!</definedName>
    <definedName name="______TLA120">#REF!</definedName>
    <definedName name="______TLA35" localSheetId="7">#REF!</definedName>
    <definedName name="______TLA35" localSheetId="3">#REF!</definedName>
    <definedName name="______TLA35">#REF!</definedName>
    <definedName name="______TLA50" localSheetId="7">#REF!</definedName>
    <definedName name="______TLA50" localSheetId="3">#REF!</definedName>
    <definedName name="______TLA50">#REF!</definedName>
    <definedName name="______TLA70" localSheetId="7">#REF!</definedName>
    <definedName name="______TLA70" localSheetId="3">#REF!</definedName>
    <definedName name="______TLA70">#REF!</definedName>
    <definedName name="______TLA95" localSheetId="7">#REF!</definedName>
    <definedName name="______TLA95" localSheetId="3">#REF!</definedName>
    <definedName name="______TLA95">#REF!</definedName>
    <definedName name="______VL100" localSheetId="7">#REF!</definedName>
    <definedName name="______VL100" localSheetId="3">#REF!</definedName>
    <definedName name="______VL100">#REF!</definedName>
    <definedName name="______vl2" localSheetId="7" hidden="1">{"'Sheet1'!$L$16"}</definedName>
    <definedName name="______vl2" localSheetId="3" hidden="1">{"'Sheet1'!$L$16"}</definedName>
    <definedName name="______vl2" localSheetId="6" hidden="1">{"'Sheet1'!$L$16"}</definedName>
    <definedName name="______vl2" hidden="1">{"'Sheet1'!$L$16"}</definedName>
    <definedName name="______VL250" localSheetId="3">#REF!</definedName>
    <definedName name="______VL250">#REF!</definedName>
    <definedName name="_____a1" localSheetId="7" hidden="1">{"'Sheet1'!$L$16"}</definedName>
    <definedName name="_____a1" localSheetId="3" hidden="1">{"'Sheet1'!$L$16"}</definedName>
    <definedName name="_____a1" localSheetId="6" hidden="1">{"'Sheet1'!$L$16"}</definedName>
    <definedName name="_____a1" hidden="1">{"'Sheet1'!$L$16"}</definedName>
    <definedName name="_____boi1" localSheetId="3">#REF!</definedName>
    <definedName name="_____boi1">#REF!</definedName>
    <definedName name="_____boi2" localSheetId="7">#REF!</definedName>
    <definedName name="_____boi2" localSheetId="3">#REF!</definedName>
    <definedName name="_____boi2">#REF!</definedName>
    <definedName name="_____boi3" localSheetId="7">#REF!</definedName>
    <definedName name="_____boi3" localSheetId="3">#REF!</definedName>
    <definedName name="_____boi3">#REF!</definedName>
    <definedName name="_____boi4" localSheetId="7">#REF!</definedName>
    <definedName name="_____boi4" localSheetId="3">#REF!</definedName>
    <definedName name="_____boi4">#REF!</definedName>
    <definedName name="_____BTM250" localSheetId="7">#REF!</definedName>
    <definedName name="_____BTM250" localSheetId="3">#REF!</definedName>
    <definedName name="_____BTM250">#REF!</definedName>
    <definedName name="_____btM300" localSheetId="7">#REF!</definedName>
    <definedName name="_____btM300" localSheetId="3">#REF!</definedName>
    <definedName name="_____btM300">#REF!</definedName>
    <definedName name="_____cao1" localSheetId="7">#REF!</definedName>
    <definedName name="_____cao1" localSheetId="3">#REF!</definedName>
    <definedName name="_____cao1">#REF!</definedName>
    <definedName name="_____cao2" localSheetId="7">#REF!</definedName>
    <definedName name="_____cao2" localSheetId="3">#REF!</definedName>
    <definedName name="_____cao2">#REF!</definedName>
    <definedName name="_____cao3" localSheetId="7">#REF!</definedName>
    <definedName name="_____cao3" localSheetId="3">#REF!</definedName>
    <definedName name="_____cao3">#REF!</definedName>
    <definedName name="_____cao4" localSheetId="7">#REF!</definedName>
    <definedName name="_____cao4" localSheetId="3">#REF!</definedName>
    <definedName name="_____cao4">#REF!</definedName>
    <definedName name="_____cao5" localSheetId="7">#REF!</definedName>
    <definedName name="_____cao5" localSheetId="3">#REF!</definedName>
    <definedName name="_____cao5">#REF!</definedName>
    <definedName name="_____cao6" localSheetId="7">#REF!</definedName>
    <definedName name="_____cao6" localSheetId="3">#REF!</definedName>
    <definedName name="_____cao6">#REF!</definedName>
    <definedName name="_____CON1" localSheetId="7">#REF!</definedName>
    <definedName name="_____CON1" localSheetId="3">#REF!</definedName>
    <definedName name="_____CON1">#REF!</definedName>
    <definedName name="_____CON2" localSheetId="7">#REF!</definedName>
    <definedName name="_____CON2" localSheetId="3">#REF!</definedName>
    <definedName name="_____CON2">#REF!</definedName>
    <definedName name="_____dai1" localSheetId="7">#REF!</definedName>
    <definedName name="_____dai1" localSheetId="3">#REF!</definedName>
    <definedName name="_____dai1">#REF!</definedName>
    <definedName name="_____dai2" localSheetId="7">#REF!</definedName>
    <definedName name="_____dai2" localSheetId="3">#REF!</definedName>
    <definedName name="_____dai2">#REF!</definedName>
    <definedName name="_____dai3" localSheetId="7">#REF!</definedName>
    <definedName name="_____dai3" localSheetId="3">#REF!</definedName>
    <definedName name="_____dai3">#REF!</definedName>
    <definedName name="_____dai4" localSheetId="7">#REF!</definedName>
    <definedName name="_____dai4" localSheetId="3">#REF!</definedName>
    <definedName name="_____dai4">#REF!</definedName>
    <definedName name="_____dai5" localSheetId="7">#REF!</definedName>
    <definedName name="_____dai5" localSheetId="3">#REF!</definedName>
    <definedName name="_____dai5">#REF!</definedName>
    <definedName name="_____dai6" localSheetId="7">#REF!</definedName>
    <definedName name="_____dai6" localSheetId="3">#REF!</definedName>
    <definedName name="_____dai6">#REF!</definedName>
    <definedName name="_____dan1" localSheetId="7">#REF!</definedName>
    <definedName name="_____dan1" localSheetId="3">#REF!</definedName>
    <definedName name="_____dan1">#REF!</definedName>
    <definedName name="_____dan2" localSheetId="7">#REF!</definedName>
    <definedName name="_____dan2" localSheetId="3">#REF!</definedName>
    <definedName name="_____dan2">#REF!</definedName>
    <definedName name="_____ddn400" localSheetId="7">#REF!</definedName>
    <definedName name="_____ddn400" localSheetId="3">#REF!</definedName>
    <definedName name="_____ddn400">#REF!</definedName>
    <definedName name="_____ddn600" localSheetId="7">#REF!</definedName>
    <definedName name="_____ddn600" localSheetId="3">#REF!</definedName>
    <definedName name="_____ddn600">#REF!</definedName>
    <definedName name="_____gon4" localSheetId="7">#REF!</definedName>
    <definedName name="_____gon4" localSheetId="3">#REF!</definedName>
    <definedName name="_____gon4">#REF!</definedName>
    <definedName name="_____h1" localSheetId="7" hidden="1">{"'Sheet1'!$L$16"}</definedName>
    <definedName name="_____h1" localSheetId="3" hidden="1">{"'Sheet1'!$L$16"}</definedName>
    <definedName name="_____h1" localSheetId="6" hidden="1">{"'Sheet1'!$L$16"}</definedName>
    <definedName name="_____h1" hidden="1">{"'Sheet1'!$L$16"}</definedName>
    <definedName name="_____h10" localSheetId="7" hidden="1">{#N/A,#N/A,FALSE,"Chi tiÆt"}</definedName>
    <definedName name="_____h10" localSheetId="3" hidden="1">{#N/A,#N/A,FALSE,"Chi tiÆt"}</definedName>
    <definedName name="_____h10" localSheetId="6" hidden="1">{#N/A,#N/A,FALSE,"Chi tiÆt"}</definedName>
    <definedName name="_____h10" hidden="1">{#N/A,#N/A,FALSE,"Chi tiÆt"}</definedName>
    <definedName name="_____h2" localSheetId="7" hidden="1">{"'Sheet1'!$L$16"}</definedName>
    <definedName name="_____h2" localSheetId="3" hidden="1">{"'Sheet1'!$L$16"}</definedName>
    <definedName name="_____h2" localSheetId="6" hidden="1">{"'Sheet1'!$L$16"}</definedName>
    <definedName name="_____h2" hidden="1">{"'Sheet1'!$L$16"}</definedName>
    <definedName name="_____h3" localSheetId="7" hidden="1">{"'Sheet1'!$L$16"}</definedName>
    <definedName name="_____h3" localSheetId="3" hidden="1">{"'Sheet1'!$L$16"}</definedName>
    <definedName name="_____h3" localSheetId="6" hidden="1">{"'Sheet1'!$L$16"}</definedName>
    <definedName name="_____h3" hidden="1">{"'Sheet1'!$L$16"}</definedName>
    <definedName name="_____h5" localSheetId="7" hidden="1">{"'Sheet1'!$L$16"}</definedName>
    <definedName name="_____h5" localSheetId="3" hidden="1">{"'Sheet1'!$L$16"}</definedName>
    <definedName name="_____h5" localSheetId="6" hidden="1">{"'Sheet1'!$L$16"}</definedName>
    <definedName name="_____h5" hidden="1">{"'Sheet1'!$L$16"}</definedName>
    <definedName name="_____h6" localSheetId="7" hidden="1">{"'Sheet1'!$L$16"}</definedName>
    <definedName name="_____h6" localSheetId="3" hidden="1">{"'Sheet1'!$L$16"}</definedName>
    <definedName name="_____h6" localSheetId="6" hidden="1">{"'Sheet1'!$L$16"}</definedName>
    <definedName name="_____h6" hidden="1">{"'Sheet1'!$L$16"}</definedName>
    <definedName name="_____h7" localSheetId="7" hidden="1">{"'Sheet1'!$L$16"}</definedName>
    <definedName name="_____h7" localSheetId="3" hidden="1">{"'Sheet1'!$L$16"}</definedName>
    <definedName name="_____h7" localSheetId="6" hidden="1">{"'Sheet1'!$L$16"}</definedName>
    <definedName name="_____h7" hidden="1">{"'Sheet1'!$L$16"}</definedName>
    <definedName name="_____h8" localSheetId="7" hidden="1">{"'Sheet1'!$L$16"}</definedName>
    <definedName name="_____h8" localSheetId="3" hidden="1">{"'Sheet1'!$L$16"}</definedName>
    <definedName name="_____h8" localSheetId="6" hidden="1">{"'Sheet1'!$L$16"}</definedName>
    <definedName name="_____h8" hidden="1">{"'Sheet1'!$L$16"}</definedName>
    <definedName name="_____h9" localSheetId="7" hidden="1">{"'Sheet1'!$L$16"}</definedName>
    <definedName name="_____h9" localSheetId="3" hidden="1">{"'Sheet1'!$L$16"}</definedName>
    <definedName name="_____h9" localSheetId="6" hidden="1">{"'Sheet1'!$L$16"}</definedName>
    <definedName name="_____h9" hidden="1">{"'Sheet1'!$L$16"}</definedName>
    <definedName name="_____km190" localSheetId="3">#REF!</definedName>
    <definedName name="_____km190">#REF!</definedName>
    <definedName name="_____km191" localSheetId="7">#REF!</definedName>
    <definedName name="_____km191" localSheetId="3">#REF!</definedName>
    <definedName name="_____km191">#REF!</definedName>
    <definedName name="_____km192" localSheetId="7">#REF!</definedName>
    <definedName name="_____km192" localSheetId="3">#REF!</definedName>
    <definedName name="_____km192">#REF!</definedName>
    <definedName name="_____km196" localSheetId="7">#REF!</definedName>
    <definedName name="_____km196" localSheetId="3">#REF!</definedName>
    <definedName name="_____km196">#REF!</definedName>
    <definedName name="_____lap1" localSheetId="7">#REF!</definedName>
    <definedName name="_____lap1" localSheetId="3">#REF!</definedName>
    <definedName name="_____lap1">#REF!</definedName>
    <definedName name="_____lap2" localSheetId="7">#REF!</definedName>
    <definedName name="_____lap2" localSheetId="3">#REF!</definedName>
    <definedName name="_____lap2">#REF!</definedName>
    <definedName name="_____MAC12" localSheetId="7">#REF!</definedName>
    <definedName name="_____MAC12" localSheetId="3">#REF!</definedName>
    <definedName name="_____MAC12">#REF!</definedName>
    <definedName name="_____MAC46" localSheetId="7">#REF!</definedName>
    <definedName name="_____MAC46" localSheetId="3">#REF!</definedName>
    <definedName name="_____MAC46">#REF!</definedName>
    <definedName name="_____NET2" localSheetId="7">#REF!</definedName>
    <definedName name="_____NET2" localSheetId="3">#REF!</definedName>
    <definedName name="_____NET2">#REF!</definedName>
    <definedName name="_____NSO2" localSheetId="7" hidden="1">{"'Sheet1'!$L$16"}</definedName>
    <definedName name="_____NSO2" localSheetId="3" hidden="1">{"'Sheet1'!$L$16"}</definedName>
    <definedName name="_____NSO2" localSheetId="6" hidden="1">{"'Sheet1'!$L$16"}</definedName>
    <definedName name="_____NSO2" hidden="1">{"'Sheet1'!$L$16"}</definedName>
    <definedName name="_____PA3" localSheetId="7" hidden="1">{"'Sheet1'!$L$16"}</definedName>
    <definedName name="_____PA3" localSheetId="3" hidden="1">{"'Sheet1'!$L$16"}</definedName>
    <definedName name="_____PA3" localSheetId="6" hidden="1">{"'Sheet1'!$L$16"}</definedName>
    <definedName name="_____PA3" hidden="1">{"'Sheet1'!$L$16"}</definedName>
    <definedName name="_____phi10" localSheetId="3">#REF!</definedName>
    <definedName name="_____phi10">#REF!</definedName>
    <definedName name="_____phi12" localSheetId="7">#REF!</definedName>
    <definedName name="_____phi12" localSheetId="3">#REF!</definedName>
    <definedName name="_____phi12">#REF!</definedName>
    <definedName name="_____phi14" localSheetId="7">#REF!</definedName>
    <definedName name="_____phi14" localSheetId="3">#REF!</definedName>
    <definedName name="_____phi14">#REF!</definedName>
    <definedName name="_____phi16" localSheetId="7">#REF!</definedName>
    <definedName name="_____phi16" localSheetId="3">#REF!</definedName>
    <definedName name="_____phi16">#REF!</definedName>
    <definedName name="_____phi18" localSheetId="7">#REF!</definedName>
    <definedName name="_____phi18" localSheetId="3">#REF!</definedName>
    <definedName name="_____phi18">#REF!</definedName>
    <definedName name="_____phi20" localSheetId="7">#REF!</definedName>
    <definedName name="_____phi20" localSheetId="3">#REF!</definedName>
    <definedName name="_____phi20">#REF!</definedName>
    <definedName name="_____phi22" localSheetId="7">#REF!</definedName>
    <definedName name="_____phi22" localSheetId="3">#REF!</definedName>
    <definedName name="_____phi22">#REF!</definedName>
    <definedName name="_____phi25" localSheetId="7">#REF!</definedName>
    <definedName name="_____phi25" localSheetId="3">#REF!</definedName>
    <definedName name="_____phi25">#REF!</definedName>
    <definedName name="_____phi28" localSheetId="7">#REF!</definedName>
    <definedName name="_____phi28" localSheetId="3">#REF!</definedName>
    <definedName name="_____phi28">#REF!</definedName>
    <definedName name="_____phi6" localSheetId="7">#REF!</definedName>
    <definedName name="_____phi6" localSheetId="3">#REF!</definedName>
    <definedName name="_____phi6">#REF!</definedName>
    <definedName name="_____phi8" localSheetId="7">#REF!</definedName>
    <definedName name="_____phi8" localSheetId="3">#REF!</definedName>
    <definedName name="_____phi8">#REF!</definedName>
    <definedName name="_____PL1242" localSheetId="7">#REF!</definedName>
    <definedName name="_____PL1242" localSheetId="3">#REF!</definedName>
    <definedName name="_____PL1242">#REF!</definedName>
    <definedName name="_____sat10" localSheetId="7">#REF!</definedName>
    <definedName name="_____sat10" localSheetId="3">#REF!</definedName>
    <definedName name="_____sat10">#REF!</definedName>
    <definedName name="_____sat14" localSheetId="7">#REF!</definedName>
    <definedName name="_____sat14" localSheetId="3">#REF!</definedName>
    <definedName name="_____sat14">#REF!</definedName>
    <definedName name="_____sat16" localSheetId="7">#REF!</definedName>
    <definedName name="_____sat16" localSheetId="3">#REF!</definedName>
    <definedName name="_____sat16">#REF!</definedName>
    <definedName name="_____sat20" localSheetId="7">#REF!</definedName>
    <definedName name="_____sat20" localSheetId="3">#REF!</definedName>
    <definedName name="_____sat20">#REF!</definedName>
    <definedName name="_____sat8" localSheetId="7">#REF!</definedName>
    <definedName name="_____sat8" localSheetId="3">#REF!</definedName>
    <definedName name="_____sat8">#REF!</definedName>
    <definedName name="_____sc1" localSheetId="7">#REF!</definedName>
    <definedName name="_____sc1" localSheetId="3">#REF!</definedName>
    <definedName name="_____sc1">#REF!</definedName>
    <definedName name="_____SC2" localSheetId="7">#REF!</definedName>
    <definedName name="_____SC2" localSheetId="3">#REF!</definedName>
    <definedName name="_____SC2">#REF!</definedName>
    <definedName name="_____sc3" localSheetId="7">#REF!</definedName>
    <definedName name="_____sc3" localSheetId="3">#REF!</definedName>
    <definedName name="_____sc3">#REF!</definedName>
    <definedName name="_____slg1" localSheetId="7">#REF!</definedName>
    <definedName name="_____slg1" localSheetId="3">#REF!</definedName>
    <definedName name="_____slg1">#REF!</definedName>
    <definedName name="_____slg2" localSheetId="7">#REF!</definedName>
    <definedName name="_____slg2" localSheetId="3">#REF!</definedName>
    <definedName name="_____slg2">#REF!</definedName>
    <definedName name="_____slg3" localSheetId="7">#REF!</definedName>
    <definedName name="_____slg3" localSheetId="3">#REF!</definedName>
    <definedName name="_____slg3">#REF!</definedName>
    <definedName name="_____slg4" localSheetId="7">#REF!</definedName>
    <definedName name="_____slg4" localSheetId="3">#REF!</definedName>
    <definedName name="_____slg4">#REF!</definedName>
    <definedName name="_____slg5" localSheetId="7">#REF!</definedName>
    <definedName name="_____slg5" localSheetId="3">#REF!</definedName>
    <definedName name="_____slg5">#REF!</definedName>
    <definedName name="_____slg6" localSheetId="7">#REF!</definedName>
    <definedName name="_____slg6" localSheetId="3">#REF!</definedName>
    <definedName name="_____slg6">#REF!</definedName>
    <definedName name="_____TH1" localSheetId="7">#REF!</definedName>
    <definedName name="_____TH1" localSheetId="3">#REF!</definedName>
    <definedName name="_____TH1">#REF!</definedName>
    <definedName name="_____TH2" localSheetId="7">#REF!</definedName>
    <definedName name="_____TH2" localSheetId="3">#REF!</definedName>
    <definedName name="_____TH2">#REF!</definedName>
    <definedName name="_____TH3" localSheetId="7">#REF!</definedName>
    <definedName name="_____TH3" localSheetId="3">#REF!</definedName>
    <definedName name="_____TH3">#REF!</definedName>
    <definedName name="_____TK155" localSheetId="7">#REF!</definedName>
    <definedName name="_____TK155" localSheetId="3">#REF!</definedName>
    <definedName name="_____TK155">#REF!</definedName>
    <definedName name="_____TK422" localSheetId="7">#REF!</definedName>
    <definedName name="_____TK422" localSheetId="3">#REF!</definedName>
    <definedName name="_____TK422">#REF!</definedName>
    <definedName name="_____TL1" localSheetId="7">#REF!</definedName>
    <definedName name="_____TL1" localSheetId="3">#REF!</definedName>
    <definedName name="_____TL1">#REF!</definedName>
    <definedName name="_____TL2" localSheetId="7">#REF!</definedName>
    <definedName name="_____TL2" localSheetId="3">#REF!</definedName>
    <definedName name="_____TL2">#REF!</definedName>
    <definedName name="_____TLA120" localSheetId="7">#REF!</definedName>
    <definedName name="_____TLA120" localSheetId="3">#REF!</definedName>
    <definedName name="_____TLA120">#REF!</definedName>
    <definedName name="_____TLA35" localSheetId="7">#REF!</definedName>
    <definedName name="_____TLA35" localSheetId="3">#REF!</definedName>
    <definedName name="_____TLA35">#REF!</definedName>
    <definedName name="_____TLA50" localSheetId="7">#REF!</definedName>
    <definedName name="_____TLA50" localSheetId="3">#REF!</definedName>
    <definedName name="_____TLA50">#REF!</definedName>
    <definedName name="_____TLA70" localSheetId="7">#REF!</definedName>
    <definedName name="_____TLA70" localSheetId="3">#REF!</definedName>
    <definedName name="_____TLA70">#REF!</definedName>
    <definedName name="_____TLA95" localSheetId="7">#REF!</definedName>
    <definedName name="_____TLA95" localSheetId="3">#REF!</definedName>
    <definedName name="_____TLA95">#REF!</definedName>
    <definedName name="_____vl2" localSheetId="7" hidden="1">{"'Sheet1'!$L$16"}</definedName>
    <definedName name="_____vl2" localSheetId="3" hidden="1">{"'Sheet1'!$L$16"}</definedName>
    <definedName name="_____vl2" localSheetId="6" hidden="1">{"'Sheet1'!$L$16"}</definedName>
    <definedName name="_____vl2" hidden="1">{"'Sheet1'!$L$16"}</definedName>
    <definedName name="____boi1" localSheetId="3">#REF!</definedName>
    <definedName name="____boi1">#REF!</definedName>
    <definedName name="____boi2" localSheetId="7">#REF!</definedName>
    <definedName name="____boi2" localSheetId="3">#REF!</definedName>
    <definedName name="____boi2">#REF!</definedName>
    <definedName name="____boi3" localSheetId="7">#REF!</definedName>
    <definedName name="____boi3" localSheetId="3">#REF!</definedName>
    <definedName name="____boi3">#REF!</definedName>
    <definedName name="____boi4" localSheetId="7">#REF!</definedName>
    <definedName name="____boi4" localSheetId="3">#REF!</definedName>
    <definedName name="____boi4">#REF!</definedName>
    <definedName name="____btm10" localSheetId="7">#REF!</definedName>
    <definedName name="____btm10" localSheetId="3">#REF!</definedName>
    <definedName name="____btm10">#REF!</definedName>
    <definedName name="____btm100" localSheetId="7">#REF!</definedName>
    <definedName name="____btm100" localSheetId="3">#REF!</definedName>
    <definedName name="____btm100">#REF!</definedName>
    <definedName name="____BTM250" localSheetId="7">#REF!</definedName>
    <definedName name="____BTM250" localSheetId="3">#REF!</definedName>
    <definedName name="____BTM250">#REF!</definedName>
    <definedName name="____btM300" localSheetId="7">#REF!</definedName>
    <definedName name="____btM300" localSheetId="3">#REF!</definedName>
    <definedName name="____btM300">#REF!</definedName>
    <definedName name="____cao1" localSheetId="7">#REF!</definedName>
    <definedName name="____cao1" localSheetId="3">#REF!</definedName>
    <definedName name="____cao1">#REF!</definedName>
    <definedName name="____cao2" localSheetId="7">#REF!</definedName>
    <definedName name="____cao2" localSheetId="3">#REF!</definedName>
    <definedName name="____cao2">#REF!</definedName>
    <definedName name="____cao3" localSheetId="7">#REF!</definedName>
    <definedName name="____cao3" localSheetId="3">#REF!</definedName>
    <definedName name="____cao3">#REF!</definedName>
    <definedName name="____cao4" localSheetId="7">#REF!</definedName>
    <definedName name="____cao4" localSheetId="3">#REF!</definedName>
    <definedName name="____cao4">#REF!</definedName>
    <definedName name="____cao5" localSheetId="7">#REF!</definedName>
    <definedName name="____cao5" localSheetId="3">#REF!</definedName>
    <definedName name="____cao5">#REF!</definedName>
    <definedName name="____cao6" localSheetId="7">#REF!</definedName>
    <definedName name="____cao6" localSheetId="3">#REF!</definedName>
    <definedName name="____cao6">#REF!</definedName>
    <definedName name="____CON1" localSheetId="7">#REF!</definedName>
    <definedName name="____CON1" localSheetId="3">#REF!</definedName>
    <definedName name="____CON1">#REF!</definedName>
    <definedName name="____CON2" localSheetId="7">#REF!</definedName>
    <definedName name="____CON2" localSheetId="3">#REF!</definedName>
    <definedName name="____CON2">#REF!</definedName>
    <definedName name="____dai1" localSheetId="7">#REF!</definedName>
    <definedName name="____dai1" localSheetId="3">#REF!</definedName>
    <definedName name="____dai1">#REF!</definedName>
    <definedName name="____dai2" localSheetId="7">#REF!</definedName>
    <definedName name="____dai2" localSheetId="3">#REF!</definedName>
    <definedName name="____dai2">#REF!</definedName>
    <definedName name="____dai3" localSheetId="7">#REF!</definedName>
    <definedName name="____dai3" localSheetId="3">#REF!</definedName>
    <definedName name="____dai3">#REF!</definedName>
    <definedName name="____dai4" localSheetId="7">#REF!</definedName>
    <definedName name="____dai4" localSheetId="3">#REF!</definedName>
    <definedName name="____dai4">#REF!</definedName>
    <definedName name="____dai5" localSheetId="7">#REF!</definedName>
    <definedName name="____dai5" localSheetId="3">#REF!</definedName>
    <definedName name="____dai5">#REF!</definedName>
    <definedName name="____dai6" localSheetId="7">#REF!</definedName>
    <definedName name="____dai6" localSheetId="3">#REF!</definedName>
    <definedName name="____dai6">#REF!</definedName>
    <definedName name="____dan1" localSheetId="7">#REF!</definedName>
    <definedName name="____dan1" localSheetId="3">#REF!</definedName>
    <definedName name="____dan1">#REF!</definedName>
    <definedName name="____dan2" localSheetId="7">#REF!</definedName>
    <definedName name="____dan2" localSheetId="3">#REF!</definedName>
    <definedName name="____dan2">#REF!</definedName>
    <definedName name="____ddn400" localSheetId="7">#REF!</definedName>
    <definedName name="____ddn400" localSheetId="3">#REF!</definedName>
    <definedName name="____ddn400">#REF!</definedName>
    <definedName name="____ddn600" localSheetId="7">#REF!</definedName>
    <definedName name="____ddn600" localSheetId="3">#REF!</definedName>
    <definedName name="____ddn600">#REF!</definedName>
    <definedName name="____gon4" localSheetId="7">#REF!</definedName>
    <definedName name="____gon4" localSheetId="3">#REF!</definedName>
    <definedName name="____gon4">#REF!</definedName>
    <definedName name="____h1" localSheetId="7" hidden="1">{"'Sheet1'!$L$16"}</definedName>
    <definedName name="____h1" localSheetId="3" hidden="1">{"'Sheet1'!$L$16"}</definedName>
    <definedName name="____h1" localSheetId="6" hidden="1">{"'Sheet1'!$L$16"}</definedName>
    <definedName name="____h1" hidden="1">{"'Sheet1'!$L$16"}</definedName>
    <definedName name="____h10" localSheetId="7" hidden="1">{#N/A,#N/A,FALSE,"Chi tiÆt"}</definedName>
    <definedName name="____h10" localSheetId="3" hidden="1">{#N/A,#N/A,FALSE,"Chi tiÆt"}</definedName>
    <definedName name="____h10" localSheetId="6" hidden="1">{#N/A,#N/A,FALSE,"Chi tiÆt"}</definedName>
    <definedName name="____h10" hidden="1">{#N/A,#N/A,FALSE,"Chi tiÆt"}</definedName>
    <definedName name="____h2" localSheetId="7" hidden="1">{"'Sheet1'!$L$16"}</definedName>
    <definedName name="____h2" localSheetId="3" hidden="1">{"'Sheet1'!$L$16"}</definedName>
    <definedName name="____h2" localSheetId="6" hidden="1">{"'Sheet1'!$L$16"}</definedName>
    <definedName name="____h2" hidden="1">{"'Sheet1'!$L$16"}</definedName>
    <definedName name="____h3" localSheetId="7" hidden="1">{"'Sheet1'!$L$16"}</definedName>
    <definedName name="____h3" localSheetId="3" hidden="1">{"'Sheet1'!$L$16"}</definedName>
    <definedName name="____h3" localSheetId="6" hidden="1">{"'Sheet1'!$L$16"}</definedName>
    <definedName name="____h3" hidden="1">{"'Sheet1'!$L$16"}</definedName>
    <definedName name="____h5" localSheetId="7" hidden="1">{"'Sheet1'!$L$16"}</definedName>
    <definedName name="____h5" localSheetId="3" hidden="1">{"'Sheet1'!$L$16"}</definedName>
    <definedName name="____h5" localSheetId="6" hidden="1">{"'Sheet1'!$L$16"}</definedName>
    <definedName name="____h5" hidden="1">{"'Sheet1'!$L$16"}</definedName>
    <definedName name="____h6" localSheetId="7" hidden="1">{"'Sheet1'!$L$16"}</definedName>
    <definedName name="____h6" localSheetId="3" hidden="1">{"'Sheet1'!$L$16"}</definedName>
    <definedName name="____h6" localSheetId="6" hidden="1">{"'Sheet1'!$L$16"}</definedName>
    <definedName name="____h6" hidden="1">{"'Sheet1'!$L$16"}</definedName>
    <definedName name="____h7" localSheetId="7" hidden="1">{"'Sheet1'!$L$16"}</definedName>
    <definedName name="____h7" localSheetId="3" hidden="1">{"'Sheet1'!$L$16"}</definedName>
    <definedName name="____h7" localSheetId="6" hidden="1">{"'Sheet1'!$L$16"}</definedName>
    <definedName name="____h7" hidden="1">{"'Sheet1'!$L$16"}</definedName>
    <definedName name="____h8" localSheetId="7" hidden="1">{"'Sheet1'!$L$16"}</definedName>
    <definedName name="____h8" localSheetId="3" hidden="1">{"'Sheet1'!$L$16"}</definedName>
    <definedName name="____h8" localSheetId="6" hidden="1">{"'Sheet1'!$L$16"}</definedName>
    <definedName name="____h8" hidden="1">{"'Sheet1'!$L$16"}</definedName>
    <definedName name="____h9" localSheetId="7" hidden="1">{"'Sheet1'!$L$16"}</definedName>
    <definedName name="____h9" localSheetId="3" hidden="1">{"'Sheet1'!$L$16"}</definedName>
    <definedName name="____h9" localSheetId="6" hidden="1">{"'Sheet1'!$L$16"}</definedName>
    <definedName name="____h9" hidden="1">{"'Sheet1'!$L$16"}</definedName>
    <definedName name="____hom2" localSheetId="3">#REF!</definedName>
    <definedName name="____hom2">#REF!</definedName>
    <definedName name="____KM188" localSheetId="7">#REF!</definedName>
    <definedName name="____KM188" localSheetId="3">#REF!</definedName>
    <definedName name="____KM188">#REF!</definedName>
    <definedName name="____km189" localSheetId="7">#REF!</definedName>
    <definedName name="____km189" localSheetId="3">#REF!</definedName>
    <definedName name="____km189">#REF!</definedName>
    <definedName name="____km190" localSheetId="7">#REF!</definedName>
    <definedName name="____km190" localSheetId="3">#REF!</definedName>
    <definedName name="____km190">#REF!</definedName>
    <definedName name="____km191" localSheetId="7">#REF!</definedName>
    <definedName name="____km191" localSheetId="3">#REF!</definedName>
    <definedName name="____km191">#REF!</definedName>
    <definedName name="____km192" localSheetId="7">#REF!</definedName>
    <definedName name="____km192" localSheetId="3">#REF!</definedName>
    <definedName name="____km192">#REF!</definedName>
    <definedName name="____km193" localSheetId="7">#REF!</definedName>
    <definedName name="____km193" localSheetId="3">#REF!</definedName>
    <definedName name="____km193">#REF!</definedName>
    <definedName name="____km194" localSheetId="7">#REF!</definedName>
    <definedName name="____km194" localSheetId="3">#REF!</definedName>
    <definedName name="____km194">#REF!</definedName>
    <definedName name="____km195" localSheetId="7">#REF!</definedName>
    <definedName name="____km195" localSheetId="3">#REF!</definedName>
    <definedName name="____km195">#REF!</definedName>
    <definedName name="____km197" localSheetId="7">#REF!</definedName>
    <definedName name="____km197" localSheetId="3">#REF!</definedName>
    <definedName name="____km197">#REF!</definedName>
    <definedName name="____km198" localSheetId="7">#REF!</definedName>
    <definedName name="____km198" localSheetId="3">#REF!</definedName>
    <definedName name="____km198">#REF!</definedName>
    <definedName name="____lap1" localSheetId="7">#REF!</definedName>
    <definedName name="____lap1" localSheetId="3">#REF!</definedName>
    <definedName name="____lap1">#REF!</definedName>
    <definedName name="____lap2" localSheetId="7">#REF!</definedName>
    <definedName name="____lap2" localSheetId="3">#REF!</definedName>
    <definedName name="____lap2">#REF!</definedName>
    <definedName name="____MAC12" localSheetId="7">#REF!</definedName>
    <definedName name="____MAC12" localSheetId="3">#REF!</definedName>
    <definedName name="____MAC12">#REF!</definedName>
    <definedName name="____MAC46" localSheetId="7">#REF!</definedName>
    <definedName name="____MAC46" localSheetId="3">#REF!</definedName>
    <definedName name="____MAC46">#REF!</definedName>
    <definedName name="____NCL100" localSheetId="7">#REF!</definedName>
    <definedName name="____NCL100" localSheetId="3">#REF!</definedName>
    <definedName name="____NCL100">#REF!</definedName>
    <definedName name="____NCL200" localSheetId="7">#REF!</definedName>
    <definedName name="____NCL200" localSheetId="3">#REF!</definedName>
    <definedName name="____NCL200">#REF!</definedName>
    <definedName name="____NCL250" localSheetId="7">#REF!</definedName>
    <definedName name="____NCL250" localSheetId="3">#REF!</definedName>
    <definedName name="____NCL250">#REF!</definedName>
    <definedName name="____NET2" localSheetId="7">#REF!</definedName>
    <definedName name="____NET2" localSheetId="3">#REF!</definedName>
    <definedName name="____NET2">#REF!</definedName>
    <definedName name="____nin190" localSheetId="7">#REF!</definedName>
    <definedName name="____nin190" localSheetId="3">#REF!</definedName>
    <definedName name="____nin190">#REF!</definedName>
    <definedName name="____NSO2" localSheetId="7" hidden="1">{"'Sheet1'!$L$16"}</definedName>
    <definedName name="____NSO2" localSheetId="3" hidden="1">{"'Sheet1'!$L$16"}</definedName>
    <definedName name="____NSO2" localSheetId="6" hidden="1">{"'Sheet1'!$L$16"}</definedName>
    <definedName name="____NSO2" hidden="1">{"'Sheet1'!$L$16"}</definedName>
    <definedName name="____PA3" localSheetId="7" hidden="1">{"'Sheet1'!$L$16"}</definedName>
    <definedName name="____PA3" localSheetId="3" hidden="1">{"'Sheet1'!$L$16"}</definedName>
    <definedName name="____PA3" localSheetId="6" hidden="1">{"'Sheet1'!$L$16"}</definedName>
    <definedName name="____PA3" hidden="1">{"'Sheet1'!$L$16"}</definedName>
    <definedName name="____phi10" localSheetId="3">#REF!</definedName>
    <definedName name="____phi10">#REF!</definedName>
    <definedName name="____phi12" localSheetId="7">#REF!</definedName>
    <definedName name="____phi12" localSheetId="3">#REF!</definedName>
    <definedName name="____phi12">#REF!</definedName>
    <definedName name="____phi14" localSheetId="7">#REF!</definedName>
    <definedName name="____phi14" localSheetId="3">#REF!</definedName>
    <definedName name="____phi14">#REF!</definedName>
    <definedName name="____phi16" localSheetId="7">#REF!</definedName>
    <definedName name="____phi16" localSheetId="3">#REF!</definedName>
    <definedName name="____phi16">#REF!</definedName>
    <definedName name="____phi18" localSheetId="7">#REF!</definedName>
    <definedName name="____phi18" localSheetId="3">#REF!</definedName>
    <definedName name="____phi18">#REF!</definedName>
    <definedName name="____phi20" localSheetId="7">#REF!</definedName>
    <definedName name="____phi20" localSheetId="3">#REF!</definedName>
    <definedName name="____phi20">#REF!</definedName>
    <definedName name="____phi22" localSheetId="7">#REF!</definedName>
    <definedName name="____phi22" localSheetId="3">#REF!</definedName>
    <definedName name="____phi22">#REF!</definedName>
    <definedName name="____phi25" localSheetId="7">#REF!</definedName>
    <definedName name="____phi25" localSheetId="3">#REF!</definedName>
    <definedName name="____phi25">#REF!</definedName>
    <definedName name="____phi28" localSheetId="7">#REF!</definedName>
    <definedName name="____phi28" localSheetId="3">#REF!</definedName>
    <definedName name="____phi28">#REF!</definedName>
    <definedName name="____phi6" localSheetId="7">#REF!</definedName>
    <definedName name="____phi6" localSheetId="3">#REF!</definedName>
    <definedName name="____phi6">#REF!</definedName>
    <definedName name="____phi8" localSheetId="7">#REF!</definedName>
    <definedName name="____phi8" localSheetId="3">#REF!</definedName>
    <definedName name="____phi8">#REF!</definedName>
    <definedName name="____PL1242" localSheetId="7">#REF!</definedName>
    <definedName name="____PL1242" localSheetId="3">#REF!</definedName>
    <definedName name="____PL1242">#REF!</definedName>
    <definedName name="____sat10" localSheetId="7">#REF!</definedName>
    <definedName name="____sat10" localSheetId="3">#REF!</definedName>
    <definedName name="____sat10">#REF!</definedName>
    <definedName name="____sat14" localSheetId="7">#REF!</definedName>
    <definedName name="____sat14" localSheetId="3">#REF!</definedName>
    <definedName name="____sat14">#REF!</definedName>
    <definedName name="____sat16" localSheetId="7">#REF!</definedName>
    <definedName name="____sat16" localSheetId="3">#REF!</definedName>
    <definedName name="____sat16">#REF!</definedName>
    <definedName name="____sat20" localSheetId="7">#REF!</definedName>
    <definedName name="____sat20" localSheetId="3">#REF!</definedName>
    <definedName name="____sat20">#REF!</definedName>
    <definedName name="____sat8" localSheetId="7">#REF!</definedName>
    <definedName name="____sat8" localSheetId="3">#REF!</definedName>
    <definedName name="____sat8">#REF!</definedName>
    <definedName name="____sc1" localSheetId="7">#REF!</definedName>
    <definedName name="____sc1" localSheetId="3">#REF!</definedName>
    <definedName name="____sc1">#REF!</definedName>
    <definedName name="____SC2" localSheetId="7">#REF!</definedName>
    <definedName name="____SC2" localSheetId="3">#REF!</definedName>
    <definedName name="____SC2">#REF!</definedName>
    <definedName name="____sc3" localSheetId="7">#REF!</definedName>
    <definedName name="____sc3" localSheetId="3">#REF!</definedName>
    <definedName name="____sc3">#REF!</definedName>
    <definedName name="____slg1" localSheetId="7">#REF!</definedName>
    <definedName name="____slg1" localSheetId="3">#REF!</definedName>
    <definedName name="____slg1">#REF!</definedName>
    <definedName name="____slg2" localSheetId="7">#REF!</definedName>
    <definedName name="____slg2" localSheetId="3">#REF!</definedName>
    <definedName name="____slg2">#REF!</definedName>
    <definedName name="____slg3" localSheetId="7">#REF!</definedName>
    <definedName name="____slg3" localSheetId="3">#REF!</definedName>
    <definedName name="____slg3">#REF!</definedName>
    <definedName name="____slg4" localSheetId="7">#REF!</definedName>
    <definedName name="____slg4" localSheetId="3">#REF!</definedName>
    <definedName name="____slg4">#REF!</definedName>
    <definedName name="____slg5" localSheetId="7">#REF!</definedName>
    <definedName name="____slg5" localSheetId="3">#REF!</definedName>
    <definedName name="____slg5">#REF!</definedName>
    <definedName name="____slg6" localSheetId="7">#REF!</definedName>
    <definedName name="____slg6" localSheetId="3">#REF!</definedName>
    <definedName name="____slg6">#REF!</definedName>
    <definedName name="____SN3" localSheetId="7">#REF!</definedName>
    <definedName name="____SN3" localSheetId="3">#REF!</definedName>
    <definedName name="____SN3">#REF!</definedName>
    <definedName name="____sua20" localSheetId="7">#REF!</definedName>
    <definedName name="____sua20" localSheetId="3">#REF!</definedName>
    <definedName name="____sua20">#REF!</definedName>
    <definedName name="____sua30" localSheetId="7">#REF!</definedName>
    <definedName name="____sua30" localSheetId="3">#REF!</definedName>
    <definedName name="____sua30">#REF!</definedName>
    <definedName name="____TB1" localSheetId="7">#REF!</definedName>
    <definedName name="____TB1" localSheetId="3">#REF!</definedName>
    <definedName name="____TB1">#REF!</definedName>
    <definedName name="____TH1" localSheetId="7">#REF!</definedName>
    <definedName name="____TH1" localSheetId="3">#REF!</definedName>
    <definedName name="____TH1">#REF!</definedName>
    <definedName name="____TH2" localSheetId="7">#REF!</definedName>
    <definedName name="____TH2" localSheetId="3">#REF!</definedName>
    <definedName name="____TH2">#REF!</definedName>
    <definedName name="____TH3" localSheetId="7">#REF!</definedName>
    <definedName name="____TH3" localSheetId="3">#REF!</definedName>
    <definedName name="____TH3">#REF!</definedName>
    <definedName name="____TK155" localSheetId="7">#REF!</definedName>
    <definedName name="____TK155" localSheetId="3">#REF!</definedName>
    <definedName name="____TK155">#REF!</definedName>
    <definedName name="____TK422" localSheetId="7">#REF!</definedName>
    <definedName name="____TK422" localSheetId="3">#REF!</definedName>
    <definedName name="____TK422">#REF!</definedName>
    <definedName name="____TL1" localSheetId="7">#REF!</definedName>
    <definedName name="____TL1" localSheetId="3">#REF!</definedName>
    <definedName name="____TL1">#REF!</definedName>
    <definedName name="____TL2" localSheetId="7">#REF!</definedName>
    <definedName name="____TL2" localSheetId="3">#REF!</definedName>
    <definedName name="____TL2">#REF!</definedName>
    <definedName name="____TL3" localSheetId="7">#REF!</definedName>
    <definedName name="____TL3" localSheetId="3">#REF!</definedName>
    <definedName name="____TL3">#REF!</definedName>
    <definedName name="____TLA120" localSheetId="7">#REF!</definedName>
    <definedName name="____TLA120" localSheetId="3">#REF!</definedName>
    <definedName name="____TLA120">#REF!</definedName>
    <definedName name="____TLA35" localSheetId="7">#REF!</definedName>
    <definedName name="____TLA35" localSheetId="3">#REF!</definedName>
    <definedName name="____TLA35">#REF!</definedName>
    <definedName name="____TLA50" localSheetId="7">#REF!</definedName>
    <definedName name="____TLA50" localSheetId="3">#REF!</definedName>
    <definedName name="____TLA50">#REF!</definedName>
    <definedName name="____TLA70" localSheetId="7">#REF!</definedName>
    <definedName name="____TLA70" localSheetId="3">#REF!</definedName>
    <definedName name="____TLA70">#REF!</definedName>
    <definedName name="____TLA95" localSheetId="7">#REF!</definedName>
    <definedName name="____TLA95" localSheetId="3">#REF!</definedName>
    <definedName name="____TLA95">#REF!</definedName>
    <definedName name="____VL100" localSheetId="7">#REF!</definedName>
    <definedName name="____VL100" localSheetId="3">#REF!</definedName>
    <definedName name="____VL100">#REF!</definedName>
    <definedName name="____vl2" localSheetId="7" hidden="1">{"'Sheet1'!$L$16"}</definedName>
    <definedName name="____vl2" localSheetId="3" hidden="1">{"'Sheet1'!$L$16"}</definedName>
    <definedName name="____vl2" localSheetId="6" hidden="1">{"'Sheet1'!$L$16"}</definedName>
    <definedName name="____vl2" hidden="1">{"'Sheet1'!$L$16"}</definedName>
    <definedName name="____VL250" localSheetId="3">#REF!</definedName>
    <definedName name="____VL250">#REF!</definedName>
    <definedName name="___a1" localSheetId="7" hidden="1">{"'Sheet1'!$L$16"}</definedName>
    <definedName name="___a1" localSheetId="3" hidden="1">{"'Sheet1'!$L$16"}</definedName>
    <definedName name="___a1" localSheetId="6" hidden="1">{"'Sheet1'!$L$16"}</definedName>
    <definedName name="___a1" hidden="1">{"'Sheet1'!$L$16"}</definedName>
    <definedName name="___boi1" localSheetId="3">#REF!</definedName>
    <definedName name="___boi1">#REF!</definedName>
    <definedName name="___boi2" localSheetId="7">#REF!</definedName>
    <definedName name="___boi2" localSheetId="3">#REF!</definedName>
    <definedName name="___boi2">#REF!</definedName>
    <definedName name="___boi3" localSheetId="7">#REF!</definedName>
    <definedName name="___boi3" localSheetId="3">#REF!</definedName>
    <definedName name="___boi3">#REF!</definedName>
    <definedName name="___boi4" localSheetId="7">#REF!</definedName>
    <definedName name="___boi4" localSheetId="3">#REF!</definedName>
    <definedName name="___boi4">#REF!</definedName>
    <definedName name="___btm10" localSheetId="7">#REF!</definedName>
    <definedName name="___btm10" localSheetId="3">#REF!</definedName>
    <definedName name="___btm10">#REF!</definedName>
    <definedName name="___btm100" localSheetId="7">#REF!</definedName>
    <definedName name="___btm100" localSheetId="3">#REF!</definedName>
    <definedName name="___btm100">#REF!</definedName>
    <definedName name="___BTM250" localSheetId="7">#REF!</definedName>
    <definedName name="___BTM250" localSheetId="3">#REF!</definedName>
    <definedName name="___BTM250">#REF!</definedName>
    <definedName name="___btM300" localSheetId="7">#REF!</definedName>
    <definedName name="___btM300" localSheetId="3">#REF!</definedName>
    <definedName name="___btM300">#REF!</definedName>
    <definedName name="___cao1" localSheetId="7">#REF!</definedName>
    <definedName name="___cao1" localSheetId="3">#REF!</definedName>
    <definedName name="___cao1">#REF!</definedName>
    <definedName name="___cao2" localSheetId="7">#REF!</definedName>
    <definedName name="___cao2" localSheetId="3">#REF!</definedName>
    <definedName name="___cao2">#REF!</definedName>
    <definedName name="___cao3" localSheetId="7">#REF!</definedName>
    <definedName name="___cao3" localSheetId="3">#REF!</definedName>
    <definedName name="___cao3">#REF!</definedName>
    <definedName name="___cao4" localSheetId="7">#REF!</definedName>
    <definedName name="___cao4" localSheetId="3">#REF!</definedName>
    <definedName name="___cao4">#REF!</definedName>
    <definedName name="___cao5" localSheetId="7">#REF!</definedName>
    <definedName name="___cao5" localSheetId="3">#REF!</definedName>
    <definedName name="___cao5">#REF!</definedName>
    <definedName name="___cao6" localSheetId="7">#REF!</definedName>
    <definedName name="___cao6" localSheetId="3">#REF!</definedName>
    <definedName name="___cao6">#REF!</definedName>
    <definedName name="___CON1" localSheetId="7">#REF!</definedName>
    <definedName name="___CON1" localSheetId="3">#REF!</definedName>
    <definedName name="___CON1">#REF!</definedName>
    <definedName name="___CON2" localSheetId="7">#REF!</definedName>
    <definedName name="___CON2" localSheetId="3">#REF!</definedName>
    <definedName name="___CON2">#REF!</definedName>
    <definedName name="___dai1" localSheetId="7">#REF!</definedName>
    <definedName name="___dai1" localSheetId="3">#REF!</definedName>
    <definedName name="___dai1">#REF!</definedName>
    <definedName name="___dai2" localSheetId="7">#REF!</definedName>
    <definedName name="___dai2" localSheetId="3">#REF!</definedName>
    <definedName name="___dai2">#REF!</definedName>
    <definedName name="___dai3" localSheetId="7">#REF!</definedName>
    <definedName name="___dai3" localSheetId="3">#REF!</definedName>
    <definedName name="___dai3">#REF!</definedName>
    <definedName name="___dai4" localSheetId="7">#REF!</definedName>
    <definedName name="___dai4" localSheetId="3">#REF!</definedName>
    <definedName name="___dai4">#REF!</definedName>
    <definedName name="___dai5" localSheetId="7">#REF!</definedName>
    <definedName name="___dai5" localSheetId="3">#REF!</definedName>
    <definedName name="___dai5">#REF!</definedName>
    <definedName name="___dai6" localSheetId="7">#REF!</definedName>
    <definedName name="___dai6" localSheetId="3">#REF!</definedName>
    <definedName name="___dai6">#REF!</definedName>
    <definedName name="___dan1" localSheetId="7">#REF!</definedName>
    <definedName name="___dan1" localSheetId="3">#REF!</definedName>
    <definedName name="___dan1">#REF!</definedName>
    <definedName name="___dan2" localSheetId="7">#REF!</definedName>
    <definedName name="___dan2" localSheetId="3">#REF!</definedName>
    <definedName name="___dan2">#REF!</definedName>
    <definedName name="___ddn400" localSheetId="7">#REF!</definedName>
    <definedName name="___ddn400" localSheetId="3">#REF!</definedName>
    <definedName name="___ddn400">#REF!</definedName>
    <definedName name="___ddn600" localSheetId="7">#REF!</definedName>
    <definedName name="___ddn600" localSheetId="3">#REF!</definedName>
    <definedName name="___ddn600">#REF!</definedName>
    <definedName name="___gon4" localSheetId="7">#REF!</definedName>
    <definedName name="___gon4" localSheetId="3">#REF!</definedName>
    <definedName name="___gon4">#REF!</definedName>
    <definedName name="___h1" localSheetId="7" hidden="1">{"'Sheet1'!$L$16"}</definedName>
    <definedName name="___h1" localSheetId="3" hidden="1">{"'Sheet1'!$L$16"}</definedName>
    <definedName name="___h1" localSheetId="6" hidden="1">{"'Sheet1'!$L$16"}</definedName>
    <definedName name="___h1" hidden="1">{"'Sheet1'!$L$16"}</definedName>
    <definedName name="___h10" localSheetId="7" hidden="1">{#N/A,#N/A,FALSE,"Chi tiÆt"}</definedName>
    <definedName name="___h10" localSheetId="3" hidden="1">{#N/A,#N/A,FALSE,"Chi tiÆt"}</definedName>
    <definedName name="___h10" localSheetId="6" hidden="1">{#N/A,#N/A,FALSE,"Chi tiÆt"}</definedName>
    <definedName name="___h10" hidden="1">{#N/A,#N/A,FALSE,"Chi tiÆt"}</definedName>
    <definedName name="___h2" localSheetId="7" hidden="1">{"'Sheet1'!$L$16"}</definedName>
    <definedName name="___h2" localSheetId="3" hidden="1">{"'Sheet1'!$L$16"}</definedName>
    <definedName name="___h2" localSheetId="6" hidden="1">{"'Sheet1'!$L$16"}</definedName>
    <definedName name="___h2" hidden="1">{"'Sheet1'!$L$16"}</definedName>
    <definedName name="___h3" localSheetId="7" hidden="1">{"'Sheet1'!$L$16"}</definedName>
    <definedName name="___h3" localSheetId="3" hidden="1">{"'Sheet1'!$L$16"}</definedName>
    <definedName name="___h3" localSheetId="6" hidden="1">{"'Sheet1'!$L$16"}</definedName>
    <definedName name="___h3" hidden="1">{"'Sheet1'!$L$16"}</definedName>
    <definedName name="___h5" localSheetId="7" hidden="1">{"'Sheet1'!$L$16"}</definedName>
    <definedName name="___h5" localSheetId="3" hidden="1">{"'Sheet1'!$L$16"}</definedName>
    <definedName name="___h5" localSheetId="6" hidden="1">{"'Sheet1'!$L$16"}</definedName>
    <definedName name="___h5" hidden="1">{"'Sheet1'!$L$16"}</definedName>
    <definedName name="___h6" localSheetId="7" hidden="1">{"'Sheet1'!$L$16"}</definedName>
    <definedName name="___h6" localSheetId="3" hidden="1">{"'Sheet1'!$L$16"}</definedName>
    <definedName name="___h6" localSheetId="6" hidden="1">{"'Sheet1'!$L$16"}</definedName>
    <definedName name="___h6" hidden="1">{"'Sheet1'!$L$16"}</definedName>
    <definedName name="___h7" localSheetId="7" hidden="1">{"'Sheet1'!$L$16"}</definedName>
    <definedName name="___h7" localSheetId="3" hidden="1">{"'Sheet1'!$L$16"}</definedName>
    <definedName name="___h7" localSheetId="6" hidden="1">{"'Sheet1'!$L$16"}</definedName>
    <definedName name="___h7" hidden="1">{"'Sheet1'!$L$16"}</definedName>
    <definedName name="___h8" localSheetId="7" hidden="1">{"'Sheet1'!$L$16"}</definedName>
    <definedName name="___h8" localSheetId="3" hidden="1">{"'Sheet1'!$L$16"}</definedName>
    <definedName name="___h8" localSheetId="6" hidden="1">{"'Sheet1'!$L$16"}</definedName>
    <definedName name="___h8" hidden="1">{"'Sheet1'!$L$16"}</definedName>
    <definedName name="___h9" localSheetId="7" hidden="1">{"'Sheet1'!$L$16"}</definedName>
    <definedName name="___h9" localSheetId="3" hidden="1">{"'Sheet1'!$L$16"}</definedName>
    <definedName name="___h9" localSheetId="6" hidden="1">{"'Sheet1'!$L$16"}</definedName>
    <definedName name="___h9" hidden="1">{"'Sheet1'!$L$16"}</definedName>
    <definedName name="___hom2" localSheetId="3">#REF!</definedName>
    <definedName name="___hom2">#REF!</definedName>
    <definedName name="___KM188" localSheetId="7">#REF!</definedName>
    <definedName name="___KM188" localSheetId="3">#REF!</definedName>
    <definedName name="___KM188">#REF!</definedName>
    <definedName name="___km189" localSheetId="7">#REF!</definedName>
    <definedName name="___km189" localSheetId="3">#REF!</definedName>
    <definedName name="___km189">#REF!</definedName>
    <definedName name="___km190" localSheetId="7">#REF!</definedName>
    <definedName name="___km190" localSheetId="3">#REF!</definedName>
    <definedName name="___km190">#REF!</definedName>
    <definedName name="___km191" localSheetId="7">#REF!</definedName>
    <definedName name="___km191" localSheetId="3">#REF!</definedName>
    <definedName name="___km191">#REF!</definedName>
    <definedName name="___km192" localSheetId="7">#REF!</definedName>
    <definedName name="___km192" localSheetId="3">#REF!</definedName>
    <definedName name="___km192">#REF!</definedName>
    <definedName name="___km193" localSheetId="7">#REF!</definedName>
    <definedName name="___km193" localSheetId="3">#REF!</definedName>
    <definedName name="___km193">#REF!</definedName>
    <definedName name="___km194" localSheetId="7">#REF!</definedName>
    <definedName name="___km194" localSheetId="3">#REF!</definedName>
    <definedName name="___km194">#REF!</definedName>
    <definedName name="___km195" localSheetId="7">#REF!</definedName>
    <definedName name="___km195" localSheetId="3">#REF!</definedName>
    <definedName name="___km195">#REF!</definedName>
    <definedName name="___km196" localSheetId="7">#REF!</definedName>
    <definedName name="___km196" localSheetId="3">#REF!</definedName>
    <definedName name="___km196">#REF!</definedName>
    <definedName name="___km197" localSheetId="7">#REF!</definedName>
    <definedName name="___km197" localSheetId="3">#REF!</definedName>
    <definedName name="___km197">#REF!</definedName>
    <definedName name="___km198" localSheetId="7">#REF!</definedName>
    <definedName name="___km198" localSheetId="3">#REF!</definedName>
    <definedName name="___km198">#REF!</definedName>
    <definedName name="___lap1" localSheetId="7">#REF!</definedName>
    <definedName name="___lap1" localSheetId="3">#REF!</definedName>
    <definedName name="___lap1">#REF!</definedName>
    <definedName name="___lap2" localSheetId="7">#REF!</definedName>
    <definedName name="___lap2" localSheetId="3">#REF!</definedName>
    <definedName name="___lap2">#REF!</definedName>
    <definedName name="___MAC12" localSheetId="7">#REF!</definedName>
    <definedName name="___MAC12" localSheetId="3">#REF!</definedName>
    <definedName name="___MAC12">#REF!</definedName>
    <definedName name="___MAC46" localSheetId="7">#REF!</definedName>
    <definedName name="___MAC46" localSheetId="3">#REF!</definedName>
    <definedName name="___MAC46">#REF!</definedName>
    <definedName name="___NCL100" localSheetId="7">#REF!</definedName>
    <definedName name="___NCL100" localSheetId="3">#REF!</definedName>
    <definedName name="___NCL100">#REF!</definedName>
    <definedName name="___NCL200" localSheetId="7">#REF!</definedName>
    <definedName name="___NCL200" localSheetId="3">#REF!</definedName>
    <definedName name="___NCL200">#REF!</definedName>
    <definedName name="___NCL250" localSheetId="7">#REF!</definedName>
    <definedName name="___NCL250" localSheetId="3">#REF!</definedName>
    <definedName name="___NCL250">#REF!</definedName>
    <definedName name="___NET2" localSheetId="7">#REF!</definedName>
    <definedName name="___NET2" localSheetId="3">#REF!</definedName>
    <definedName name="___NET2">#REF!</definedName>
    <definedName name="___nin190" localSheetId="7">#REF!</definedName>
    <definedName name="___nin190" localSheetId="3">#REF!</definedName>
    <definedName name="___nin190">#REF!</definedName>
    <definedName name="___NSO2" localSheetId="7" hidden="1">{"'Sheet1'!$L$16"}</definedName>
    <definedName name="___NSO2" localSheetId="3" hidden="1">{"'Sheet1'!$L$16"}</definedName>
    <definedName name="___NSO2" localSheetId="6" hidden="1">{"'Sheet1'!$L$16"}</definedName>
    <definedName name="___NSO2" hidden="1">{"'Sheet1'!$L$16"}</definedName>
    <definedName name="___PA3" localSheetId="7" hidden="1">{"'Sheet1'!$L$16"}</definedName>
    <definedName name="___PA3" localSheetId="3" hidden="1">{"'Sheet1'!$L$16"}</definedName>
    <definedName name="___PA3" localSheetId="6" hidden="1">{"'Sheet1'!$L$16"}</definedName>
    <definedName name="___PA3" hidden="1">{"'Sheet1'!$L$16"}</definedName>
    <definedName name="___phi10" localSheetId="3">#REF!</definedName>
    <definedName name="___phi10">#REF!</definedName>
    <definedName name="___phi12" localSheetId="7">#REF!</definedName>
    <definedName name="___phi12" localSheetId="3">#REF!</definedName>
    <definedName name="___phi12">#REF!</definedName>
    <definedName name="___phi14" localSheetId="7">#REF!</definedName>
    <definedName name="___phi14" localSheetId="3">#REF!</definedName>
    <definedName name="___phi14">#REF!</definedName>
    <definedName name="___phi16" localSheetId="7">#REF!</definedName>
    <definedName name="___phi16" localSheetId="3">#REF!</definedName>
    <definedName name="___phi16">#REF!</definedName>
    <definedName name="___phi18" localSheetId="7">#REF!</definedName>
    <definedName name="___phi18" localSheetId="3">#REF!</definedName>
    <definedName name="___phi18">#REF!</definedName>
    <definedName name="___phi20" localSheetId="7">#REF!</definedName>
    <definedName name="___phi20" localSheetId="3">#REF!</definedName>
    <definedName name="___phi20">#REF!</definedName>
    <definedName name="___phi22" localSheetId="7">#REF!</definedName>
    <definedName name="___phi22" localSheetId="3">#REF!</definedName>
    <definedName name="___phi22">#REF!</definedName>
    <definedName name="___phi25" localSheetId="7">#REF!</definedName>
    <definedName name="___phi25" localSheetId="3">#REF!</definedName>
    <definedName name="___phi25">#REF!</definedName>
    <definedName name="___phi28" localSheetId="7">#REF!</definedName>
    <definedName name="___phi28" localSheetId="3">#REF!</definedName>
    <definedName name="___phi28">#REF!</definedName>
    <definedName name="___phi6" localSheetId="7">#REF!</definedName>
    <definedName name="___phi6" localSheetId="3">#REF!</definedName>
    <definedName name="___phi6">#REF!</definedName>
    <definedName name="___phi8" localSheetId="7">#REF!</definedName>
    <definedName name="___phi8" localSheetId="3">#REF!</definedName>
    <definedName name="___phi8">#REF!</definedName>
    <definedName name="___PL1242" localSheetId="7">#REF!</definedName>
    <definedName name="___PL1242" localSheetId="3">#REF!</definedName>
    <definedName name="___PL1242">#REF!</definedName>
    <definedName name="___sat10" localSheetId="7">#REF!</definedName>
    <definedName name="___sat10" localSheetId="3">#REF!</definedName>
    <definedName name="___sat10">#REF!</definedName>
    <definedName name="___sat14" localSheetId="7">#REF!</definedName>
    <definedName name="___sat14" localSheetId="3">#REF!</definedName>
    <definedName name="___sat14">#REF!</definedName>
    <definedName name="___sat16" localSheetId="7">#REF!</definedName>
    <definedName name="___sat16" localSheetId="3">#REF!</definedName>
    <definedName name="___sat16">#REF!</definedName>
    <definedName name="___sat20" localSheetId="7">#REF!</definedName>
    <definedName name="___sat20" localSheetId="3">#REF!</definedName>
    <definedName name="___sat20">#REF!</definedName>
    <definedName name="___sat8" localSheetId="7">#REF!</definedName>
    <definedName name="___sat8" localSheetId="3">#REF!</definedName>
    <definedName name="___sat8">#REF!</definedName>
    <definedName name="___sc1" localSheetId="7">#REF!</definedName>
    <definedName name="___sc1" localSheetId="3">#REF!</definedName>
    <definedName name="___sc1">#REF!</definedName>
    <definedName name="___SC2" localSheetId="7">#REF!</definedName>
    <definedName name="___SC2" localSheetId="3">#REF!</definedName>
    <definedName name="___SC2">#REF!</definedName>
    <definedName name="___sc3" localSheetId="7">#REF!</definedName>
    <definedName name="___sc3" localSheetId="3">#REF!</definedName>
    <definedName name="___sc3">#REF!</definedName>
    <definedName name="___slg1" localSheetId="7">#REF!</definedName>
    <definedName name="___slg1" localSheetId="3">#REF!</definedName>
    <definedName name="___slg1">#REF!</definedName>
    <definedName name="___slg2" localSheetId="7">#REF!</definedName>
    <definedName name="___slg2" localSheetId="3">#REF!</definedName>
    <definedName name="___slg2">#REF!</definedName>
    <definedName name="___slg3" localSheetId="7">#REF!</definedName>
    <definedName name="___slg3" localSheetId="3">#REF!</definedName>
    <definedName name="___slg3">#REF!</definedName>
    <definedName name="___slg4" localSheetId="7">#REF!</definedName>
    <definedName name="___slg4" localSheetId="3">#REF!</definedName>
    <definedName name="___slg4">#REF!</definedName>
    <definedName name="___slg5" localSheetId="7">#REF!</definedName>
    <definedName name="___slg5" localSheetId="3">#REF!</definedName>
    <definedName name="___slg5">#REF!</definedName>
    <definedName name="___slg6" localSheetId="7">#REF!</definedName>
    <definedName name="___slg6" localSheetId="3">#REF!</definedName>
    <definedName name="___slg6">#REF!</definedName>
    <definedName name="___SN3" localSheetId="7">#REF!</definedName>
    <definedName name="___SN3" localSheetId="3">#REF!</definedName>
    <definedName name="___SN3">#REF!</definedName>
    <definedName name="___sua20" localSheetId="7">#REF!</definedName>
    <definedName name="___sua20" localSheetId="3">#REF!</definedName>
    <definedName name="___sua20">#REF!</definedName>
    <definedName name="___sua30" localSheetId="7">#REF!</definedName>
    <definedName name="___sua30" localSheetId="3">#REF!</definedName>
    <definedName name="___sua30">#REF!</definedName>
    <definedName name="___TB1" localSheetId="7">#REF!</definedName>
    <definedName name="___TB1" localSheetId="3">#REF!</definedName>
    <definedName name="___TB1">#REF!</definedName>
    <definedName name="___TH1" localSheetId="7">#REF!</definedName>
    <definedName name="___TH1" localSheetId="3">#REF!</definedName>
    <definedName name="___TH1">#REF!</definedName>
    <definedName name="___TH2" localSheetId="7">#REF!</definedName>
    <definedName name="___TH2" localSheetId="3">#REF!</definedName>
    <definedName name="___TH2">#REF!</definedName>
    <definedName name="___TH3" localSheetId="7">#REF!</definedName>
    <definedName name="___TH3" localSheetId="3">#REF!</definedName>
    <definedName name="___TH3">#REF!</definedName>
    <definedName name="___TK155" localSheetId="7">#REF!</definedName>
    <definedName name="___TK155" localSheetId="3">#REF!</definedName>
    <definedName name="___TK155">#REF!</definedName>
    <definedName name="___TK422" localSheetId="7">#REF!</definedName>
    <definedName name="___TK422" localSheetId="3">#REF!</definedName>
    <definedName name="___TK422">#REF!</definedName>
    <definedName name="___TL1" localSheetId="7">#REF!</definedName>
    <definedName name="___TL1" localSheetId="3">#REF!</definedName>
    <definedName name="___TL1">#REF!</definedName>
    <definedName name="___TL2" localSheetId="7">#REF!</definedName>
    <definedName name="___TL2" localSheetId="3">#REF!</definedName>
    <definedName name="___TL2">#REF!</definedName>
    <definedName name="___TL3" localSheetId="7">#REF!</definedName>
    <definedName name="___TL3" localSheetId="3">#REF!</definedName>
    <definedName name="___TL3">#REF!</definedName>
    <definedName name="___TLA120" localSheetId="7">#REF!</definedName>
    <definedName name="___TLA120" localSheetId="3">#REF!</definedName>
    <definedName name="___TLA120">#REF!</definedName>
    <definedName name="___TLA35" localSheetId="7">#REF!</definedName>
    <definedName name="___TLA35" localSheetId="3">#REF!</definedName>
    <definedName name="___TLA35">#REF!</definedName>
    <definedName name="___TLA50" localSheetId="7">#REF!</definedName>
    <definedName name="___TLA50" localSheetId="3">#REF!</definedName>
    <definedName name="___TLA50">#REF!</definedName>
    <definedName name="___TLA70" localSheetId="7">#REF!</definedName>
    <definedName name="___TLA70" localSheetId="3">#REF!</definedName>
    <definedName name="___TLA70">#REF!</definedName>
    <definedName name="___TLA95" localSheetId="7">#REF!</definedName>
    <definedName name="___TLA95" localSheetId="3">#REF!</definedName>
    <definedName name="___TLA95">#REF!</definedName>
    <definedName name="___VL100" localSheetId="7">#REF!</definedName>
    <definedName name="___VL100" localSheetId="3">#REF!</definedName>
    <definedName name="___VL100">#REF!</definedName>
    <definedName name="___vl2" localSheetId="7" hidden="1">{"'Sheet1'!$L$16"}</definedName>
    <definedName name="___vl2" localSheetId="3" hidden="1">{"'Sheet1'!$L$16"}</definedName>
    <definedName name="___vl2" localSheetId="6" hidden="1">{"'Sheet1'!$L$16"}</definedName>
    <definedName name="___vl2" hidden="1">{"'Sheet1'!$L$16"}</definedName>
    <definedName name="___VL250" localSheetId="3">#REF!</definedName>
    <definedName name="___VL250">#REF!</definedName>
    <definedName name="__a1" localSheetId="7" hidden="1">{"'Sheet1'!$L$16"}</definedName>
    <definedName name="__a1" localSheetId="3" hidden="1">{"'Sheet1'!$L$16"}</definedName>
    <definedName name="__a1" localSheetId="6" hidden="1">{"'Sheet1'!$L$16"}</definedName>
    <definedName name="__a1" hidden="1">{"'Sheet1'!$L$16"}</definedName>
    <definedName name="__boi1" localSheetId="3">#REF!</definedName>
    <definedName name="__boi1">#REF!</definedName>
    <definedName name="__boi2" localSheetId="7">#REF!</definedName>
    <definedName name="__boi2" localSheetId="3">#REF!</definedName>
    <definedName name="__boi2">#REF!</definedName>
    <definedName name="__boi3" localSheetId="7">#REF!</definedName>
    <definedName name="__boi3" localSheetId="3">#REF!</definedName>
    <definedName name="__boi3">#REF!</definedName>
    <definedName name="__boi4" localSheetId="7">#REF!</definedName>
    <definedName name="__boi4" localSheetId="3">#REF!</definedName>
    <definedName name="__boi4">#REF!</definedName>
    <definedName name="__btm10" localSheetId="7">#REF!</definedName>
    <definedName name="__btm10" localSheetId="3">#REF!</definedName>
    <definedName name="__btm10">#REF!</definedName>
    <definedName name="__btm100" localSheetId="7">#REF!</definedName>
    <definedName name="__btm100" localSheetId="3">#REF!</definedName>
    <definedName name="__btm100">#REF!</definedName>
    <definedName name="__BTM250" localSheetId="7">#REF!</definedName>
    <definedName name="__BTM250" localSheetId="3">#REF!</definedName>
    <definedName name="__BTM250">#REF!</definedName>
    <definedName name="__btM300" localSheetId="7">#REF!</definedName>
    <definedName name="__btM300" localSheetId="3">#REF!</definedName>
    <definedName name="__btM300">#REF!</definedName>
    <definedName name="__cao1" localSheetId="7">#REF!</definedName>
    <definedName name="__cao1" localSheetId="3">#REF!</definedName>
    <definedName name="__cao1">#REF!</definedName>
    <definedName name="__cao2" localSheetId="7">#REF!</definedName>
    <definedName name="__cao2" localSheetId="3">#REF!</definedName>
    <definedName name="__cao2">#REF!</definedName>
    <definedName name="__cao3" localSheetId="7">#REF!</definedName>
    <definedName name="__cao3" localSheetId="3">#REF!</definedName>
    <definedName name="__cao3">#REF!</definedName>
    <definedName name="__cao4" localSheetId="7">#REF!</definedName>
    <definedName name="__cao4" localSheetId="3">#REF!</definedName>
    <definedName name="__cao4">#REF!</definedName>
    <definedName name="__cao5" localSheetId="7">#REF!</definedName>
    <definedName name="__cao5" localSheetId="3">#REF!</definedName>
    <definedName name="__cao5">#REF!</definedName>
    <definedName name="__cao6" localSheetId="7">#REF!</definedName>
    <definedName name="__cao6" localSheetId="3">#REF!</definedName>
    <definedName name="__cao6">#REF!</definedName>
    <definedName name="__CON1" localSheetId="7">#REF!</definedName>
    <definedName name="__CON1" localSheetId="3">#REF!</definedName>
    <definedName name="__CON1">#REF!</definedName>
    <definedName name="__CON2" localSheetId="7">#REF!</definedName>
    <definedName name="__CON2" localSheetId="3">#REF!</definedName>
    <definedName name="__CON2">#REF!</definedName>
    <definedName name="__dai1" localSheetId="7">#REF!</definedName>
    <definedName name="__dai1" localSheetId="3">#REF!</definedName>
    <definedName name="__dai1">#REF!</definedName>
    <definedName name="__dai2" localSheetId="7">#REF!</definedName>
    <definedName name="__dai2" localSheetId="3">#REF!</definedName>
    <definedName name="__dai2">#REF!</definedName>
    <definedName name="__dai3" localSheetId="7">#REF!</definedName>
    <definedName name="__dai3" localSheetId="3">#REF!</definedName>
    <definedName name="__dai3">#REF!</definedName>
    <definedName name="__dai4" localSheetId="7">#REF!</definedName>
    <definedName name="__dai4" localSheetId="3">#REF!</definedName>
    <definedName name="__dai4">#REF!</definedName>
    <definedName name="__dai5" localSheetId="7">#REF!</definedName>
    <definedName name="__dai5" localSheetId="3">#REF!</definedName>
    <definedName name="__dai5">#REF!</definedName>
    <definedName name="__dai6" localSheetId="7">#REF!</definedName>
    <definedName name="__dai6" localSheetId="3">#REF!</definedName>
    <definedName name="__dai6">#REF!</definedName>
    <definedName name="__dan1" localSheetId="7">#REF!</definedName>
    <definedName name="__dan1" localSheetId="3">#REF!</definedName>
    <definedName name="__dan1">#REF!</definedName>
    <definedName name="__dan2" localSheetId="7">#REF!</definedName>
    <definedName name="__dan2" localSheetId="3">#REF!</definedName>
    <definedName name="__dan2">#REF!</definedName>
    <definedName name="__ddn400" localSheetId="7">#REF!</definedName>
    <definedName name="__ddn400" localSheetId="3">#REF!</definedName>
    <definedName name="__ddn400">#REF!</definedName>
    <definedName name="__ddn600" localSheetId="7">#REF!</definedName>
    <definedName name="__ddn600" localSheetId="3">#REF!</definedName>
    <definedName name="__ddn600">#REF!</definedName>
    <definedName name="__gon4" localSheetId="7">#REF!</definedName>
    <definedName name="__gon4" localSheetId="3">#REF!</definedName>
    <definedName name="__gon4">#REF!</definedName>
    <definedName name="__h1" localSheetId="7" hidden="1">{"'Sheet1'!$L$16"}</definedName>
    <definedName name="__h1" localSheetId="3" hidden="1">{"'Sheet1'!$L$16"}</definedName>
    <definedName name="__h1" localSheetId="6" hidden="1">{"'Sheet1'!$L$16"}</definedName>
    <definedName name="__h1" hidden="1">{"'Sheet1'!$L$16"}</definedName>
    <definedName name="__h10" localSheetId="7" hidden="1">{#N/A,#N/A,FALSE,"Chi tiÆt"}</definedName>
    <definedName name="__h10" localSheetId="3" hidden="1">{#N/A,#N/A,FALSE,"Chi tiÆt"}</definedName>
    <definedName name="__h10" localSheetId="6" hidden="1">{#N/A,#N/A,FALSE,"Chi tiÆt"}</definedName>
    <definedName name="__h10" hidden="1">{#N/A,#N/A,FALSE,"Chi tiÆt"}</definedName>
    <definedName name="__h2" localSheetId="7" hidden="1">{"'Sheet1'!$L$16"}</definedName>
    <definedName name="__h2" localSheetId="3" hidden="1">{"'Sheet1'!$L$16"}</definedName>
    <definedName name="__h2" localSheetId="6" hidden="1">{"'Sheet1'!$L$16"}</definedName>
    <definedName name="__h2" hidden="1">{"'Sheet1'!$L$16"}</definedName>
    <definedName name="__h3" localSheetId="7" hidden="1">{"'Sheet1'!$L$16"}</definedName>
    <definedName name="__h3" localSheetId="3" hidden="1">{"'Sheet1'!$L$16"}</definedName>
    <definedName name="__h3" localSheetId="6" hidden="1">{"'Sheet1'!$L$16"}</definedName>
    <definedName name="__h3" hidden="1">{"'Sheet1'!$L$16"}</definedName>
    <definedName name="__h5" localSheetId="7" hidden="1">{"'Sheet1'!$L$16"}</definedName>
    <definedName name="__h5" localSheetId="3" hidden="1">{"'Sheet1'!$L$16"}</definedName>
    <definedName name="__h5" localSheetId="6" hidden="1">{"'Sheet1'!$L$16"}</definedName>
    <definedName name="__h5" hidden="1">{"'Sheet1'!$L$16"}</definedName>
    <definedName name="__h6" localSheetId="7" hidden="1">{"'Sheet1'!$L$16"}</definedName>
    <definedName name="__h6" localSheetId="3" hidden="1">{"'Sheet1'!$L$16"}</definedName>
    <definedName name="__h6" localSheetId="6" hidden="1">{"'Sheet1'!$L$16"}</definedName>
    <definedName name="__h6" hidden="1">{"'Sheet1'!$L$16"}</definedName>
    <definedName name="__h7" localSheetId="7" hidden="1">{"'Sheet1'!$L$16"}</definedName>
    <definedName name="__h7" localSheetId="3" hidden="1">{"'Sheet1'!$L$16"}</definedName>
    <definedName name="__h7" localSheetId="6" hidden="1">{"'Sheet1'!$L$16"}</definedName>
    <definedName name="__h7" hidden="1">{"'Sheet1'!$L$16"}</definedName>
    <definedName name="__h8" localSheetId="7" hidden="1">{"'Sheet1'!$L$16"}</definedName>
    <definedName name="__h8" localSheetId="3" hidden="1">{"'Sheet1'!$L$16"}</definedName>
    <definedName name="__h8" localSheetId="6" hidden="1">{"'Sheet1'!$L$16"}</definedName>
    <definedName name="__h8" hidden="1">{"'Sheet1'!$L$16"}</definedName>
    <definedName name="__h9" localSheetId="7" hidden="1">{"'Sheet1'!$L$16"}</definedName>
    <definedName name="__h9" localSheetId="3" hidden="1">{"'Sheet1'!$L$16"}</definedName>
    <definedName name="__h9" localSheetId="6" hidden="1">{"'Sheet1'!$L$16"}</definedName>
    <definedName name="__h9" hidden="1">{"'Sheet1'!$L$16"}</definedName>
    <definedName name="__hom2" localSheetId="3">#REF!</definedName>
    <definedName name="__hom2">#REF!</definedName>
    <definedName name="__KM188" localSheetId="7">#REF!</definedName>
    <definedName name="__KM188" localSheetId="3">#REF!</definedName>
    <definedName name="__KM188">#REF!</definedName>
    <definedName name="__km189" localSheetId="7">#REF!</definedName>
    <definedName name="__km189" localSheetId="3">#REF!</definedName>
    <definedName name="__km189">#REF!</definedName>
    <definedName name="__km190" localSheetId="7">#REF!</definedName>
    <definedName name="__km190" localSheetId="3">#REF!</definedName>
    <definedName name="__km190">#REF!</definedName>
    <definedName name="__km191" localSheetId="7">#REF!</definedName>
    <definedName name="__km191" localSheetId="3">#REF!</definedName>
    <definedName name="__km191">#REF!</definedName>
    <definedName name="__km192" localSheetId="7">#REF!</definedName>
    <definedName name="__km192" localSheetId="3">#REF!</definedName>
    <definedName name="__km192">#REF!</definedName>
    <definedName name="__km193" localSheetId="7">#REF!</definedName>
    <definedName name="__km193" localSheetId="3">#REF!</definedName>
    <definedName name="__km193">#REF!</definedName>
    <definedName name="__km194" localSheetId="7">#REF!</definedName>
    <definedName name="__km194" localSheetId="3">#REF!</definedName>
    <definedName name="__km194">#REF!</definedName>
    <definedName name="__km195" localSheetId="7">#REF!</definedName>
    <definedName name="__km195" localSheetId="3">#REF!</definedName>
    <definedName name="__km195">#REF!</definedName>
    <definedName name="__km196" localSheetId="7">#REF!</definedName>
    <definedName name="__km196" localSheetId="3">#REF!</definedName>
    <definedName name="__km196">#REF!</definedName>
    <definedName name="__km197" localSheetId="7">#REF!</definedName>
    <definedName name="__km197" localSheetId="3">#REF!</definedName>
    <definedName name="__km197">#REF!</definedName>
    <definedName name="__km198" localSheetId="7">#REF!</definedName>
    <definedName name="__km198" localSheetId="3">#REF!</definedName>
    <definedName name="__km198">#REF!</definedName>
    <definedName name="__Lan1" localSheetId="7" hidden="1">{"'Sheet1'!$L$16"}</definedName>
    <definedName name="__Lan1" localSheetId="3" hidden="1">{"'Sheet1'!$L$16"}</definedName>
    <definedName name="__Lan1" localSheetId="6" hidden="1">{"'Sheet1'!$L$16"}</definedName>
    <definedName name="__Lan1" hidden="1">{"'Sheet1'!$L$16"}</definedName>
    <definedName name="__LAN3" localSheetId="7" hidden="1">{"'Sheet1'!$L$16"}</definedName>
    <definedName name="__LAN3" localSheetId="3" hidden="1">{"'Sheet1'!$L$16"}</definedName>
    <definedName name="__LAN3" localSheetId="6" hidden="1">{"'Sheet1'!$L$16"}</definedName>
    <definedName name="__LAN3" hidden="1">{"'Sheet1'!$L$16"}</definedName>
    <definedName name="__lap1" localSheetId="3">#REF!</definedName>
    <definedName name="__lap1">#REF!</definedName>
    <definedName name="__lap2" localSheetId="7">#REF!</definedName>
    <definedName name="__lap2" localSheetId="3">#REF!</definedName>
    <definedName name="__lap2">#REF!</definedName>
    <definedName name="__MAC12" localSheetId="7">#REF!</definedName>
    <definedName name="__MAC12" localSheetId="3">#REF!</definedName>
    <definedName name="__MAC12">#REF!</definedName>
    <definedName name="__MAC46" localSheetId="7">#REF!</definedName>
    <definedName name="__MAC46" localSheetId="3">#REF!</definedName>
    <definedName name="__MAC46">#REF!</definedName>
    <definedName name="__NCL100" localSheetId="7">#REF!</definedName>
    <definedName name="__NCL100" localSheetId="3">#REF!</definedName>
    <definedName name="__NCL100">#REF!</definedName>
    <definedName name="__NCL200" localSheetId="7">#REF!</definedName>
    <definedName name="__NCL200" localSheetId="3">#REF!</definedName>
    <definedName name="__NCL200">#REF!</definedName>
    <definedName name="__NCL250" localSheetId="7">#REF!</definedName>
    <definedName name="__NCL250" localSheetId="3">#REF!</definedName>
    <definedName name="__NCL250">#REF!</definedName>
    <definedName name="__NET2" localSheetId="7">#REF!</definedName>
    <definedName name="__NET2" localSheetId="3">#REF!</definedName>
    <definedName name="__NET2">#REF!</definedName>
    <definedName name="__nin190" localSheetId="7">#REF!</definedName>
    <definedName name="__nin190" localSheetId="3">#REF!</definedName>
    <definedName name="__nin190">#REF!</definedName>
    <definedName name="__NSO2" localSheetId="7" hidden="1">{"'Sheet1'!$L$16"}</definedName>
    <definedName name="__NSO2" localSheetId="3" hidden="1">{"'Sheet1'!$L$16"}</definedName>
    <definedName name="__NSO2" localSheetId="6" hidden="1">{"'Sheet1'!$L$16"}</definedName>
    <definedName name="__NSO2" hidden="1">{"'Sheet1'!$L$16"}</definedName>
    <definedName name="__PA3" localSheetId="7" hidden="1">{"'Sheet1'!$L$16"}</definedName>
    <definedName name="__PA3" localSheetId="3" hidden="1">{"'Sheet1'!$L$16"}</definedName>
    <definedName name="__PA3" localSheetId="6" hidden="1">{"'Sheet1'!$L$16"}</definedName>
    <definedName name="__PA3" hidden="1">{"'Sheet1'!$L$16"}</definedName>
    <definedName name="__phi10" localSheetId="3">#REF!</definedName>
    <definedName name="__phi10">#REF!</definedName>
    <definedName name="__phi12" localSheetId="7">#REF!</definedName>
    <definedName name="__phi12" localSheetId="3">#REF!</definedName>
    <definedName name="__phi12">#REF!</definedName>
    <definedName name="__phi14" localSheetId="7">#REF!</definedName>
    <definedName name="__phi14" localSheetId="3">#REF!</definedName>
    <definedName name="__phi14">#REF!</definedName>
    <definedName name="__phi16" localSheetId="7">#REF!</definedName>
    <definedName name="__phi16" localSheetId="3">#REF!</definedName>
    <definedName name="__phi16">#REF!</definedName>
    <definedName name="__phi18" localSheetId="7">#REF!</definedName>
    <definedName name="__phi18" localSheetId="3">#REF!</definedName>
    <definedName name="__phi18">#REF!</definedName>
    <definedName name="__phi20" localSheetId="7">#REF!</definedName>
    <definedName name="__phi20" localSheetId="3">#REF!</definedName>
    <definedName name="__phi20">#REF!</definedName>
    <definedName name="__phi22" localSheetId="7">#REF!</definedName>
    <definedName name="__phi22" localSheetId="3">#REF!</definedName>
    <definedName name="__phi22">#REF!</definedName>
    <definedName name="__phi25" localSheetId="7">#REF!</definedName>
    <definedName name="__phi25" localSheetId="3">#REF!</definedName>
    <definedName name="__phi25">#REF!</definedName>
    <definedName name="__phi28" localSheetId="7">#REF!</definedName>
    <definedName name="__phi28" localSheetId="3">#REF!</definedName>
    <definedName name="__phi28">#REF!</definedName>
    <definedName name="__phi6" localSheetId="7">#REF!</definedName>
    <definedName name="__phi6" localSheetId="3">#REF!</definedName>
    <definedName name="__phi6">#REF!</definedName>
    <definedName name="__phi8" localSheetId="7">#REF!</definedName>
    <definedName name="__phi8" localSheetId="3">#REF!</definedName>
    <definedName name="__phi8">#REF!</definedName>
    <definedName name="__PL1242" localSheetId="7">#REF!</definedName>
    <definedName name="__PL1242" localSheetId="3">#REF!</definedName>
    <definedName name="__PL1242">#REF!</definedName>
    <definedName name="__sat10" localSheetId="7">#REF!</definedName>
    <definedName name="__sat10" localSheetId="3">#REF!</definedName>
    <definedName name="__sat10">#REF!</definedName>
    <definedName name="__sat14" localSheetId="7">#REF!</definedName>
    <definedName name="__sat14" localSheetId="3">#REF!</definedName>
    <definedName name="__sat14">#REF!</definedName>
    <definedName name="__sat16" localSheetId="7">#REF!</definedName>
    <definedName name="__sat16" localSheetId="3">#REF!</definedName>
    <definedName name="__sat16">#REF!</definedName>
    <definedName name="__sat20" localSheetId="7">#REF!</definedName>
    <definedName name="__sat20" localSheetId="3">#REF!</definedName>
    <definedName name="__sat20">#REF!</definedName>
    <definedName name="__sat8" localSheetId="7">#REF!</definedName>
    <definedName name="__sat8" localSheetId="3">#REF!</definedName>
    <definedName name="__sat8">#REF!</definedName>
    <definedName name="__sc1" localSheetId="7">#REF!</definedName>
    <definedName name="__sc1" localSheetId="3">#REF!</definedName>
    <definedName name="__sc1">#REF!</definedName>
    <definedName name="__SC2" localSheetId="7">#REF!</definedName>
    <definedName name="__SC2" localSheetId="3">#REF!</definedName>
    <definedName name="__SC2">#REF!</definedName>
    <definedName name="__sc3" localSheetId="7">#REF!</definedName>
    <definedName name="__sc3" localSheetId="3">#REF!</definedName>
    <definedName name="__sc3">#REF!</definedName>
    <definedName name="__slg1" localSheetId="7">#REF!</definedName>
    <definedName name="__slg1" localSheetId="3">#REF!</definedName>
    <definedName name="__slg1">#REF!</definedName>
    <definedName name="__slg2" localSheetId="7">#REF!</definedName>
    <definedName name="__slg2" localSheetId="3">#REF!</definedName>
    <definedName name="__slg2">#REF!</definedName>
    <definedName name="__slg3" localSheetId="7">#REF!</definedName>
    <definedName name="__slg3" localSheetId="3">#REF!</definedName>
    <definedName name="__slg3">#REF!</definedName>
    <definedName name="__slg4" localSheetId="7">#REF!</definedName>
    <definedName name="__slg4" localSheetId="3">#REF!</definedName>
    <definedName name="__slg4">#REF!</definedName>
    <definedName name="__slg5" localSheetId="7">#REF!</definedName>
    <definedName name="__slg5" localSheetId="3">#REF!</definedName>
    <definedName name="__slg5">#REF!</definedName>
    <definedName name="__slg6" localSheetId="7">#REF!</definedName>
    <definedName name="__slg6" localSheetId="3">#REF!</definedName>
    <definedName name="__slg6">#REF!</definedName>
    <definedName name="__SN3" localSheetId="7">#REF!</definedName>
    <definedName name="__SN3" localSheetId="3">#REF!</definedName>
    <definedName name="__SN3">#REF!</definedName>
    <definedName name="__sua20" localSheetId="7">#REF!</definedName>
    <definedName name="__sua20" localSheetId="3">#REF!</definedName>
    <definedName name="__sua20">#REF!</definedName>
    <definedName name="__sua30" localSheetId="7">#REF!</definedName>
    <definedName name="__sua30" localSheetId="3">#REF!</definedName>
    <definedName name="__sua30">#REF!</definedName>
    <definedName name="__TB1" localSheetId="7">#REF!</definedName>
    <definedName name="__TB1" localSheetId="3">#REF!</definedName>
    <definedName name="__TB1">#REF!</definedName>
    <definedName name="__TH1" localSheetId="7">#REF!</definedName>
    <definedName name="__TH1" localSheetId="3">#REF!</definedName>
    <definedName name="__TH1">#REF!</definedName>
    <definedName name="__TH2" localSheetId="7">#REF!</definedName>
    <definedName name="__TH2" localSheetId="3">#REF!</definedName>
    <definedName name="__TH2">#REF!</definedName>
    <definedName name="__TH3" localSheetId="7">#REF!</definedName>
    <definedName name="__TH3" localSheetId="3">#REF!</definedName>
    <definedName name="__TH3">#REF!</definedName>
    <definedName name="__TK155" localSheetId="7">#REF!</definedName>
    <definedName name="__TK155" localSheetId="3">#REF!</definedName>
    <definedName name="__TK155">#REF!</definedName>
    <definedName name="__TK422" localSheetId="7">#REF!</definedName>
    <definedName name="__TK422" localSheetId="3">#REF!</definedName>
    <definedName name="__TK422">#REF!</definedName>
    <definedName name="__TL1" localSheetId="7">#REF!</definedName>
    <definedName name="__TL1" localSheetId="3">#REF!</definedName>
    <definedName name="__TL1">#REF!</definedName>
    <definedName name="__TL2" localSheetId="7">#REF!</definedName>
    <definedName name="__TL2" localSheetId="3">#REF!</definedName>
    <definedName name="__TL2">#REF!</definedName>
    <definedName name="__TL3" localSheetId="7">#REF!</definedName>
    <definedName name="__TL3" localSheetId="3">#REF!</definedName>
    <definedName name="__TL3">#REF!</definedName>
    <definedName name="__TLA120" localSheetId="7">#REF!</definedName>
    <definedName name="__TLA120" localSheetId="3">#REF!</definedName>
    <definedName name="__TLA120">#REF!</definedName>
    <definedName name="__TLA35" localSheetId="7">#REF!</definedName>
    <definedName name="__TLA35" localSheetId="3">#REF!</definedName>
    <definedName name="__TLA35">#REF!</definedName>
    <definedName name="__TLA50" localSheetId="7">#REF!</definedName>
    <definedName name="__TLA50" localSheetId="3">#REF!</definedName>
    <definedName name="__TLA50">#REF!</definedName>
    <definedName name="__TLA70" localSheetId="7">#REF!</definedName>
    <definedName name="__TLA70" localSheetId="3">#REF!</definedName>
    <definedName name="__TLA70">#REF!</definedName>
    <definedName name="__TLA95" localSheetId="7">#REF!</definedName>
    <definedName name="__TLA95" localSheetId="3">#REF!</definedName>
    <definedName name="__TLA95">#REF!</definedName>
    <definedName name="__tt3" localSheetId="7" hidden="1">{"'Sheet1'!$L$16"}</definedName>
    <definedName name="__tt3" localSheetId="3" hidden="1">{"'Sheet1'!$L$16"}</definedName>
    <definedName name="__tt3" localSheetId="6" hidden="1">{"'Sheet1'!$L$16"}</definedName>
    <definedName name="__tt3" hidden="1">{"'Sheet1'!$L$16"}</definedName>
    <definedName name="__TT31" localSheetId="7" hidden="1">{"'Sheet1'!$L$16"}</definedName>
    <definedName name="__TT31" localSheetId="3" hidden="1">{"'Sheet1'!$L$16"}</definedName>
    <definedName name="__TT31" localSheetId="6" hidden="1">{"'Sheet1'!$L$16"}</definedName>
    <definedName name="__TT31" hidden="1">{"'Sheet1'!$L$16"}</definedName>
    <definedName name="__VL100" localSheetId="3">#REF!</definedName>
    <definedName name="__VL100">#REF!</definedName>
    <definedName name="__vl2" localSheetId="7" hidden="1">{"'Sheet1'!$L$16"}</definedName>
    <definedName name="__vl2" localSheetId="3" hidden="1">{"'Sheet1'!$L$16"}</definedName>
    <definedName name="__vl2" localSheetId="6" hidden="1">{"'Sheet1'!$L$16"}</definedName>
    <definedName name="__vl2" hidden="1">{"'Sheet1'!$L$16"}</definedName>
    <definedName name="__VL250" localSheetId="3">#REF!</definedName>
    <definedName name="__VL250">#REF!</definedName>
    <definedName name="_1" localSheetId="7">#REF!</definedName>
    <definedName name="_1" localSheetId="3">#REF!</definedName>
    <definedName name="_1">#REF!</definedName>
    <definedName name="_1000A01">#N/A</definedName>
    <definedName name="_1BA2500" localSheetId="7">#REF!</definedName>
    <definedName name="_1BA2500" localSheetId="3">#REF!</definedName>
    <definedName name="_1BA2500" localSheetId="6">#REF!</definedName>
    <definedName name="_1BA2500">#REF!</definedName>
    <definedName name="_1BA3250" localSheetId="7">#REF!</definedName>
    <definedName name="_1BA3250" localSheetId="3">#REF!</definedName>
    <definedName name="_1BA3250" localSheetId="6">#REF!</definedName>
    <definedName name="_1BA3250">#REF!</definedName>
    <definedName name="_1BA400P" localSheetId="7">#REF!</definedName>
    <definedName name="_1BA400P" localSheetId="3">#REF!</definedName>
    <definedName name="_1BA400P" localSheetId="6">#REF!</definedName>
    <definedName name="_1BA400P">#REF!</definedName>
    <definedName name="_1CAP001" localSheetId="7">#REF!</definedName>
    <definedName name="_1CAP001" localSheetId="3">#REF!</definedName>
    <definedName name="_1CAP001">#REF!</definedName>
    <definedName name="_1DAU002" localSheetId="7">#REF!</definedName>
    <definedName name="_1DAU002" localSheetId="3">#REF!</definedName>
    <definedName name="_1DAU002">#REF!</definedName>
    <definedName name="_1DDAY03" localSheetId="7">#REF!</definedName>
    <definedName name="_1DDAY03" localSheetId="3">#REF!</definedName>
    <definedName name="_1DDAY03">#REF!</definedName>
    <definedName name="_1DDTT01" localSheetId="7">#REF!</definedName>
    <definedName name="_1DDTT01" localSheetId="3">#REF!</definedName>
    <definedName name="_1DDTT01">#REF!</definedName>
    <definedName name="_1FCO101" localSheetId="7">#REF!</definedName>
    <definedName name="_1FCO101" localSheetId="3">#REF!</definedName>
    <definedName name="_1FCO101">#REF!</definedName>
    <definedName name="_1GIA101" localSheetId="7">#REF!</definedName>
    <definedName name="_1GIA101" localSheetId="3">#REF!</definedName>
    <definedName name="_1GIA101">#REF!</definedName>
    <definedName name="_1LA1001" localSheetId="7">#REF!</definedName>
    <definedName name="_1LA1001" localSheetId="3">#REF!</definedName>
    <definedName name="_1LA1001">#REF!</definedName>
    <definedName name="_1MCCBO2" localSheetId="7">#REF!</definedName>
    <definedName name="_1MCCBO2" localSheetId="3">#REF!</definedName>
    <definedName name="_1MCCBO2">#REF!</definedName>
    <definedName name="_1PKCAP1" localSheetId="7">#REF!</definedName>
    <definedName name="_1PKCAP1" localSheetId="3">#REF!</definedName>
    <definedName name="_1PKCAP1">#REF!</definedName>
    <definedName name="_1PKTT01" localSheetId="7">#REF!</definedName>
    <definedName name="_1PKTT01" localSheetId="3">#REF!</definedName>
    <definedName name="_1PKTT01">#REF!</definedName>
    <definedName name="_1TCD101" localSheetId="7">#REF!</definedName>
    <definedName name="_1TCD101" localSheetId="3">#REF!</definedName>
    <definedName name="_1TCD101">#REF!</definedName>
    <definedName name="_1TCD201" localSheetId="7">#REF!</definedName>
    <definedName name="_1TCD201" localSheetId="3">#REF!</definedName>
    <definedName name="_1TCD201">#REF!</definedName>
    <definedName name="_1TD2001" localSheetId="7">#REF!</definedName>
    <definedName name="_1TD2001" localSheetId="3">#REF!</definedName>
    <definedName name="_1TD2001">#REF!</definedName>
    <definedName name="_1TIHT01" localSheetId="7">#REF!</definedName>
    <definedName name="_1TIHT01" localSheetId="3">#REF!</definedName>
    <definedName name="_1TIHT01">#REF!</definedName>
    <definedName name="_1TRU121" localSheetId="7">#REF!</definedName>
    <definedName name="_1TRU121" localSheetId="3">#REF!</definedName>
    <definedName name="_1TRU121">#REF!</definedName>
    <definedName name="_2" localSheetId="7">#REF!</definedName>
    <definedName name="_2" localSheetId="3">#REF!</definedName>
    <definedName name="_2">#REF!</definedName>
    <definedName name="_2BLA100" localSheetId="7">#REF!</definedName>
    <definedName name="_2BLA100" localSheetId="3">#REF!</definedName>
    <definedName name="_2BLA100">#REF!</definedName>
    <definedName name="_2DAL201" localSheetId="7">#REF!</definedName>
    <definedName name="_2DAL201" localSheetId="3">#REF!</definedName>
    <definedName name="_2DAL201">#REF!</definedName>
    <definedName name="_3BLXMD" localSheetId="7">#REF!</definedName>
    <definedName name="_3BLXMD" localSheetId="3">#REF!</definedName>
    <definedName name="_3BLXMD">#REF!</definedName>
    <definedName name="_3TU0609" localSheetId="7">#REF!</definedName>
    <definedName name="_3TU0609" localSheetId="3">#REF!</definedName>
    <definedName name="_3TU0609">#REF!</definedName>
    <definedName name="_40x4">5100</definedName>
    <definedName name="_413565">"hdong+Sheet1!$A$2:$J$24263!$A$13374"</definedName>
    <definedName name="_4CNT240" localSheetId="7">#REF!</definedName>
    <definedName name="_4CNT240" localSheetId="3">#REF!</definedName>
    <definedName name="_4CNT240" localSheetId="6">#REF!</definedName>
    <definedName name="_4CNT240">#REF!</definedName>
    <definedName name="_4CTL240" localSheetId="7">#REF!</definedName>
    <definedName name="_4CTL240" localSheetId="3">#REF!</definedName>
    <definedName name="_4CTL240" localSheetId="6">#REF!</definedName>
    <definedName name="_4CTL240">#REF!</definedName>
    <definedName name="_4FCO100" localSheetId="7">#REF!</definedName>
    <definedName name="_4FCO100" localSheetId="3">#REF!</definedName>
    <definedName name="_4FCO100" localSheetId="6">#REF!</definedName>
    <definedName name="_4FCO100">#REF!</definedName>
    <definedName name="_4HDCTT4" localSheetId="7">#REF!</definedName>
    <definedName name="_4HDCTT4" localSheetId="3">#REF!</definedName>
    <definedName name="_4HDCTT4">#REF!</definedName>
    <definedName name="_4HNCTT4" localSheetId="7">#REF!</definedName>
    <definedName name="_4HNCTT4" localSheetId="3">#REF!</definedName>
    <definedName name="_4HNCTT4">#REF!</definedName>
    <definedName name="_4LBCO01" localSheetId="7">#REF!</definedName>
    <definedName name="_4LBCO01" localSheetId="3">#REF!</definedName>
    <definedName name="_4LBCO01">#REF!</definedName>
    <definedName name="_a1" localSheetId="7" hidden="1">{"'Sheet1'!$L$16"}</definedName>
    <definedName name="_a1" localSheetId="3" hidden="1">{"'Sheet1'!$L$16"}</definedName>
    <definedName name="_a1" localSheetId="6" hidden="1">{"'Sheet1'!$L$16"}</definedName>
    <definedName name="_a1" hidden="1">{"'Sheet1'!$L$16"}</definedName>
    <definedName name="_a129" localSheetId="7" hidden="1">{"Offgrid",#N/A,FALSE,"OFFGRID";"Region",#N/A,FALSE,"REGION";"Offgrid -2",#N/A,FALSE,"OFFGRID";"WTP",#N/A,FALSE,"WTP";"WTP -2",#N/A,FALSE,"WTP";"Project",#N/A,FALSE,"PROJECT";"Summary -2",#N/A,FALSE,"SUMMARY"}</definedName>
    <definedName name="_a129" localSheetId="3" hidden="1">{"Offgrid",#N/A,FALSE,"OFFGRID";"Region",#N/A,FALSE,"REGION";"Offgrid -2",#N/A,FALSE,"OFFGRID";"WTP",#N/A,FALSE,"WTP";"WTP -2",#N/A,FALSE,"WTP";"Project",#N/A,FALSE,"PROJECT";"Summary -2",#N/A,FALSE,"SUMMARY"}</definedName>
    <definedName name="_a129" localSheetId="6" hidden="1">{"Offgrid",#N/A,FALSE,"OFFGRID";"Region",#N/A,FALSE,"REGION";"Offgrid -2",#N/A,FALSE,"OFFGRID";"WTP",#N/A,FALSE,"WTP";"WTP -2",#N/A,FALSE,"WTP";"Project",#N/A,FALSE,"PROJECT";"Summary -2",#N/A,FALSE,"SUMMARY"}</definedName>
    <definedName name="_a129" hidden="1">{"Offgrid",#N/A,FALSE,"OFFGRID";"Region",#N/A,FALSE,"REGION";"Offgrid -2",#N/A,FALSE,"OFFGRID";"WTP",#N/A,FALSE,"WTP";"WTP -2",#N/A,FALSE,"WTP";"Project",#N/A,FALSE,"PROJECT";"Summary -2",#N/A,FALSE,"SUMMARY"}</definedName>
    <definedName name="_a130" localSheetId="7" hidden="1">{"Offgrid",#N/A,FALSE,"OFFGRID";"Region",#N/A,FALSE,"REGION";"Offgrid -2",#N/A,FALSE,"OFFGRID";"WTP",#N/A,FALSE,"WTP";"WTP -2",#N/A,FALSE,"WTP";"Project",#N/A,FALSE,"PROJECT";"Summary -2",#N/A,FALSE,"SUMMARY"}</definedName>
    <definedName name="_a130" localSheetId="3" hidden="1">{"Offgrid",#N/A,FALSE,"OFFGRID";"Region",#N/A,FALSE,"REGION";"Offgrid -2",#N/A,FALSE,"OFFGRID";"WTP",#N/A,FALSE,"WTP";"WTP -2",#N/A,FALSE,"WTP";"Project",#N/A,FALSE,"PROJECT";"Summary -2",#N/A,FALSE,"SUMMARY"}</definedName>
    <definedName name="_a130" localSheetId="6" hidden="1">{"Offgrid",#N/A,FALSE,"OFFGRID";"Region",#N/A,FALSE,"REGION";"Offgrid -2",#N/A,FALSE,"OFFGRID";"WTP",#N/A,FALSE,"WTP";"WTP -2",#N/A,FALSE,"WTP";"Project",#N/A,FALSE,"PROJECT";"Summary -2",#N/A,FALSE,"SUMMARY"}</definedName>
    <definedName name="_a130" hidden="1">{"Offgrid",#N/A,FALSE,"OFFGRID";"Region",#N/A,FALSE,"REGION";"Offgrid -2",#N/A,FALSE,"OFFGRID";"WTP",#N/A,FALSE,"WTP";"WTP -2",#N/A,FALSE,"WTP";"Project",#N/A,FALSE,"PROJECT";"Summary -2",#N/A,FALSE,"SUMMARY"}</definedName>
    <definedName name="_ban2" localSheetId="7" hidden="1">{"'Sheet1'!$L$16"}</definedName>
    <definedName name="_ban2" localSheetId="3" hidden="1">{"'Sheet1'!$L$16"}</definedName>
    <definedName name="_ban2" localSheetId="6" hidden="1">{"'Sheet1'!$L$16"}</definedName>
    <definedName name="_ban2" hidden="1">{"'Sheet1'!$L$16"}</definedName>
    <definedName name="_boi1" localSheetId="3">#REF!</definedName>
    <definedName name="_boi1">#REF!</definedName>
    <definedName name="_boi2" localSheetId="7">#REF!</definedName>
    <definedName name="_boi2" localSheetId="3">#REF!</definedName>
    <definedName name="_boi2">#REF!</definedName>
    <definedName name="_boi3" localSheetId="7">#REF!</definedName>
    <definedName name="_boi3" localSheetId="3">#REF!</definedName>
    <definedName name="_boi3">#REF!</definedName>
    <definedName name="_boi4" localSheetId="7">#REF!</definedName>
    <definedName name="_boi4" localSheetId="3">#REF!</definedName>
    <definedName name="_boi4">#REF!</definedName>
    <definedName name="_btm10" localSheetId="7">#REF!</definedName>
    <definedName name="_btm10" localSheetId="3">#REF!</definedName>
    <definedName name="_btm10">#REF!</definedName>
    <definedName name="_btm100" localSheetId="7">#REF!</definedName>
    <definedName name="_btm100" localSheetId="3">#REF!</definedName>
    <definedName name="_btm100">#REF!</definedName>
    <definedName name="_BTM250" localSheetId="7">#REF!</definedName>
    <definedName name="_BTM250" localSheetId="3">#REF!</definedName>
    <definedName name="_BTM250">#REF!</definedName>
    <definedName name="_btM300" localSheetId="7">#REF!</definedName>
    <definedName name="_btM300" localSheetId="3">#REF!</definedName>
    <definedName name="_btM300">#REF!</definedName>
    <definedName name="_cao1" localSheetId="7">#REF!</definedName>
    <definedName name="_cao1" localSheetId="3">#REF!</definedName>
    <definedName name="_cao1">#REF!</definedName>
    <definedName name="_cao2" localSheetId="7">#REF!</definedName>
    <definedName name="_cao2" localSheetId="3">#REF!</definedName>
    <definedName name="_cao2">#REF!</definedName>
    <definedName name="_cao3" localSheetId="7">#REF!</definedName>
    <definedName name="_cao3" localSheetId="3">#REF!</definedName>
    <definedName name="_cao3">#REF!</definedName>
    <definedName name="_cao4" localSheetId="7">#REF!</definedName>
    <definedName name="_cao4" localSheetId="3">#REF!</definedName>
    <definedName name="_cao4">#REF!</definedName>
    <definedName name="_cao5" localSheetId="7">#REF!</definedName>
    <definedName name="_cao5" localSheetId="3">#REF!</definedName>
    <definedName name="_cao5">#REF!</definedName>
    <definedName name="_cao6" localSheetId="7">#REF!</definedName>
    <definedName name="_cao6" localSheetId="3">#REF!</definedName>
    <definedName name="_cao6">#REF!</definedName>
    <definedName name="_cep1" localSheetId="7" hidden="1">{"'Sheet1'!$L$16"}</definedName>
    <definedName name="_cep1" localSheetId="3" hidden="1">{"'Sheet1'!$L$16"}</definedName>
    <definedName name="_cep1" localSheetId="6" hidden="1">{"'Sheet1'!$L$16"}</definedName>
    <definedName name="_cep1" hidden="1">{"'Sheet1'!$L$16"}</definedName>
    <definedName name="_CN1" localSheetId="7" hidden="1">{"'Sheet1'!$L$16"}</definedName>
    <definedName name="_CN1" localSheetId="3" hidden="1">{"'Sheet1'!$L$16"}</definedName>
    <definedName name="_CN1" localSheetId="6" hidden="1">{"'Sheet1'!$L$16"}</definedName>
    <definedName name="_CN1" hidden="1">{"'Sheet1'!$L$16"}</definedName>
    <definedName name="_Coc39" localSheetId="7" hidden="1">{"'Sheet1'!$L$16"}</definedName>
    <definedName name="_Coc39" localSheetId="3" hidden="1">{"'Sheet1'!$L$16"}</definedName>
    <definedName name="_Coc39" localSheetId="6" hidden="1">{"'Sheet1'!$L$16"}</definedName>
    <definedName name="_Coc39" hidden="1">{"'Sheet1'!$L$16"}</definedName>
    <definedName name="_CON1" localSheetId="3">#REF!</definedName>
    <definedName name="_CON1">#REF!</definedName>
    <definedName name="_CON2" localSheetId="7">#REF!</definedName>
    <definedName name="_CON2" localSheetId="3">#REF!</definedName>
    <definedName name="_CON2">#REF!</definedName>
    <definedName name="_CT250" localSheetId="3">'[1]dongia (2)'!#REF!</definedName>
    <definedName name="_CT250">'[1]dongia (2)'!#REF!</definedName>
    <definedName name="_CV1">[2]gvl!$N$17</definedName>
    <definedName name="_dai1" localSheetId="7">#REF!</definedName>
    <definedName name="_dai1" localSheetId="3">#REF!</definedName>
    <definedName name="_dai1" localSheetId="6">#REF!</definedName>
    <definedName name="_dai1">#REF!</definedName>
    <definedName name="_dai2" localSheetId="7">#REF!</definedName>
    <definedName name="_dai2" localSheetId="3">#REF!</definedName>
    <definedName name="_dai2" localSheetId="6">#REF!</definedName>
    <definedName name="_dai2">#REF!</definedName>
    <definedName name="_dai3" localSheetId="7">#REF!</definedName>
    <definedName name="_dai3" localSheetId="3">#REF!</definedName>
    <definedName name="_dai3" localSheetId="6">#REF!</definedName>
    <definedName name="_dai3">#REF!</definedName>
    <definedName name="_dai4" localSheetId="7">#REF!</definedName>
    <definedName name="_dai4" localSheetId="3">#REF!</definedName>
    <definedName name="_dai4">#REF!</definedName>
    <definedName name="_dai5" localSheetId="7">#REF!</definedName>
    <definedName name="_dai5" localSheetId="3">#REF!</definedName>
    <definedName name="_dai5">#REF!</definedName>
    <definedName name="_dai6" localSheetId="7">#REF!</definedName>
    <definedName name="_dai6" localSheetId="3">#REF!</definedName>
    <definedName name="_dai6">#REF!</definedName>
    <definedName name="_dan1" localSheetId="7">#REF!</definedName>
    <definedName name="_dan1" localSheetId="3">#REF!</definedName>
    <definedName name="_dan1">#REF!</definedName>
    <definedName name="_dan2" localSheetId="7">#REF!</definedName>
    <definedName name="_dan2" localSheetId="3">#REF!</definedName>
    <definedName name="_dan2">#REF!</definedName>
    <definedName name="_ddn400" localSheetId="7">#REF!</definedName>
    <definedName name="_ddn400" localSheetId="3">#REF!</definedName>
    <definedName name="_ddn400">#REF!</definedName>
    <definedName name="_ddn600" localSheetId="7">#REF!</definedName>
    <definedName name="_ddn600" localSheetId="3">#REF!</definedName>
    <definedName name="_ddn600">#REF!</definedName>
    <definedName name="_Fill" localSheetId="7" hidden="1">#REF!</definedName>
    <definedName name="_Fill" localSheetId="3" hidden="1">#REF!</definedName>
    <definedName name="_Fill" hidden="1">#REF!</definedName>
    <definedName name="_xlnm._FilterDatabase" localSheetId="7" hidden="1">#REF!</definedName>
    <definedName name="_xlnm._FilterDatabase" localSheetId="3" hidden="1">#REF!</definedName>
    <definedName name="_xlnm._FilterDatabase" hidden="1">#REF!</definedName>
    <definedName name="_Goi8" localSheetId="7" hidden="1">{"'Sheet1'!$L$16"}</definedName>
    <definedName name="_Goi8" localSheetId="3" hidden="1">{"'Sheet1'!$L$16"}</definedName>
    <definedName name="_Goi8" localSheetId="6" hidden="1">{"'Sheet1'!$L$16"}</definedName>
    <definedName name="_Goi8" hidden="1">{"'Sheet1'!$L$16"}</definedName>
    <definedName name="_gon4" localSheetId="3">#REF!</definedName>
    <definedName name="_gon4">#REF!</definedName>
    <definedName name="_h1" localSheetId="7" hidden="1">{"'Sheet1'!$L$16"}</definedName>
    <definedName name="_h1" localSheetId="3" hidden="1">{"'Sheet1'!$L$16"}</definedName>
    <definedName name="_h1" localSheetId="6" hidden="1">{"'Sheet1'!$L$16"}</definedName>
    <definedName name="_h1" hidden="1">{"'Sheet1'!$L$16"}</definedName>
    <definedName name="_h10" localSheetId="7" hidden="1">{#N/A,#N/A,FALSE,"Chi tiÆt"}</definedName>
    <definedName name="_h10" localSheetId="3" hidden="1">{#N/A,#N/A,FALSE,"Chi tiÆt"}</definedName>
    <definedName name="_h10" localSheetId="6" hidden="1">{#N/A,#N/A,FALSE,"Chi tiÆt"}</definedName>
    <definedName name="_h10" hidden="1">{#N/A,#N/A,FALSE,"Chi tiÆt"}</definedName>
    <definedName name="_h2" localSheetId="7" hidden="1">{"'Sheet1'!$L$16"}</definedName>
    <definedName name="_h2" localSheetId="3" hidden="1">{"'Sheet1'!$L$16"}</definedName>
    <definedName name="_h2" localSheetId="6" hidden="1">{"'Sheet1'!$L$16"}</definedName>
    <definedName name="_h2" hidden="1">{"'Sheet1'!$L$16"}</definedName>
    <definedName name="_h3" localSheetId="7" hidden="1">{"'Sheet1'!$L$16"}</definedName>
    <definedName name="_h3" localSheetId="3" hidden="1">{"'Sheet1'!$L$16"}</definedName>
    <definedName name="_h3" localSheetId="6" hidden="1">{"'Sheet1'!$L$16"}</definedName>
    <definedName name="_h3" hidden="1">{"'Sheet1'!$L$16"}</definedName>
    <definedName name="_h5" localSheetId="7" hidden="1">{"'Sheet1'!$L$16"}</definedName>
    <definedName name="_h5" localSheetId="3" hidden="1">{"'Sheet1'!$L$16"}</definedName>
    <definedName name="_h5" localSheetId="6" hidden="1">{"'Sheet1'!$L$16"}</definedName>
    <definedName name="_h5" hidden="1">{"'Sheet1'!$L$16"}</definedName>
    <definedName name="_h6" localSheetId="7" hidden="1">{"'Sheet1'!$L$16"}</definedName>
    <definedName name="_h6" localSheetId="3" hidden="1">{"'Sheet1'!$L$16"}</definedName>
    <definedName name="_h6" localSheetId="6" hidden="1">{"'Sheet1'!$L$16"}</definedName>
    <definedName name="_h6" hidden="1">{"'Sheet1'!$L$16"}</definedName>
    <definedName name="_h7" localSheetId="7" hidden="1">{"'Sheet1'!$L$16"}</definedName>
    <definedName name="_h7" localSheetId="3" hidden="1">{"'Sheet1'!$L$16"}</definedName>
    <definedName name="_h7" localSheetId="6" hidden="1">{"'Sheet1'!$L$16"}</definedName>
    <definedName name="_h7" hidden="1">{"'Sheet1'!$L$16"}</definedName>
    <definedName name="_h8" localSheetId="7" hidden="1">{"'Sheet1'!$L$16"}</definedName>
    <definedName name="_h8" localSheetId="3" hidden="1">{"'Sheet1'!$L$16"}</definedName>
    <definedName name="_h8" localSheetId="6" hidden="1">{"'Sheet1'!$L$16"}</definedName>
    <definedName name="_h8" hidden="1">{"'Sheet1'!$L$16"}</definedName>
    <definedName name="_h9" localSheetId="7" hidden="1">{"'Sheet1'!$L$16"}</definedName>
    <definedName name="_h9" localSheetId="3" hidden="1">{"'Sheet1'!$L$16"}</definedName>
    <definedName name="_h9" localSheetId="6" hidden="1">{"'Sheet1'!$L$16"}</definedName>
    <definedName name="_h9" hidden="1">{"'Sheet1'!$L$16"}</definedName>
    <definedName name="_hom2" localSheetId="3">#REF!</definedName>
    <definedName name="_hom2">#REF!</definedName>
    <definedName name="_hsm2">1.1289</definedName>
    <definedName name="_hu2" localSheetId="7" hidden="1">{"'Sheet1'!$L$16"}</definedName>
    <definedName name="_hu2" localSheetId="3" hidden="1">{"'Sheet1'!$L$16"}</definedName>
    <definedName name="_hu2" localSheetId="6" hidden="1">{"'Sheet1'!$L$16"}</definedName>
    <definedName name="_hu2" hidden="1">{"'Sheet1'!$L$16"}</definedName>
    <definedName name="_hu5" localSheetId="7" hidden="1">{"'Sheet1'!$L$16"}</definedName>
    <definedName name="_hu5" localSheetId="3" hidden="1">{"'Sheet1'!$L$16"}</definedName>
    <definedName name="_hu5" localSheetId="6" hidden="1">{"'Sheet1'!$L$16"}</definedName>
    <definedName name="_hu5" hidden="1">{"'Sheet1'!$L$16"}</definedName>
    <definedName name="_hu6" localSheetId="7" hidden="1">{"'Sheet1'!$L$16"}</definedName>
    <definedName name="_hu6" localSheetId="3" hidden="1">{"'Sheet1'!$L$16"}</definedName>
    <definedName name="_hu6" localSheetId="6" hidden="1">{"'Sheet1'!$L$16"}</definedName>
    <definedName name="_hu6" hidden="1">{"'Sheet1'!$L$16"}</definedName>
    <definedName name="_HUY1" localSheetId="7" hidden="1">{"'Sheet1'!$L$16"}</definedName>
    <definedName name="_HUY1" localSheetId="3" hidden="1">{"'Sheet1'!$L$16"}</definedName>
    <definedName name="_HUY1" localSheetId="6" hidden="1">{"'Sheet1'!$L$16"}</definedName>
    <definedName name="_HUY1" hidden="1">{"'Sheet1'!$L$16"}</definedName>
    <definedName name="_HUY2" localSheetId="7" hidden="1">{"'Sheet1'!$L$16"}</definedName>
    <definedName name="_HUY2" localSheetId="3" hidden="1">{"'Sheet1'!$L$16"}</definedName>
    <definedName name="_HUY2" localSheetId="6" hidden="1">{"'Sheet1'!$L$16"}</definedName>
    <definedName name="_HUY2" hidden="1">{"'Sheet1'!$L$16"}</definedName>
    <definedName name="_isc1">0.035</definedName>
    <definedName name="_isc2">0.02</definedName>
    <definedName name="_isc3">0.054</definedName>
    <definedName name="_Key1" localSheetId="7" hidden="1">#REF!</definedName>
    <definedName name="_Key1" localSheetId="3" hidden="1">#REF!</definedName>
    <definedName name="_Key1" localSheetId="6" hidden="1">#REF!</definedName>
    <definedName name="_Key1" hidden="1">#REF!</definedName>
    <definedName name="_Key2" localSheetId="7" hidden="1">#REF!</definedName>
    <definedName name="_Key2" localSheetId="3" hidden="1">#REF!</definedName>
    <definedName name="_Key2" localSheetId="6" hidden="1">#REF!</definedName>
    <definedName name="_Key2" hidden="1">#REF!</definedName>
    <definedName name="_KM188" localSheetId="7">#REF!</definedName>
    <definedName name="_KM188" localSheetId="3">#REF!</definedName>
    <definedName name="_KM188" localSheetId="6">#REF!</definedName>
    <definedName name="_KM188">#REF!</definedName>
    <definedName name="_km189" localSheetId="7">#REF!</definedName>
    <definedName name="_km189" localSheetId="3">#REF!</definedName>
    <definedName name="_km189">#REF!</definedName>
    <definedName name="_km190" localSheetId="7">#REF!</definedName>
    <definedName name="_km190" localSheetId="3">#REF!</definedName>
    <definedName name="_km190">#REF!</definedName>
    <definedName name="_km191" localSheetId="7">#REF!</definedName>
    <definedName name="_km191" localSheetId="3">#REF!</definedName>
    <definedName name="_km191">#REF!</definedName>
    <definedName name="_km192" localSheetId="7">#REF!</definedName>
    <definedName name="_km192" localSheetId="3">#REF!</definedName>
    <definedName name="_km192">#REF!</definedName>
    <definedName name="_km193" localSheetId="7">#REF!</definedName>
    <definedName name="_km193" localSheetId="3">#REF!</definedName>
    <definedName name="_km193">#REF!</definedName>
    <definedName name="_km194" localSheetId="7">#REF!</definedName>
    <definedName name="_km194" localSheetId="3">#REF!</definedName>
    <definedName name="_km194">#REF!</definedName>
    <definedName name="_km195" localSheetId="7">#REF!</definedName>
    <definedName name="_km195" localSheetId="3">#REF!</definedName>
    <definedName name="_km195">#REF!</definedName>
    <definedName name="_km196" localSheetId="7">#REF!</definedName>
    <definedName name="_km196" localSheetId="3">#REF!</definedName>
    <definedName name="_km196">#REF!</definedName>
    <definedName name="_km197" localSheetId="7">#REF!</definedName>
    <definedName name="_km197" localSheetId="3">#REF!</definedName>
    <definedName name="_km197">#REF!</definedName>
    <definedName name="_km198" localSheetId="7">#REF!</definedName>
    <definedName name="_km198" localSheetId="3">#REF!</definedName>
    <definedName name="_km198">#REF!</definedName>
    <definedName name="_Lan1" localSheetId="7" hidden="1">{"'Sheet1'!$L$16"}</definedName>
    <definedName name="_Lan1" localSheetId="3" hidden="1">{"'Sheet1'!$L$16"}</definedName>
    <definedName name="_Lan1" localSheetId="6" hidden="1">{"'Sheet1'!$L$16"}</definedName>
    <definedName name="_Lan1" hidden="1">{"'Sheet1'!$L$16"}</definedName>
    <definedName name="_LAN3" localSheetId="7" hidden="1">{"'Sheet1'!$L$16"}</definedName>
    <definedName name="_LAN3" localSheetId="3" hidden="1">{"'Sheet1'!$L$16"}</definedName>
    <definedName name="_LAN3" localSheetId="6" hidden="1">{"'Sheet1'!$L$16"}</definedName>
    <definedName name="_LAN3" hidden="1">{"'Sheet1'!$L$16"}</definedName>
    <definedName name="_lap1" localSheetId="3">#REF!</definedName>
    <definedName name="_lap1">#REF!</definedName>
    <definedName name="_lap2" localSheetId="7">#REF!</definedName>
    <definedName name="_lap2" localSheetId="3">#REF!</definedName>
    <definedName name="_lap2">#REF!</definedName>
    <definedName name="_lk2" localSheetId="7" hidden="1">{"'Sheet1'!$L$16"}</definedName>
    <definedName name="_lk2" localSheetId="3" hidden="1">{"'Sheet1'!$L$16"}</definedName>
    <definedName name="_lk2" localSheetId="6" hidden="1">{"'Sheet1'!$L$16"}</definedName>
    <definedName name="_lk2" hidden="1">{"'Sheet1'!$L$16"}</definedName>
    <definedName name="_MAC12" localSheetId="3">#REF!</definedName>
    <definedName name="_MAC12">#REF!</definedName>
    <definedName name="_MAC46" localSheetId="7">#REF!</definedName>
    <definedName name="_MAC46" localSheetId="3">#REF!</definedName>
    <definedName name="_MAC46">#REF!</definedName>
    <definedName name="_n1">[3]COTTHEPMO!$J$6</definedName>
    <definedName name="_N1b2" localSheetId="3">[4]NhanCong!$G$9</definedName>
    <definedName name="_N1b2">[4]NhanCong!$G$9</definedName>
    <definedName name="_N1b3" localSheetId="3">[4]NhanCong!$G$19</definedName>
    <definedName name="_N1b3">[4]NhanCong!$G$19</definedName>
    <definedName name="_N1b4" localSheetId="3">[4]NhanCong!$G$29</definedName>
    <definedName name="_N1b4">[4]NhanCong!$G$29</definedName>
    <definedName name="_N1b5" localSheetId="3">[4]NhanCong!$G$39</definedName>
    <definedName name="_N1b5">[4]NhanCong!$G$39</definedName>
    <definedName name="_N1b6" localSheetId="3">[4]NhanCong!$G$49</definedName>
    <definedName name="_N1b6">[4]NhanCong!$G$49</definedName>
    <definedName name="_N1b7" localSheetId="3">[4]NhanCong!$G$59</definedName>
    <definedName name="_N1b7">[4]NhanCong!$G$59</definedName>
    <definedName name="_NCL100" localSheetId="7">#REF!</definedName>
    <definedName name="_NCL100" localSheetId="3">#REF!</definedName>
    <definedName name="_NCL100" localSheetId="6">#REF!</definedName>
    <definedName name="_NCL100">#REF!</definedName>
    <definedName name="_NCL200" localSheetId="7">#REF!</definedName>
    <definedName name="_NCL200" localSheetId="3">#REF!</definedName>
    <definedName name="_NCL200" localSheetId="6">#REF!</definedName>
    <definedName name="_NCL200">#REF!</definedName>
    <definedName name="_NCL250" localSheetId="7">#REF!</definedName>
    <definedName name="_NCL250" localSheetId="3">#REF!</definedName>
    <definedName name="_NCL250" localSheetId="6">#REF!</definedName>
    <definedName name="_NCL250">#REF!</definedName>
    <definedName name="_NET2" localSheetId="7">#REF!</definedName>
    <definedName name="_NET2" localSheetId="3">#REF!</definedName>
    <definedName name="_NET2">#REF!</definedName>
    <definedName name="_nga3">[2]gvl!$N$17</definedName>
    <definedName name="_nin190" localSheetId="7">#REF!</definedName>
    <definedName name="_nin190" localSheetId="3">#REF!</definedName>
    <definedName name="_nin190" localSheetId="6">#REF!</definedName>
    <definedName name="_nin190">#REF!</definedName>
    <definedName name="_NSO2" localSheetId="7" hidden="1">{"'Sheet1'!$L$16"}</definedName>
    <definedName name="_NSO2" localSheetId="3" hidden="1">{"'Sheet1'!$L$16"}</definedName>
    <definedName name="_NSO2" localSheetId="6" hidden="1">{"'Sheet1'!$L$16"}</definedName>
    <definedName name="_NSO2" hidden="1">{"'Sheet1'!$L$16"}</definedName>
    <definedName name="_Order1" hidden="1">255</definedName>
    <definedName name="_Order2" hidden="1">255</definedName>
    <definedName name="_PA3" localSheetId="7" hidden="1">{"'Sheet1'!$L$16"}</definedName>
    <definedName name="_PA3" localSheetId="3" hidden="1">{"'Sheet1'!$L$16"}</definedName>
    <definedName name="_PA3" localSheetId="6" hidden="1">{"'Sheet1'!$L$16"}</definedName>
    <definedName name="_PA3" hidden="1">{"'Sheet1'!$L$16"}</definedName>
    <definedName name="_phi10" localSheetId="3">#REF!</definedName>
    <definedName name="_phi10">#REF!</definedName>
    <definedName name="_phi12" localSheetId="7">#REF!</definedName>
    <definedName name="_phi12" localSheetId="3">#REF!</definedName>
    <definedName name="_phi12">#REF!</definedName>
    <definedName name="_phi14" localSheetId="7">#REF!</definedName>
    <definedName name="_phi14" localSheetId="3">#REF!</definedName>
    <definedName name="_phi14">#REF!</definedName>
    <definedName name="_phi16" localSheetId="7">#REF!</definedName>
    <definedName name="_phi16" localSheetId="3">#REF!</definedName>
    <definedName name="_phi16">#REF!</definedName>
    <definedName name="_phi18" localSheetId="7">#REF!</definedName>
    <definedName name="_phi18" localSheetId="3">#REF!</definedName>
    <definedName name="_phi18">#REF!</definedName>
    <definedName name="_phi20" localSheetId="7">#REF!</definedName>
    <definedName name="_phi20" localSheetId="3">#REF!</definedName>
    <definedName name="_phi20">#REF!</definedName>
    <definedName name="_phi22" localSheetId="7">#REF!</definedName>
    <definedName name="_phi22" localSheetId="3">#REF!</definedName>
    <definedName name="_phi22">#REF!</definedName>
    <definedName name="_phi25" localSheetId="7">#REF!</definedName>
    <definedName name="_phi25" localSheetId="3">#REF!</definedName>
    <definedName name="_phi25">#REF!</definedName>
    <definedName name="_phi28" localSheetId="7">#REF!</definedName>
    <definedName name="_phi28" localSheetId="3">#REF!</definedName>
    <definedName name="_phi28">#REF!</definedName>
    <definedName name="_phi6" localSheetId="7">#REF!</definedName>
    <definedName name="_phi6" localSheetId="3">#REF!</definedName>
    <definedName name="_phi6">#REF!</definedName>
    <definedName name="_phi8" localSheetId="7">#REF!</definedName>
    <definedName name="_phi8" localSheetId="3">#REF!</definedName>
    <definedName name="_phi8">#REF!</definedName>
    <definedName name="_PL1242" localSheetId="7">#REF!</definedName>
    <definedName name="_PL1242" localSheetId="3">#REF!</definedName>
    <definedName name="_PL1242">#REF!</definedName>
    <definedName name="_Pl2" localSheetId="7" hidden="1">{"'Sheet1'!$L$16"}</definedName>
    <definedName name="_Pl2" localSheetId="3" hidden="1">{"'Sheet1'!$L$16"}</definedName>
    <definedName name="_Pl2" localSheetId="6" hidden="1">{"'Sheet1'!$L$16"}</definedName>
    <definedName name="_Pl2" hidden="1">{"'Sheet1'!$L$16"}</definedName>
    <definedName name="_sat10" localSheetId="3">#REF!</definedName>
    <definedName name="_sat10">#REF!</definedName>
    <definedName name="_sat14" localSheetId="7">#REF!</definedName>
    <definedName name="_sat14" localSheetId="3">#REF!</definedName>
    <definedName name="_sat14">#REF!</definedName>
    <definedName name="_sat16" localSheetId="7">#REF!</definedName>
    <definedName name="_sat16" localSheetId="3">#REF!</definedName>
    <definedName name="_sat16">#REF!</definedName>
    <definedName name="_sat20" localSheetId="7">#REF!</definedName>
    <definedName name="_sat20" localSheetId="3">#REF!</definedName>
    <definedName name="_sat20">#REF!</definedName>
    <definedName name="_sat8" localSheetId="7">#REF!</definedName>
    <definedName name="_sat8" localSheetId="3">#REF!</definedName>
    <definedName name="_sat8">#REF!</definedName>
    <definedName name="_sc1" localSheetId="7">#REF!</definedName>
    <definedName name="_sc1" localSheetId="3">#REF!</definedName>
    <definedName name="_sc1">#REF!</definedName>
    <definedName name="_SC2" localSheetId="7">#REF!</definedName>
    <definedName name="_SC2" localSheetId="3">#REF!</definedName>
    <definedName name="_SC2">#REF!</definedName>
    <definedName name="_sc3" localSheetId="7">#REF!</definedName>
    <definedName name="_sc3" localSheetId="3">#REF!</definedName>
    <definedName name="_sc3">#REF!</definedName>
    <definedName name="_slg1" localSheetId="7">#REF!</definedName>
    <definedName name="_slg1" localSheetId="3">#REF!</definedName>
    <definedName name="_slg1">#REF!</definedName>
    <definedName name="_slg2" localSheetId="7">#REF!</definedName>
    <definedName name="_slg2" localSheetId="3">#REF!</definedName>
    <definedName name="_slg2">#REF!</definedName>
    <definedName name="_slg3" localSheetId="7">#REF!</definedName>
    <definedName name="_slg3" localSheetId="3">#REF!</definedName>
    <definedName name="_slg3">#REF!</definedName>
    <definedName name="_slg4" localSheetId="7">#REF!</definedName>
    <definedName name="_slg4" localSheetId="3">#REF!</definedName>
    <definedName name="_slg4">#REF!</definedName>
    <definedName name="_slg5" localSheetId="7">#REF!</definedName>
    <definedName name="_slg5" localSheetId="3">#REF!</definedName>
    <definedName name="_slg5">#REF!</definedName>
    <definedName name="_slg6" localSheetId="7">#REF!</definedName>
    <definedName name="_slg6" localSheetId="3">#REF!</definedName>
    <definedName name="_slg6">#REF!</definedName>
    <definedName name="_SN3" localSheetId="7">#REF!</definedName>
    <definedName name="_SN3" localSheetId="3">#REF!</definedName>
    <definedName name="_SN3">#REF!</definedName>
    <definedName name="_SOC10">0.3456</definedName>
    <definedName name="_SOC8">0.2827</definedName>
    <definedName name="_Sort" localSheetId="7" hidden="1">#REF!</definedName>
    <definedName name="_Sort" localSheetId="3" hidden="1">#REF!</definedName>
    <definedName name="_Sort" localSheetId="6" hidden="1">#REF!</definedName>
    <definedName name="_Sort" hidden="1">#REF!</definedName>
    <definedName name="_Sta1">531.877</definedName>
    <definedName name="_Sta2">561.952</definedName>
    <definedName name="_Sta3">712.202</definedName>
    <definedName name="_Sta4">762.202</definedName>
    <definedName name="_sua20" localSheetId="7">#REF!</definedName>
    <definedName name="_sua20" localSheetId="3">#REF!</definedName>
    <definedName name="_sua20" localSheetId="6">#REF!</definedName>
    <definedName name="_sua20">#REF!</definedName>
    <definedName name="_sua30" localSheetId="7">#REF!</definedName>
    <definedName name="_sua30" localSheetId="3">#REF!</definedName>
    <definedName name="_sua30" localSheetId="6">#REF!</definedName>
    <definedName name="_sua30">#REF!</definedName>
    <definedName name="_TB1" localSheetId="7">#REF!</definedName>
    <definedName name="_TB1" localSheetId="3">#REF!</definedName>
    <definedName name="_TB1" localSheetId="6">#REF!</definedName>
    <definedName name="_TB1">#REF!</definedName>
    <definedName name="_tb2" localSheetId="7">BlankMacro1</definedName>
    <definedName name="_tb2" localSheetId="3">BlankMacro1</definedName>
    <definedName name="_tb2" localSheetId="6">BlankMacro1</definedName>
    <definedName name="_tb2">BlankMacro1</definedName>
    <definedName name="_TH1" localSheetId="7">#REF!</definedName>
    <definedName name="_TH1" localSheetId="3">#REF!</definedName>
    <definedName name="_TH1" localSheetId="6">#REF!</definedName>
    <definedName name="_TH1">#REF!</definedName>
    <definedName name="_TH2" localSheetId="7">#REF!</definedName>
    <definedName name="_TH2" localSheetId="3">#REF!</definedName>
    <definedName name="_TH2" localSheetId="6">#REF!</definedName>
    <definedName name="_TH2">#REF!</definedName>
    <definedName name="_TH3" localSheetId="7">#REF!</definedName>
    <definedName name="_TH3" localSheetId="3">#REF!</definedName>
    <definedName name="_TH3" localSheetId="6">#REF!</definedName>
    <definedName name="_TH3">#REF!</definedName>
    <definedName name="_TK155" localSheetId="7">#REF!</definedName>
    <definedName name="_TK155" localSheetId="3">#REF!</definedName>
    <definedName name="_TK155">#REF!</definedName>
    <definedName name="_TK422" localSheetId="7">#REF!</definedName>
    <definedName name="_TK422" localSheetId="3">#REF!</definedName>
    <definedName name="_TK422">#REF!</definedName>
    <definedName name="_TL1" localSheetId="7">#REF!</definedName>
    <definedName name="_TL1" localSheetId="3">#REF!</definedName>
    <definedName name="_TL1">#REF!</definedName>
    <definedName name="_TL2" localSheetId="7">#REF!</definedName>
    <definedName name="_TL2" localSheetId="3">#REF!</definedName>
    <definedName name="_TL2">#REF!</definedName>
    <definedName name="_TL3" localSheetId="7">#REF!</definedName>
    <definedName name="_TL3" localSheetId="3">#REF!</definedName>
    <definedName name="_TL3">#REF!</definedName>
    <definedName name="_TLA120" localSheetId="7">#REF!</definedName>
    <definedName name="_TLA120" localSheetId="3">#REF!</definedName>
    <definedName name="_TLA120">#REF!</definedName>
    <definedName name="_TLA35" localSheetId="7">#REF!</definedName>
    <definedName name="_TLA35" localSheetId="3">#REF!</definedName>
    <definedName name="_TLA35">#REF!</definedName>
    <definedName name="_TLA50" localSheetId="7">#REF!</definedName>
    <definedName name="_TLA50" localSheetId="3">#REF!</definedName>
    <definedName name="_TLA50">#REF!</definedName>
    <definedName name="_TLA70" localSheetId="7">#REF!</definedName>
    <definedName name="_TLA70" localSheetId="3">#REF!</definedName>
    <definedName name="_TLA70">#REF!</definedName>
    <definedName name="_TLA95" localSheetId="7">#REF!</definedName>
    <definedName name="_TLA95" localSheetId="3">#REF!</definedName>
    <definedName name="_TLA95">#REF!</definedName>
    <definedName name="_Tru21" localSheetId="7" hidden="1">{"'Sheet1'!$L$16"}</definedName>
    <definedName name="_Tru21" localSheetId="3" hidden="1">{"'Sheet1'!$L$16"}</definedName>
    <definedName name="_Tru21" localSheetId="6" hidden="1">{"'Sheet1'!$L$16"}</definedName>
    <definedName name="_Tru21" hidden="1">{"'Sheet1'!$L$16"}</definedName>
    <definedName name="_tt3" localSheetId="7" hidden="1">{"'Sheet1'!$L$16"}</definedName>
    <definedName name="_tt3" localSheetId="3" hidden="1">{"'Sheet1'!$L$16"}</definedName>
    <definedName name="_tt3" localSheetId="6" hidden="1">{"'Sheet1'!$L$16"}</definedName>
    <definedName name="_tt3" hidden="1">{"'Sheet1'!$L$16"}</definedName>
    <definedName name="_TT31" localSheetId="7" hidden="1">{"'Sheet1'!$L$16"}</definedName>
    <definedName name="_TT31" localSheetId="3" hidden="1">{"'Sheet1'!$L$16"}</definedName>
    <definedName name="_TT31" localSheetId="6" hidden="1">{"'Sheet1'!$L$16"}</definedName>
    <definedName name="_TT31" hidden="1">{"'Sheet1'!$L$16"}</definedName>
    <definedName name="_VL100" localSheetId="3">#REF!</definedName>
    <definedName name="_VL100">#REF!</definedName>
    <definedName name="_vl2" localSheetId="7" hidden="1">{"'Sheet1'!$L$16"}</definedName>
    <definedName name="_vl2" localSheetId="3" hidden="1">{"'Sheet1'!$L$16"}</definedName>
    <definedName name="_vl2" localSheetId="6" hidden="1">{"'Sheet1'!$L$16"}</definedName>
    <definedName name="_vl2" hidden="1">{"'Sheet1'!$L$16"}</definedName>
    <definedName name="_VL250" localSheetId="3">#REF!</definedName>
    <definedName name="_VL250">#REF!</definedName>
    <definedName name="_VM2" localSheetId="7" hidden="1">{"'Sheet1'!$L$16"}</definedName>
    <definedName name="_VM2" localSheetId="3" hidden="1">{"'Sheet1'!$L$16"}</definedName>
    <definedName name="_VM2" localSheetId="6" hidden="1">{"'Sheet1'!$L$16"}</definedName>
    <definedName name="_VM2" hidden="1">{"'Sheet1'!$L$16"}</definedName>
    <definedName name="â" localSheetId="7" hidden="1">{"'Sheet1'!$L$16"}</definedName>
    <definedName name="â" localSheetId="3" hidden="1">{"'Sheet1'!$L$16"}</definedName>
    <definedName name="â" localSheetId="6" hidden="1">{"'Sheet1'!$L$16"}</definedName>
    <definedName name="â" hidden="1">{"'Sheet1'!$L$16"}</definedName>
    <definedName name="A01_">#N/A</definedName>
    <definedName name="A01AC">#N/A</definedName>
    <definedName name="A01CAT">#N/A</definedName>
    <definedName name="A01CODE">#N/A</definedName>
    <definedName name="A01DATA">#N/A</definedName>
    <definedName name="A01MI">#N/A</definedName>
    <definedName name="A01TO">#N/A</definedName>
    <definedName name="A120_" localSheetId="7">#REF!</definedName>
    <definedName name="A120_" localSheetId="3">#REF!</definedName>
    <definedName name="A120_" localSheetId="6">#REF!</definedName>
    <definedName name="A120_">#REF!</definedName>
    <definedName name="a277Print_Titles" localSheetId="7">#REF!</definedName>
    <definedName name="a277Print_Titles" localSheetId="3">#REF!</definedName>
    <definedName name="a277Print_Titles" localSheetId="6">#REF!</definedName>
    <definedName name="a277Print_Titles">#REF!</definedName>
    <definedName name="A35_" localSheetId="7">#REF!</definedName>
    <definedName name="A35_" localSheetId="3">#REF!</definedName>
    <definedName name="A35_" localSheetId="6">#REF!</definedName>
    <definedName name="A35_">#REF!</definedName>
    <definedName name="A50_" localSheetId="7">#REF!</definedName>
    <definedName name="A50_" localSheetId="3">#REF!</definedName>
    <definedName name="A50_">#REF!</definedName>
    <definedName name="A6N2" localSheetId="7">#REF!</definedName>
    <definedName name="A6N2" localSheetId="3">#REF!</definedName>
    <definedName name="A6N2">#REF!</definedName>
    <definedName name="A6N3" localSheetId="7">#REF!</definedName>
    <definedName name="A6N3" localSheetId="3">#REF!</definedName>
    <definedName name="A6N3">#REF!</definedName>
    <definedName name="A70_" localSheetId="7">#REF!</definedName>
    <definedName name="A70_" localSheetId="3">#REF!</definedName>
    <definedName name="A70_">#REF!</definedName>
    <definedName name="A95_" localSheetId="7">#REF!</definedName>
    <definedName name="A95_" localSheetId="3">#REF!</definedName>
    <definedName name="A95_">#REF!</definedName>
    <definedName name="aa" localSheetId="7">#REF!</definedName>
    <definedName name="aa" localSheetId="3">#REF!</definedName>
    <definedName name="aa">#REF!</definedName>
    <definedName name="abc" localSheetId="7">#REF!</definedName>
    <definedName name="abc" localSheetId="3">#REF!</definedName>
    <definedName name="abc">#REF!</definedName>
    <definedName name="AC120_" localSheetId="7">#REF!</definedName>
    <definedName name="AC120_" localSheetId="3">#REF!</definedName>
    <definedName name="AC120_">#REF!</definedName>
    <definedName name="AC35_" localSheetId="7">#REF!</definedName>
    <definedName name="AC35_" localSheetId="3">#REF!</definedName>
    <definedName name="AC35_">#REF!</definedName>
    <definedName name="AC50_" localSheetId="7">#REF!</definedName>
    <definedName name="AC50_" localSheetId="3">#REF!</definedName>
    <definedName name="AC50_">#REF!</definedName>
    <definedName name="AC70_" localSheetId="7">#REF!</definedName>
    <definedName name="AC70_" localSheetId="3">#REF!</definedName>
    <definedName name="AC70_">#REF!</definedName>
    <definedName name="AC95_" localSheetId="7">#REF!</definedName>
    <definedName name="AC95_" localSheetId="3">#REF!</definedName>
    <definedName name="AC95_">#REF!</definedName>
    <definedName name="acb">[2]gvl!$N$38</definedName>
    <definedName name="ADADADD" localSheetId="7" hidden="1">{"'Sheet1'!$L$16"}</definedName>
    <definedName name="ADADADD" localSheetId="3" hidden="1">{"'Sheet1'!$L$16"}</definedName>
    <definedName name="ADADADD" localSheetId="6" hidden="1">{"'Sheet1'!$L$16"}</definedName>
    <definedName name="ADADADD" hidden="1">{"'Sheet1'!$L$16"}</definedName>
    <definedName name="ADAY" localSheetId="3">#REF!</definedName>
    <definedName name="ADAY">#REF!</definedName>
    <definedName name="âdf" localSheetId="7">{"Book5","sæ quü.xls","Dù to¸n x©y dùng nhµ s¶n xuÊt.xls","Than.xls","TiÕn ®é s¶n xuÊt - Th¸ng 9.xls"}</definedName>
    <definedName name="âdf" localSheetId="3">{"Book5","sæ quü.xls","Dù to¸n x©y dùng nhµ s¶n xuÊt.xls","Than.xls","TiÕn ®é s¶n xuÊt - Th¸ng 9.xls"}</definedName>
    <definedName name="âdf" localSheetId="6">{"Book5","sæ quü.xls","Dù to¸n x©y dùng nhµ s¶n xuÊt.xls","Than.xls","TiÕn ®é s¶n xuÊt - Th¸ng 9.xls"}</definedName>
    <definedName name="âdf">{"Book5","sæ quü.xls","Dù to¸n x©y dùng nhµ s¶n xuÊt.xls","Than.xls","TiÕn ®é s¶n xuÊt - Th¸ng 9.xls"}</definedName>
    <definedName name="ADP" localSheetId="7">#REF!</definedName>
    <definedName name="ADP" localSheetId="3">#REF!</definedName>
    <definedName name="ADP" localSheetId="6">#REF!</definedName>
    <definedName name="ADP">#REF!</definedName>
    <definedName name="AKHAC" localSheetId="7">#REF!</definedName>
    <definedName name="AKHAC" localSheetId="3">#REF!</definedName>
    <definedName name="AKHAC" localSheetId="6">#REF!</definedName>
    <definedName name="AKHAC">#REF!</definedName>
    <definedName name="All_Item" localSheetId="7">#REF!</definedName>
    <definedName name="All_Item" localSheetId="3">#REF!</definedName>
    <definedName name="All_Item" localSheetId="6">#REF!</definedName>
    <definedName name="All_Item">#REF!</definedName>
    <definedName name="ALPIN">#N/A</definedName>
    <definedName name="ALPJYOU">#N/A</definedName>
    <definedName name="ALPTOI">#N/A</definedName>
    <definedName name="ALTINH" localSheetId="7">#REF!</definedName>
    <definedName name="ALTINH" localSheetId="3">#REF!</definedName>
    <definedName name="ALTINH" localSheetId="6">#REF!</definedName>
    <definedName name="ALTINH">#REF!</definedName>
    <definedName name="Anguon" localSheetId="7">#REF!</definedName>
    <definedName name="Anguon" localSheetId="3">#REF!</definedName>
    <definedName name="Anguon" localSheetId="6">#REF!</definedName>
    <definedName name="Anguon">#REF!</definedName>
    <definedName name="ANN" localSheetId="7">#REF!</definedName>
    <definedName name="ANN" localSheetId="3">#REF!</definedName>
    <definedName name="ANN" localSheetId="6">#REF!</definedName>
    <definedName name="ANN">#REF!</definedName>
    <definedName name="anpha" localSheetId="7">#REF!</definedName>
    <definedName name="anpha" localSheetId="3">#REF!</definedName>
    <definedName name="anpha">#REF!</definedName>
    <definedName name="ANQD" localSheetId="7">#REF!</definedName>
    <definedName name="ANQD" localSheetId="3">#REF!</definedName>
    <definedName name="ANQD">#REF!</definedName>
    <definedName name="ANQQH" localSheetId="7">#REF!</definedName>
    <definedName name="ANQQH" localSheetId="3">#REF!</definedName>
    <definedName name="ANQQH">#REF!</definedName>
    <definedName name="anscount" hidden="1">3</definedName>
    <definedName name="ANSNN" localSheetId="7">#REF!</definedName>
    <definedName name="ANSNN" localSheetId="3">#REF!</definedName>
    <definedName name="ANSNN" localSheetId="6">#REF!</definedName>
    <definedName name="ANSNN">#REF!</definedName>
    <definedName name="ANSNNxnk" localSheetId="7">#REF!</definedName>
    <definedName name="ANSNNxnk" localSheetId="3">#REF!</definedName>
    <definedName name="ANSNNxnk" localSheetId="6">#REF!</definedName>
    <definedName name="ANSNNxnk">#REF!</definedName>
    <definedName name="APC" localSheetId="7">#REF!</definedName>
    <definedName name="APC" localSheetId="3">#REF!</definedName>
    <definedName name="APC" localSheetId="6">#REF!</definedName>
    <definedName name="APC">#REF!</definedName>
    <definedName name="asega" localSheetId="7">{"Thuxm2.xls","Sheet1"}</definedName>
    <definedName name="asega" localSheetId="3">{"Thuxm2.xls","Sheet1"}</definedName>
    <definedName name="asega" localSheetId="6">{"Thuxm2.xls","Sheet1"}</definedName>
    <definedName name="asega">{"Thuxm2.xls","Sheet1"}</definedName>
    <definedName name="ATGT" localSheetId="7" hidden="1">{"'Sheet1'!$L$16"}</definedName>
    <definedName name="ATGT" localSheetId="3" hidden="1">{"'Sheet1'!$L$16"}</definedName>
    <definedName name="ATGT" localSheetId="6" hidden="1">{"'Sheet1'!$L$16"}</definedName>
    <definedName name="ATGT" hidden="1">{"'Sheet1'!$L$16"}</definedName>
    <definedName name="ATRAM" localSheetId="3">#REF!</definedName>
    <definedName name="ATRAM">#REF!</definedName>
    <definedName name="ATW" localSheetId="7">#REF!</definedName>
    <definedName name="ATW" localSheetId="3">#REF!</definedName>
    <definedName name="ATW">#REF!</definedName>
    <definedName name="B.nuamat">7.25</definedName>
    <definedName name="b_240" localSheetId="3">#REF!</definedName>
    <definedName name="b_240">#REF!</definedName>
    <definedName name="b_280" localSheetId="7">#REF!</definedName>
    <definedName name="b_280" localSheetId="3">#REF!</definedName>
    <definedName name="b_280">#REF!</definedName>
    <definedName name="b_320" localSheetId="7">#REF!</definedName>
    <definedName name="b_320" localSheetId="3">#REF!</definedName>
    <definedName name="b_320">#REF!</definedName>
    <definedName name="BANG_CHI_TIET_THI_NGHIEM_CONG_TO" localSheetId="7">#REF!</definedName>
    <definedName name="BANG_CHI_TIET_THI_NGHIEM_CONG_TO" localSheetId="3">#REF!</definedName>
    <definedName name="BANG_CHI_TIET_THI_NGHIEM_CONG_TO">#REF!</definedName>
    <definedName name="BANG_CHI_TIET_THI_NGHIEM_DZ0.4KV" localSheetId="7">#REF!</definedName>
    <definedName name="BANG_CHI_TIET_THI_NGHIEM_DZ0.4KV" localSheetId="3">#REF!</definedName>
    <definedName name="BANG_CHI_TIET_THI_NGHIEM_DZ0.4KV">#REF!</definedName>
    <definedName name="Bang_cly" localSheetId="7">#REF!</definedName>
    <definedName name="Bang_cly" localSheetId="3">#REF!</definedName>
    <definedName name="Bang_cly">#REF!</definedName>
    <definedName name="Bang_CVC" localSheetId="7">#REF!</definedName>
    <definedName name="Bang_CVC" localSheetId="3">#REF!</definedName>
    <definedName name="Bang_CVC">#REF!</definedName>
    <definedName name="bang_gia" localSheetId="7">#REF!</definedName>
    <definedName name="bang_gia" localSheetId="3">#REF!</definedName>
    <definedName name="bang_gia">#REF!</definedName>
    <definedName name="BANG_TONG_HOP_CONG_TO" localSheetId="7">#REF!</definedName>
    <definedName name="BANG_TONG_HOP_CONG_TO" localSheetId="3">#REF!</definedName>
    <definedName name="BANG_TONG_HOP_CONG_TO">#REF!</definedName>
    <definedName name="BANG_TONG_HOP_DZ0.4KV" localSheetId="7">#REF!</definedName>
    <definedName name="BANG_TONG_HOP_DZ0.4KV" localSheetId="3">#REF!</definedName>
    <definedName name="BANG_TONG_HOP_DZ0.4KV">#REF!</definedName>
    <definedName name="BANG_TONG_HOP_DZ22KV" localSheetId="7">#REF!</definedName>
    <definedName name="BANG_TONG_HOP_DZ22KV" localSheetId="3">#REF!</definedName>
    <definedName name="BANG_TONG_HOP_DZ22KV">#REF!</definedName>
    <definedName name="BANG_TONG_HOP_KHO_BAI" localSheetId="7">#REF!</definedName>
    <definedName name="BANG_TONG_HOP_KHO_BAI" localSheetId="3">#REF!</definedName>
    <definedName name="BANG_TONG_HOP_KHO_BAI">#REF!</definedName>
    <definedName name="BANG_TONG_HOP_TBA" localSheetId="7">#REF!</definedName>
    <definedName name="BANG_TONG_HOP_TBA" localSheetId="3">#REF!</definedName>
    <definedName name="BANG_TONG_HOP_TBA">#REF!</definedName>
    <definedName name="Bang_travl" localSheetId="7">#REF!</definedName>
    <definedName name="Bang_travl" localSheetId="3">#REF!</definedName>
    <definedName name="Bang_travl">#REF!</definedName>
    <definedName name="bangchu" localSheetId="7">#REF!</definedName>
    <definedName name="bangchu" localSheetId="3">#REF!</definedName>
    <definedName name="bangchu">#REF!</definedName>
    <definedName name="bb" localSheetId="7">{"Thuxm2.xls","Sheet1"}</definedName>
    <definedName name="bb" localSheetId="3">{"Thuxm2.xls","Sheet1"}</definedName>
    <definedName name="bb" localSheetId="6">{"Thuxm2.xls","Sheet1"}</definedName>
    <definedName name="bb">{"Thuxm2.xls","Sheet1"}</definedName>
    <definedName name="BCBo" localSheetId="7" hidden="1">{"'Sheet1'!$L$16"}</definedName>
    <definedName name="BCBo" localSheetId="3" hidden="1">{"'Sheet1'!$L$16"}</definedName>
    <definedName name="BCBo" localSheetId="6" hidden="1">{"'Sheet1'!$L$16"}</definedName>
    <definedName name="BCBo" hidden="1">{"'Sheet1'!$L$16"}</definedName>
    <definedName name="BDAY" localSheetId="3">#REF!</definedName>
    <definedName name="BDAY">#REF!</definedName>
    <definedName name="bdd">1.5</definedName>
    <definedName name="beepsound" localSheetId="3">#REF!</definedName>
    <definedName name="beepsound">#REF!</definedName>
    <definedName name="bengam" localSheetId="7">#REF!</definedName>
    <definedName name="bengam" localSheetId="3">#REF!</definedName>
    <definedName name="bengam">#REF!</definedName>
    <definedName name="benuoc" localSheetId="7">#REF!</definedName>
    <definedName name="benuoc" localSheetId="3">#REF!</definedName>
    <definedName name="benuoc">#REF!</definedName>
    <definedName name="beta" localSheetId="7">#REF!</definedName>
    <definedName name="beta" localSheetId="3">#REF!</definedName>
    <definedName name="beta">#REF!</definedName>
    <definedName name="blkh" localSheetId="7">#REF!</definedName>
    <definedName name="blkh" localSheetId="3">#REF!</definedName>
    <definedName name="blkh">#REF!</definedName>
    <definedName name="blkh1" localSheetId="7">#REF!</definedName>
    <definedName name="blkh1" localSheetId="3">#REF!</definedName>
    <definedName name="blkh1">#REF!</definedName>
    <definedName name="boa">[2]gvl!$N$17</definedName>
    <definedName name="Book2" localSheetId="7">#REF!</definedName>
    <definedName name="Book2" localSheetId="3">#REF!</definedName>
    <definedName name="Book2" localSheetId="6">#REF!</definedName>
    <definedName name="Book2">#REF!</definedName>
    <definedName name="BOQ" localSheetId="7">#REF!</definedName>
    <definedName name="BOQ" localSheetId="3">#REF!</definedName>
    <definedName name="BOQ" localSheetId="6">#REF!</definedName>
    <definedName name="BOQ">#REF!</definedName>
    <definedName name="btchiuaxitm300" localSheetId="7">#REF!</definedName>
    <definedName name="btchiuaxitm300" localSheetId="3">#REF!</definedName>
    <definedName name="btchiuaxitm300" localSheetId="6">#REF!</definedName>
    <definedName name="btchiuaxitm300">#REF!</definedName>
    <definedName name="BTchiuaxm200" localSheetId="7">#REF!</definedName>
    <definedName name="BTchiuaxm200" localSheetId="3">#REF!</definedName>
    <definedName name="BTchiuaxm200">#REF!</definedName>
    <definedName name="btcocM400" localSheetId="7">#REF!</definedName>
    <definedName name="btcocM400" localSheetId="3">#REF!</definedName>
    <definedName name="btcocM400">#REF!</definedName>
    <definedName name="BTlotm100" localSheetId="7">#REF!</definedName>
    <definedName name="BTlotm100" localSheetId="3">#REF!</definedName>
    <definedName name="BTlotm100">#REF!</definedName>
    <definedName name="btnm3" localSheetId="7" hidden="1">{"'Sheet1'!$L$16"}</definedName>
    <definedName name="btnm3" localSheetId="3" hidden="1">{"'Sheet1'!$L$16"}</definedName>
    <definedName name="btnm3" localSheetId="6" hidden="1">{"'Sheet1'!$L$16"}</definedName>
    <definedName name="btnm3" hidden="1">{"'Sheet1'!$L$16"}</definedName>
    <definedName name="BTRAM" localSheetId="3">#REF!</definedName>
    <definedName name="BTRAM">#REF!</definedName>
    <definedName name="BU_CHENH_LECH_DZ0.4KV" localSheetId="7">#REF!</definedName>
    <definedName name="BU_CHENH_LECH_DZ0.4KV" localSheetId="3">#REF!</definedName>
    <definedName name="BU_CHENH_LECH_DZ0.4KV">#REF!</definedName>
    <definedName name="BU_CHENH_LECH_DZ22KV" localSheetId="7">#REF!</definedName>
    <definedName name="BU_CHENH_LECH_DZ22KV" localSheetId="3">#REF!</definedName>
    <definedName name="BU_CHENH_LECH_DZ22KV">#REF!</definedName>
    <definedName name="BU_CHENH_LECH_TBA" localSheetId="7">#REF!</definedName>
    <definedName name="BU_CHENH_LECH_TBA" localSheetId="3">#REF!</definedName>
    <definedName name="BU_CHENH_LECH_TBA">#REF!</definedName>
    <definedName name="Bulongma">8700</definedName>
    <definedName name="BVCISUMMARY" localSheetId="7">#REF!</definedName>
    <definedName name="BVCISUMMARY" localSheetId="3">#REF!</definedName>
    <definedName name="BVCISUMMARY" localSheetId="6">#REF!</definedName>
    <definedName name="BVCISUMMARY">#REF!</definedName>
    <definedName name="BŸo_cŸo_täng_hìp_giŸ_trÙ_t_i_s_n_câ__Ùnh" localSheetId="7">#REF!</definedName>
    <definedName name="BŸo_cŸo_täng_hìp_giŸ_trÙ_t_i_s_n_câ__Ùnh" localSheetId="3">#REF!</definedName>
    <definedName name="BŸo_cŸo_täng_hìp_giŸ_trÙ_t_i_s_n_câ__Ùnh" localSheetId="6">#REF!</definedName>
    <definedName name="BŸo_cŸo_täng_hìp_giŸ_trÙ_t_i_s_n_câ__Ùnh">#REF!</definedName>
    <definedName name="C.1.1..Phat_tuyen" localSheetId="7">#REF!</definedName>
    <definedName name="C.1.1..Phat_tuyen" localSheetId="3">#REF!</definedName>
    <definedName name="C.1.1..Phat_tuyen" localSheetId="6">#REF!</definedName>
    <definedName name="C.1.1..Phat_tuyen">#REF!</definedName>
    <definedName name="C.1.10..VC_Thu_cong_CG" localSheetId="7">#REF!</definedName>
    <definedName name="C.1.10..VC_Thu_cong_CG" localSheetId="3">#REF!</definedName>
    <definedName name="C.1.10..VC_Thu_cong_CG">#REF!</definedName>
    <definedName name="C.1.2..Chat_cay_thu_cong" localSheetId="7">#REF!</definedName>
    <definedName name="C.1.2..Chat_cay_thu_cong" localSheetId="3">#REF!</definedName>
    <definedName name="C.1.2..Chat_cay_thu_cong">#REF!</definedName>
    <definedName name="C.1.3..Chat_cay_may" localSheetId="7">#REF!</definedName>
    <definedName name="C.1.3..Chat_cay_may" localSheetId="3">#REF!</definedName>
    <definedName name="C.1.3..Chat_cay_may">#REF!</definedName>
    <definedName name="C.1.4..Dao_goc_cay" localSheetId="7">#REF!</definedName>
    <definedName name="C.1.4..Dao_goc_cay" localSheetId="3">#REF!</definedName>
    <definedName name="C.1.4..Dao_goc_cay">#REF!</definedName>
    <definedName name="C.1.5..Lam_duong_tam" localSheetId="7">#REF!</definedName>
    <definedName name="C.1.5..Lam_duong_tam" localSheetId="3">#REF!</definedName>
    <definedName name="C.1.5..Lam_duong_tam">#REF!</definedName>
    <definedName name="C.1.6..Lam_cau_tam" localSheetId="7">#REF!</definedName>
    <definedName name="C.1.6..Lam_cau_tam" localSheetId="3">#REF!</definedName>
    <definedName name="C.1.6..Lam_cau_tam">#REF!</definedName>
    <definedName name="C.1.7..Rai_da_chong_lun" localSheetId="7">#REF!</definedName>
    <definedName name="C.1.7..Rai_da_chong_lun" localSheetId="3">#REF!</definedName>
    <definedName name="C.1.7..Rai_da_chong_lun">#REF!</definedName>
    <definedName name="C.1.8..Lam_kho_tam" localSheetId="7">#REF!</definedName>
    <definedName name="C.1.8..Lam_kho_tam" localSheetId="3">#REF!</definedName>
    <definedName name="C.1.8..Lam_kho_tam">#REF!</definedName>
    <definedName name="C.1.8..San_mat_bang" localSheetId="7">#REF!</definedName>
    <definedName name="C.1.8..San_mat_bang" localSheetId="3">#REF!</definedName>
    <definedName name="C.1.8..San_mat_bang">#REF!</definedName>
    <definedName name="C.2.1..VC_Thu_cong" localSheetId="7">#REF!</definedName>
    <definedName name="C.2.1..VC_Thu_cong" localSheetId="3">#REF!</definedName>
    <definedName name="C.2.1..VC_Thu_cong">#REF!</definedName>
    <definedName name="C.2.2..VC_T_cong_CG" localSheetId="7">#REF!</definedName>
    <definedName name="C.2.2..VC_T_cong_CG" localSheetId="3">#REF!</definedName>
    <definedName name="C.2.2..VC_T_cong_CG">#REF!</definedName>
    <definedName name="C.2.3..Boc_do" localSheetId="7">#REF!</definedName>
    <definedName name="C.2.3..Boc_do" localSheetId="3">#REF!</definedName>
    <definedName name="C.2.3..Boc_do">#REF!</definedName>
    <definedName name="C.3.1..Dao_dat_mong_cot" localSheetId="7">#REF!</definedName>
    <definedName name="C.3.1..Dao_dat_mong_cot" localSheetId="3">#REF!</definedName>
    <definedName name="C.3.1..Dao_dat_mong_cot">#REF!</definedName>
    <definedName name="C.3.2..Dao_dat_de_dap" localSheetId="7">#REF!</definedName>
    <definedName name="C.3.2..Dao_dat_de_dap" localSheetId="3">#REF!</definedName>
    <definedName name="C.3.2..Dao_dat_de_dap">#REF!</definedName>
    <definedName name="C.3.3..Dap_dat_mong" localSheetId="7">#REF!</definedName>
    <definedName name="C.3.3..Dap_dat_mong" localSheetId="3">#REF!</definedName>
    <definedName name="C.3.3..Dap_dat_mong">#REF!</definedName>
    <definedName name="C.3.4..Dao_dap_TDia" localSheetId="7">#REF!</definedName>
    <definedName name="C.3.4..Dao_dap_TDia" localSheetId="3">#REF!</definedName>
    <definedName name="C.3.4..Dao_dap_TDia">#REF!</definedName>
    <definedName name="C.3.5..Dap_bo_bao" localSheetId="7">#REF!</definedName>
    <definedName name="C.3.5..Dap_bo_bao" localSheetId="3">#REF!</definedName>
    <definedName name="C.3.5..Dap_bo_bao">#REF!</definedName>
    <definedName name="C.3.6..Bom_tat_nuoc" localSheetId="7">#REF!</definedName>
    <definedName name="C.3.6..Bom_tat_nuoc" localSheetId="3">#REF!</definedName>
    <definedName name="C.3.6..Bom_tat_nuoc">#REF!</definedName>
    <definedName name="C.3.7..Dao_bun" localSheetId="7">#REF!</definedName>
    <definedName name="C.3.7..Dao_bun" localSheetId="3">#REF!</definedName>
    <definedName name="C.3.7..Dao_bun">#REF!</definedName>
    <definedName name="C.3.8..Dap_cat_CT" localSheetId="7">#REF!</definedName>
    <definedName name="C.3.8..Dap_cat_CT" localSheetId="3">#REF!</definedName>
    <definedName name="C.3.8..Dap_cat_CT">#REF!</definedName>
    <definedName name="C.3.9..Dao_pha_da" localSheetId="7">#REF!</definedName>
    <definedName name="C.3.9..Dao_pha_da" localSheetId="3">#REF!</definedName>
    <definedName name="C.3.9..Dao_pha_da">#REF!</definedName>
    <definedName name="C.4.1.Cot_thep" localSheetId="7">#REF!</definedName>
    <definedName name="C.4.1.Cot_thep" localSheetId="3">#REF!</definedName>
    <definedName name="C.4.1.Cot_thep">#REF!</definedName>
    <definedName name="C.4.2..Van_khuon" localSheetId="7">#REF!</definedName>
    <definedName name="C.4.2..Van_khuon" localSheetId="3">#REF!</definedName>
    <definedName name="C.4.2..Van_khuon">#REF!</definedName>
    <definedName name="C.4.3..Be_tong" localSheetId="7">#REF!</definedName>
    <definedName name="C.4.3..Be_tong" localSheetId="3">#REF!</definedName>
    <definedName name="C.4.3..Be_tong">#REF!</definedName>
    <definedName name="C.4.4..Lap_BT_D.San" localSheetId="7">#REF!</definedName>
    <definedName name="C.4.4..Lap_BT_D.San" localSheetId="3">#REF!</definedName>
    <definedName name="C.4.4..Lap_BT_D.San">#REF!</definedName>
    <definedName name="C.4.5..Xay_da_hoc" localSheetId="7">#REF!</definedName>
    <definedName name="C.4.5..Xay_da_hoc" localSheetId="3">#REF!</definedName>
    <definedName name="C.4.5..Xay_da_hoc">#REF!</definedName>
    <definedName name="C.4.6..Dong_coc" localSheetId="7">#REF!</definedName>
    <definedName name="C.4.6..Dong_coc" localSheetId="3">#REF!</definedName>
    <definedName name="C.4.6..Dong_coc">#REF!</definedName>
    <definedName name="C.4.7..Quet_Bi_tum" localSheetId="7">#REF!</definedName>
    <definedName name="C.4.7..Quet_Bi_tum" localSheetId="3">#REF!</definedName>
    <definedName name="C.4.7..Quet_Bi_tum">#REF!</definedName>
    <definedName name="C.5.1..Lap_cot_thep" localSheetId="7">#REF!</definedName>
    <definedName name="C.5.1..Lap_cot_thep" localSheetId="3">#REF!</definedName>
    <definedName name="C.5.1..Lap_cot_thep">#REF!</definedName>
    <definedName name="C.5.2..Lap_cot_BT" localSheetId="7">#REF!</definedName>
    <definedName name="C.5.2..Lap_cot_BT" localSheetId="3">#REF!</definedName>
    <definedName name="C.5.2..Lap_cot_BT">#REF!</definedName>
    <definedName name="C.5.3..Lap_dat_xa" localSheetId="7">#REF!</definedName>
    <definedName name="C.5.3..Lap_dat_xa" localSheetId="3">#REF!</definedName>
    <definedName name="C.5.3..Lap_dat_xa">#REF!</definedName>
    <definedName name="C.5.4..Lap_tiep_dia" localSheetId="7">#REF!</definedName>
    <definedName name="C.5.4..Lap_tiep_dia" localSheetId="3">#REF!</definedName>
    <definedName name="C.5.4..Lap_tiep_dia">#REF!</definedName>
    <definedName name="C.5.5..Son_sat_thep" localSheetId="7">#REF!</definedName>
    <definedName name="C.5.5..Son_sat_thep" localSheetId="3">#REF!</definedName>
    <definedName name="C.5.5..Son_sat_thep">#REF!</definedName>
    <definedName name="C.6.1..Lap_su_dung" localSheetId="7">#REF!</definedName>
    <definedName name="C.6.1..Lap_su_dung" localSheetId="3">#REF!</definedName>
    <definedName name="C.6.1..Lap_su_dung">#REF!</definedName>
    <definedName name="C.6.2..Lap_su_CS" localSheetId="7">#REF!</definedName>
    <definedName name="C.6.2..Lap_su_CS" localSheetId="3">#REF!</definedName>
    <definedName name="C.6.2..Lap_su_CS">#REF!</definedName>
    <definedName name="C.6.3..Su_chuoi_do" localSheetId="7">#REF!</definedName>
    <definedName name="C.6.3..Su_chuoi_do" localSheetId="3">#REF!</definedName>
    <definedName name="C.6.3..Su_chuoi_do">#REF!</definedName>
    <definedName name="C.6.4..Su_chuoi_neo" localSheetId="7">#REF!</definedName>
    <definedName name="C.6.4..Su_chuoi_neo" localSheetId="3">#REF!</definedName>
    <definedName name="C.6.4..Su_chuoi_neo">#REF!</definedName>
    <definedName name="C.6.5..Lap_phu_kien" localSheetId="7">#REF!</definedName>
    <definedName name="C.6.5..Lap_phu_kien" localSheetId="3">#REF!</definedName>
    <definedName name="C.6.5..Lap_phu_kien">#REF!</definedName>
    <definedName name="C.6.6..Ep_noi_day" localSheetId="7">#REF!</definedName>
    <definedName name="C.6.6..Ep_noi_day" localSheetId="3">#REF!</definedName>
    <definedName name="C.6.6..Ep_noi_day">#REF!</definedName>
    <definedName name="C.6.7..KD_vuot_CN" localSheetId="7">#REF!</definedName>
    <definedName name="C.6.7..KD_vuot_CN" localSheetId="3">#REF!</definedName>
    <definedName name="C.6.7..KD_vuot_CN">#REF!</definedName>
    <definedName name="C.6.8..Rai_cang_day" localSheetId="7">#REF!</definedName>
    <definedName name="C.6.8..Rai_cang_day" localSheetId="3">#REF!</definedName>
    <definedName name="C.6.8..Rai_cang_day">#REF!</definedName>
    <definedName name="C.6.9..Cap_quang" localSheetId="7">#REF!</definedName>
    <definedName name="C.6.9..Cap_quang" localSheetId="3">#REF!</definedName>
    <definedName name="C.6.9..Cap_quang">#REF!</definedName>
    <definedName name="C.doc1">540</definedName>
    <definedName name="C.doc2">740</definedName>
    <definedName name="ca.1111" localSheetId="7">#REF!</definedName>
    <definedName name="ca.1111" localSheetId="3">#REF!</definedName>
    <definedName name="ca.1111" localSheetId="6">#REF!</definedName>
    <definedName name="ca.1111">#REF!</definedName>
    <definedName name="ca.1111.th" localSheetId="7">#REF!</definedName>
    <definedName name="ca.1111.th" localSheetId="3">#REF!</definedName>
    <definedName name="ca.1111.th" localSheetId="6">#REF!</definedName>
    <definedName name="ca.1111.th">#REF!</definedName>
    <definedName name="CACAU">298161</definedName>
    <definedName name="Can_doi" localSheetId="7">#REF!</definedName>
    <definedName name="Can_doi" localSheetId="3">#REF!</definedName>
    <definedName name="Can_doi" localSheetId="6">#REF!</definedName>
    <definedName name="Can_doi">#REF!</definedName>
    <definedName name="cao" localSheetId="7">#REF!</definedName>
    <definedName name="cao" localSheetId="3">#REF!</definedName>
    <definedName name="cao">#REF!</definedName>
    <definedName name="cap" localSheetId="7">#REF!</definedName>
    <definedName name="cap" localSheetId="3">#REF!</definedName>
    <definedName name="cap">#REF!</definedName>
    <definedName name="cap0.7" localSheetId="7">#REF!</definedName>
    <definedName name="cap0.7" localSheetId="3">#REF!</definedName>
    <definedName name="cap0.7">#REF!</definedName>
    <definedName name="Cat" localSheetId="7">#REF!</definedName>
    <definedName name="Cat" localSheetId="3">#REF!</definedName>
    <definedName name="Cat">#REF!</definedName>
    <definedName name="Category_All" localSheetId="7">#REF!</definedName>
    <definedName name="Category_All" localSheetId="3">#REF!</definedName>
    <definedName name="Category_All">#REF!</definedName>
    <definedName name="CATIN">#N/A</definedName>
    <definedName name="CATJYOU">#N/A</definedName>
    <definedName name="catm" localSheetId="7">#REF!</definedName>
    <definedName name="catm" localSheetId="3">#REF!</definedName>
    <definedName name="catm" localSheetId="6">#REF!</definedName>
    <definedName name="catm">#REF!</definedName>
    <definedName name="catn" localSheetId="7">#REF!</definedName>
    <definedName name="catn" localSheetId="3">#REF!</definedName>
    <definedName name="catn" localSheetId="6">#REF!</definedName>
    <definedName name="catn">#REF!</definedName>
    <definedName name="CATREC">#N/A</definedName>
    <definedName name="CATSYU">#N/A</definedName>
    <definedName name="catvang" localSheetId="7">#REF!</definedName>
    <definedName name="catvang" localSheetId="3">#REF!</definedName>
    <definedName name="catvang" localSheetId="6">#REF!</definedName>
    <definedName name="catvang">#REF!</definedName>
    <definedName name="CCS" localSheetId="7">#REF!</definedName>
    <definedName name="CCS" localSheetId="3">#REF!</definedName>
    <definedName name="CCS" localSheetId="6">#REF!</definedName>
    <definedName name="CCS">#REF!</definedName>
    <definedName name="CDAY" localSheetId="7">#REF!</definedName>
    <definedName name="CDAY" localSheetId="3">#REF!</definedName>
    <definedName name="CDAY" localSheetId="6">#REF!</definedName>
    <definedName name="CDAY">#REF!</definedName>
    <definedName name="CDD" localSheetId="7">#REF!</definedName>
    <definedName name="CDD" localSheetId="3">#REF!</definedName>
    <definedName name="CDD">#REF!</definedName>
    <definedName name="CDDD" localSheetId="7">#REF!</definedName>
    <definedName name="CDDD" localSheetId="3">#REF!</definedName>
    <definedName name="CDDD">#REF!</definedName>
    <definedName name="CDDD1P" localSheetId="7">#REF!</definedName>
    <definedName name="CDDD1P" localSheetId="3">#REF!</definedName>
    <definedName name="CDDD1P">#REF!</definedName>
    <definedName name="CDDD1PHA" localSheetId="7">#REF!</definedName>
    <definedName name="CDDD1PHA" localSheetId="3">#REF!</definedName>
    <definedName name="CDDD1PHA">#REF!</definedName>
    <definedName name="CDDD3PHA" localSheetId="7">#REF!</definedName>
    <definedName name="CDDD3PHA" localSheetId="3">#REF!</definedName>
    <definedName name="CDDD3PHA">#REF!</definedName>
    <definedName name="Cdnum" localSheetId="7">#REF!</definedName>
    <definedName name="Cdnum" localSheetId="3">#REF!</definedName>
    <definedName name="Cdnum">#REF!</definedName>
    <definedName name="CDTK_tim">31.77</definedName>
    <definedName name="cf" localSheetId="7">BlankMacro1</definedName>
    <definedName name="cf" localSheetId="3">BlankMacro1</definedName>
    <definedName name="cf" localSheetId="6">BlankMacro1</definedName>
    <definedName name="cf">BlankMacro1</definedName>
    <definedName name="CH" localSheetId="7">#REF!</definedName>
    <definedName name="CH" localSheetId="3">#REF!</definedName>
    <definedName name="CH" localSheetId="6">#REF!</definedName>
    <definedName name="CH">#REF!</definedName>
    <definedName name="chie" localSheetId="7">BlankMacro1</definedName>
    <definedName name="chie" localSheetId="3">BlankMacro1</definedName>
    <definedName name="chie" localSheetId="6">BlankMacro1</definedName>
    <definedName name="chie">BlankMacro1</definedName>
    <definedName name="chitietbgiang2" localSheetId="7" hidden="1">{"'Sheet1'!$L$16"}</definedName>
    <definedName name="chitietbgiang2" localSheetId="3" hidden="1">{"'Sheet1'!$L$16"}</definedName>
    <definedName name="chitietbgiang2" localSheetId="6" hidden="1">{"'Sheet1'!$L$16"}</definedName>
    <definedName name="chitietbgiang2" hidden="1">{"'Sheet1'!$L$16"}</definedName>
    <definedName name="chon" localSheetId="3">#REF!</definedName>
    <definedName name="chon">#REF!</definedName>
    <definedName name="chon1" localSheetId="7">#REF!</definedName>
    <definedName name="chon1" localSheetId="3">#REF!</definedName>
    <definedName name="chon1">#REF!</definedName>
    <definedName name="chon2" localSheetId="7">#REF!</definedName>
    <definedName name="chon2" localSheetId="3">#REF!</definedName>
    <definedName name="chon2">#REF!</definedName>
    <definedName name="chon3" localSheetId="7">#REF!</definedName>
    <definedName name="chon3" localSheetId="3">#REF!</definedName>
    <definedName name="chon3">#REF!</definedName>
    <definedName name="chung">66</definedName>
    <definedName name="CK" localSheetId="7">#REF!</definedName>
    <definedName name="CK" localSheetId="3">#REF!</definedName>
    <definedName name="CK" localSheetId="6">#REF!</definedName>
    <definedName name="CK">#REF!</definedName>
    <definedName name="CL" localSheetId="7">#REF!</definedName>
    <definedName name="CL" localSheetId="3">#REF!</definedName>
    <definedName name="CL" localSheetId="6">#REF!</definedName>
    <definedName name="CL">#REF!</definedName>
    <definedName name="CLECH_0.4" localSheetId="7">#REF!</definedName>
    <definedName name="CLECH_0.4" localSheetId="3">#REF!</definedName>
    <definedName name="CLECH_0.4" localSheetId="6">#REF!</definedName>
    <definedName name="CLECH_0.4">#REF!</definedName>
    <definedName name="CLVC3">0.1</definedName>
    <definedName name="CLVC35" localSheetId="7">#REF!</definedName>
    <definedName name="CLVC35" localSheetId="3">#REF!</definedName>
    <definedName name="CLVC35" localSheetId="6">#REF!</definedName>
    <definedName name="CLVC35">#REF!</definedName>
    <definedName name="CLVCTB" localSheetId="7">#REF!</definedName>
    <definedName name="CLVCTB" localSheetId="3">#REF!</definedName>
    <definedName name="CLVCTB" localSheetId="6">#REF!</definedName>
    <definedName name="CLVCTB">#REF!</definedName>
    <definedName name="clvl" localSheetId="7">#REF!</definedName>
    <definedName name="clvl" localSheetId="3">#REF!</definedName>
    <definedName name="clvl" localSheetId="6">#REF!</definedName>
    <definedName name="clvl">#REF!</definedName>
    <definedName name="cn" localSheetId="7">#REF!</definedName>
    <definedName name="cn" localSheetId="3">#REF!</definedName>
    <definedName name="cn">#REF!</definedName>
    <definedName name="CNC" localSheetId="7">#REF!</definedName>
    <definedName name="CNC" localSheetId="3">#REF!</definedName>
    <definedName name="CNC">#REF!</definedName>
    <definedName name="CND" localSheetId="7">#REF!</definedName>
    <definedName name="CND" localSheetId="3">#REF!</definedName>
    <definedName name="CND">#REF!</definedName>
    <definedName name="CNG" localSheetId="7">#REF!</definedName>
    <definedName name="CNG" localSheetId="3">#REF!</definedName>
    <definedName name="CNG">#REF!</definedName>
    <definedName name="Co" localSheetId="7">#REF!</definedName>
    <definedName name="Co" localSheetId="3">#REF!</definedName>
    <definedName name="Co">#REF!</definedName>
    <definedName name="coc" localSheetId="7">#REF!</definedName>
    <definedName name="coc" localSheetId="3">#REF!</definedName>
    <definedName name="coc">#REF!</definedName>
    <definedName name="Coc_60" localSheetId="7" hidden="1">{"'Sheet1'!$L$16"}</definedName>
    <definedName name="Coc_60" localSheetId="3" hidden="1">{"'Sheet1'!$L$16"}</definedName>
    <definedName name="Coc_60" localSheetId="6" hidden="1">{"'Sheet1'!$L$16"}</definedName>
    <definedName name="Coc_60" hidden="1">{"'Sheet1'!$L$16"}</definedName>
    <definedName name="cocbtct" localSheetId="3">#REF!</definedName>
    <definedName name="cocbtct">#REF!</definedName>
    <definedName name="cocot" localSheetId="7">#REF!</definedName>
    <definedName name="cocot" localSheetId="3">#REF!</definedName>
    <definedName name="cocot">#REF!</definedName>
    <definedName name="cocott" localSheetId="7">#REF!</definedName>
    <definedName name="cocott" localSheetId="3">#REF!</definedName>
    <definedName name="cocott">#REF!</definedName>
    <definedName name="Code" localSheetId="7" hidden="1">#REF!</definedName>
    <definedName name="Code" localSheetId="3" hidden="1">#REF!</definedName>
    <definedName name="Code" hidden="1">#REF!</definedName>
    <definedName name="Cöï_ly_vaän_chuyeãn" localSheetId="7">#REF!</definedName>
    <definedName name="Cöï_ly_vaän_chuyeãn" localSheetId="3">#REF!</definedName>
    <definedName name="Cöï_ly_vaän_chuyeãn">#REF!</definedName>
    <definedName name="CÖÏ_LY_VAÄN_CHUYEÅN" localSheetId="7">#REF!</definedName>
    <definedName name="CÖÏ_LY_VAÄN_CHUYEÅN" localSheetId="3">#REF!</definedName>
    <definedName name="CÖÏ_LY_VAÄN_CHUYEÅN">#REF!</definedName>
    <definedName name="Comm" localSheetId="7">BlankMacro1</definedName>
    <definedName name="Comm" localSheetId="3">BlankMacro1</definedName>
    <definedName name="Comm" localSheetId="6">BlankMacro1</definedName>
    <definedName name="Comm">BlankMacro1</definedName>
    <definedName name="COMMON" localSheetId="7">#REF!</definedName>
    <definedName name="COMMON" localSheetId="3">#REF!</definedName>
    <definedName name="COMMON" localSheetId="6">#REF!</definedName>
    <definedName name="COMMON">#REF!</definedName>
    <definedName name="comong" localSheetId="7">#REF!</definedName>
    <definedName name="comong" localSheetId="3">#REF!</definedName>
    <definedName name="comong" localSheetId="6">#REF!</definedName>
    <definedName name="comong">#REF!</definedName>
    <definedName name="CON_EQP_COS" localSheetId="7">#REF!</definedName>
    <definedName name="CON_EQP_COS" localSheetId="3">#REF!</definedName>
    <definedName name="CON_EQP_COS" localSheetId="6">#REF!</definedName>
    <definedName name="CON_EQP_COS">#REF!</definedName>
    <definedName name="CON_EQP_COST" localSheetId="7">#REF!</definedName>
    <definedName name="CON_EQP_COST" localSheetId="3">#REF!</definedName>
    <definedName name="CON_EQP_COST">#REF!</definedName>
    <definedName name="công" localSheetId="7" hidden="1">{"'Sheet1'!$L$16"}</definedName>
    <definedName name="công" localSheetId="3" hidden="1">{"'Sheet1'!$L$16"}</definedName>
    <definedName name="công" localSheetId="6" hidden="1">{"'Sheet1'!$L$16"}</definedName>
    <definedName name="công" hidden="1">{"'Sheet1'!$L$16"}</definedName>
    <definedName name="Cong_HM_DTCT" localSheetId="3">#REF!</definedName>
    <definedName name="Cong_HM_DTCT">#REF!</definedName>
    <definedName name="Cong_M_DTCT" localSheetId="7">#REF!</definedName>
    <definedName name="Cong_M_DTCT" localSheetId="3">#REF!</definedName>
    <definedName name="Cong_M_DTCT">#REF!</definedName>
    <definedName name="Cong_NC_DTCT" localSheetId="7">#REF!</definedName>
    <definedName name="Cong_NC_DTCT" localSheetId="3">#REF!</definedName>
    <definedName name="Cong_NC_DTCT">#REF!</definedName>
    <definedName name="Cong_VL_DTCT" localSheetId="7">#REF!</definedName>
    <definedName name="Cong_VL_DTCT" localSheetId="3">#REF!</definedName>
    <definedName name="Cong_VL_DTCT">#REF!</definedName>
    <definedName name="congbengam" localSheetId="7">#REF!</definedName>
    <definedName name="congbengam" localSheetId="3">#REF!</definedName>
    <definedName name="congbengam">#REF!</definedName>
    <definedName name="congbenuoc" localSheetId="7">#REF!</definedName>
    <definedName name="congbenuoc" localSheetId="3">#REF!</definedName>
    <definedName name="congbenuoc">#REF!</definedName>
    <definedName name="congcoc" localSheetId="7">#REF!</definedName>
    <definedName name="congcoc" localSheetId="3">#REF!</definedName>
    <definedName name="congcoc">#REF!</definedName>
    <definedName name="congcocot" localSheetId="7">#REF!</definedName>
    <definedName name="congcocot" localSheetId="3">#REF!</definedName>
    <definedName name="congcocot">#REF!</definedName>
    <definedName name="congcocott" localSheetId="7">#REF!</definedName>
    <definedName name="congcocott" localSheetId="3">#REF!</definedName>
    <definedName name="congcocott">#REF!</definedName>
    <definedName name="congcomong" localSheetId="7">#REF!</definedName>
    <definedName name="congcomong" localSheetId="3">#REF!</definedName>
    <definedName name="congcomong">#REF!</definedName>
    <definedName name="congcottron" localSheetId="7">#REF!</definedName>
    <definedName name="congcottron" localSheetId="3">#REF!</definedName>
    <definedName name="congcottron">#REF!</definedName>
    <definedName name="congcotvuong" localSheetId="7">#REF!</definedName>
    <definedName name="congcotvuong" localSheetId="3">#REF!</definedName>
    <definedName name="congcotvuong">#REF!</definedName>
    <definedName name="congdam" localSheetId="7">#REF!</definedName>
    <definedName name="congdam" localSheetId="3">#REF!</definedName>
    <definedName name="congdam">#REF!</definedName>
    <definedName name="congdan1" localSheetId="7">#REF!</definedName>
    <definedName name="congdan1" localSheetId="3">#REF!</definedName>
    <definedName name="congdan1">#REF!</definedName>
    <definedName name="congdan2" localSheetId="7">#REF!</definedName>
    <definedName name="congdan2" localSheetId="3">#REF!</definedName>
    <definedName name="congdan2">#REF!</definedName>
    <definedName name="congdandusan" localSheetId="7">#REF!</definedName>
    <definedName name="congdandusan" localSheetId="3">#REF!</definedName>
    <definedName name="congdandusan">#REF!</definedName>
    <definedName name="conglanhto" localSheetId="7">#REF!</definedName>
    <definedName name="conglanhto" localSheetId="3">#REF!</definedName>
    <definedName name="conglanhto">#REF!</definedName>
    <definedName name="congmong" localSheetId="7">#REF!</definedName>
    <definedName name="congmong" localSheetId="3">#REF!</definedName>
    <definedName name="congmong">#REF!</definedName>
    <definedName name="congmongbang" localSheetId="7">#REF!</definedName>
    <definedName name="congmongbang" localSheetId="3">#REF!</definedName>
    <definedName name="congmongbang">#REF!</definedName>
    <definedName name="congmongdon" localSheetId="7">#REF!</definedName>
    <definedName name="congmongdon" localSheetId="3">#REF!</definedName>
    <definedName name="congmongdon">#REF!</definedName>
    <definedName name="congpanen" localSheetId="7">#REF!</definedName>
    <definedName name="congpanen" localSheetId="3">#REF!</definedName>
    <definedName name="congpanen">#REF!</definedName>
    <definedName name="congsan" localSheetId="7">#REF!</definedName>
    <definedName name="congsan" localSheetId="3">#REF!</definedName>
    <definedName name="congsan">#REF!</definedName>
    <definedName name="congthang" localSheetId="7">#REF!</definedName>
    <definedName name="congthang" localSheetId="3">#REF!</definedName>
    <definedName name="congthang">#REF!</definedName>
    <definedName name="CongVattu" localSheetId="7">#REF!</definedName>
    <definedName name="CongVattu" localSheetId="3">#REF!</definedName>
    <definedName name="CongVattu">#REF!</definedName>
    <definedName name="CONST_EQ" localSheetId="7">#REF!</definedName>
    <definedName name="CONST_EQ" localSheetId="3">#REF!</definedName>
    <definedName name="CONST_EQ">#REF!</definedName>
    <definedName name="Content1" localSheetId="7">ErrorHandler_1</definedName>
    <definedName name="Content1" localSheetId="3">ErrorHandler_1</definedName>
    <definedName name="Content1" localSheetId="6">ErrorHandler_1</definedName>
    <definedName name="Content1">ErrorHandler_1</definedName>
    <definedName name="COT" localSheetId="7">#REF!</definedName>
    <definedName name="COT" localSheetId="3">#REF!</definedName>
    <definedName name="COT" localSheetId="6">#REF!</definedName>
    <definedName name="COT">#REF!</definedName>
    <definedName name="cot7.5" localSheetId="7">#REF!</definedName>
    <definedName name="cot7.5" localSheetId="3">#REF!</definedName>
    <definedName name="cot7.5" localSheetId="6">#REF!</definedName>
    <definedName name="cot7.5">#REF!</definedName>
    <definedName name="cot8.5" localSheetId="7">#REF!</definedName>
    <definedName name="cot8.5" localSheetId="3">#REF!</definedName>
    <definedName name="cot8.5" localSheetId="6">#REF!</definedName>
    <definedName name="cot8.5">#REF!</definedName>
    <definedName name="Cotsatma">9726</definedName>
    <definedName name="Cotthepma">9726</definedName>
    <definedName name="cottron" localSheetId="7">#REF!</definedName>
    <definedName name="cottron" localSheetId="3">#REF!</definedName>
    <definedName name="cottron" localSheetId="6">#REF!</definedName>
    <definedName name="cottron">#REF!</definedName>
    <definedName name="cotvuong" localSheetId="7">#REF!</definedName>
    <definedName name="cotvuong" localSheetId="3">#REF!</definedName>
    <definedName name="cotvuong" localSheetId="6">#REF!</definedName>
    <definedName name="cotvuong">#REF!</definedName>
    <definedName name="COVER" localSheetId="7">#REF!</definedName>
    <definedName name="COVER" localSheetId="3">#REF!</definedName>
    <definedName name="COVER" localSheetId="6">#REF!</definedName>
    <definedName name="COVER">#REF!</definedName>
    <definedName name="cpmtc" localSheetId="7">#REF!</definedName>
    <definedName name="cpmtc" localSheetId="3">#REF!</definedName>
    <definedName name="cpmtc">#REF!</definedName>
    <definedName name="cpnc" localSheetId="7">#REF!</definedName>
    <definedName name="cpnc" localSheetId="3">#REF!</definedName>
    <definedName name="cpnc">#REF!</definedName>
    <definedName name="cptt" localSheetId="7">#REF!</definedName>
    <definedName name="cptt" localSheetId="3">#REF!</definedName>
    <definedName name="cptt">#REF!</definedName>
    <definedName name="CPVC35" localSheetId="7">#REF!</definedName>
    <definedName name="CPVC35" localSheetId="3">#REF!</definedName>
    <definedName name="CPVC35">#REF!</definedName>
    <definedName name="CPVCDN" localSheetId="7">#REF!</definedName>
    <definedName name="CPVCDN" localSheetId="3">#REF!</definedName>
    <definedName name="CPVCDN">#REF!</definedName>
    <definedName name="cpvl" localSheetId="7">#REF!</definedName>
    <definedName name="cpvl" localSheetId="3">#REF!</definedName>
    <definedName name="cpvl">#REF!</definedName>
    <definedName name="CRD" localSheetId="7">#REF!</definedName>
    <definedName name="CRD" localSheetId="3">#REF!</definedName>
    <definedName name="CRD">#REF!</definedName>
    <definedName name="CRITINST" localSheetId="7">#REF!</definedName>
    <definedName name="CRITINST" localSheetId="3">#REF!</definedName>
    <definedName name="CRITINST">#REF!</definedName>
    <definedName name="CRITPURC" localSheetId="7">#REF!</definedName>
    <definedName name="CRITPURC" localSheetId="3">#REF!</definedName>
    <definedName name="CRITPURC">#REF!</definedName>
    <definedName name="CRS" localSheetId="7">#REF!</definedName>
    <definedName name="CRS" localSheetId="3">#REF!</definedName>
    <definedName name="CRS">#REF!</definedName>
    <definedName name="CS" localSheetId="7">#REF!</definedName>
    <definedName name="CS" localSheetId="3">#REF!</definedName>
    <definedName name="CS">#REF!</definedName>
    <definedName name="CS_10" localSheetId="7">#REF!</definedName>
    <definedName name="CS_10" localSheetId="3">#REF!</definedName>
    <definedName name="CS_10">#REF!</definedName>
    <definedName name="CS_100" localSheetId="7">#REF!</definedName>
    <definedName name="CS_100" localSheetId="3">#REF!</definedName>
    <definedName name="CS_100">#REF!</definedName>
    <definedName name="CS_10S" localSheetId="7">#REF!</definedName>
    <definedName name="CS_10S" localSheetId="3">#REF!</definedName>
    <definedName name="CS_10S">#REF!</definedName>
    <definedName name="CS_120" localSheetId="7">#REF!</definedName>
    <definedName name="CS_120" localSheetId="3">#REF!</definedName>
    <definedName name="CS_120">#REF!</definedName>
    <definedName name="CS_140" localSheetId="7">#REF!</definedName>
    <definedName name="CS_140" localSheetId="3">#REF!</definedName>
    <definedName name="CS_140">#REF!</definedName>
    <definedName name="CS_160" localSheetId="7">#REF!</definedName>
    <definedName name="CS_160" localSheetId="3">#REF!</definedName>
    <definedName name="CS_160">#REF!</definedName>
    <definedName name="CS_20" localSheetId="7">#REF!</definedName>
    <definedName name="CS_20" localSheetId="3">#REF!</definedName>
    <definedName name="CS_20">#REF!</definedName>
    <definedName name="CS_30" localSheetId="7">#REF!</definedName>
    <definedName name="CS_30" localSheetId="3">#REF!</definedName>
    <definedName name="CS_30">#REF!</definedName>
    <definedName name="CS_40" localSheetId="7">#REF!</definedName>
    <definedName name="CS_40" localSheetId="3">#REF!</definedName>
    <definedName name="CS_40">#REF!</definedName>
    <definedName name="CS_40S" localSheetId="7">#REF!</definedName>
    <definedName name="CS_40S" localSheetId="3">#REF!</definedName>
    <definedName name="CS_40S">#REF!</definedName>
    <definedName name="CS_5S" localSheetId="7">#REF!</definedName>
    <definedName name="CS_5S" localSheetId="3">#REF!</definedName>
    <definedName name="CS_5S">#REF!</definedName>
    <definedName name="CS_60" localSheetId="7">#REF!</definedName>
    <definedName name="CS_60" localSheetId="3">#REF!</definedName>
    <definedName name="CS_60">#REF!</definedName>
    <definedName name="CS_80" localSheetId="7">#REF!</definedName>
    <definedName name="CS_80" localSheetId="3">#REF!</definedName>
    <definedName name="CS_80">#REF!</definedName>
    <definedName name="CS_80S" localSheetId="7">#REF!</definedName>
    <definedName name="CS_80S" localSheetId="3">#REF!</definedName>
    <definedName name="CS_80S">#REF!</definedName>
    <definedName name="CS_STD" localSheetId="7">#REF!</definedName>
    <definedName name="CS_STD" localSheetId="3">#REF!</definedName>
    <definedName name="CS_STD">#REF!</definedName>
    <definedName name="CS_XS" localSheetId="7">#REF!</definedName>
    <definedName name="CS_XS" localSheetId="3">#REF!</definedName>
    <definedName name="CS_XS">#REF!</definedName>
    <definedName name="CS_XXS" localSheetId="7">#REF!</definedName>
    <definedName name="CS_XXS" localSheetId="3">#REF!</definedName>
    <definedName name="CS_XXS">#REF!</definedName>
    <definedName name="csd3p" localSheetId="7">#REF!</definedName>
    <definedName name="csd3p" localSheetId="3">#REF!</definedName>
    <definedName name="csd3p">#REF!</definedName>
    <definedName name="csddg1p" localSheetId="7">#REF!</definedName>
    <definedName name="csddg1p" localSheetId="3">#REF!</definedName>
    <definedName name="csddg1p">#REF!</definedName>
    <definedName name="csddt1p" localSheetId="7">#REF!</definedName>
    <definedName name="csddt1p" localSheetId="3">#REF!</definedName>
    <definedName name="csddt1p">#REF!</definedName>
    <definedName name="csht3p" localSheetId="7">#REF!</definedName>
    <definedName name="csht3p" localSheetId="3">#REF!</definedName>
    <definedName name="csht3p">#REF!</definedName>
    <definedName name="CTCT1" localSheetId="7" hidden="1">{"'Sheet1'!$L$16"}</definedName>
    <definedName name="CTCT1" localSheetId="3" hidden="1">{"'Sheet1'!$L$16"}</definedName>
    <definedName name="CTCT1" localSheetId="6" hidden="1">{"'Sheet1'!$L$16"}</definedName>
    <definedName name="CTCT1" hidden="1">{"'Sheet1'!$L$16"}</definedName>
    <definedName name="ctdn9697" localSheetId="3">#REF!</definedName>
    <definedName name="ctdn9697">#REF!</definedName>
    <definedName name="ctiep" localSheetId="7">#REF!</definedName>
    <definedName name="ctiep" localSheetId="3">#REF!</definedName>
    <definedName name="ctiep">#REF!</definedName>
    <definedName name="CTIET" localSheetId="7">#REF!</definedName>
    <definedName name="CTIET" localSheetId="3">#REF!</definedName>
    <definedName name="CTIET">#REF!</definedName>
    <definedName name="CTRAM" localSheetId="7">#REF!</definedName>
    <definedName name="CTRAM" localSheetId="3">#REF!</definedName>
    <definedName name="CTRAM">#REF!</definedName>
    <definedName name="CU_LY_VAN_CHUYEN_GIA_QUYEN" localSheetId="7">#REF!</definedName>
    <definedName name="CU_LY_VAN_CHUYEN_GIA_QUYEN" localSheetId="3">#REF!</definedName>
    <definedName name="CU_LY_VAN_CHUYEN_GIA_QUYEN">#REF!</definedName>
    <definedName name="CU_LY_VAN_CHUYEN_THU_CONG" localSheetId="7">#REF!</definedName>
    <definedName name="CU_LY_VAN_CHUYEN_THU_CONG" localSheetId="3">#REF!</definedName>
    <definedName name="CU_LY_VAN_CHUYEN_THU_CONG">#REF!</definedName>
    <definedName name="CURRENCY" localSheetId="7">#REF!</definedName>
    <definedName name="CURRENCY" localSheetId="3">#REF!</definedName>
    <definedName name="CURRENCY">#REF!</definedName>
    <definedName name="cv">[2]gvl!$N$17</definedName>
    <definedName name="CV.1">[2]gvl!$N$17</definedName>
    <definedName name="cx" localSheetId="7">#REF!</definedName>
    <definedName name="cx" localSheetId="3">#REF!</definedName>
    <definedName name="cx" localSheetId="6">#REF!</definedName>
    <definedName name="cx">#REF!</definedName>
    <definedName name="Ð" localSheetId="7">BlankMacro1</definedName>
    <definedName name="Ð" localSheetId="3">BlankMacro1</definedName>
    <definedName name="Ð" localSheetId="6">BlankMacro1</definedName>
    <definedName name="Ð">BlankMacro1</definedName>
    <definedName name="D_7101A_B" localSheetId="7">#REF!</definedName>
    <definedName name="D_7101A_B" localSheetId="3">#REF!</definedName>
    <definedName name="D_7101A_B" localSheetId="6">#REF!</definedName>
    <definedName name="D_7101A_B">#REF!</definedName>
    <definedName name="da1x2" localSheetId="7">#REF!</definedName>
    <definedName name="da1x2" localSheetId="3">#REF!</definedName>
    <definedName name="da1x2" localSheetId="6">#REF!</definedName>
    <definedName name="da1x2">#REF!</definedName>
    <definedName name="dahoc" localSheetId="7">#REF!</definedName>
    <definedName name="dahoc" localSheetId="3">#REF!</definedName>
    <definedName name="dahoc" localSheetId="6">#REF!</definedName>
    <definedName name="dahoc">#REF!</definedName>
    <definedName name="dam" localSheetId="7">#REF!</definedName>
    <definedName name="dam" localSheetId="3">#REF!</definedName>
    <definedName name="dam">#REF!</definedName>
    <definedName name="danducsan" localSheetId="7">#REF!</definedName>
    <definedName name="danducsan" localSheetId="3">#REF!</definedName>
    <definedName name="danducsan">#REF!</definedName>
    <definedName name="dao" localSheetId="7">#REF!</definedName>
    <definedName name="dao" localSheetId="3">#REF!</definedName>
    <definedName name="dao">#REF!</definedName>
    <definedName name="DAT" localSheetId="7">#REF!</definedName>
    <definedName name="DAT" localSheetId="3">#REF!</definedName>
    <definedName name="DAT">#REF!</definedName>
    <definedName name="DATA_DATA2_List" localSheetId="7">#REF!</definedName>
    <definedName name="DATA_DATA2_List" localSheetId="3">#REF!</definedName>
    <definedName name="DATA_DATA2_List">#REF!</definedName>
    <definedName name="data1" localSheetId="7" hidden="1">#REF!</definedName>
    <definedName name="data1" localSheetId="3" hidden="1">#REF!</definedName>
    <definedName name="data1" hidden="1">#REF!</definedName>
    <definedName name="data2" localSheetId="7" hidden="1">#REF!</definedName>
    <definedName name="data2" localSheetId="3" hidden="1">#REF!</definedName>
    <definedName name="data2" hidden="1">#REF!</definedName>
    <definedName name="data3" localSheetId="7" hidden="1">#REF!</definedName>
    <definedName name="data3" localSheetId="3" hidden="1">#REF!</definedName>
    <definedName name="data3" hidden="1">#REF!</definedName>
    <definedName name="_xlnm.Database" localSheetId="7">#REF!</definedName>
    <definedName name="_xlnm.Database" localSheetId="3">#REF!</definedName>
    <definedName name="_xlnm.Database">#REF!</definedName>
    <definedName name="DATDAO" localSheetId="7">#REF!</definedName>
    <definedName name="DATDAO" localSheetId="3">#REF!</definedName>
    <definedName name="DATDAO">#REF!</definedName>
    <definedName name="DCL_22">12117600</definedName>
    <definedName name="DCL_35">25490000</definedName>
    <definedName name="dd" localSheetId="7">#REF!</definedName>
    <definedName name="dd" localSheetId="3">#REF!</definedName>
    <definedName name="dd" localSheetId="6">#REF!</definedName>
    <definedName name="dd">#REF!</definedName>
    <definedName name="dd1x2">[2]gvl!$N$9</definedName>
    <definedName name="dd1x2.">[2]gvl!$N$9</definedName>
    <definedName name="dd1x2.1">[2]gvl!$N$9</definedName>
    <definedName name="DDAY" localSheetId="7">#REF!</definedName>
    <definedName name="DDAY" localSheetId="3">#REF!</definedName>
    <definedName name="DDAY" localSheetId="6">#REF!</definedName>
    <definedName name="DDAY">#REF!</definedName>
    <definedName name="dddem">0.1</definedName>
    <definedName name="DDK" localSheetId="7">#REF!</definedName>
    <definedName name="DDK" localSheetId="3">#REF!</definedName>
    <definedName name="DDK" localSheetId="6">#REF!</definedName>
    <definedName name="DDK">#REF!</definedName>
    <definedName name="den_bu" localSheetId="7">#REF!</definedName>
    <definedName name="den_bu" localSheetId="3">#REF!</definedName>
    <definedName name="den_bu" localSheetId="6">#REF!</definedName>
    <definedName name="den_bu">#REF!</definedName>
    <definedName name="denbu" localSheetId="7">#REF!</definedName>
    <definedName name="denbu" localSheetId="3">#REF!</definedName>
    <definedName name="denbu" localSheetId="6">#REF!</definedName>
    <definedName name="denbu">#REF!</definedName>
    <definedName name="DenDK" localSheetId="7" hidden="1">{"'Sheet1'!$L$16"}</definedName>
    <definedName name="DenDK" localSheetId="3" hidden="1">{"'Sheet1'!$L$16"}</definedName>
    <definedName name="DenDK" localSheetId="6" hidden="1">{"'Sheet1'!$L$16"}</definedName>
    <definedName name="DenDK" hidden="1">{"'Sheet1'!$L$16"}</definedName>
    <definedName name="Det32x3" localSheetId="3">#REF!</definedName>
    <definedName name="Det32x3">#REF!</definedName>
    <definedName name="Det35x3" localSheetId="7">#REF!</definedName>
    <definedName name="Det35x3" localSheetId="3">#REF!</definedName>
    <definedName name="Det35x3">#REF!</definedName>
    <definedName name="Det40x4" localSheetId="7">#REF!</definedName>
    <definedName name="Det40x4" localSheetId="3">#REF!</definedName>
    <definedName name="Det40x4">#REF!</definedName>
    <definedName name="Det50x5" localSheetId="7">#REF!</definedName>
    <definedName name="Det50x5" localSheetId="3">#REF!</definedName>
    <definedName name="Det50x5">#REF!</definedName>
    <definedName name="Det63x6" localSheetId="7">#REF!</definedName>
    <definedName name="Det63x6" localSheetId="3">#REF!</definedName>
    <definedName name="Det63x6">#REF!</definedName>
    <definedName name="Det75x6" localSheetId="7">#REF!</definedName>
    <definedName name="Det75x6" localSheetId="3">#REF!</definedName>
    <definedName name="Det75x6">#REF!</definedName>
    <definedName name="dfg" localSheetId="7" hidden="1">{"'Sheet1'!$L$16"}</definedName>
    <definedName name="dfg" localSheetId="3" hidden="1">{"'Sheet1'!$L$16"}</definedName>
    <definedName name="dfg" localSheetId="6" hidden="1">{"'Sheet1'!$L$16"}</definedName>
    <definedName name="dfg" hidden="1">{"'Sheet1'!$L$16"}</definedName>
    <definedName name="dgbdII" localSheetId="3">#REF!</definedName>
    <definedName name="dgbdII">#REF!</definedName>
    <definedName name="DGCTI592" localSheetId="7">#REF!</definedName>
    <definedName name="DGCTI592" localSheetId="3">#REF!</definedName>
    <definedName name="DGCTI592">#REF!</definedName>
    <definedName name="dgctp2" localSheetId="7" hidden="1">{"'Sheet1'!$L$16"}</definedName>
    <definedName name="dgctp2" localSheetId="3" hidden="1">{"'Sheet1'!$L$16"}</definedName>
    <definedName name="dgctp2" localSheetId="6" hidden="1">{"'Sheet1'!$L$16"}</definedName>
    <definedName name="dgctp2" hidden="1">{"'Sheet1'!$L$16"}</definedName>
    <definedName name="DGNC" localSheetId="3">#REF!</definedName>
    <definedName name="DGNC">#REF!</definedName>
    <definedName name="dgqndn" localSheetId="7">#REF!</definedName>
    <definedName name="dgqndn" localSheetId="3">#REF!</definedName>
    <definedName name="dgqndn">#REF!</definedName>
    <definedName name="DGTV" localSheetId="7">#REF!</definedName>
    <definedName name="DGTV" localSheetId="3">#REF!</definedName>
    <definedName name="DGTV">#REF!</definedName>
    <definedName name="dgvl" localSheetId="7">#REF!</definedName>
    <definedName name="dgvl" localSheetId="3">#REF!</definedName>
    <definedName name="dgvl">#REF!</definedName>
    <definedName name="DGVT" localSheetId="7">#REF!</definedName>
    <definedName name="DGVT" localSheetId="3">#REF!</definedName>
    <definedName name="DGVT">#REF!</definedName>
    <definedName name="dhom" localSheetId="7">#REF!</definedName>
    <definedName name="dhom" localSheetId="3">#REF!</definedName>
    <definedName name="dhom">#REF!</definedName>
    <definedName name="dien" localSheetId="7">#REF!</definedName>
    <definedName name="dien" localSheetId="3">#REF!</definedName>
    <definedName name="dien">#REF!</definedName>
    <definedName name="dientichck" localSheetId="7">#REF!</definedName>
    <definedName name="dientichck" localSheetId="3">#REF!</definedName>
    <definedName name="dientichck">#REF!</definedName>
    <definedName name="dinh2" localSheetId="7">#REF!</definedName>
    <definedName name="dinh2" localSheetId="3">#REF!</definedName>
    <definedName name="dinh2">#REF!</definedName>
    <definedName name="Discount" localSheetId="7" hidden="1">#REF!</definedName>
    <definedName name="Discount" localSheetId="3" hidden="1">#REF!</definedName>
    <definedName name="Discount" hidden="1">#REF!</definedName>
    <definedName name="display_area_2" localSheetId="7" hidden="1">#REF!</definedName>
    <definedName name="display_area_2" localSheetId="3" hidden="1">#REF!</definedName>
    <definedName name="display_area_2" hidden="1">#REF!</definedName>
    <definedName name="DLCC" localSheetId="7">#REF!</definedName>
    <definedName name="DLCC" localSheetId="3">#REF!</definedName>
    <definedName name="DLCC">#REF!</definedName>
    <definedName name="DM" localSheetId="7">#REF!</definedName>
    <definedName name="DM" localSheetId="3">#REF!</definedName>
    <definedName name="DM">#REF!</definedName>
    <definedName name="dm56bxd" localSheetId="7">#REF!</definedName>
    <definedName name="dm56bxd" localSheetId="3">#REF!</definedName>
    <definedName name="dm56bxd">#REF!</definedName>
    <definedName name="DN" localSheetId="7">#REF!</definedName>
    <definedName name="DN" localSheetId="3">#REF!</definedName>
    <definedName name="DN">#REF!</definedName>
    <definedName name="DNNN" localSheetId="7">#REF!</definedName>
    <definedName name="DNNN" localSheetId="3">#REF!</definedName>
    <definedName name="DNNN">#REF!</definedName>
    <definedName name="DÑt45x4" localSheetId="7">#REF!</definedName>
    <definedName name="DÑt45x4" localSheetId="3">#REF!</definedName>
    <definedName name="DÑt45x4">#REF!</definedName>
    <definedName name="doan1" localSheetId="7">#REF!</definedName>
    <definedName name="doan1" localSheetId="3">#REF!</definedName>
    <definedName name="doan1">#REF!</definedName>
    <definedName name="doan2" localSheetId="7">#REF!</definedName>
    <definedName name="doan2" localSheetId="3">#REF!</definedName>
    <definedName name="doan2">#REF!</definedName>
    <definedName name="doan3" localSheetId="7">#REF!</definedName>
    <definedName name="doan3" localSheetId="3">#REF!</definedName>
    <definedName name="doan3">#REF!</definedName>
    <definedName name="doan4" localSheetId="7">#REF!</definedName>
    <definedName name="doan4" localSheetId="3">#REF!</definedName>
    <definedName name="doan4">#REF!</definedName>
    <definedName name="doan5" localSheetId="7">#REF!</definedName>
    <definedName name="doan5" localSheetId="3">#REF!</definedName>
    <definedName name="doan5">#REF!</definedName>
    <definedName name="doan6" localSheetId="7">#REF!</definedName>
    <definedName name="doan6" localSheetId="3">#REF!</definedName>
    <definedName name="doan6">#REF!</definedName>
    <definedName name="dobt" localSheetId="7">#REF!</definedName>
    <definedName name="dobt" localSheetId="3">#REF!</definedName>
    <definedName name="dobt">#REF!</definedName>
    <definedName name="docdoc">0.03125</definedName>
    <definedName name="Document_array" localSheetId="7">{"Thuxm2.xls","Sheet1"}</definedName>
    <definedName name="Document_array" localSheetId="3">{"Thuxm2.xls","Sheet1"}</definedName>
    <definedName name="Document_array" localSheetId="6">{"Thuxm2.xls","Sheet1"}</definedName>
    <definedName name="Document_array">{"Thuxm2.xls","Sheet1"}</definedName>
    <definedName name="DON_GIA_3282" localSheetId="7">#REF!</definedName>
    <definedName name="DON_GIA_3282" localSheetId="3">#REF!</definedName>
    <definedName name="DON_GIA_3282" localSheetId="6">#REF!</definedName>
    <definedName name="DON_GIA_3282">#REF!</definedName>
    <definedName name="DON_GIA_3283" localSheetId="7">#REF!</definedName>
    <definedName name="DON_GIA_3283" localSheetId="3">#REF!</definedName>
    <definedName name="DON_GIA_3283" localSheetId="6">#REF!</definedName>
    <definedName name="DON_GIA_3283">#REF!</definedName>
    <definedName name="DON_GIA_3285" localSheetId="7">#REF!</definedName>
    <definedName name="DON_GIA_3285" localSheetId="3">#REF!</definedName>
    <definedName name="DON_GIA_3285" localSheetId="6">#REF!</definedName>
    <definedName name="DON_GIA_3285">#REF!</definedName>
    <definedName name="DON_GIA_VAN_CHUYEN_36" localSheetId="7">#REF!</definedName>
    <definedName name="DON_GIA_VAN_CHUYEN_36" localSheetId="3">#REF!</definedName>
    <definedName name="DON_GIA_VAN_CHUYEN_36">#REF!</definedName>
    <definedName name="dongia" localSheetId="7">#REF!</definedName>
    <definedName name="dongia" localSheetId="3">#REF!</definedName>
    <definedName name="dongia">#REF!</definedName>
    <definedName name="Drawpoints">1</definedName>
    <definedName name="Drop1">"Drop Down 3"</definedName>
    <definedName name="DS1p1vc" localSheetId="7">#REF!</definedName>
    <definedName name="DS1p1vc" localSheetId="3">#REF!</definedName>
    <definedName name="DS1p1vc" localSheetId="6">#REF!</definedName>
    <definedName name="DS1p1vc">#REF!</definedName>
    <definedName name="ds1p2nc" localSheetId="7">#REF!</definedName>
    <definedName name="ds1p2nc" localSheetId="3">#REF!</definedName>
    <definedName name="ds1p2nc" localSheetId="6">#REF!</definedName>
    <definedName name="ds1p2nc">#REF!</definedName>
    <definedName name="ds1p2vc" localSheetId="7">#REF!</definedName>
    <definedName name="ds1p2vc" localSheetId="3">#REF!</definedName>
    <definedName name="ds1p2vc" localSheetId="6">#REF!</definedName>
    <definedName name="ds1p2vc">#REF!</definedName>
    <definedName name="ds1pnc" localSheetId="7">#REF!</definedName>
    <definedName name="ds1pnc" localSheetId="3">#REF!</definedName>
    <definedName name="ds1pnc">#REF!</definedName>
    <definedName name="ds1pvl" localSheetId="7">#REF!</definedName>
    <definedName name="ds1pvl" localSheetId="3">#REF!</definedName>
    <definedName name="ds1pvl">#REF!</definedName>
    <definedName name="ds3pctnc" localSheetId="7">#REF!</definedName>
    <definedName name="ds3pctnc" localSheetId="3">#REF!</definedName>
    <definedName name="ds3pctnc">#REF!</definedName>
    <definedName name="ds3pctvc" localSheetId="7">#REF!</definedName>
    <definedName name="ds3pctvc" localSheetId="3">#REF!</definedName>
    <definedName name="ds3pctvc">#REF!</definedName>
    <definedName name="ds3pctvl" localSheetId="7">#REF!</definedName>
    <definedName name="ds3pctvl" localSheetId="3">#REF!</definedName>
    <definedName name="ds3pctvl">#REF!</definedName>
    <definedName name="DSPK1p1nc" localSheetId="7">#REF!</definedName>
    <definedName name="DSPK1p1nc" localSheetId="3">#REF!</definedName>
    <definedName name="DSPK1p1nc">#REF!</definedName>
    <definedName name="DSPK1p1vl" localSheetId="7">#REF!</definedName>
    <definedName name="DSPK1p1vl" localSheetId="3">#REF!</definedName>
    <definedName name="DSPK1p1vl">#REF!</definedName>
    <definedName name="DSPK1pnc" localSheetId="7">#REF!</definedName>
    <definedName name="DSPK1pnc" localSheetId="3">#REF!</definedName>
    <definedName name="DSPK1pnc">#REF!</definedName>
    <definedName name="DSPK1pvl" localSheetId="7">#REF!</definedName>
    <definedName name="DSPK1pvl" localSheetId="3">#REF!</definedName>
    <definedName name="DSPK1pvl">#REF!</definedName>
    <definedName name="DSTD_Clear">#N/A</definedName>
    <definedName name="DSUMDATA" localSheetId="7">#REF!</definedName>
    <definedName name="DSUMDATA" localSheetId="3">#REF!</definedName>
    <definedName name="DSUMDATA" localSheetId="6">#REF!</definedName>
    <definedName name="DSUMDATA">#REF!</definedName>
    <definedName name="dthft" localSheetId="7" hidden="1">{"'Sheet1'!$L$16"}</definedName>
    <definedName name="dthft" localSheetId="3" hidden="1">{"'Sheet1'!$L$16"}</definedName>
    <definedName name="dthft" localSheetId="6" hidden="1">{"'Sheet1'!$L$16"}</definedName>
    <definedName name="dthft" hidden="1">{"'Sheet1'!$L$16"}</definedName>
    <definedName name="dtich1" localSheetId="3">#REF!</definedName>
    <definedName name="dtich1">#REF!</definedName>
    <definedName name="dtich2" localSheetId="7">#REF!</definedName>
    <definedName name="dtich2" localSheetId="3">#REF!</definedName>
    <definedName name="dtich2">#REF!</definedName>
    <definedName name="dtich3" localSheetId="7">#REF!</definedName>
    <definedName name="dtich3" localSheetId="3">#REF!</definedName>
    <definedName name="dtich3">#REF!</definedName>
    <definedName name="dtich4" localSheetId="7">#REF!</definedName>
    <definedName name="dtich4" localSheetId="3">#REF!</definedName>
    <definedName name="dtich4">#REF!</definedName>
    <definedName name="dtich5" localSheetId="7">#REF!</definedName>
    <definedName name="dtich5" localSheetId="3">#REF!</definedName>
    <definedName name="dtich5">#REF!</definedName>
    <definedName name="dtich6" localSheetId="7">#REF!</definedName>
    <definedName name="dtich6" localSheetId="3">#REF!</definedName>
    <definedName name="dtich6">#REF!</definedName>
    <definedName name="DtrCuocPhun.1b" localSheetId="3">[4]NhanCong!$G$202</definedName>
    <definedName name="DtrCuocPhun.1b">[4]NhanCong!$G$202</definedName>
    <definedName name="DtrCuocPhun.2b" localSheetId="3">[4]NhanCong!$G$203</definedName>
    <definedName name="DtrCuocPhun.2b">[4]NhanCong!$G$203</definedName>
    <definedName name="DtrCuocPhun.4b" localSheetId="3">[4]NhanCong!$G$214</definedName>
    <definedName name="DtrCuocPhun.4b">[4]NhanCong!$G$214</definedName>
    <definedName name="DtrHutCuoc300.2s" localSheetId="3">[4]NhanCong!$G$191</definedName>
    <definedName name="DtrHutCuoc300.2s">[4]NhanCong!$G$191</definedName>
    <definedName name="DU_TOAN_CHI_TIET_CONG_TO" localSheetId="7">#REF!</definedName>
    <definedName name="DU_TOAN_CHI_TIET_CONG_TO" localSheetId="3">#REF!</definedName>
    <definedName name="DU_TOAN_CHI_TIET_CONG_TO" localSheetId="6">#REF!</definedName>
    <definedName name="DU_TOAN_CHI_TIET_CONG_TO">#REF!</definedName>
    <definedName name="DU_TOAN_CHI_TIET_DZ22KV" localSheetId="7">#REF!</definedName>
    <definedName name="DU_TOAN_CHI_TIET_DZ22KV" localSheetId="3">#REF!</definedName>
    <definedName name="DU_TOAN_CHI_TIET_DZ22KV" localSheetId="6">#REF!</definedName>
    <definedName name="DU_TOAN_CHI_TIET_DZ22KV">#REF!</definedName>
    <definedName name="DU_TOAN_CHI_TIET_KHO_BAI" localSheetId="7">#REF!</definedName>
    <definedName name="DU_TOAN_CHI_TIET_KHO_BAI" localSheetId="3">#REF!</definedName>
    <definedName name="DU_TOAN_CHI_TIET_KHO_BAI" localSheetId="6">#REF!</definedName>
    <definedName name="DU_TOAN_CHI_TIET_KHO_BAI">#REF!</definedName>
    <definedName name="duaån" localSheetId="7">#REF!</definedName>
    <definedName name="duaån" localSheetId="3">#REF!</definedName>
    <definedName name="duaån">#REF!</definedName>
    <definedName name="duan" localSheetId="7">#REF!</definedName>
    <definedName name="duan" localSheetId="3">#REF!</definedName>
    <definedName name="duan">#REF!</definedName>
    <definedName name="DUCANH" localSheetId="7" hidden="1">{"'Sheet1'!$L$16"}</definedName>
    <definedName name="DUCANH" localSheetId="3" hidden="1">{"'Sheet1'!$L$16"}</definedName>
    <definedName name="DUCANH" localSheetId="6" hidden="1">{"'Sheet1'!$L$16"}</definedName>
    <definedName name="DUCANH" hidden="1">{"'Sheet1'!$L$16"}</definedName>
    <definedName name="Dutoan2001">'[5]Tro giup'!$A$1</definedName>
    <definedName name="DutoanDongmo" localSheetId="7">#REF!</definedName>
    <definedName name="DutoanDongmo" localSheetId="3">#REF!</definedName>
    <definedName name="DutoanDongmo" localSheetId="6">#REF!</definedName>
    <definedName name="DutoanDongmo">#REF!</definedName>
    <definedName name="E.chandoc">8.875</definedName>
    <definedName name="E.PC">10.438</definedName>
    <definedName name="E.PVI">12</definedName>
    <definedName name="emb" localSheetId="7">#REF!</definedName>
    <definedName name="emb" localSheetId="3">#REF!</definedName>
    <definedName name="emb" localSheetId="6">#REF!</definedName>
    <definedName name="emb">#REF!</definedName>
    <definedName name="End_1" localSheetId="7">#REF!</definedName>
    <definedName name="End_1" localSheetId="3">#REF!</definedName>
    <definedName name="End_1" localSheetId="6">#REF!</definedName>
    <definedName name="End_1">#REF!</definedName>
    <definedName name="End_10" localSheetId="7">#REF!</definedName>
    <definedName name="End_10" localSheetId="3">#REF!</definedName>
    <definedName name="End_10" localSheetId="6">#REF!</definedName>
    <definedName name="End_10">#REF!</definedName>
    <definedName name="End_11" localSheetId="7">#REF!</definedName>
    <definedName name="End_11" localSheetId="3">#REF!</definedName>
    <definedName name="End_11">#REF!</definedName>
    <definedName name="End_12" localSheetId="7">#REF!</definedName>
    <definedName name="End_12" localSheetId="3">#REF!</definedName>
    <definedName name="End_12">#REF!</definedName>
    <definedName name="End_13" localSheetId="7">#REF!</definedName>
    <definedName name="End_13" localSheetId="3">#REF!</definedName>
    <definedName name="End_13">#REF!</definedName>
    <definedName name="End_2" localSheetId="7">#REF!</definedName>
    <definedName name="End_2" localSheetId="3">#REF!</definedName>
    <definedName name="End_2">#REF!</definedName>
    <definedName name="End_3" localSheetId="7">#REF!</definedName>
    <definedName name="End_3" localSheetId="3">#REF!</definedName>
    <definedName name="End_3">#REF!</definedName>
    <definedName name="End_4" localSheetId="7">#REF!</definedName>
    <definedName name="End_4" localSheetId="3">#REF!</definedName>
    <definedName name="End_4">#REF!</definedName>
    <definedName name="End_5" localSheetId="7">#REF!</definedName>
    <definedName name="End_5" localSheetId="3">#REF!</definedName>
    <definedName name="End_5">#REF!</definedName>
    <definedName name="End_6" localSheetId="7">#REF!</definedName>
    <definedName name="End_6" localSheetId="3">#REF!</definedName>
    <definedName name="End_6">#REF!</definedName>
    <definedName name="End_7" localSheetId="7">#REF!</definedName>
    <definedName name="End_7" localSheetId="3">#REF!</definedName>
    <definedName name="End_7">#REF!</definedName>
    <definedName name="End_8" localSheetId="7">#REF!</definedName>
    <definedName name="End_8" localSheetId="3">#REF!</definedName>
    <definedName name="End_8">#REF!</definedName>
    <definedName name="End_9" localSheetId="7">#REF!</definedName>
    <definedName name="End_9" localSheetId="3">#REF!</definedName>
    <definedName name="End_9">#REF!</definedName>
    <definedName name="ex" localSheetId="7">#REF!</definedName>
    <definedName name="ex" localSheetId="3">#REF!</definedName>
    <definedName name="ex">#REF!</definedName>
    <definedName name="_xlnm.Extract" localSheetId="7">#REF!</definedName>
    <definedName name="_xlnm.Extract" localSheetId="3">#REF!</definedName>
    <definedName name="_xlnm.Extract">#REF!</definedName>
    <definedName name="f" localSheetId="7">#REF!</definedName>
    <definedName name="f" localSheetId="3">#REF!</definedName>
    <definedName name="f">#REF!</definedName>
    <definedName name="FACTOR" localSheetId="7">#REF!</definedName>
    <definedName name="FACTOR" localSheetId="3">#REF!</definedName>
    <definedName name="FACTOR">#REF!</definedName>
    <definedName name="FCode" localSheetId="7" hidden="1">#REF!</definedName>
    <definedName name="FCode" localSheetId="3" hidden="1">#REF!</definedName>
    <definedName name="FCode" hidden="1">#REF!</definedName>
    <definedName name="FFF" localSheetId="7">BlankMacro1</definedName>
    <definedName name="FFF" localSheetId="3">BlankMacro1</definedName>
    <definedName name="FFF" localSheetId="6">BlankMacro1</definedName>
    <definedName name="FFF">BlankMacro1</definedName>
    <definedName name="FI_12">4820</definedName>
    <definedName name="FIT" localSheetId="7">BlankMacro1</definedName>
    <definedName name="FIT" localSheetId="3">BlankMacro1</definedName>
    <definedName name="FIT" localSheetId="6">BlankMacro1</definedName>
    <definedName name="FIT">BlankMacro1</definedName>
    <definedName name="FITT2" localSheetId="7">BlankMacro1</definedName>
    <definedName name="FITT2" localSheetId="3">BlankMacro1</definedName>
    <definedName name="FITT2" localSheetId="6">BlankMacro1</definedName>
    <definedName name="FITT2">BlankMacro1</definedName>
    <definedName name="FITTING2" localSheetId="7">BlankMacro1</definedName>
    <definedName name="FITTING2" localSheetId="3">BlankMacro1</definedName>
    <definedName name="FITTING2" localSheetId="6">BlankMacro1</definedName>
    <definedName name="FITTING2">BlankMacro1</definedName>
    <definedName name="FLG" localSheetId="7">BlankMacro1</definedName>
    <definedName name="FLG" localSheetId="3">BlankMacro1</definedName>
    <definedName name="FLG" localSheetId="6">BlankMacro1</definedName>
    <definedName name="FLG">BlankMacro1</definedName>
    <definedName name="foo" localSheetId="7">ErrorHandler_1</definedName>
    <definedName name="foo" localSheetId="3">ErrorHandler_1</definedName>
    <definedName name="foo" localSheetId="6">ErrorHandler_1</definedName>
    <definedName name="foo">ErrorHandler_1</definedName>
    <definedName name="fsdfdsf" localSheetId="7" hidden="1">{"'Sheet1'!$L$16"}</definedName>
    <definedName name="fsdfdsf" localSheetId="3" hidden="1">{"'Sheet1'!$L$16"}</definedName>
    <definedName name="fsdfdsf" localSheetId="6" hidden="1">{"'Sheet1'!$L$16"}</definedName>
    <definedName name="fsdfdsf" hidden="1">{"'Sheet1'!$L$16"}</definedName>
    <definedName name="G_ME" localSheetId="3">#REF!</definedName>
    <definedName name="G_ME">#REF!</definedName>
    <definedName name="gach" localSheetId="7">#REF!</definedName>
    <definedName name="gach" localSheetId="3">#REF!</definedName>
    <definedName name="gach">#REF!</definedName>
    <definedName name="geo" localSheetId="7">#REF!</definedName>
    <definedName name="geo" localSheetId="3">#REF!</definedName>
    <definedName name="geo">#REF!</definedName>
    <definedName name="getrtertertert" localSheetId="7">BlankMacro1</definedName>
    <definedName name="getrtertertert" localSheetId="3">BlankMacro1</definedName>
    <definedName name="getrtertertert" localSheetId="6">BlankMacro1</definedName>
    <definedName name="getrtertertert">BlankMacro1</definedName>
    <definedName name="gg" localSheetId="7">#REF!</definedName>
    <definedName name="gg" localSheetId="3">#REF!</definedName>
    <definedName name="gg" localSheetId="6">#REF!</definedName>
    <definedName name="gg">#REF!</definedName>
    <definedName name="ghip" localSheetId="7">#REF!</definedName>
    <definedName name="ghip" localSheetId="3">#REF!</definedName>
    <definedName name="ghip" localSheetId="6">#REF!</definedName>
    <definedName name="ghip">#REF!</definedName>
    <definedName name="gi">0.4</definedName>
    <definedName name="gia" localSheetId="7">#REF!</definedName>
    <definedName name="gia" localSheetId="3">#REF!</definedName>
    <definedName name="gia" localSheetId="6">#REF!</definedName>
    <definedName name="gia">#REF!</definedName>
    <definedName name="Gia_CT" localSheetId="7">#REF!</definedName>
    <definedName name="Gia_CT" localSheetId="3">#REF!</definedName>
    <definedName name="Gia_CT" localSheetId="6">#REF!</definedName>
    <definedName name="Gia_CT">#REF!</definedName>
    <definedName name="GIA_CU_LY_VAN_CHUYEN" localSheetId="7">#REF!</definedName>
    <definedName name="GIA_CU_LY_VAN_CHUYEN" localSheetId="3">#REF!</definedName>
    <definedName name="GIA_CU_LY_VAN_CHUYEN" localSheetId="6">#REF!</definedName>
    <definedName name="GIA_CU_LY_VAN_CHUYEN">#REF!</definedName>
    <definedName name="gia_tien" localSheetId="7">#REF!</definedName>
    <definedName name="gia_tien" localSheetId="3">#REF!</definedName>
    <definedName name="gia_tien">#REF!</definedName>
    <definedName name="gia_tien_BTN" localSheetId="7">#REF!</definedName>
    <definedName name="gia_tien_BTN" localSheetId="3">#REF!</definedName>
    <definedName name="gia_tien_BTN">#REF!</definedName>
    <definedName name="Gia_VT" localSheetId="7">#REF!</definedName>
    <definedName name="Gia_VT" localSheetId="3">#REF!</definedName>
    <definedName name="Gia_VT">#REF!</definedName>
    <definedName name="GIAVLIEUTN" localSheetId="7">#REF!</definedName>
    <definedName name="GIAVLIEUTN" localSheetId="3">#REF!</definedName>
    <definedName name="GIAVLIEUTN">#REF!</definedName>
    <definedName name="Giocong" localSheetId="7">#REF!</definedName>
    <definedName name="Giocong" localSheetId="3">#REF!</definedName>
    <definedName name="Giocong">#REF!</definedName>
    <definedName name="gl3p" localSheetId="7">#REF!</definedName>
    <definedName name="gl3p" localSheetId="3">#REF!</definedName>
    <definedName name="gl3p">#REF!</definedName>
    <definedName name="Goc32x3" localSheetId="7">#REF!</definedName>
    <definedName name="Goc32x3" localSheetId="3">#REF!</definedName>
    <definedName name="Goc32x3">#REF!</definedName>
    <definedName name="Goc35x3" localSheetId="7">#REF!</definedName>
    <definedName name="Goc35x3" localSheetId="3">#REF!</definedName>
    <definedName name="Goc35x3">#REF!</definedName>
    <definedName name="Goc40x4" localSheetId="7">#REF!</definedName>
    <definedName name="Goc40x4" localSheetId="3">#REF!</definedName>
    <definedName name="Goc40x4">#REF!</definedName>
    <definedName name="Goc45x4" localSheetId="7">#REF!</definedName>
    <definedName name="Goc45x4" localSheetId="3">#REF!</definedName>
    <definedName name="Goc45x4">#REF!</definedName>
    <definedName name="Goc50x5" localSheetId="7">#REF!</definedName>
    <definedName name="Goc50x5" localSheetId="3">#REF!</definedName>
    <definedName name="Goc50x5">#REF!</definedName>
    <definedName name="Goc63x6" localSheetId="7">#REF!</definedName>
    <definedName name="Goc63x6" localSheetId="3">#REF!</definedName>
    <definedName name="Goc63x6">#REF!</definedName>
    <definedName name="Goc75x6" localSheetId="7">#REF!</definedName>
    <definedName name="Goc75x6" localSheetId="3">#REF!</definedName>
    <definedName name="Goc75x6">#REF!</definedName>
    <definedName name="Gtb" localSheetId="7">#REF!</definedName>
    <definedName name="Gtb" localSheetId="3">#REF!</definedName>
    <definedName name="Gtb">#REF!</definedName>
    <definedName name="gtbtt" localSheetId="7">#REF!</definedName>
    <definedName name="gtbtt" localSheetId="3">#REF!</definedName>
    <definedName name="gtbtt">#REF!</definedName>
    <definedName name="gtst" localSheetId="7">#REF!</definedName>
    <definedName name="gtst" localSheetId="3">#REF!</definedName>
    <definedName name="gtst">#REF!</definedName>
    <definedName name="GTXL" localSheetId="7">#REF!</definedName>
    <definedName name="GTXL" localSheetId="3">#REF!</definedName>
    <definedName name="GTXL">#REF!</definedName>
    <definedName name="Gxl" localSheetId="7">#REF!</definedName>
    <definedName name="Gxl" localSheetId="3">#REF!</definedName>
    <definedName name="Gxl">#REF!</definedName>
    <definedName name="gxltt" localSheetId="7">#REF!</definedName>
    <definedName name="gxltt" localSheetId="3">#REF!</definedName>
    <definedName name="gxltt">#REF!</definedName>
    <definedName name="h" localSheetId="7" hidden="1">{"'Sheet1'!$L$16"}</definedName>
    <definedName name="h" localSheetId="3" hidden="1">{"'Sheet1'!$L$16"}</definedName>
    <definedName name="h" localSheetId="6" hidden="1">{"'Sheet1'!$L$16"}</definedName>
    <definedName name="h" hidden="1">{"'Sheet1'!$L$16"}</definedName>
    <definedName name="H_THUCHTHH" localSheetId="3">#REF!</definedName>
    <definedName name="H_THUCHTHH">#REF!</definedName>
    <definedName name="H_THUCTT" localSheetId="7">#REF!</definedName>
    <definedName name="H_THUCTT" localSheetId="3">#REF!</definedName>
    <definedName name="H_THUCTT">#REF!</definedName>
    <definedName name="HANG" localSheetId="7" hidden="1">{#N/A,#N/A,FALSE,"Chi tiÆt"}</definedName>
    <definedName name="HANG" localSheetId="3" hidden="1">{#N/A,#N/A,FALSE,"Chi tiÆt"}</definedName>
    <definedName name="HANG" localSheetId="6" hidden="1">{#N/A,#N/A,FALSE,"Chi tiÆt"}</definedName>
    <definedName name="HANG" hidden="1">{#N/A,#N/A,FALSE,"Chi tiÆt"}</definedName>
    <definedName name="HCM" localSheetId="7">#REF!</definedName>
    <definedName name="HCM" localSheetId="3">#REF!</definedName>
    <definedName name="HCM" localSheetId="6">#REF!</definedName>
    <definedName name="HCM">#REF!</definedName>
    <definedName name="Hdao">0.3</definedName>
    <definedName name="Hdap">5.2</definedName>
    <definedName name="HE_SO_KHO_KHAN_CANG_DAY" localSheetId="7">#REF!</definedName>
    <definedName name="HE_SO_KHO_KHAN_CANG_DAY" localSheetId="3">#REF!</definedName>
    <definedName name="HE_SO_KHO_KHAN_CANG_DAY" localSheetId="6">#REF!</definedName>
    <definedName name="HE_SO_KHO_KHAN_CANG_DAY">#REF!</definedName>
    <definedName name="Heä_soá_laép_xaø_H">1.7</definedName>
    <definedName name="heä_soá_sình_laày" localSheetId="7">#REF!</definedName>
    <definedName name="heä_soá_sình_laày" localSheetId="3">#REF!</definedName>
    <definedName name="heä_soá_sình_laày" localSheetId="6">#REF!</definedName>
    <definedName name="heä_soá_sình_laày">#REF!</definedName>
    <definedName name="hh" localSheetId="7">#REF!</definedName>
    <definedName name="hh" localSheetId="3">#REF!</definedName>
    <definedName name="hh" localSheetId="6">#REF!</definedName>
    <definedName name="hh">#REF!</definedName>
    <definedName name="HHcat" localSheetId="7">#REF!</definedName>
    <definedName name="HHcat" localSheetId="3">#REF!</definedName>
    <definedName name="HHcat" localSheetId="6">#REF!</definedName>
    <definedName name="HHcat">#REF!</definedName>
    <definedName name="HHda" localSheetId="7">#REF!</definedName>
    <definedName name="HHda" localSheetId="3">#REF!</definedName>
    <definedName name="HHda">#REF!</definedName>
    <definedName name="hhh" localSheetId="7" hidden="1">{"'Sheet1'!$L$16"}</definedName>
    <definedName name="hhh" localSheetId="3" hidden="1">{"'Sheet1'!$L$16"}</definedName>
    <definedName name="hhh" localSheetId="6" hidden="1">{"'Sheet1'!$L$16"}</definedName>
    <definedName name="hhh" hidden="1">{"'Sheet1'!$L$16"}</definedName>
    <definedName name="HHTT" localSheetId="3">#REF!</definedName>
    <definedName name="HHTT">#REF!</definedName>
    <definedName name="HHUHOI">#N/A</definedName>
    <definedName name="HiddenRows" localSheetId="3" hidden="1">#REF!</definedName>
    <definedName name="HiddenRows" hidden="1">#REF!</definedName>
    <definedName name="hien" localSheetId="7">#REF!</definedName>
    <definedName name="hien" localSheetId="3">#REF!</definedName>
    <definedName name="hien" localSheetId="6">#REF!</definedName>
    <definedName name="hien">#REF!</definedName>
    <definedName name="HIHIHIHOI" localSheetId="7" hidden="1">{"'Sheet1'!$L$16"}</definedName>
    <definedName name="HIHIHIHOI" localSheetId="3" hidden="1">{"'Sheet1'!$L$16"}</definedName>
    <definedName name="HIHIHIHOI" localSheetId="6" hidden="1">{"'Sheet1'!$L$16"}</definedName>
    <definedName name="HIHIHIHOI" hidden="1">{"'Sheet1'!$L$16"}</definedName>
    <definedName name="Hinh_thuc" localSheetId="3">#REF!</definedName>
    <definedName name="Hinh_thuc">#REF!</definedName>
    <definedName name="HiÕu" localSheetId="7">#REF!</definedName>
    <definedName name="HiÕu" localSheetId="3">#REF!</definedName>
    <definedName name="HiÕu">#REF!</definedName>
    <definedName name="HJKL" localSheetId="7" hidden="1">{"'Sheet1'!$L$16"}</definedName>
    <definedName name="HJKL" localSheetId="3" hidden="1">{"'Sheet1'!$L$16"}</definedName>
    <definedName name="HJKL" localSheetId="6" hidden="1">{"'Sheet1'!$L$16"}</definedName>
    <definedName name="HJKL" hidden="1">{"'Sheet1'!$L$16"}</definedName>
    <definedName name="hoc">55000</definedName>
    <definedName name="HOME_MANP" localSheetId="7">#REF!</definedName>
    <definedName name="HOME_MANP" localSheetId="3">#REF!</definedName>
    <definedName name="HOME_MANP" localSheetId="6">#REF!</definedName>
    <definedName name="HOME_MANP">#REF!</definedName>
    <definedName name="HOMEOFFICE_COST" localSheetId="7">#REF!</definedName>
    <definedName name="HOMEOFFICE_COST" localSheetId="3">#REF!</definedName>
    <definedName name="HOMEOFFICE_COST" localSheetId="6">#REF!</definedName>
    <definedName name="HOMEOFFICE_COST">#REF!</definedName>
    <definedName name="hs" localSheetId="7">#REF!</definedName>
    <definedName name="hs" localSheetId="3">#REF!</definedName>
    <definedName name="hs" localSheetId="6">#REF!</definedName>
    <definedName name="hs">#REF!</definedName>
    <definedName name="HSCT3">0.1</definedName>
    <definedName name="hsd" localSheetId="7">#REF!</definedName>
    <definedName name="hsd" localSheetId="3">#REF!</definedName>
    <definedName name="hsd" localSheetId="6">#REF!</definedName>
    <definedName name="hsd">#REF!</definedName>
    <definedName name="hsdc" localSheetId="7">#REF!</definedName>
    <definedName name="hsdc" localSheetId="3">#REF!</definedName>
    <definedName name="hsdc" localSheetId="6">#REF!</definedName>
    <definedName name="hsdc">#REF!</definedName>
    <definedName name="hsdc1" localSheetId="7">#REF!</definedName>
    <definedName name="hsdc1" localSheetId="3">#REF!</definedName>
    <definedName name="hsdc1" localSheetId="6">#REF!</definedName>
    <definedName name="hsdc1">#REF!</definedName>
    <definedName name="HSDN">2.5</definedName>
    <definedName name="HSHH" localSheetId="3">#REF!</definedName>
    <definedName name="HSHH">#REF!</definedName>
    <definedName name="HSHHUT" localSheetId="7">#REF!</definedName>
    <definedName name="HSHHUT" localSheetId="3">#REF!</definedName>
    <definedName name="HSHHUT">#REF!</definedName>
    <definedName name="hsk" localSheetId="7">#REF!</definedName>
    <definedName name="hsk" localSheetId="3">#REF!</definedName>
    <definedName name="hsk">#REF!</definedName>
    <definedName name="HSKK35" localSheetId="7">#REF!</definedName>
    <definedName name="HSKK35" localSheetId="3">#REF!</definedName>
    <definedName name="HSKK35">#REF!</definedName>
    <definedName name="HSLX" localSheetId="7">#REF!</definedName>
    <definedName name="HSLX" localSheetId="3">#REF!</definedName>
    <definedName name="HSLX">#REF!</definedName>
    <definedName name="HSLXH">1.7</definedName>
    <definedName name="HSLXP" localSheetId="7">#REF!</definedName>
    <definedName name="HSLXP" localSheetId="3">#REF!</definedName>
    <definedName name="HSLXP" localSheetId="6">#REF!</definedName>
    <definedName name="HSLXP">#REF!</definedName>
    <definedName name="hsn">0.5</definedName>
    <definedName name="hsnc_cau">2.5039</definedName>
    <definedName name="hsnc_cau2">1.626</definedName>
    <definedName name="hsnc_d">1.6356</definedName>
    <definedName name="hsnc_d2">1.6356</definedName>
    <definedName name="hßm4" localSheetId="7">#REF!</definedName>
    <definedName name="hßm4" localSheetId="3">#REF!</definedName>
    <definedName name="hßm4" localSheetId="6">#REF!</definedName>
    <definedName name="hßm4">#REF!</definedName>
    <definedName name="hstb" localSheetId="7">#REF!</definedName>
    <definedName name="hstb" localSheetId="3">#REF!</definedName>
    <definedName name="hstb" localSheetId="6">#REF!</definedName>
    <definedName name="hstb">#REF!</definedName>
    <definedName name="hstdtk" localSheetId="7">#REF!</definedName>
    <definedName name="hstdtk" localSheetId="3">#REF!</definedName>
    <definedName name="hstdtk" localSheetId="6">#REF!</definedName>
    <definedName name="hstdtk">#REF!</definedName>
    <definedName name="hsthep" localSheetId="7">#REF!</definedName>
    <definedName name="hsthep" localSheetId="3">#REF!</definedName>
    <definedName name="hsthep">#REF!</definedName>
    <definedName name="HSVC1" localSheetId="7">#REF!</definedName>
    <definedName name="HSVC1" localSheetId="3">#REF!</definedName>
    <definedName name="HSVC1">#REF!</definedName>
    <definedName name="HSVC2" localSheetId="7">#REF!</definedName>
    <definedName name="HSVC2" localSheetId="3">#REF!</definedName>
    <definedName name="HSVC2">#REF!</definedName>
    <definedName name="HSVC3" localSheetId="7">#REF!</definedName>
    <definedName name="HSVC3" localSheetId="3">#REF!</definedName>
    <definedName name="HSVC3">#REF!</definedName>
    <definedName name="hsvl" localSheetId="7">#REF!</definedName>
    <definedName name="hsvl" localSheetId="3">#REF!</definedName>
    <definedName name="hsvl">#REF!</definedName>
    <definedName name="hsvl2">1</definedName>
    <definedName name="HT" localSheetId="7">#REF!</definedName>
    <definedName name="HT" localSheetId="3">#REF!</definedName>
    <definedName name="HT" localSheetId="6">#REF!</definedName>
    <definedName name="HT">#REF!</definedName>
    <definedName name="HTHH" localSheetId="7">#REF!</definedName>
    <definedName name="HTHH" localSheetId="3">#REF!</definedName>
    <definedName name="HTHH" localSheetId="6">#REF!</definedName>
    <definedName name="HTHH">#REF!</definedName>
    <definedName name="htlm" localSheetId="7" hidden="1">{"'Sheet1'!$L$16"}</definedName>
    <definedName name="htlm" localSheetId="3" hidden="1">{"'Sheet1'!$L$16"}</definedName>
    <definedName name="htlm" localSheetId="6" hidden="1">{"'Sheet1'!$L$16"}</definedName>
    <definedName name="htlm" hidden="1">{"'Sheet1'!$L$16"}</definedName>
    <definedName name="HTML_CodePage" hidden="1">950</definedName>
    <definedName name="HTML_Control" localSheetId="7" hidden="1">{"'Sheet1'!$L$16"}</definedName>
    <definedName name="HTML_Control" localSheetId="3" hidden="1">{"'Sheet1'!$L$16"}</definedName>
    <definedName name="HTML_Control" localSheetId="6" hidden="1">{"'Sheet1'!$L$16"}</definedName>
    <definedName name="HTML_Control"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"C:\2689\Q\國內\00q3961台化龍德PTA3建造\MyHTML.htm"</definedName>
    <definedName name="HTML_Title" hidden="1">"00Q3961-SUM"</definedName>
    <definedName name="HTNC" localSheetId="7">#REF!</definedName>
    <definedName name="HTNC" localSheetId="3">#REF!</definedName>
    <definedName name="HTNC" localSheetId="6">#REF!</definedName>
    <definedName name="HTNC">#REF!</definedName>
    <definedName name="htrhrt" localSheetId="7" hidden="1">{"'Sheet1'!$L$16"}</definedName>
    <definedName name="htrhrt" localSheetId="3" hidden="1">{"'Sheet1'!$L$16"}</definedName>
    <definedName name="htrhrt" localSheetId="6" hidden="1">{"'Sheet1'!$L$16"}</definedName>
    <definedName name="htrhrt" hidden="1">{"'Sheet1'!$L$16"}</definedName>
    <definedName name="HTVL" localSheetId="3">#REF!</definedName>
    <definedName name="HTVL">#REF!</definedName>
    <definedName name="hu" localSheetId="7" hidden="1">{"'Sheet1'!$L$16"}</definedName>
    <definedName name="hu" localSheetId="3" hidden="1">{"'Sheet1'!$L$16"}</definedName>
    <definedName name="hu" localSheetId="6" hidden="1">{"'Sheet1'!$L$16"}</definedName>
    <definedName name="hu" hidden="1">{"'Sheet1'!$L$16"}</definedName>
    <definedName name="huy" localSheetId="3">#REF!</definedName>
    <definedName name="huy">#REF!</definedName>
    <definedName name="I" localSheetId="7">#REF!</definedName>
    <definedName name="I" localSheetId="3">#REF!</definedName>
    <definedName name="I">#REF!</definedName>
    <definedName name="IDLAB_COST" localSheetId="7">#REF!</definedName>
    <definedName name="IDLAB_COST" localSheetId="3">#REF!</definedName>
    <definedName name="IDLAB_COST">#REF!</definedName>
    <definedName name="IND_LAB" localSheetId="7">#REF!</definedName>
    <definedName name="IND_LAB" localSheetId="3">#REF!</definedName>
    <definedName name="IND_LAB">#REF!</definedName>
    <definedName name="INDMANP" localSheetId="7">#REF!</definedName>
    <definedName name="INDMANP" localSheetId="3">#REF!</definedName>
    <definedName name="INDMANP">#REF!</definedName>
    <definedName name="j" localSheetId="7">#REF!</definedName>
    <definedName name="j" localSheetId="3">#REF!</definedName>
    <definedName name="j">#REF!</definedName>
    <definedName name="j356C8" localSheetId="7">#REF!</definedName>
    <definedName name="j356C8" localSheetId="3">#REF!</definedName>
    <definedName name="j356C8">#REF!</definedName>
    <definedName name="K" localSheetId="7">#REF!</definedName>
    <definedName name="K" localSheetId="3">#REF!</definedName>
    <definedName name="K">#REF!</definedName>
    <definedName name="k2b" localSheetId="7">#REF!</definedName>
    <definedName name="k2b" localSheetId="3">#REF!</definedName>
    <definedName name="k2b">#REF!</definedName>
    <definedName name="kcong" localSheetId="7">#REF!</definedName>
    <definedName name="kcong" localSheetId="3">#REF!</definedName>
    <definedName name="kcong">#REF!</definedName>
    <definedName name="KH_Chang" localSheetId="7">#REF!</definedName>
    <definedName name="KH_Chang" localSheetId="3">#REF!</definedName>
    <definedName name="KH_Chang">#REF!</definedName>
    <definedName name="Khac" localSheetId="7">#REF!</definedName>
    <definedName name="Khac" localSheetId="3">#REF!</definedName>
    <definedName name="Khac" localSheetId="6">#REF!</definedName>
    <definedName name="Khac">#REF!</definedName>
    <definedName name="KHANHKHUNG" localSheetId="7" hidden="1">{"'Sheet1'!$L$16"}</definedName>
    <definedName name="KHANHKHUNG" localSheetId="3" hidden="1">{"'Sheet1'!$L$16"}</definedName>
    <definedName name="KHANHKHUNG" localSheetId="6" hidden="1">{"'Sheet1'!$L$16"}</definedName>
    <definedName name="KHANHKHUNG" hidden="1">{"'Sheet1'!$L$16"}</definedName>
    <definedName name="khla09" localSheetId="7" hidden="1">{"'Sheet1'!$L$16"}</definedName>
    <definedName name="khla09" localSheetId="3" hidden="1">{"'Sheet1'!$L$16"}</definedName>
    <definedName name="khla09" localSheetId="6" hidden="1">{"'Sheet1'!$L$16"}</definedName>
    <definedName name="khla09" hidden="1">{"'Sheet1'!$L$16"}</definedName>
    <definedName name="KHOI_LUONG_DAT_DAO_DAP" localSheetId="3">#REF!</definedName>
    <definedName name="KHOI_LUONG_DAT_DAO_DAP">#REF!</definedName>
    <definedName name="Khong_can_doi" localSheetId="7">#REF!</definedName>
    <definedName name="Khong_can_doi" localSheetId="3">#REF!</definedName>
    <definedName name="Khong_can_doi">#REF!</definedName>
    <definedName name="khongtruotgia" localSheetId="7" hidden="1">{"'Sheet1'!$L$16"}</definedName>
    <definedName name="khongtruotgia" localSheetId="3" hidden="1">{"'Sheet1'!$L$16"}</definedName>
    <definedName name="khongtruotgia" localSheetId="6" hidden="1">{"'Sheet1'!$L$16"}</definedName>
    <definedName name="khongtruotgia" hidden="1">{"'Sheet1'!$L$16"}</definedName>
    <definedName name="KhuyenmaiUPS">"AutoShape 264"</definedName>
    <definedName name="khvh09" localSheetId="7" hidden="1">{"'Sheet1'!$L$16"}</definedName>
    <definedName name="khvh09" localSheetId="3" hidden="1">{"'Sheet1'!$L$16"}</definedName>
    <definedName name="khvh09" localSheetId="6" hidden="1">{"'Sheet1'!$L$16"}</definedName>
    <definedName name="khvh09" hidden="1">{"'Sheet1'!$L$16"}</definedName>
    <definedName name="KHYt09" localSheetId="7" hidden="1">{"'Sheet1'!$L$16"}</definedName>
    <definedName name="KHYt09" localSheetId="3" hidden="1">{"'Sheet1'!$L$16"}</definedName>
    <definedName name="KHYt09" localSheetId="6" hidden="1">{"'Sheet1'!$L$16"}</definedName>
    <definedName name="KHYt09" hidden="1">{"'Sheet1'!$L$16"}</definedName>
    <definedName name="KINH_PHI_DEN_BU" localSheetId="3">#REF!</definedName>
    <definedName name="KINH_PHI_DEN_BU">#REF!</definedName>
    <definedName name="KINH_PHI_DZ0.4KV" localSheetId="7">#REF!</definedName>
    <definedName name="KINH_PHI_DZ0.4KV" localSheetId="3">#REF!</definedName>
    <definedName name="KINH_PHI_DZ0.4KV">#REF!</definedName>
    <definedName name="KINH_PHI_KHAO_SAT__LAP_BCNCKT__TKKTTC" localSheetId="7">#REF!</definedName>
    <definedName name="KINH_PHI_KHAO_SAT__LAP_BCNCKT__TKKTTC" localSheetId="3">#REF!</definedName>
    <definedName name="KINH_PHI_KHAO_SAT__LAP_BCNCKT__TKKTTC">#REF!</definedName>
    <definedName name="KINH_PHI_KHO_BAI" localSheetId="7">#REF!</definedName>
    <definedName name="KINH_PHI_KHO_BAI" localSheetId="3">#REF!</definedName>
    <definedName name="KINH_PHI_KHO_BAI">#REF!</definedName>
    <definedName name="KINH_PHI_TBA" localSheetId="7">#REF!</definedName>
    <definedName name="KINH_PHI_TBA" localSheetId="3">#REF!</definedName>
    <definedName name="KINH_PHI_TBA">#REF!</definedName>
    <definedName name="kk">0.8</definedName>
    <definedName name="kl_ME" localSheetId="7">#REF!</definedName>
    <definedName name="kl_ME" localSheetId="3">#REF!</definedName>
    <definedName name="kl_ME" localSheetId="6">#REF!</definedName>
    <definedName name="kl_ME">#REF!</definedName>
    <definedName name="KLduonggiaods" localSheetId="7" hidden="1">{"'Sheet1'!$L$16"}</definedName>
    <definedName name="KLduonggiaods" localSheetId="3" hidden="1">{"'Sheet1'!$L$16"}</definedName>
    <definedName name="KLduonggiaods" localSheetId="6" hidden="1">{"'Sheet1'!$L$16"}</definedName>
    <definedName name="KLduonggiaods" hidden="1">{"'Sheet1'!$L$16"}</definedName>
    <definedName name="KLTHDN" localSheetId="3">#REF!</definedName>
    <definedName name="KLTHDN">#REF!</definedName>
    <definedName name="KLVANKHUON" localSheetId="7">#REF!</definedName>
    <definedName name="KLVANKHUON" localSheetId="3">#REF!</definedName>
    <definedName name="KLVANKHUON">#REF!</definedName>
    <definedName name="komtun" localSheetId="7" hidden="1">{"'Sheet1'!$L$16"}</definedName>
    <definedName name="komtun" localSheetId="3" hidden="1">{"'Sheet1'!$L$16"}</definedName>
    <definedName name="komtun" localSheetId="6" hidden="1">{"'Sheet1'!$L$16"}</definedName>
    <definedName name="komtun" hidden="1">{"'Sheet1'!$L$16"}</definedName>
    <definedName name="kp1ph" localSheetId="3">#REF!</definedName>
    <definedName name="kp1ph">#REF!</definedName>
    <definedName name="KQ_Truong" localSheetId="7">#REF!</definedName>
    <definedName name="KQ_Truong" localSheetId="3">#REF!</definedName>
    <definedName name="KQ_Truong">#REF!</definedName>
    <definedName name="ksbn" localSheetId="7" hidden="1">{"'Sheet1'!$L$16"}</definedName>
    <definedName name="ksbn" localSheetId="3" hidden="1">{"'Sheet1'!$L$16"}</definedName>
    <definedName name="ksbn" localSheetId="6" hidden="1">{"'Sheet1'!$L$16"}</definedName>
    <definedName name="ksbn" hidden="1">{"'Sheet1'!$L$16"}</definedName>
    <definedName name="kshn" localSheetId="7" hidden="1">{"'Sheet1'!$L$16"}</definedName>
    <definedName name="kshn" localSheetId="3" hidden="1">{"'Sheet1'!$L$16"}</definedName>
    <definedName name="kshn" localSheetId="6" hidden="1">{"'Sheet1'!$L$16"}</definedName>
    <definedName name="kshn" hidden="1">{"'Sheet1'!$L$16"}</definedName>
    <definedName name="ksls" localSheetId="7" hidden="1">{"'Sheet1'!$L$16"}</definedName>
    <definedName name="ksls" localSheetId="3" hidden="1">{"'Sheet1'!$L$16"}</definedName>
    <definedName name="ksls" localSheetId="6" hidden="1">{"'Sheet1'!$L$16"}</definedName>
    <definedName name="ksls" hidden="1">{"'Sheet1'!$L$16"}</definedName>
    <definedName name="KSTK" localSheetId="3">#REF!</definedName>
    <definedName name="KSTK">#REF!</definedName>
    <definedName name="KtvCuoc2.2s" localSheetId="3">[4]NhanCong!$G$175</definedName>
    <definedName name="KtvCuoc2.2s">[4]NhanCong!$G$175</definedName>
    <definedName name="KtvCuoc2.4s" localSheetId="3">[4]NhanCong!$G$184</definedName>
    <definedName name="KtvCuoc2.4s">[4]NhanCong!$G$184</definedName>
    <definedName name="KtvCuoc2.6s" localSheetId="3">[4]NhanCong!$G$195</definedName>
    <definedName name="KtvCuoc2.6s">[4]NhanCong!$G$195</definedName>
    <definedName name="KVC" localSheetId="7">#REF!</definedName>
    <definedName name="KVC" localSheetId="3">#REF!</definedName>
    <definedName name="KVC" localSheetId="6">#REF!</definedName>
    <definedName name="KVC">#REF!</definedName>
    <definedName name="L" localSheetId="7">#REF!</definedName>
    <definedName name="L" localSheetId="3">#REF!</definedName>
    <definedName name="L" localSheetId="6">#REF!</definedName>
    <definedName name="L">#REF!</definedName>
    <definedName name="L_mong" localSheetId="7">#REF!</definedName>
    <definedName name="L_mong" localSheetId="3">#REF!</definedName>
    <definedName name="L_mong" localSheetId="6">#REF!</definedName>
    <definedName name="L_mong">#REF!</definedName>
    <definedName name="L63x6">5800</definedName>
    <definedName name="lan" localSheetId="7">#REF!</definedName>
    <definedName name="lan" localSheetId="3">#REF!</definedName>
    <definedName name="lan" localSheetId="6">#REF!</definedName>
    <definedName name="lan">#REF!</definedName>
    <definedName name="langson" localSheetId="7" hidden="1">{"'Sheet1'!$L$16"}</definedName>
    <definedName name="langson" localSheetId="3" hidden="1">{"'Sheet1'!$L$16"}</definedName>
    <definedName name="langson" localSheetId="6" hidden="1">{"'Sheet1'!$L$16"}</definedName>
    <definedName name="langson" hidden="1">{"'Sheet1'!$L$16"}</definedName>
    <definedName name="lanhto" localSheetId="3">#REF!</definedName>
    <definedName name="lanhto">#REF!</definedName>
    <definedName name="LAP_DAT_TBA" localSheetId="7">#REF!</definedName>
    <definedName name="LAP_DAT_TBA" localSheetId="3">#REF!</definedName>
    <definedName name="LAP_DAT_TBA">#REF!</definedName>
    <definedName name="Last_Row" localSheetId="7">#N/A</definedName>
    <definedName name="Last_Row" localSheetId="3">#N/A</definedName>
    <definedName name="Last_Row" localSheetId="6">IF('Mau 05 UB (2)'!Values_Entered,Header_Row+'Mau 05 UB (2)'!Number_of_Payments,Header_Row)</definedName>
    <definedName name="Last_Row">IF('Mau 05 UB (2)'!Values_Entered,Header_Row+'Mau 05 UB (2)'!Number_of_Payments,Header_Row)</definedName>
    <definedName name="LBS_22">107800000</definedName>
    <definedName name="LIET_KE_VI_TRI_DZ0.4KV" localSheetId="7">#REF!</definedName>
    <definedName name="LIET_KE_VI_TRI_DZ0.4KV" localSheetId="3">#REF!</definedName>
    <definedName name="LIET_KE_VI_TRI_DZ0.4KV" localSheetId="6">#REF!</definedName>
    <definedName name="LIET_KE_VI_TRI_DZ0.4KV">#REF!</definedName>
    <definedName name="LIET_KE_VI_TRI_DZ22KV" localSheetId="7">#REF!</definedName>
    <definedName name="LIET_KE_VI_TRI_DZ22KV" localSheetId="3">#REF!</definedName>
    <definedName name="LIET_KE_VI_TRI_DZ22KV">#REF!</definedName>
    <definedName name="LK_hathe" localSheetId="7">#REF!</definedName>
    <definedName name="LK_hathe" localSheetId="3">#REF!</definedName>
    <definedName name="LK_hathe">#REF!</definedName>
    <definedName name="Lmk" localSheetId="7">#REF!</definedName>
    <definedName name="Lmk" localSheetId="3">#REF!</definedName>
    <definedName name="Lmk">#REF!</definedName>
    <definedName name="lntt" localSheetId="7">#REF!</definedName>
    <definedName name="lntt" localSheetId="3">#REF!</definedName>
    <definedName name="lntt">#REF!</definedName>
    <definedName name="Loai_TD" localSheetId="7">#REF!</definedName>
    <definedName name="Loai_TD" localSheetId="3">#REF!</definedName>
    <definedName name="Loai_TD">#REF!</definedName>
    <definedName name="lVC" localSheetId="7">#REF!</definedName>
    <definedName name="lVC" localSheetId="3">#REF!</definedName>
    <definedName name="lVC">#REF!</definedName>
    <definedName name="Lx.125" localSheetId="3">[4]NhanCong!$G$132</definedName>
    <definedName name="Lx.125">[4]NhanCong!$G$132</definedName>
    <definedName name="Lx.140" localSheetId="3">[4]NhanCong!$G$137</definedName>
    <definedName name="Lx.140">[4]NhanCong!$G$137</definedName>
    <definedName name="Lx.175" localSheetId="3">[4]NhanCong!$G$127</definedName>
    <definedName name="Lx.175">[4]NhanCong!$G$127</definedName>
    <definedName name="Lx.225" localSheetId="3">[4]NhanCong!$G$133</definedName>
    <definedName name="Lx.225">[4]NhanCong!$G$133</definedName>
    <definedName name="Lx.275" localSheetId="3">[4]NhanCong!$G$128</definedName>
    <definedName name="Lx.275">[4]NhanCong!$G$128</definedName>
    <definedName name="Lx.325" localSheetId="3">[4]NhanCong!$G$134</definedName>
    <definedName name="Lx.325">[4]NhanCong!$G$134</definedName>
    <definedName name="Lx.340" localSheetId="3">[4]NhanCong!$G$139</definedName>
    <definedName name="Lx.340">[4]NhanCong!$G$139</definedName>
    <definedName name="Lx.375" localSheetId="3">[4]NhanCong!$G$129</definedName>
    <definedName name="Lx.375">[4]NhanCong!$G$129</definedName>
    <definedName name="Lx.440" localSheetId="3">[4]NhanCong!$G$140</definedName>
    <definedName name="Lx.440">[4]NhanCong!$G$140</definedName>
    <definedName name="M0.4" localSheetId="7">#REF!</definedName>
    <definedName name="M0.4" localSheetId="3">#REF!</definedName>
    <definedName name="M0.4" localSheetId="6">#REF!</definedName>
    <definedName name="M0.4">#REF!</definedName>
    <definedName name="M10aa1p" localSheetId="7">#REF!</definedName>
    <definedName name="M10aa1p" localSheetId="3">#REF!</definedName>
    <definedName name="M10aa1p" localSheetId="6">#REF!</definedName>
    <definedName name="M10aa1p">#REF!</definedName>
    <definedName name="M12aavl" localSheetId="7">#REF!</definedName>
    <definedName name="M12aavl" localSheetId="3">#REF!</definedName>
    <definedName name="M12aavl" localSheetId="6">#REF!</definedName>
    <definedName name="M12aavl">#REF!</definedName>
    <definedName name="M12ba3p" localSheetId="7">#REF!</definedName>
    <definedName name="M12ba3p" localSheetId="3">#REF!</definedName>
    <definedName name="M12ba3p">#REF!</definedName>
    <definedName name="M12bb1p" localSheetId="7">#REF!</definedName>
    <definedName name="M12bb1p" localSheetId="3">#REF!</definedName>
    <definedName name="M12bb1p">#REF!</definedName>
    <definedName name="M14bb1p" localSheetId="7">#REF!</definedName>
    <definedName name="M14bb1p" localSheetId="3">#REF!</definedName>
    <definedName name="M14bb1p">#REF!</definedName>
    <definedName name="M2KtvBung.1b" localSheetId="3">[4]NhanCong!$G$204</definedName>
    <definedName name="M2KtvBung.1b">[4]NhanCong!$G$204</definedName>
    <definedName name="M2KtvBung.2b" localSheetId="3">[4]NhanCong!$G$205</definedName>
    <definedName name="M2KtvBung.2b">[4]NhanCong!$G$205</definedName>
    <definedName name="M2KtvBung.3b" localSheetId="3">[4]NhanCong!$G$215</definedName>
    <definedName name="M2KtvBung.3b">[4]NhanCong!$G$215</definedName>
    <definedName name="M2KtvBung.4b" localSheetId="3">[4]NhanCong!$G$216</definedName>
    <definedName name="M2KtvBung.4b">[4]NhanCong!$G$216</definedName>
    <definedName name="M2KtvCuoc1.2s" localSheetId="3">[4]NhanCong!$G$173</definedName>
    <definedName name="M2KtvCuoc1.2s">[4]NhanCong!$G$173</definedName>
    <definedName name="M2KtvCuoc1.4s" localSheetId="3">[4]NhanCong!$G$182</definedName>
    <definedName name="M2KtvCuoc1.4s">[4]NhanCong!$G$182</definedName>
    <definedName name="M2KtvCuoc1.6s" localSheetId="3">[4]NhanCong!$G$193</definedName>
    <definedName name="M2KtvCuoc1.6s">[4]NhanCong!$G$193</definedName>
    <definedName name="M8a" localSheetId="7">#REF!</definedName>
    <definedName name="M8a" localSheetId="3">#REF!</definedName>
    <definedName name="M8a" localSheetId="6">#REF!</definedName>
    <definedName name="M8a">#REF!</definedName>
    <definedName name="M8aa" localSheetId="7">#REF!</definedName>
    <definedName name="M8aa" localSheetId="3">#REF!</definedName>
    <definedName name="M8aa" localSheetId="6">#REF!</definedName>
    <definedName name="M8aa">#REF!</definedName>
    <definedName name="m8aanc" localSheetId="7">#REF!</definedName>
    <definedName name="m8aanc" localSheetId="3">#REF!</definedName>
    <definedName name="m8aanc" localSheetId="6">#REF!</definedName>
    <definedName name="m8aanc">#REF!</definedName>
    <definedName name="m8aavl" localSheetId="7">#REF!</definedName>
    <definedName name="m8aavl" localSheetId="3">#REF!</definedName>
    <definedName name="m8aavl">#REF!</definedName>
    <definedName name="Ma3pnc" localSheetId="7">#REF!</definedName>
    <definedName name="Ma3pnc" localSheetId="3">#REF!</definedName>
    <definedName name="Ma3pnc">#REF!</definedName>
    <definedName name="Ma3pvl" localSheetId="7">#REF!</definedName>
    <definedName name="Ma3pvl" localSheetId="3">#REF!</definedName>
    <definedName name="Ma3pvl">#REF!</definedName>
    <definedName name="Maa3pnc" localSheetId="7">#REF!</definedName>
    <definedName name="Maa3pnc" localSheetId="3">#REF!</definedName>
    <definedName name="Maa3pnc">#REF!</definedName>
    <definedName name="Maa3pvl" localSheetId="7">#REF!</definedName>
    <definedName name="Maa3pvl" localSheetId="3">#REF!</definedName>
    <definedName name="Maa3pvl">#REF!</definedName>
    <definedName name="Macro3" localSheetId="7">#REF!</definedName>
    <definedName name="Macro3" localSheetId="3">#REF!</definedName>
    <definedName name="Macro3">#REF!</definedName>
    <definedName name="MAJ_CON_EQP" localSheetId="7">#REF!</definedName>
    <definedName name="MAJ_CON_EQP" localSheetId="3">#REF!</definedName>
    <definedName name="MAJ_CON_EQP">#REF!</definedName>
    <definedName name="MAVANKHUON" localSheetId="7">#REF!</definedName>
    <definedName name="MAVANKHUON" localSheetId="3">#REF!</definedName>
    <definedName name="MAVANKHUON">#REF!</definedName>
    <definedName name="MAVLTHDN" localSheetId="7">#REF!</definedName>
    <definedName name="MAVLTHDN" localSheetId="3">#REF!</definedName>
    <definedName name="MAVLTHDN">#REF!</definedName>
    <definedName name="Mba1p" localSheetId="7">#REF!</definedName>
    <definedName name="Mba1p" localSheetId="3">#REF!</definedName>
    <definedName name="Mba1p">#REF!</definedName>
    <definedName name="Mba3p" localSheetId="7">#REF!</definedName>
    <definedName name="Mba3p" localSheetId="3">#REF!</definedName>
    <definedName name="Mba3p">#REF!</definedName>
    <definedName name="Mbb3p" localSheetId="7">#REF!</definedName>
    <definedName name="Mbb3p" localSheetId="3">#REF!</definedName>
    <definedName name="Mbb3p">#REF!</definedName>
    <definedName name="mc" localSheetId="7">#REF!</definedName>
    <definedName name="mc" localSheetId="3">#REF!</definedName>
    <definedName name="mc">#REF!</definedName>
    <definedName name="MG_A" localSheetId="7">#REF!</definedName>
    <definedName name="MG_A" localSheetId="3">#REF!</definedName>
    <definedName name="MG_A">#REF!</definedName>
    <definedName name="MN" localSheetId="7">#REF!</definedName>
    <definedName name="MN" localSheetId="3">#REF!</definedName>
    <definedName name="MN">#REF!</definedName>
    <definedName name="mo" localSheetId="7" hidden="1">{"'Sheet1'!$L$16"}</definedName>
    <definedName name="mo" localSheetId="3" hidden="1">{"'Sheet1'!$L$16"}</definedName>
    <definedName name="mo" localSheetId="6" hidden="1">{"'Sheet1'!$L$16"}</definedName>
    <definedName name="mo" hidden="1">{"'Sheet1'!$L$16"}</definedName>
    <definedName name="mongbang" localSheetId="3">#REF!</definedName>
    <definedName name="mongbang">#REF!</definedName>
    <definedName name="mongdon" localSheetId="7">#REF!</definedName>
    <definedName name="mongdon" localSheetId="3">#REF!</definedName>
    <definedName name="mongdon">#REF!</definedName>
    <definedName name="Moùng" localSheetId="7">#REF!</definedName>
    <definedName name="Moùng" localSheetId="3">#REF!</definedName>
    <definedName name="Moùng">#REF!</definedName>
    <definedName name="MSCT" localSheetId="7">#REF!</definedName>
    <definedName name="MSCT" localSheetId="3">#REF!</definedName>
    <definedName name="MSCT">#REF!</definedName>
    <definedName name="mtcdg" localSheetId="7">#REF!</definedName>
    <definedName name="mtcdg" localSheetId="3">#REF!</definedName>
    <definedName name="mtcdg">#REF!</definedName>
    <definedName name="MTMAC12" localSheetId="7">#REF!</definedName>
    <definedName name="MTMAC12" localSheetId="3">#REF!</definedName>
    <definedName name="MTMAC12">#REF!</definedName>
    <definedName name="Mtr.1s" localSheetId="3">[4]NhanCong!$G$170</definedName>
    <definedName name="Mtr.1s">[4]NhanCong!$G$170</definedName>
    <definedName name="Mtr.2s" localSheetId="3">[4]NhanCong!$G$171</definedName>
    <definedName name="Mtr.2s">[4]NhanCong!$G$171</definedName>
    <definedName name="Mtr.3s" localSheetId="3">[4]NhanCong!$G$179</definedName>
    <definedName name="Mtr.3s">[4]NhanCong!$G$179</definedName>
    <definedName name="Mtr.4s" localSheetId="3">[4]NhanCong!$G$180</definedName>
    <definedName name="Mtr.4s">[4]NhanCong!$G$180</definedName>
    <definedName name="Mtr.5s" localSheetId="3">[4]NhanCong!$G$188</definedName>
    <definedName name="Mtr.5s">[4]NhanCong!$G$188</definedName>
    <definedName name="Mtr.6s" localSheetId="3">[4]NhanCong!$G$189</definedName>
    <definedName name="Mtr.6s">[4]NhanCong!$G$189</definedName>
    <definedName name="mtram" localSheetId="7">#REF!</definedName>
    <definedName name="mtram" localSheetId="3">#REF!</definedName>
    <definedName name="mtram" localSheetId="6">#REF!</definedName>
    <definedName name="mtram">#REF!</definedName>
    <definedName name="MtrTtrCuocPhun.2b" localSheetId="3">[4]NhanCong!$G$201</definedName>
    <definedName name="MtrTtrCuocPhun.2b">[4]NhanCong!$G$201</definedName>
    <definedName name="MtrTtrCuocPhun.4b" localSheetId="3">[4]NhanCong!$G$212</definedName>
    <definedName name="MtrTtrCuocPhun.4b">[4]NhanCong!$G$212</definedName>
    <definedName name="myle" localSheetId="7">#REF!</definedName>
    <definedName name="myle" localSheetId="3">#REF!</definedName>
    <definedName name="myle" localSheetId="6">#REF!</definedName>
    <definedName name="myle">#REF!</definedName>
    <definedName name="n" localSheetId="7">#REF!</definedName>
    <definedName name="n" localSheetId="3">#REF!</definedName>
    <definedName name="n" localSheetId="6">#REF!</definedName>
    <definedName name="n">#REF!</definedName>
    <definedName name="n..">[2]gvl!$N$38</definedName>
    <definedName name="n1pig" localSheetId="7">#REF!</definedName>
    <definedName name="n1pig" localSheetId="3">#REF!</definedName>
    <definedName name="n1pig" localSheetId="6">#REF!</definedName>
    <definedName name="n1pig">#REF!</definedName>
    <definedName name="N1pIGnc" localSheetId="7">#REF!</definedName>
    <definedName name="N1pIGnc" localSheetId="3">#REF!</definedName>
    <definedName name="N1pIGnc" localSheetId="6">#REF!</definedName>
    <definedName name="N1pIGnc">#REF!</definedName>
    <definedName name="N1pIGvc" localSheetId="7">#REF!</definedName>
    <definedName name="N1pIGvc" localSheetId="3">#REF!</definedName>
    <definedName name="N1pIGvc" localSheetId="6">#REF!</definedName>
    <definedName name="N1pIGvc">#REF!</definedName>
    <definedName name="N1pIGvl" localSheetId="7">#REF!</definedName>
    <definedName name="N1pIGvl" localSheetId="3">#REF!</definedName>
    <definedName name="N1pIGvl">#REF!</definedName>
    <definedName name="n1pind" localSheetId="7">#REF!</definedName>
    <definedName name="n1pind" localSheetId="3">#REF!</definedName>
    <definedName name="n1pind">#REF!</definedName>
    <definedName name="N1pINDnc" localSheetId="7">#REF!</definedName>
    <definedName name="N1pINDnc" localSheetId="3">#REF!</definedName>
    <definedName name="N1pINDnc">#REF!</definedName>
    <definedName name="N1pINDvc" localSheetId="7">#REF!</definedName>
    <definedName name="N1pINDvc" localSheetId="3">#REF!</definedName>
    <definedName name="N1pINDvc">#REF!</definedName>
    <definedName name="N1pINDvl" localSheetId="7">#REF!</definedName>
    <definedName name="N1pINDvl" localSheetId="3">#REF!</definedName>
    <definedName name="N1pINDvl">#REF!</definedName>
    <definedName name="n1ping" localSheetId="7">#REF!</definedName>
    <definedName name="n1ping" localSheetId="3">#REF!</definedName>
    <definedName name="n1ping">#REF!</definedName>
    <definedName name="N1pINGvc" localSheetId="7">#REF!</definedName>
    <definedName name="N1pINGvc" localSheetId="3">#REF!</definedName>
    <definedName name="N1pINGvc">#REF!</definedName>
    <definedName name="n1pint" localSheetId="7">#REF!</definedName>
    <definedName name="n1pint" localSheetId="3">#REF!</definedName>
    <definedName name="n1pint">#REF!</definedName>
    <definedName name="nc" localSheetId="7">#REF!</definedName>
    <definedName name="nc" localSheetId="3">#REF!</definedName>
    <definedName name="nc">#REF!</definedName>
    <definedName name="nc_btm10" localSheetId="7">#REF!</definedName>
    <definedName name="nc_btm10" localSheetId="3">#REF!</definedName>
    <definedName name="nc_btm10">#REF!</definedName>
    <definedName name="nc_btm100" localSheetId="7">#REF!</definedName>
    <definedName name="nc_btm100" localSheetId="3">#REF!</definedName>
    <definedName name="nc_btm100">#REF!</definedName>
    <definedName name="nc3p" localSheetId="7">#REF!</definedName>
    <definedName name="nc3p" localSheetId="3">#REF!</definedName>
    <definedName name="nc3p">#REF!</definedName>
    <definedName name="NCBD100" localSheetId="7">#REF!</definedName>
    <definedName name="NCBD100" localSheetId="3">#REF!</definedName>
    <definedName name="NCBD100">#REF!</definedName>
    <definedName name="NCBD200" localSheetId="7">#REF!</definedName>
    <definedName name="NCBD200" localSheetId="3">#REF!</definedName>
    <definedName name="NCBD200">#REF!</definedName>
    <definedName name="NCBD250" localSheetId="7">#REF!</definedName>
    <definedName name="NCBD250" localSheetId="3">#REF!</definedName>
    <definedName name="NCBD250">#REF!</definedName>
    <definedName name="NCcap0.7" localSheetId="7">#REF!</definedName>
    <definedName name="NCcap0.7" localSheetId="3">#REF!</definedName>
    <definedName name="NCcap0.7">#REF!</definedName>
    <definedName name="NCcap1" localSheetId="7">#REF!</definedName>
    <definedName name="NCcap1" localSheetId="3">#REF!</definedName>
    <definedName name="NCcap1">#REF!</definedName>
    <definedName name="NCCT3p" localSheetId="7">#REF!</definedName>
    <definedName name="NCCT3p" localSheetId="3">#REF!</definedName>
    <definedName name="NCCT3p">#REF!</definedName>
    <definedName name="ncdg" localSheetId="7">#REF!</definedName>
    <definedName name="ncdg" localSheetId="3">#REF!</definedName>
    <definedName name="ncdg">#REF!</definedName>
    <definedName name="NCKT" localSheetId="7">#REF!</definedName>
    <definedName name="NCKT" localSheetId="3">#REF!</definedName>
    <definedName name="NCKT">#REF!</definedName>
    <definedName name="nctram" localSheetId="7">#REF!</definedName>
    <definedName name="nctram" localSheetId="3">#REF!</definedName>
    <definedName name="nctram">#REF!</definedName>
    <definedName name="NCVC100" localSheetId="7">#REF!</definedName>
    <definedName name="NCVC100" localSheetId="3">#REF!</definedName>
    <definedName name="NCVC100">#REF!</definedName>
    <definedName name="NCVC200" localSheetId="7">#REF!</definedName>
    <definedName name="NCVC200" localSheetId="3">#REF!</definedName>
    <definedName name="NCVC200">#REF!</definedName>
    <definedName name="NCVC250" localSheetId="7">#REF!</definedName>
    <definedName name="NCVC250" localSheetId="3">#REF!</definedName>
    <definedName name="NCVC250">#REF!</definedName>
    <definedName name="NCVC3P" localSheetId="7">#REF!</definedName>
    <definedName name="NCVC3P" localSheetId="3">#REF!</definedName>
    <definedName name="NCVC3P">#REF!</definedName>
    <definedName name="NET" localSheetId="7">#REF!</definedName>
    <definedName name="NET" localSheetId="3">#REF!</definedName>
    <definedName name="NET">#REF!</definedName>
    <definedName name="NET_1" localSheetId="7">#REF!</definedName>
    <definedName name="NET_1" localSheetId="3">#REF!</definedName>
    <definedName name="NET_1">#REF!</definedName>
    <definedName name="NET_ANA" localSheetId="7">#REF!</definedName>
    <definedName name="NET_ANA" localSheetId="3">#REF!</definedName>
    <definedName name="NET_ANA">#REF!</definedName>
    <definedName name="NET_ANA_1" localSheetId="7">#REF!</definedName>
    <definedName name="NET_ANA_1" localSheetId="3">#REF!</definedName>
    <definedName name="NET_ANA_1">#REF!</definedName>
    <definedName name="NET_ANA_2" localSheetId="7">#REF!</definedName>
    <definedName name="NET_ANA_2" localSheetId="3">#REF!</definedName>
    <definedName name="NET_ANA_2">#REF!</definedName>
    <definedName name="Ngay" localSheetId="7">#REF!</definedName>
    <definedName name="Ngay" localSheetId="3">#REF!</definedName>
    <definedName name="Ngay">#REF!</definedName>
    <definedName name="NH" localSheetId="7">#REF!</definedName>
    <definedName name="NH" localSheetId="3">#REF!</definedName>
    <definedName name="NH">#REF!</definedName>
    <definedName name="NHAÂN_COÂNG" localSheetId="7">BTRAM</definedName>
    <definedName name="NHAÂN_COÂNG" localSheetId="3">'32'!BTRAM</definedName>
    <definedName name="NHAÂN_COÂNG" localSheetId="6">BTRAM</definedName>
    <definedName name="NHAÂN_COÂNG">BTRAM</definedName>
    <definedName name="NHANH2_CG4" localSheetId="7" hidden="1">{"'Sheet1'!$L$16"}</definedName>
    <definedName name="NHANH2_CG4" localSheetId="3" hidden="1">{"'Sheet1'!$L$16"}</definedName>
    <definedName name="NHANH2_CG4" localSheetId="6" hidden="1">{"'Sheet1'!$L$16"}</definedName>
    <definedName name="NHANH2_CG4" hidden="1">{"'Sheet1'!$L$16"}</definedName>
    <definedName name="nhn" localSheetId="3">#REF!</definedName>
    <definedName name="nhn">#REF!</definedName>
    <definedName name="NHot" localSheetId="7">#REF!</definedName>
    <definedName name="NHot" localSheetId="3">#REF!</definedName>
    <definedName name="NHot">#REF!</definedName>
    <definedName name="nhu" localSheetId="7">#REF!</definedName>
    <definedName name="nhu" localSheetId="3">#REF!</definedName>
    <definedName name="nhu">#REF!</definedName>
    <definedName name="nhua" localSheetId="7">#REF!</definedName>
    <definedName name="nhua" localSheetId="3">#REF!</definedName>
    <definedName name="nhua">#REF!</definedName>
    <definedName name="nhuad" localSheetId="7">#REF!</definedName>
    <definedName name="nhuad" localSheetId="3">#REF!</definedName>
    <definedName name="nhuad">#REF!</definedName>
    <definedName name="nig" localSheetId="7">#REF!</definedName>
    <definedName name="nig" localSheetId="3">#REF!</definedName>
    <definedName name="nig">#REF!</definedName>
    <definedName name="nig1p" localSheetId="7">#REF!</definedName>
    <definedName name="nig1p" localSheetId="3">#REF!</definedName>
    <definedName name="nig1p">#REF!</definedName>
    <definedName name="nig3p" localSheetId="7">#REF!</definedName>
    <definedName name="nig3p" localSheetId="3">#REF!</definedName>
    <definedName name="nig3p">#REF!</definedName>
    <definedName name="NIGnc" localSheetId="7">#REF!</definedName>
    <definedName name="NIGnc" localSheetId="3">#REF!</definedName>
    <definedName name="NIGnc">#REF!</definedName>
    <definedName name="nignc1p" localSheetId="7">#REF!</definedName>
    <definedName name="nignc1p" localSheetId="3">#REF!</definedName>
    <definedName name="nignc1p">#REF!</definedName>
    <definedName name="NIGvc" localSheetId="7">#REF!</definedName>
    <definedName name="NIGvc" localSheetId="3">#REF!</definedName>
    <definedName name="NIGvc">#REF!</definedName>
    <definedName name="NIGvl" localSheetId="7">#REF!</definedName>
    <definedName name="NIGvl" localSheetId="3">#REF!</definedName>
    <definedName name="NIGvl">#REF!</definedName>
    <definedName name="nigvl1p" localSheetId="7">#REF!</definedName>
    <definedName name="nigvl1p" localSheetId="3">#REF!</definedName>
    <definedName name="nigvl1p">#REF!</definedName>
    <definedName name="nin" localSheetId="7">#REF!</definedName>
    <definedName name="nin" localSheetId="3">#REF!</definedName>
    <definedName name="nin">#REF!</definedName>
    <definedName name="nin1903p" localSheetId="7">#REF!</definedName>
    <definedName name="nin1903p" localSheetId="3">#REF!</definedName>
    <definedName name="nin1903p">#REF!</definedName>
    <definedName name="nin3p" localSheetId="7">#REF!</definedName>
    <definedName name="nin3p" localSheetId="3">#REF!</definedName>
    <definedName name="nin3p">#REF!</definedName>
    <definedName name="nind" localSheetId="7">#REF!</definedName>
    <definedName name="nind" localSheetId="3">#REF!</definedName>
    <definedName name="nind">#REF!</definedName>
    <definedName name="nind1p" localSheetId="7">#REF!</definedName>
    <definedName name="nind1p" localSheetId="3">#REF!</definedName>
    <definedName name="nind1p">#REF!</definedName>
    <definedName name="nind3p" localSheetId="7">#REF!</definedName>
    <definedName name="nind3p" localSheetId="3">#REF!</definedName>
    <definedName name="nind3p">#REF!</definedName>
    <definedName name="NINDnc" localSheetId="7">#REF!</definedName>
    <definedName name="NINDnc" localSheetId="3">#REF!</definedName>
    <definedName name="NINDnc">#REF!</definedName>
    <definedName name="nindnc1p" localSheetId="7">#REF!</definedName>
    <definedName name="nindnc1p" localSheetId="3">#REF!</definedName>
    <definedName name="nindnc1p">#REF!</definedName>
    <definedName name="NINDvc" localSheetId="7">#REF!</definedName>
    <definedName name="NINDvc" localSheetId="3">#REF!</definedName>
    <definedName name="NINDvc">#REF!</definedName>
    <definedName name="NINDvl" localSheetId="7">#REF!</definedName>
    <definedName name="NINDvl" localSheetId="3">#REF!</definedName>
    <definedName name="NINDvl">#REF!</definedName>
    <definedName name="nindvl1p" localSheetId="7">#REF!</definedName>
    <definedName name="nindvl1p" localSheetId="3">#REF!</definedName>
    <definedName name="nindvl1p">#REF!</definedName>
    <definedName name="ning1p" localSheetId="7">#REF!</definedName>
    <definedName name="ning1p" localSheetId="3">#REF!</definedName>
    <definedName name="ning1p">#REF!</definedName>
    <definedName name="ningnc1p" localSheetId="7">#REF!</definedName>
    <definedName name="ningnc1p" localSheetId="3">#REF!</definedName>
    <definedName name="ningnc1p">#REF!</definedName>
    <definedName name="ningvl1p" localSheetId="7">#REF!</definedName>
    <definedName name="ningvl1p" localSheetId="3">#REF!</definedName>
    <definedName name="ningvl1p">#REF!</definedName>
    <definedName name="NINnc" localSheetId="7">#REF!</definedName>
    <definedName name="NINnc" localSheetId="3">#REF!</definedName>
    <definedName name="NINnc">#REF!</definedName>
    <definedName name="nint1p" localSheetId="7">#REF!</definedName>
    <definedName name="nint1p" localSheetId="3">#REF!</definedName>
    <definedName name="nint1p">#REF!</definedName>
    <definedName name="nintnc1p" localSheetId="7">#REF!</definedName>
    <definedName name="nintnc1p" localSheetId="3">#REF!</definedName>
    <definedName name="nintnc1p">#REF!</definedName>
    <definedName name="nintvl1p" localSheetId="7">#REF!</definedName>
    <definedName name="nintvl1p" localSheetId="3">#REF!</definedName>
    <definedName name="nintvl1p">#REF!</definedName>
    <definedName name="NINvc" localSheetId="7">#REF!</definedName>
    <definedName name="NINvc" localSheetId="3">#REF!</definedName>
    <definedName name="NINvc">#REF!</definedName>
    <definedName name="NINvl" localSheetId="7">#REF!</definedName>
    <definedName name="NINvl" localSheetId="3">#REF!</definedName>
    <definedName name="NINvl">#REF!</definedName>
    <definedName name="nl" localSheetId="7">#REF!</definedName>
    <definedName name="nl" localSheetId="3">#REF!</definedName>
    <definedName name="nl">#REF!</definedName>
    <definedName name="nl1p" localSheetId="7">#REF!</definedName>
    <definedName name="nl1p" localSheetId="3">#REF!</definedName>
    <definedName name="nl1p">#REF!</definedName>
    <definedName name="nl3p" localSheetId="7">#REF!</definedName>
    <definedName name="nl3p" localSheetId="3">#REF!</definedName>
    <definedName name="nl3p">#REF!</definedName>
    <definedName name="nlht" localSheetId="7">#REF!</definedName>
    <definedName name="nlht" localSheetId="3">#REF!</definedName>
    <definedName name="nlht">#REF!</definedName>
    <definedName name="NLTK1p" localSheetId="7">#REF!</definedName>
    <definedName name="NLTK1p" localSheetId="3">#REF!</definedName>
    <definedName name="NLTK1p">#REF!</definedName>
    <definedName name="nn" localSheetId="7">#REF!</definedName>
    <definedName name="nn" localSheetId="3">#REF!</definedName>
    <definedName name="nn">#REF!</definedName>
    <definedName name="nn1p" localSheetId="7">#REF!</definedName>
    <definedName name="nn1p" localSheetId="3">#REF!</definedName>
    <definedName name="nn1p">#REF!</definedName>
    <definedName name="nn3p" localSheetId="7">#REF!</definedName>
    <definedName name="nn3p" localSheetId="3">#REF!</definedName>
    <definedName name="nn3p">#REF!</definedName>
    <definedName name="No" localSheetId="7">#REF!</definedName>
    <definedName name="No" localSheetId="3">#REF!</definedName>
    <definedName name="No">#REF!</definedName>
    <definedName name="NQD" localSheetId="7">#REF!</definedName>
    <definedName name="NQD" localSheetId="3">#REF!</definedName>
    <definedName name="NQD">#REF!</definedName>
    <definedName name="NQQH" localSheetId="7">#REF!</definedName>
    <definedName name="NQQH" localSheetId="3">#REF!</definedName>
    <definedName name="NQQH">#REF!</definedName>
    <definedName name="NSNN" localSheetId="7">#REF!</definedName>
    <definedName name="NSNN" localSheetId="3">#REF!</definedName>
    <definedName name="NSNN">#REF!</definedName>
    <definedName name="Number_of_Payments" localSheetId="7">MATCH(0.01,End_Bal,-1)+1</definedName>
    <definedName name="Number_of_Payments" localSheetId="3">MATCH(0.01,End_Bal,-1)+1</definedName>
    <definedName name="Number_of_Payments" localSheetId="6">MATCH(0.01,End_Bal,-1)+1</definedName>
    <definedName name="Number_of_Payments">MATCH(0.01,End_Bal,-1)+1</definedName>
    <definedName name="nuoc">[2]gvl!$N$38</definedName>
    <definedName name="nuoc1">[2]gvl!$N$38</definedName>
    <definedName name="nx" localSheetId="7">#REF!</definedName>
    <definedName name="nx" localSheetId="3">#REF!</definedName>
    <definedName name="nx" localSheetId="6">#REF!</definedName>
    <definedName name="nx">#REF!</definedName>
    <definedName name="ophom" localSheetId="7">#REF!</definedName>
    <definedName name="ophom" localSheetId="3">#REF!</definedName>
    <definedName name="ophom" localSheetId="6">#REF!</definedName>
    <definedName name="ophom">#REF!</definedName>
    <definedName name="OrderTable" localSheetId="7" hidden="1">#REF!</definedName>
    <definedName name="OrderTable" localSheetId="3" hidden="1">#REF!</definedName>
    <definedName name="OrderTable" localSheetId="6" hidden="1">#REF!</definedName>
    <definedName name="OrderTable" hidden="1">#REF!</definedName>
    <definedName name="osc" localSheetId="7">#REF!</definedName>
    <definedName name="osc" localSheetId="3">#REF!</definedName>
    <definedName name="osc">#REF!</definedName>
    <definedName name="PA" localSheetId="7">#REF!</definedName>
    <definedName name="PA" localSheetId="3">#REF!</definedName>
    <definedName name="PA">#REF!</definedName>
    <definedName name="PAIII_" localSheetId="7" hidden="1">{"'Sheet1'!$L$16"}</definedName>
    <definedName name="PAIII_" localSheetId="3" hidden="1">{"'Sheet1'!$L$16"}</definedName>
    <definedName name="PAIII_" localSheetId="6" hidden="1">{"'Sheet1'!$L$16"}</definedName>
    <definedName name="PAIII_" hidden="1">{"'Sheet1'!$L$16"}</definedName>
    <definedName name="panen" localSheetId="3">#REF!</definedName>
    <definedName name="panen">#REF!</definedName>
    <definedName name="PC" localSheetId="7">#REF!</definedName>
    <definedName name="PC" localSheetId="3">#REF!</definedName>
    <definedName name="PC">#REF!</definedName>
    <definedName name="Phan_cap" localSheetId="7">#REF!</definedName>
    <definedName name="Phan_cap" localSheetId="3">#REF!</definedName>
    <definedName name="Phan_cap">#REF!</definedName>
    <definedName name="PHAN_DIEN_DZ0.4KV" localSheetId="7">#REF!</definedName>
    <definedName name="PHAN_DIEN_DZ0.4KV" localSheetId="3">#REF!</definedName>
    <definedName name="PHAN_DIEN_DZ0.4KV">#REF!</definedName>
    <definedName name="PHAN_DIEN_TBA" localSheetId="7">#REF!</definedName>
    <definedName name="PHAN_DIEN_TBA" localSheetId="3">#REF!</definedName>
    <definedName name="PHAN_DIEN_TBA">#REF!</definedName>
    <definedName name="PHAN_MUA_SAM_DZ0.4KV" localSheetId="7">#REF!</definedName>
    <definedName name="PHAN_MUA_SAM_DZ0.4KV" localSheetId="3">#REF!</definedName>
    <definedName name="PHAN_MUA_SAM_DZ0.4KV">#REF!</definedName>
    <definedName name="Phi_le_phi" localSheetId="7">#REF!</definedName>
    <definedName name="Phi_le_phi" localSheetId="3">#REF!</definedName>
    <definedName name="Phi_le_phi">#REF!</definedName>
    <definedName name="phu_luc_vua" localSheetId="7">#REF!</definedName>
    <definedName name="phu_luc_vua" localSheetId="3">#REF!</definedName>
    <definedName name="phu_luc_vua">#REF!</definedName>
    <definedName name="PIP" localSheetId="7">BlankMacro1</definedName>
    <definedName name="PIP" localSheetId="3">BlankMacro1</definedName>
    <definedName name="PIP" localSheetId="6">BlankMacro1</definedName>
    <definedName name="PIP">BlankMacro1</definedName>
    <definedName name="PIPE2" localSheetId="7">BlankMacro1</definedName>
    <definedName name="PIPE2" localSheetId="3">BlankMacro1</definedName>
    <definedName name="PIPE2" localSheetId="6">BlankMacro1</definedName>
    <definedName name="PIPE2">BlankMacro1</definedName>
    <definedName name="PLKL" localSheetId="7">#REF!</definedName>
    <definedName name="PLKL" localSheetId="3">#REF!</definedName>
    <definedName name="PLKL" localSheetId="6">#REF!</definedName>
    <definedName name="PLKL">#REF!</definedName>
    <definedName name="PMS" localSheetId="7" hidden="1">{"'Sheet1'!$L$16"}</definedName>
    <definedName name="PMS" localSheetId="3" hidden="1">{"'Sheet1'!$L$16"}</definedName>
    <definedName name="PMS" localSheetId="6" hidden="1">{"'Sheet1'!$L$16"}</definedName>
    <definedName name="PMS" hidden="1">{"'Sheet1'!$L$16"}</definedName>
    <definedName name="PPP" localSheetId="7">BlankMacro1</definedName>
    <definedName name="PPP" localSheetId="3">BlankMacro1</definedName>
    <definedName name="PPP" localSheetId="6">BlankMacro1</definedName>
    <definedName name="PPP">BlankMacro1</definedName>
    <definedName name="PRICE" localSheetId="7">#REF!</definedName>
    <definedName name="PRICE" localSheetId="3">#REF!</definedName>
    <definedName name="PRICE" localSheetId="6">#REF!</definedName>
    <definedName name="PRICE">#REF!</definedName>
    <definedName name="PRICE1" localSheetId="7">#REF!</definedName>
    <definedName name="PRICE1" localSheetId="3">#REF!</definedName>
    <definedName name="PRICE1" localSheetId="6">#REF!</definedName>
    <definedName name="PRICE1">#REF!</definedName>
    <definedName name="_xlnm.Print_Area" localSheetId="7">'08 XA'!$A$1:$AB$82</definedName>
    <definedName name="_xlnm.Print_Area" localSheetId="3">'32'!$A$1:$I$47</definedName>
    <definedName name="_xlnm.Print_Area" localSheetId="4">'biểu 04'!$A$1:$L$50</definedName>
    <definedName name="_xlnm.Print_Area" localSheetId="6">'Mau 05 UB (2)'!$A$1:$W$449</definedName>
    <definedName name="_xlnm.Print_Area" localSheetId="5">'mau 06'!$A$1:$G$211</definedName>
    <definedName name="_xlnm.Print_Area">#REF!</definedName>
    <definedName name="_xlnm.Print_Titles" localSheetId="7">'08 XA'!$4:$6</definedName>
    <definedName name="_xlnm.Print_Titles" localSheetId="3">'32'!$5:$6</definedName>
    <definedName name="_xlnm.Print_Titles" localSheetId="0">B31_TT342!$11:$16</definedName>
    <definedName name="_xlnm.Print_Titles" localSheetId="4">'biểu 04'!$5:$8</definedName>
    <definedName name="_xlnm.Print_Titles" localSheetId="6">'Mau 05 UB (2)'!$4:$9</definedName>
    <definedName name="_xlnm.Print_Titles">#N/A</definedName>
    <definedName name="PRINT_TITLES_MI" localSheetId="7">#REF!</definedName>
    <definedName name="PRINT_TITLES_MI" localSheetId="3">#REF!</definedName>
    <definedName name="PRINT_TITLES_MI" localSheetId="6">#REF!</definedName>
    <definedName name="PRINT_TITLES_MI">#REF!</definedName>
    <definedName name="PRINTA" localSheetId="7">#REF!</definedName>
    <definedName name="PRINTA" localSheetId="3">#REF!</definedName>
    <definedName name="PRINTA" localSheetId="6">#REF!</definedName>
    <definedName name="PRINTA">#REF!</definedName>
    <definedName name="PRINTB" localSheetId="7">#REF!</definedName>
    <definedName name="PRINTB" localSheetId="3">#REF!</definedName>
    <definedName name="PRINTB" localSheetId="6">#REF!</definedName>
    <definedName name="PRINTB">#REF!</definedName>
    <definedName name="PRINTC" localSheetId="7">#REF!</definedName>
    <definedName name="PRINTC" localSheetId="3">#REF!</definedName>
    <definedName name="PRINTC">#REF!</definedName>
    <definedName name="ProdForm" localSheetId="7" hidden="1">#REF!</definedName>
    <definedName name="ProdForm" localSheetId="3" hidden="1">#REF!</definedName>
    <definedName name="ProdForm" hidden="1">#REF!</definedName>
    <definedName name="Product" localSheetId="7" hidden="1">#REF!</definedName>
    <definedName name="Product" localSheetId="3" hidden="1">#REF!</definedName>
    <definedName name="Product" hidden="1">#REF!</definedName>
    <definedName name="PROPOSAL" localSheetId="7">#REF!</definedName>
    <definedName name="PROPOSAL" localSheetId="3">#REF!</definedName>
    <definedName name="PROPOSAL">#REF!</definedName>
    <definedName name="pt" localSheetId="7">#REF!</definedName>
    <definedName name="pt" localSheetId="3">#REF!</definedName>
    <definedName name="pt">#REF!</definedName>
    <definedName name="PT_Duong" localSheetId="7">#REF!</definedName>
    <definedName name="PT_Duong" localSheetId="3">#REF!</definedName>
    <definedName name="PT_Duong">#REF!</definedName>
    <definedName name="ptdg" localSheetId="7">#REF!</definedName>
    <definedName name="ptdg" localSheetId="3">#REF!</definedName>
    <definedName name="ptdg">#REF!</definedName>
    <definedName name="PTDG_cau" localSheetId="7">#REF!</definedName>
    <definedName name="PTDG_cau" localSheetId="3">#REF!</definedName>
    <definedName name="PTDG_cau">#REF!</definedName>
    <definedName name="PtichDTL" localSheetId="3">[6]!PtichDTL</definedName>
    <definedName name="PtichDTL" localSheetId="6">'Mau 05 UB (2)'!PtichDTL</definedName>
    <definedName name="PtichDTL">[6]!PtichDTL</definedName>
    <definedName name="PTNC" localSheetId="7">#REF!</definedName>
    <definedName name="PTNC" localSheetId="3">#REF!</definedName>
    <definedName name="PTNC" localSheetId="6">#REF!</definedName>
    <definedName name="PTNC">#REF!</definedName>
    <definedName name="pvd" localSheetId="7">#REF!</definedName>
    <definedName name="pvd" localSheetId="3">#REF!</definedName>
    <definedName name="pvd" localSheetId="6">#REF!</definedName>
    <definedName name="pvd">#REF!</definedName>
    <definedName name="Q__sè_721_Q__KH_T___27_5_03" localSheetId="7">TUANKHANHTUYET1</definedName>
    <definedName name="Q__sè_721_Q__KH_T___27_5_03" localSheetId="3">TUANKHANHTUYET1</definedName>
    <definedName name="Q__sè_721_Q__KH_T___27_5_03" localSheetId="6">TUANKHANHTUYET1</definedName>
    <definedName name="Q__sè_721_Q__KH_T___27_5_03">TUANKHANHTUYET1</definedName>
    <definedName name="qq" localSheetId="7">BlankMacro1</definedName>
    <definedName name="qq" localSheetId="3">BlankMacro1</definedName>
    <definedName name="qq" localSheetId="6">BlankMacro1</definedName>
    <definedName name="qq">BlankMacro1</definedName>
    <definedName name="qtdm" localSheetId="7">#REF!</definedName>
    <definedName name="qtdm" localSheetId="3">#REF!</definedName>
    <definedName name="qtdm" localSheetId="6">#REF!</definedName>
    <definedName name="qtdm">#REF!</definedName>
    <definedName name="ra11p" localSheetId="7">#REF!</definedName>
    <definedName name="ra11p" localSheetId="3">#REF!</definedName>
    <definedName name="ra11p" localSheetId="6">#REF!</definedName>
    <definedName name="ra11p">#REF!</definedName>
    <definedName name="ra13p" localSheetId="7">#REF!</definedName>
    <definedName name="ra13p" localSheetId="3">#REF!</definedName>
    <definedName name="ra13p" localSheetId="6">#REF!</definedName>
    <definedName name="ra13p">#REF!</definedName>
    <definedName name="rack1" localSheetId="7">#REF!</definedName>
    <definedName name="rack1" localSheetId="3">#REF!</definedName>
    <definedName name="rack1">#REF!</definedName>
    <definedName name="rack2" localSheetId="7">#REF!</definedName>
    <definedName name="rack2" localSheetId="3">#REF!</definedName>
    <definedName name="rack2">#REF!</definedName>
    <definedName name="rack3" localSheetId="7">#REF!</definedName>
    <definedName name="rack3" localSheetId="3">#REF!</definedName>
    <definedName name="rack3">#REF!</definedName>
    <definedName name="rack4" localSheetId="7">#REF!</definedName>
    <definedName name="rack4" localSheetId="3">#REF!</definedName>
    <definedName name="rack4">#REF!</definedName>
    <definedName name="rate">14000</definedName>
    <definedName name="RCArea" localSheetId="7" hidden="1">#REF!</definedName>
    <definedName name="RCArea" localSheetId="3" hidden="1">#REF!</definedName>
    <definedName name="RCArea" hidden="1">#REF!</definedName>
    <definedName name="re" localSheetId="7" hidden="1">{"'Sheet1'!$L$16"}</definedName>
    <definedName name="re" localSheetId="3" hidden="1">{"'Sheet1'!$L$16"}</definedName>
    <definedName name="re" localSheetId="6" hidden="1">{"'Sheet1'!$L$16"}</definedName>
    <definedName name="re" hidden="1">{"'Sheet1'!$L$16"}</definedName>
    <definedName name="_xlnm.Recorder" localSheetId="3">#REF!</definedName>
    <definedName name="_xlnm.Recorder">#REF!</definedName>
    <definedName name="RECOUT">#N/A</definedName>
    <definedName name="RFP003A" localSheetId="7">#REF!</definedName>
    <definedName name="RFP003A" localSheetId="3">#REF!</definedName>
    <definedName name="RFP003A" localSheetId="6">#REF!</definedName>
    <definedName name="RFP003A">#REF!</definedName>
    <definedName name="RFP003B" localSheetId="7">#REF!</definedName>
    <definedName name="RFP003B" localSheetId="3">#REF!</definedName>
    <definedName name="RFP003B" localSheetId="6">#REF!</definedName>
    <definedName name="RFP003B">#REF!</definedName>
    <definedName name="RFP003C" localSheetId="7">#REF!</definedName>
    <definedName name="RFP003C" localSheetId="3">#REF!</definedName>
    <definedName name="RFP003C" localSheetId="6">#REF!</definedName>
    <definedName name="RFP003C">#REF!</definedName>
    <definedName name="RFP003D" localSheetId="7">#REF!</definedName>
    <definedName name="RFP003D" localSheetId="3">#REF!</definedName>
    <definedName name="RFP003D">#REF!</definedName>
    <definedName name="RFP003E" localSheetId="7">#REF!</definedName>
    <definedName name="RFP003E" localSheetId="3">#REF!</definedName>
    <definedName name="RFP003E">#REF!</definedName>
    <definedName name="RFP003F" localSheetId="7">#REF!</definedName>
    <definedName name="RFP003F" localSheetId="3">#REF!</definedName>
    <definedName name="RFP003F">#REF!</definedName>
    <definedName name="RGHGSD" localSheetId="7" hidden="1">{"'Sheet1'!$L$16"}</definedName>
    <definedName name="RGHGSD" localSheetId="3" hidden="1">{"'Sheet1'!$L$16"}</definedName>
    <definedName name="RGHGSD" localSheetId="6" hidden="1">{"'Sheet1'!$L$16"}</definedName>
    <definedName name="RGHGSD" hidden="1">{"'Sheet1'!$L$16"}</definedName>
    <definedName name="rnp">32</definedName>
    <definedName name="rong1" localSheetId="7">#REF!</definedName>
    <definedName name="rong1" localSheetId="3">#REF!</definedName>
    <definedName name="rong1" localSheetId="6">#REF!</definedName>
    <definedName name="rong1">#REF!</definedName>
    <definedName name="rong2" localSheetId="7">#REF!</definedName>
    <definedName name="rong2" localSheetId="3">#REF!</definedName>
    <definedName name="rong2" localSheetId="6">#REF!</definedName>
    <definedName name="rong2">#REF!</definedName>
    <definedName name="rong3" localSheetId="7">#REF!</definedName>
    <definedName name="rong3" localSheetId="3">#REF!</definedName>
    <definedName name="rong3" localSheetId="6">#REF!</definedName>
    <definedName name="rong3">#REF!</definedName>
    <definedName name="rong4" localSheetId="7">#REF!</definedName>
    <definedName name="rong4" localSheetId="3">#REF!</definedName>
    <definedName name="rong4">#REF!</definedName>
    <definedName name="rong5" localSheetId="7">#REF!</definedName>
    <definedName name="rong5" localSheetId="3">#REF!</definedName>
    <definedName name="rong5">#REF!</definedName>
    <definedName name="rong6" localSheetId="7">#REF!</definedName>
    <definedName name="rong6" localSheetId="3">#REF!</definedName>
    <definedName name="rong6">#REF!</definedName>
    <definedName name="rr" localSheetId="7" hidden="1">{"'Sheet1'!$L$16"}</definedName>
    <definedName name="rr" localSheetId="3" hidden="1">{"'Sheet1'!$L$16"}</definedName>
    <definedName name="rr" localSheetId="6" hidden="1">{"'Sheet1'!$L$16"}</definedName>
    <definedName name="rr" hidden="1">{"'Sheet1'!$L$16"}</definedName>
    <definedName name="rytyuyu" localSheetId="7" hidden="1">{"'Sheet1'!$L$16"}</definedName>
    <definedName name="rytyuyu" localSheetId="3" hidden="1">{"'Sheet1'!$L$16"}</definedName>
    <definedName name="rytyuyu" localSheetId="6" hidden="1">{"'Sheet1'!$L$16"}</definedName>
    <definedName name="rytyuyu" hidden="1">{"'Sheet1'!$L$16"}</definedName>
    <definedName name="S.dinh">640</definedName>
    <definedName name="san" localSheetId="7">#REF!</definedName>
    <definedName name="san" localSheetId="3">#REF!</definedName>
    <definedName name="san" localSheetId="6">#REF!</definedName>
    <definedName name="san">#REF!</definedName>
    <definedName name="sand" localSheetId="7">#REF!</definedName>
    <definedName name="sand" localSheetId="3">#REF!</definedName>
    <definedName name="sand" localSheetId="6">#REF!</definedName>
    <definedName name="sand">#REF!</definedName>
    <definedName name="SCH" localSheetId="7">#REF!</definedName>
    <definedName name="SCH" localSheetId="3">#REF!</definedName>
    <definedName name="SCH" localSheetId="6">#REF!</definedName>
    <definedName name="SCH">#REF!</definedName>
    <definedName name="SCT" localSheetId="7">#REF!</definedName>
    <definedName name="SCT" localSheetId="3">#REF!</definedName>
    <definedName name="SCT">#REF!</definedName>
    <definedName name="sd1p" localSheetId="7">#REF!</definedName>
    <definedName name="sd1p" localSheetId="3">#REF!</definedName>
    <definedName name="sd1p">#REF!</definedName>
    <definedName name="sd3p" localSheetId="7">#REF!</definedName>
    <definedName name="sd3p" localSheetId="3">#REF!</definedName>
    <definedName name="sd3p">#REF!</definedName>
    <definedName name="sdbv" localSheetId="7" hidden="1">{"'Sheet1'!$L$16"}</definedName>
    <definedName name="sdbv" localSheetId="3" hidden="1">{"'Sheet1'!$L$16"}</definedName>
    <definedName name="sdbv" localSheetId="6" hidden="1">{"'Sheet1'!$L$16"}</definedName>
    <definedName name="sdbv" hidden="1">{"'Sheet1'!$L$16"}</definedName>
    <definedName name="SDDNN02" localSheetId="7" hidden="1">{"'Sheet1'!$L$16"}</definedName>
    <definedName name="SDDNN02" localSheetId="3" hidden="1">{"'Sheet1'!$L$16"}</definedName>
    <definedName name="SDDNN02" localSheetId="6" hidden="1">{"'Sheet1'!$L$16"}</definedName>
    <definedName name="SDDNN02" hidden="1">{"'Sheet1'!$L$16"}</definedName>
    <definedName name="SDMONG" localSheetId="3">#REF!</definedName>
    <definedName name="SDMONG">#REF!</definedName>
    <definedName name="Sheet3" localSheetId="7">BlankMacro1</definedName>
    <definedName name="Sheet3" localSheetId="3">BlankMacro1</definedName>
    <definedName name="Sheet3" localSheetId="6">BlankMacro1</definedName>
    <definedName name="Sheet3">BlankMacro1</definedName>
    <definedName name="sho" localSheetId="7">#REF!</definedName>
    <definedName name="sho" localSheetId="3">#REF!</definedName>
    <definedName name="sho" localSheetId="6">#REF!</definedName>
    <definedName name="sho">#REF!</definedName>
    <definedName name="sht" localSheetId="7">#REF!</definedName>
    <definedName name="sht" localSheetId="3">#REF!</definedName>
    <definedName name="sht" localSheetId="6">#REF!</definedName>
    <definedName name="sht">#REF!</definedName>
    <definedName name="sht1p" localSheetId="7">#REF!</definedName>
    <definedName name="sht1p" localSheetId="3">#REF!</definedName>
    <definedName name="sht1p" localSheetId="6">#REF!</definedName>
    <definedName name="sht1p">#REF!</definedName>
    <definedName name="sht3p" localSheetId="7">#REF!</definedName>
    <definedName name="sht3p" localSheetId="3">#REF!</definedName>
    <definedName name="sht3p">#REF!</definedName>
    <definedName name="SIZE" localSheetId="7">#REF!</definedName>
    <definedName name="SIZE" localSheetId="3">#REF!</definedName>
    <definedName name="SIZE">#REF!</definedName>
    <definedName name="SL_CRD" localSheetId="7">#REF!</definedName>
    <definedName name="SL_CRD" localSheetId="3">#REF!</definedName>
    <definedName name="SL_CRD">#REF!</definedName>
    <definedName name="SL_CRS" localSheetId="7">#REF!</definedName>
    <definedName name="SL_CRS" localSheetId="3">#REF!</definedName>
    <definedName name="SL_CRS">#REF!</definedName>
    <definedName name="SL_CS" localSheetId="7">#REF!</definedName>
    <definedName name="SL_CS" localSheetId="3">#REF!</definedName>
    <definedName name="SL_CS">#REF!</definedName>
    <definedName name="SL_DD" localSheetId="7">#REF!</definedName>
    <definedName name="SL_DD" localSheetId="3">#REF!</definedName>
    <definedName name="SL_DD">#REF!</definedName>
    <definedName name="slg" localSheetId="7">#REF!</definedName>
    <definedName name="slg" localSheetId="3">#REF!</definedName>
    <definedName name="slg">#REF!</definedName>
    <definedName name="soc3p" localSheetId="7">#REF!</definedName>
    <definedName name="soc3p" localSheetId="3">#REF!</definedName>
    <definedName name="soc3p">#REF!</definedName>
    <definedName name="Soi" localSheetId="7">#REF!</definedName>
    <definedName name="Soi" localSheetId="3">#REF!</definedName>
    <definedName name="Soi">#REF!</definedName>
    <definedName name="soichon12" localSheetId="7">#REF!</definedName>
    <definedName name="soichon12" localSheetId="3">#REF!</definedName>
    <definedName name="soichon12">#REF!</definedName>
    <definedName name="soichon24" localSheetId="7">#REF!</definedName>
    <definedName name="soichon24" localSheetId="3">#REF!</definedName>
    <definedName name="soichon24">#REF!</definedName>
    <definedName name="soichon46" localSheetId="7">#REF!</definedName>
    <definedName name="soichon46" localSheetId="3">#REF!</definedName>
    <definedName name="soichon46">#REF!</definedName>
    <definedName name="solieu" localSheetId="7">#REF!</definedName>
    <definedName name="solieu" localSheetId="3">#REF!</definedName>
    <definedName name="solieu">#REF!</definedName>
    <definedName name="Sosanh2" localSheetId="7" hidden="1">{"'Sheet1'!$L$16"}</definedName>
    <definedName name="Sosanh2" localSheetId="3" hidden="1">{"'Sheet1'!$L$16"}</definedName>
    <definedName name="Sosanh2" localSheetId="6" hidden="1">{"'Sheet1'!$L$16"}</definedName>
    <definedName name="Sosanh2" hidden="1">{"'Sheet1'!$L$16"}</definedName>
    <definedName name="SPEC" localSheetId="3">#REF!</definedName>
    <definedName name="SPEC">#REF!</definedName>
    <definedName name="SpecialPrice" localSheetId="7" hidden="1">#REF!</definedName>
    <definedName name="SpecialPrice" localSheetId="3" hidden="1">#REF!</definedName>
    <definedName name="SpecialPrice" hidden="1">#REF!</definedName>
    <definedName name="SPECSUMMARY" localSheetId="7">#REF!</definedName>
    <definedName name="SPECSUMMARY" localSheetId="3">#REF!</definedName>
    <definedName name="SPECSUMMARY">#REF!</definedName>
    <definedName name="ss" localSheetId="7">#REF!</definedName>
    <definedName name="ss" localSheetId="3">#REF!</definedName>
    <definedName name="ss" localSheetId="6">#REF!</definedName>
    <definedName name="ss">#REF!</definedName>
    <definedName name="sss" localSheetId="7">#REF!</definedName>
    <definedName name="sss" localSheetId="3">#REF!</definedName>
    <definedName name="sss">#REF!</definedName>
    <definedName name="st1p" localSheetId="7">#REF!</definedName>
    <definedName name="st1p" localSheetId="3">#REF!</definedName>
    <definedName name="st1p">#REF!</definedName>
    <definedName name="st3p" localSheetId="7">#REF!</definedName>
    <definedName name="st3p" localSheetId="3">#REF!</definedName>
    <definedName name="st3p">#REF!</definedName>
    <definedName name="Start_1" localSheetId="7">#REF!</definedName>
    <definedName name="Start_1" localSheetId="3">#REF!</definedName>
    <definedName name="Start_1">#REF!</definedName>
    <definedName name="Start_10" localSheetId="7">#REF!</definedName>
    <definedName name="Start_10" localSheetId="3">#REF!</definedName>
    <definedName name="Start_10">#REF!</definedName>
    <definedName name="Start_11" localSheetId="7">#REF!</definedName>
    <definedName name="Start_11" localSheetId="3">#REF!</definedName>
    <definedName name="Start_11">#REF!</definedName>
    <definedName name="Start_12" localSheetId="7">#REF!</definedName>
    <definedName name="Start_12" localSheetId="3">#REF!</definedName>
    <definedName name="Start_12">#REF!</definedName>
    <definedName name="Start_13" localSheetId="7">#REF!</definedName>
    <definedName name="Start_13" localSheetId="3">#REF!</definedName>
    <definedName name="Start_13">#REF!</definedName>
    <definedName name="Start_2" localSheetId="7">#REF!</definedName>
    <definedName name="Start_2" localSheetId="3">#REF!</definedName>
    <definedName name="Start_2">#REF!</definedName>
    <definedName name="Start_3" localSheetId="7">#REF!</definedName>
    <definedName name="Start_3" localSheetId="3">#REF!</definedName>
    <definedName name="Start_3">#REF!</definedName>
    <definedName name="Start_4" localSheetId="7">#REF!</definedName>
    <definedName name="Start_4" localSheetId="3">#REF!</definedName>
    <definedName name="Start_4">#REF!</definedName>
    <definedName name="Start_5" localSheetId="7">#REF!</definedName>
    <definedName name="Start_5" localSheetId="3">#REF!</definedName>
    <definedName name="Start_5">#REF!</definedName>
    <definedName name="Start_6" localSheetId="7">#REF!</definedName>
    <definedName name="Start_6" localSheetId="3">#REF!</definedName>
    <definedName name="Start_6">#REF!</definedName>
    <definedName name="Start_7" localSheetId="7">#REF!</definedName>
    <definedName name="Start_7" localSheetId="3">#REF!</definedName>
    <definedName name="Start_7">#REF!</definedName>
    <definedName name="Start_8" localSheetId="7">#REF!</definedName>
    <definedName name="Start_8" localSheetId="3">#REF!</definedName>
    <definedName name="Start_8">#REF!</definedName>
    <definedName name="Start_9" localSheetId="7">#REF!</definedName>
    <definedName name="Start_9" localSheetId="3">#REF!</definedName>
    <definedName name="Start_9">#REF!</definedName>
    <definedName name="SU" localSheetId="7">#REF!</definedName>
    <definedName name="SU" localSheetId="3">#REF!</definedName>
    <definedName name="SU">#REF!</definedName>
    <definedName name="Sua" localSheetId="7">BlankMacro1</definedName>
    <definedName name="Sua" localSheetId="3">BlankMacro1</definedName>
    <definedName name="Sua" localSheetId="6">BlankMacro1</definedName>
    <definedName name="Sua">BlankMacro1</definedName>
    <definedName name="sub" localSheetId="7">#REF!</definedName>
    <definedName name="sub" localSheetId="3">#REF!</definedName>
    <definedName name="sub" localSheetId="6">#REF!</definedName>
    <definedName name="sub">#REF!</definedName>
    <definedName name="SUMMARY" localSheetId="7">#REF!</definedName>
    <definedName name="SUMMARY" localSheetId="3">#REF!</definedName>
    <definedName name="SUMMARY" localSheetId="6">#REF!</definedName>
    <definedName name="SUMMARY">#REF!</definedName>
    <definedName name="sur" localSheetId="7">#REF!</definedName>
    <definedName name="sur" localSheetId="3">#REF!</definedName>
    <definedName name="sur" localSheetId="6">#REF!</definedName>
    <definedName name="sur">#REF!</definedName>
    <definedName name="t" localSheetId="7">#REF!</definedName>
    <definedName name="t" localSheetId="3">#REF!</definedName>
    <definedName name="t">#REF!</definedName>
    <definedName name="T.3" localSheetId="7" hidden="1">{"'Sheet1'!$L$16"}</definedName>
    <definedName name="T.3" localSheetId="3" hidden="1">{"'Sheet1'!$L$16"}</definedName>
    <definedName name="T.3" localSheetId="6" hidden="1">{"'Sheet1'!$L$16"}</definedName>
    <definedName name="T.3" hidden="1">{"'Sheet1'!$L$16"}</definedName>
    <definedName name="t101p" localSheetId="3">#REF!</definedName>
    <definedName name="t101p">#REF!</definedName>
    <definedName name="t103p" localSheetId="7">#REF!</definedName>
    <definedName name="t103p" localSheetId="3">#REF!</definedName>
    <definedName name="t103p">#REF!</definedName>
    <definedName name="t10m" localSheetId="7">#REF!</definedName>
    <definedName name="t10m" localSheetId="3">#REF!</definedName>
    <definedName name="t10m">#REF!</definedName>
    <definedName name="t10nc1p" localSheetId="7">#REF!</definedName>
    <definedName name="t10nc1p" localSheetId="3">#REF!</definedName>
    <definedName name="t10nc1p">#REF!</definedName>
    <definedName name="t10vl1p" localSheetId="7">#REF!</definedName>
    <definedName name="t10vl1p" localSheetId="3">#REF!</definedName>
    <definedName name="t10vl1p">#REF!</definedName>
    <definedName name="t121p" localSheetId="7">#REF!</definedName>
    <definedName name="t121p" localSheetId="3">#REF!</definedName>
    <definedName name="t121p">#REF!</definedName>
    <definedName name="t123p" localSheetId="7">#REF!</definedName>
    <definedName name="t123p" localSheetId="3">#REF!</definedName>
    <definedName name="t123p">#REF!</definedName>
    <definedName name="T12nc" localSheetId="7">#REF!</definedName>
    <definedName name="T12nc" localSheetId="3">#REF!</definedName>
    <definedName name="T12nc">#REF!</definedName>
    <definedName name="t12nc3p" localSheetId="7">#REF!</definedName>
    <definedName name="t12nc3p" localSheetId="3">#REF!</definedName>
    <definedName name="t12nc3p">#REF!</definedName>
    <definedName name="T12vc" localSheetId="7">#REF!</definedName>
    <definedName name="T12vc" localSheetId="3">#REF!</definedName>
    <definedName name="T12vc">#REF!</definedName>
    <definedName name="T12vl" localSheetId="7">#REF!</definedName>
    <definedName name="T12vl" localSheetId="3">#REF!</definedName>
    <definedName name="T12vl">#REF!</definedName>
    <definedName name="t141p" localSheetId="7">#REF!</definedName>
    <definedName name="t141p" localSheetId="3">#REF!</definedName>
    <definedName name="t141p">#REF!</definedName>
    <definedName name="t143p" localSheetId="7">#REF!</definedName>
    <definedName name="t143p" localSheetId="3">#REF!</definedName>
    <definedName name="t143p">#REF!</definedName>
    <definedName name="t7m" localSheetId="7">#REF!</definedName>
    <definedName name="t7m" localSheetId="3">#REF!</definedName>
    <definedName name="t7m">#REF!</definedName>
    <definedName name="t8m" localSheetId="7">#REF!</definedName>
    <definedName name="t8m" localSheetId="3">#REF!</definedName>
    <definedName name="t8m">#REF!</definedName>
    <definedName name="Tæng_c_ng_suÊt_hiÖn_t_i">"THOP"</definedName>
    <definedName name="TAN" localSheetId="7">#REF!</definedName>
    <definedName name="TAN" localSheetId="3">#REF!</definedName>
    <definedName name="TAN" localSheetId="6">#REF!</definedName>
    <definedName name="TAN">#REF!</definedName>
    <definedName name="Tang">100</definedName>
    <definedName name="TaxTV">10%</definedName>
    <definedName name="TaxXL">5%</definedName>
    <definedName name="TBA" localSheetId="7">#REF!</definedName>
    <definedName name="TBA" localSheetId="3">#REF!</definedName>
    <definedName name="TBA" localSheetId="6">#REF!</definedName>
    <definedName name="TBA">#REF!</definedName>
    <definedName name="tbl_ProdInfo" localSheetId="7" hidden="1">#REF!</definedName>
    <definedName name="tbl_ProdInfo" localSheetId="3" hidden="1">#REF!</definedName>
    <definedName name="tbl_ProdInfo" localSheetId="6" hidden="1">#REF!</definedName>
    <definedName name="tbl_ProdInfo" hidden="1">#REF!</definedName>
    <definedName name="tbtram" localSheetId="7">#REF!</definedName>
    <definedName name="tbtram" localSheetId="3">#REF!</definedName>
    <definedName name="tbtram" localSheetId="6">#REF!</definedName>
    <definedName name="tbtram">#REF!</definedName>
    <definedName name="TBXD" localSheetId="7">#REF!</definedName>
    <definedName name="TBXD" localSheetId="3">#REF!</definedName>
    <definedName name="TBXD">#REF!</definedName>
    <definedName name="TC" localSheetId="7">#REF!</definedName>
    <definedName name="TC" localSheetId="3">#REF!</definedName>
    <definedName name="TC">#REF!</definedName>
    <definedName name="TC_NHANH1" localSheetId="7">#REF!</definedName>
    <definedName name="TC_NHANH1" localSheetId="3">#REF!</definedName>
    <definedName name="TC_NHANH1">#REF!</definedName>
    <definedName name="TD" localSheetId="7">#REF!</definedName>
    <definedName name="TD" localSheetId="3">#REF!</definedName>
    <definedName name="TD">#REF!</definedName>
    <definedName name="TD12vl" localSheetId="7">#REF!</definedName>
    <definedName name="TD12vl" localSheetId="3">#REF!</definedName>
    <definedName name="TD12vl">#REF!</definedName>
    <definedName name="TD1p1nc" localSheetId="7">#REF!</definedName>
    <definedName name="TD1p1nc" localSheetId="3">#REF!</definedName>
    <definedName name="TD1p1nc">#REF!</definedName>
    <definedName name="td1p1vc" localSheetId="7">#REF!</definedName>
    <definedName name="td1p1vc" localSheetId="3">#REF!</definedName>
    <definedName name="td1p1vc">#REF!</definedName>
    <definedName name="TD1p1vl" localSheetId="7">#REF!</definedName>
    <definedName name="TD1p1vl" localSheetId="3">#REF!</definedName>
    <definedName name="TD1p1vl">#REF!</definedName>
    <definedName name="td3p" localSheetId="7">#REF!</definedName>
    <definedName name="td3p" localSheetId="3">#REF!</definedName>
    <definedName name="td3p">#REF!</definedName>
    <definedName name="TDctnc" localSheetId="7">#REF!</definedName>
    <definedName name="TDctnc" localSheetId="3">#REF!</definedName>
    <definedName name="TDctnc">#REF!</definedName>
    <definedName name="TDctvc" localSheetId="7">#REF!</definedName>
    <definedName name="TDctvc" localSheetId="3">#REF!</definedName>
    <definedName name="TDctvc">#REF!</definedName>
    <definedName name="TDctvl" localSheetId="7">#REF!</definedName>
    <definedName name="TDctvl" localSheetId="3">#REF!</definedName>
    <definedName name="TDctvl">#REF!</definedName>
    <definedName name="tdia" localSheetId="7">#REF!</definedName>
    <definedName name="tdia" localSheetId="3">#REF!</definedName>
    <definedName name="tdia">#REF!</definedName>
    <definedName name="tdnc1p" localSheetId="7">#REF!</definedName>
    <definedName name="tdnc1p" localSheetId="3">#REF!</definedName>
    <definedName name="tdnc1p">#REF!</definedName>
    <definedName name="tdt" localSheetId="7">#REF!</definedName>
    <definedName name="tdt" localSheetId="3">#REF!</definedName>
    <definedName name="tdt">#REF!</definedName>
    <definedName name="tdtr2cnc" localSheetId="7">#REF!</definedName>
    <definedName name="tdtr2cnc" localSheetId="3">#REF!</definedName>
    <definedName name="tdtr2cnc">#REF!</definedName>
    <definedName name="tdtr2cvl" localSheetId="7">#REF!</definedName>
    <definedName name="tdtr2cvl" localSheetId="3">#REF!</definedName>
    <definedName name="tdtr2cvl">#REF!</definedName>
    <definedName name="tdvl1p" localSheetId="7">#REF!</definedName>
    <definedName name="tdvl1p" localSheetId="3">#REF!</definedName>
    <definedName name="tdvl1p">#REF!</definedName>
    <definedName name="tenck" localSheetId="7">#REF!</definedName>
    <definedName name="tenck" localSheetId="3">#REF!</definedName>
    <definedName name="tenck">#REF!</definedName>
    <definedName name="Test5" localSheetId="7">#REF!</definedName>
    <definedName name="Test5" localSheetId="3">#REF!</definedName>
    <definedName name="Test5">#REF!</definedName>
    <definedName name="tha" localSheetId="7" hidden="1">{"'Sheet1'!$L$16"}</definedName>
    <definedName name="tha" localSheetId="3" hidden="1">{"'Sheet1'!$L$16"}</definedName>
    <definedName name="tha" localSheetId="6" hidden="1">{"'Sheet1'!$L$16"}</definedName>
    <definedName name="tha" hidden="1">{"'Sheet1'!$L$16"}</definedName>
    <definedName name="thai" localSheetId="7" hidden="1">{"'Sheet1'!$L$16"}</definedName>
    <definedName name="thai" localSheetId="3" hidden="1">{"'Sheet1'!$L$16"}</definedName>
    <definedName name="thai" localSheetId="6" hidden="1">{"'Sheet1'!$L$16"}</definedName>
    <definedName name="thai" hidden="1">{"'Sheet1'!$L$16"}</definedName>
    <definedName name="thang" localSheetId="3">#REF!</definedName>
    <definedName name="thang">#REF!</definedName>
    <definedName name="thanh" localSheetId="7" hidden="1">{"'Sheet1'!$L$16"}</definedName>
    <definedName name="thanh" localSheetId="3" hidden="1">{"'Sheet1'!$L$16"}</definedName>
    <definedName name="thanh" localSheetId="6" hidden="1">{"'Sheet1'!$L$16"}</definedName>
    <definedName name="thanh" hidden="1">{"'Sheet1'!$L$16"}</definedName>
    <definedName name="thanhtien" localSheetId="3">#REF!</definedName>
    <definedName name="thanhtien">#REF!</definedName>
    <definedName name="THCHM">[2]gvl!$N$38</definedName>
    <definedName name="THchon" localSheetId="7">#REF!</definedName>
    <definedName name="THchon" localSheetId="3">#REF!</definedName>
    <definedName name="THchon" localSheetId="6">#REF!</definedName>
    <definedName name="THchon">#REF!</definedName>
    <definedName name="thdt" localSheetId="7">#REF!</definedName>
    <definedName name="thdt" localSheetId="3">#REF!</definedName>
    <definedName name="thdt" localSheetId="6">#REF!</definedName>
    <definedName name="thdt">#REF!</definedName>
    <definedName name="THDT_HT_DAO_THUONG" localSheetId="7">#REF!</definedName>
    <definedName name="THDT_HT_DAO_THUONG" localSheetId="3">#REF!</definedName>
    <definedName name="THDT_HT_DAO_THUONG" localSheetId="6">#REF!</definedName>
    <definedName name="THDT_HT_DAO_THUONG">#REF!</definedName>
    <definedName name="THDT_HT_XOM_NOI" localSheetId="7">#REF!</definedName>
    <definedName name="THDT_HT_XOM_NOI" localSheetId="3">#REF!</definedName>
    <definedName name="THDT_HT_XOM_NOI">#REF!</definedName>
    <definedName name="THDT_NPP_XOM_NOI" localSheetId="7">#REF!</definedName>
    <definedName name="THDT_NPP_XOM_NOI" localSheetId="3">#REF!</definedName>
    <definedName name="THDT_NPP_XOM_NOI">#REF!</definedName>
    <definedName name="THDT_TBA_XOM_NOI" localSheetId="7">#REF!</definedName>
    <definedName name="THDT_TBA_XOM_NOI" localSheetId="3">#REF!</definedName>
    <definedName name="THDT_TBA_XOM_NOI">#REF!</definedName>
    <definedName name="thepban" localSheetId="7">#REF!</definedName>
    <definedName name="thepban" localSheetId="3">#REF!</definedName>
    <definedName name="thepban">#REF!</definedName>
    <definedName name="thepgoc25_60" localSheetId="7">#REF!</definedName>
    <definedName name="thepgoc25_60" localSheetId="3">#REF!</definedName>
    <definedName name="thepgoc25_60">#REF!</definedName>
    <definedName name="thepgoc63_75" localSheetId="7">#REF!</definedName>
    <definedName name="thepgoc63_75" localSheetId="3">#REF!</definedName>
    <definedName name="thepgoc63_75">#REF!</definedName>
    <definedName name="thepgoc80_100" localSheetId="7">#REF!</definedName>
    <definedName name="thepgoc80_100" localSheetId="3">#REF!</definedName>
    <definedName name="thepgoc80_100">#REF!</definedName>
    <definedName name="thepma">10500</definedName>
    <definedName name="theptron12" localSheetId="7">#REF!</definedName>
    <definedName name="theptron12" localSheetId="3">#REF!</definedName>
    <definedName name="theptron12" localSheetId="6">#REF!</definedName>
    <definedName name="theptron12">#REF!</definedName>
    <definedName name="theptron14_22" localSheetId="7">#REF!</definedName>
    <definedName name="theptron14_22" localSheetId="3">#REF!</definedName>
    <definedName name="theptron14_22" localSheetId="6">#REF!</definedName>
    <definedName name="theptron14_22">#REF!</definedName>
    <definedName name="theptron6_8" localSheetId="7">#REF!</definedName>
    <definedName name="theptron6_8" localSheetId="3">#REF!</definedName>
    <definedName name="theptron6_8" localSheetId="6">#REF!</definedName>
    <definedName name="theptron6_8">#REF!</definedName>
    <definedName name="thetichck" localSheetId="7">#REF!</definedName>
    <definedName name="thetichck" localSheetId="3">#REF!</definedName>
    <definedName name="thetichck">#REF!</definedName>
    <definedName name="THGO1pnc" localSheetId="7">#REF!</definedName>
    <definedName name="THGO1pnc" localSheetId="3">#REF!</definedName>
    <definedName name="THGO1pnc">#REF!</definedName>
    <definedName name="thht" localSheetId="7">#REF!</definedName>
    <definedName name="thht" localSheetId="3">#REF!</definedName>
    <definedName name="thht">#REF!</definedName>
    <definedName name="THI" localSheetId="7">#REF!</definedName>
    <definedName name="THI" localSheetId="3">#REF!</definedName>
    <definedName name="THI">#REF!</definedName>
    <definedName name="thkp3" localSheetId="7">#REF!</definedName>
    <definedName name="thkp3" localSheetId="3">#REF!</definedName>
    <definedName name="thkp3">#REF!</definedName>
    <definedName name="Tholan.204" localSheetId="3">[4]NhanCong!$G$221</definedName>
    <definedName name="Tholan.204">[4]NhanCong!$G$221</definedName>
    <definedName name="TholanC1.12" localSheetId="3">[4]NhanCong!$G$224</definedName>
    <definedName name="TholanC1.12">[4]NhanCong!$G$224</definedName>
    <definedName name="THOP">"THOP"</definedName>
    <definedName name="THT" localSheetId="7">#REF!</definedName>
    <definedName name="THT" localSheetId="3">#REF!</definedName>
    <definedName name="THT" localSheetId="6">#REF!</definedName>
    <definedName name="THT">#REF!</definedName>
    <definedName name="thtich1" localSheetId="7">#REF!</definedName>
    <definedName name="thtich1" localSheetId="3">#REF!</definedName>
    <definedName name="thtich1" localSheetId="6">#REF!</definedName>
    <definedName name="thtich1">#REF!</definedName>
    <definedName name="thtich2" localSheetId="7">#REF!</definedName>
    <definedName name="thtich2" localSheetId="3">#REF!</definedName>
    <definedName name="thtich2" localSheetId="6">#REF!</definedName>
    <definedName name="thtich2">#REF!</definedName>
    <definedName name="thtich3" localSheetId="7">#REF!</definedName>
    <definedName name="thtich3" localSheetId="3">#REF!</definedName>
    <definedName name="thtich3">#REF!</definedName>
    <definedName name="thtich4" localSheetId="7">#REF!</definedName>
    <definedName name="thtich4" localSheetId="3">#REF!</definedName>
    <definedName name="thtich4">#REF!</definedName>
    <definedName name="thtich5" localSheetId="7">#REF!</definedName>
    <definedName name="thtich5" localSheetId="3">#REF!</definedName>
    <definedName name="thtich5">#REF!</definedName>
    <definedName name="thtich6" localSheetId="7">#REF!</definedName>
    <definedName name="thtich6" localSheetId="3">#REF!</definedName>
    <definedName name="thtich6">#REF!</definedName>
    <definedName name="thtt" localSheetId="7">#REF!</definedName>
    <definedName name="thtt" localSheetId="3">#REF!</definedName>
    <definedName name="thtt">#REF!</definedName>
    <definedName name="ThuyThu.2b" localSheetId="3">[4]NhanCong!$G$159</definedName>
    <definedName name="ThuyThu.2b">[4]NhanCong!$G$159</definedName>
    <definedName name="ThuyThu.3b" localSheetId="3">[4]NhanCong!$G$160</definedName>
    <definedName name="ThuyThu.3b">[4]NhanCong!$G$160</definedName>
    <definedName name="ThuyThu.4b" localSheetId="3">[4]NhanCong!$G$161</definedName>
    <definedName name="ThuyThu.4b">[4]NhanCong!$G$161</definedName>
    <definedName name="Tien" localSheetId="7">#REF!</definedName>
    <definedName name="Tien" localSheetId="3">#REF!</definedName>
    <definedName name="Tien" localSheetId="6">#REF!</definedName>
    <definedName name="Tien">#REF!</definedName>
    <definedName name="TIENLUONG" localSheetId="7">#REF!</definedName>
    <definedName name="TIENLUONG" localSheetId="3">#REF!</definedName>
    <definedName name="TIENLUONG" localSheetId="6">#REF!</definedName>
    <definedName name="TIENLUONG">#REF!</definedName>
    <definedName name="Tiepdiama">9500</definedName>
    <definedName name="TIEU_HAO_VAT_TU_DZ0.4KV" localSheetId="7">#REF!</definedName>
    <definedName name="TIEU_HAO_VAT_TU_DZ0.4KV" localSheetId="3">#REF!</definedName>
    <definedName name="TIEU_HAO_VAT_TU_DZ0.4KV" localSheetId="6">#REF!</definedName>
    <definedName name="TIEU_HAO_VAT_TU_DZ0.4KV">#REF!</definedName>
    <definedName name="TIEU_HAO_VAT_TU_DZ22KV" localSheetId="7">#REF!</definedName>
    <definedName name="TIEU_HAO_VAT_TU_DZ22KV" localSheetId="3">#REF!</definedName>
    <definedName name="TIEU_HAO_VAT_TU_DZ22KV" localSheetId="6">#REF!</definedName>
    <definedName name="TIEU_HAO_VAT_TU_DZ22KV">#REF!</definedName>
    <definedName name="TIEU_HAO_VAT_TU_TBA" localSheetId="7">#REF!</definedName>
    <definedName name="TIEU_HAO_VAT_TU_TBA" localSheetId="3">#REF!</definedName>
    <definedName name="TIEU_HAO_VAT_TU_TBA" localSheetId="6">#REF!</definedName>
    <definedName name="TIEU_HAO_VAT_TU_TBA">#REF!</definedName>
    <definedName name="TIT" localSheetId="7">#REF!</definedName>
    <definedName name="TIT" localSheetId="3">#REF!</definedName>
    <definedName name="TIT">#REF!</definedName>
    <definedName name="TITAN" localSheetId="7">#REF!</definedName>
    <definedName name="TITAN" localSheetId="3">#REF!</definedName>
    <definedName name="TITAN">#REF!</definedName>
    <definedName name="tk" localSheetId="7">#REF!</definedName>
    <definedName name="tk" localSheetId="3">#REF!</definedName>
    <definedName name="tk">#REF!</definedName>
    <definedName name="TKYB">"TKYB"</definedName>
    <definedName name="TLAC120" localSheetId="7">#REF!</definedName>
    <definedName name="TLAC120" localSheetId="3">#REF!</definedName>
    <definedName name="TLAC120" localSheetId="6">#REF!</definedName>
    <definedName name="TLAC120">#REF!</definedName>
    <definedName name="TLAC35" localSheetId="7">#REF!</definedName>
    <definedName name="TLAC35" localSheetId="3">#REF!</definedName>
    <definedName name="TLAC35" localSheetId="6">#REF!</definedName>
    <definedName name="TLAC35">#REF!</definedName>
    <definedName name="TLAC50" localSheetId="7">#REF!</definedName>
    <definedName name="TLAC50" localSheetId="3">#REF!</definedName>
    <definedName name="TLAC50" localSheetId="6">#REF!</definedName>
    <definedName name="TLAC50">#REF!</definedName>
    <definedName name="TLAC70" localSheetId="7">#REF!</definedName>
    <definedName name="TLAC70" localSheetId="3">#REF!</definedName>
    <definedName name="TLAC70">#REF!</definedName>
    <definedName name="TLAC95" localSheetId="7">#REF!</definedName>
    <definedName name="TLAC95" localSheetId="3">#REF!</definedName>
    <definedName name="TLAC95">#REF!</definedName>
    <definedName name="Tle" localSheetId="7">#REF!</definedName>
    <definedName name="Tle" localSheetId="3">#REF!</definedName>
    <definedName name="Tle">#REF!</definedName>
    <definedName name="TmayTdien.1b" localSheetId="3">[4]NhanCong!$G$162</definedName>
    <definedName name="TmayTdien.1b">[4]NhanCong!$G$162</definedName>
    <definedName name="TmayTdien.2b" localSheetId="3">[4]NhanCong!$G$163</definedName>
    <definedName name="TmayTdien.2b">[4]NhanCong!$G$163</definedName>
    <definedName name="TmayTdien.3b" localSheetId="3">[4]NhanCong!$G$164</definedName>
    <definedName name="TmayTdien.3b">[4]NhanCong!$G$164</definedName>
    <definedName name="TmayTdien.4b" localSheetId="3">[4]NhanCong!$G$165</definedName>
    <definedName name="TmayTdien.4b">[4]NhanCong!$G$165</definedName>
    <definedName name="Tong_co" localSheetId="7">#REF!</definedName>
    <definedName name="Tong_co" localSheetId="3">#REF!</definedName>
    <definedName name="Tong_co" localSheetId="6">#REF!</definedName>
    <definedName name="Tong_co">#REF!</definedName>
    <definedName name="TONG_GIA_TRI_CONG_TRINH" localSheetId="7">#REF!</definedName>
    <definedName name="TONG_GIA_TRI_CONG_TRINH" localSheetId="3">#REF!</definedName>
    <definedName name="TONG_GIA_TRI_CONG_TRINH" localSheetId="6">#REF!</definedName>
    <definedName name="TONG_GIA_TRI_CONG_TRINH">#REF!</definedName>
    <definedName name="TONG_HOP_THI_NGHIEM_DZ0.4KV" localSheetId="7">#REF!</definedName>
    <definedName name="TONG_HOP_THI_NGHIEM_DZ0.4KV" localSheetId="3">#REF!</definedName>
    <definedName name="TONG_HOP_THI_NGHIEM_DZ0.4KV" localSheetId="6">#REF!</definedName>
    <definedName name="TONG_HOP_THI_NGHIEM_DZ0.4KV">#REF!</definedName>
    <definedName name="TONG_HOP_THI_NGHIEM_DZ22KV" localSheetId="7">#REF!</definedName>
    <definedName name="TONG_HOP_THI_NGHIEM_DZ22KV" localSheetId="3">#REF!</definedName>
    <definedName name="TONG_HOP_THI_NGHIEM_DZ22KV">#REF!</definedName>
    <definedName name="TONG_KE_TBA" localSheetId="7">#REF!</definedName>
    <definedName name="TONG_KE_TBA" localSheetId="3">#REF!</definedName>
    <definedName name="TONG_KE_TBA">#REF!</definedName>
    <definedName name="Tong_no" localSheetId="7">#REF!</definedName>
    <definedName name="Tong_no" localSheetId="3">#REF!</definedName>
    <definedName name="Tong_no">#REF!</definedName>
    <definedName name="tongbt" localSheetId="7">#REF!</definedName>
    <definedName name="tongbt" localSheetId="3">#REF!</definedName>
    <definedName name="tongbt">#REF!</definedName>
    <definedName name="tongcong" localSheetId="7">#REF!</definedName>
    <definedName name="tongcong" localSheetId="3">#REF!</definedName>
    <definedName name="tongcong">#REF!</definedName>
    <definedName name="tongdientich" localSheetId="7">#REF!</definedName>
    <definedName name="tongdientich" localSheetId="3">#REF!</definedName>
    <definedName name="tongdientich">#REF!</definedName>
    <definedName name="TONGDUTOAN" localSheetId="7">#REF!</definedName>
    <definedName name="TONGDUTOAN" localSheetId="3">#REF!</definedName>
    <definedName name="TONGDUTOAN">#REF!</definedName>
    <definedName name="tongthep" localSheetId="7">#REF!</definedName>
    <definedName name="tongthep" localSheetId="3">#REF!</definedName>
    <definedName name="tongthep">#REF!</definedName>
    <definedName name="tongthetich" localSheetId="7">#REF!</definedName>
    <definedName name="tongthetich" localSheetId="3">#REF!</definedName>
    <definedName name="tongthetich">#REF!</definedName>
    <definedName name="Tonmai" localSheetId="7">#REF!</definedName>
    <definedName name="Tonmai" localSheetId="3">#REF!</definedName>
    <definedName name="Tonmai">#REF!</definedName>
    <definedName name="Tp1M1.11s" localSheetId="3">[4]NhanCong!$G$146</definedName>
    <definedName name="Tp1M1.11s">[4]NhanCong!$G$146</definedName>
    <definedName name="Tp1M1.22s" localSheetId="3">[4]NhanCong!$G$154</definedName>
    <definedName name="Tp1M1.22s">[4]NhanCong!$G$154</definedName>
    <definedName name="Tp2KtvHutBung.1b" localSheetId="3">[4]NhanCong!$G$206</definedName>
    <definedName name="Tp2KtvHutBung.1b">[4]NhanCong!$G$206</definedName>
    <definedName name="Tp2KtvHutBung.2b" localSheetId="3">[4]NhanCong!$G$207</definedName>
    <definedName name="Tp2KtvHutBung.2b">[4]NhanCong!$G$207</definedName>
    <definedName name="Tp2KtvHutBung.4b" localSheetId="3">[4]NhanCong!$G$218</definedName>
    <definedName name="Tp2KtvHutBung.4b">[4]NhanCong!$G$218</definedName>
    <definedName name="Tp2M2.21s" localSheetId="3">[4]NhanCong!$G$155</definedName>
    <definedName name="Tp2M2.21s">[4]NhanCong!$G$155</definedName>
    <definedName name="TPLRP" localSheetId="7">#REF!</definedName>
    <definedName name="TPLRP" localSheetId="3">#REF!</definedName>
    <definedName name="TPLRP" localSheetId="6">#REF!</definedName>
    <definedName name="TPLRP">#REF!</definedName>
    <definedName name="Tra_DM_su_dung" localSheetId="7">#REF!</definedName>
    <definedName name="Tra_DM_su_dung" localSheetId="3">#REF!</definedName>
    <definedName name="Tra_DM_su_dung" localSheetId="6">#REF!</definedName>
    <definedName name="Tra_DM_su_dung">#REF!</definedName>
    <definedName name="Tra_don_gia_KS" localSheetId="7">#REF!</definedName>
    <definedName name="Tra_don_gia_KS" localSheetId="3">#REF!</definedName>
    <definedName name="Tra_don_gia_KS" localSheetId="6">#REF!</definedName>
    <definedName name="Tra_don_gia_KS">#REF!</definedName>
    <definedName name="Tra_DTCT" localSheetId="7">#REF!</definedName>
    <definedName name="Tra_DTCT" localSheetId="3">#REF!</definedName>
    <definedName name="Tra_DTCT">#REF!</definedName>
    <definedName name="Tra_tim_hang_mucPT_trung" localSheetId="7">#REF!</definedName>
    <definedName name="Tra_tim_hang_mucPT_trung" localSheetId="3">#REF!</definedName>
    <definedName name="Tra_tim_hang_mucPT_trung">#REF!</definedName>
    <definedName name="Tra_TL" localSheetId="7">#REF!</definedName>
    <definedName name="Tra_TL" localSheetId="3">#REF!</definedName>
    <definedName name="Tra_TL">#REF!</definedName>
    <definedName name="Tra_ty_le2" localSheetId="7">#REF!</definedName>
    <definedName name="Tra_ty_le2" localSheetId="3">#REF!</definedName>
    <definedName name="Tra_ty_le2">#REF!</definedName>
    <definedName name="Tra_ty_le3" localSheetId="7">#REF!</definedName>
    <definedName name="Tra_ty_le3" localSheetId="3">#REF!</definedName>
    <definedName name="Tra_ty_le3">#REF!</definedName>
    <definedName name="Tra_ty_le4" localSheetId="7">#REF!</definedName>
    <definedName name="Tra_ty_le4" localSheetId="3">#REF!</definedName>
    <definedName name="Tra_ty_le4">#REF!</definedName>
    <definedName name="Tra_ty_le5" localSheetId="7">#REF!</definedName>
    <definedName name="Tra_ty_le5" localSheetId="3">#REF!</definedName>
    <definedName name="Tra_ty_le5">#REF!</definedName>
    <definedName name="TRADE2" localSheetId="7">#REF!</definedName>
    <definedName name="TRADE2" localSheetId="3">#REF!</definedName>
    <definedName name="TRADE2">#REF!</definedName>
    <definedName name="trong" localSheetId="7" hidden="1">{"'Sheet1'!$L$16"}</definedName>
    <definedName name="trong" localSheetId="3" hidden="1">{"'Sheet1'!$L$16"}</definedName>
    <definedName name="trong" localSheetId="6" hidden="1">{"'Sheet1'!$L$16"}</definedName>
    <definedName name="trong" hidden="1">{"'Sheet1'!$L$16"}</definedName>
    <definedName name="trt" localSheetId="3">#REF!</definedName>
    <definedName name="trt">#REF!</definedName>
    <definedName name="TT_1P" localSheetId="7">#REF!</definedName>
    <definedName name="TT_1P" localSheetId="3">#REF!</definedName>
    <definedName name="TT_1P">#REF!</definedName>
    <definedName name="TT_3p" localSheetId="7">#REF!</definedName>
    <definedName name="TT_3p" localSheetId="3">#REF!</definedName>
    <definedName name="TT_3p">#REF!</definedName>
    <definedName name="ttbt" localSheetId="7">#REF!</definedName>
    <definedName name="ttbt" localSheetId="3">#REF!</definedName>
    <definedName name="ttbt">#REF!</definedName>
    <definedName name="TTDD1P" localSheetId="7">#REF!</definedName>
    <definedName name="TTDD1P" localSheetId="3">#REF!</definedName>
    <definedName name="TTDD1P">#REF!</definedName>
    <definedName name="TTDKKH" localSheetId="7">#REF!</definedName>
    <definedName name="TTDKKH" localSheetId="3">#REF!</definedName>
    <definedName name="TTDKKH">#REF!</definedName>
    <definedName name="tthi" localSheetId="7">#REF!</definedName>
    <definedName name="tthi" localSheetId="3">#REF!</definedName>
    <definedName name="tthi">#REF!</definedName>
    <definedName name="Ttr.11s" localSheetId="3">[4]NhanCong!$G$144</definedName>
    <definedName name="Ttr.11s">[4]NhanCong!$G$144</definedName>
    <definedName name="Ttr.12s" localSheetId="3">[4]NhanCong!$G$145</definedName>
    <definedName name="Ttr.12s">[4]NhanCong!$G$145</definedName>
    <definedName name="Ttr.21s" localSheetId="3">[4]NhanCong!$G$151</definedName>
    <definedName name="Ttr.21s">[4]NhanCong!$G$151</definedName>
    <definedName name="Ttr.22s" localSheetId="3">[4]NhanCong!$G$152</definedName>
    <definedName name="Ttr.22s">[4]NhanCong!$G$152</definedName>
    <definedName name="TTrHut300.1s" localSheetId="3">[4]NhanCong!$G$177</definedName>
    <definedName name="TTrHut300.1s">[4]NhanCong!$G$177</definedName>
    <definedName name="TTrHutCuoc300.1s" localSheetId="3">[4]NhanCong!$G$186</definedName>
    <definedName name="TTrHutCuoc300.1s">[4]NhanCong!$G$186</definedName>
    <definedName name="TTrHutCuoc300.2b" localSheetId="3">[4]NhanCong!$G$199</definedName>
    <definedName name="TTrHutCuoc300.2b">[4]NhanCong!$G$199</definedName>
    <definedName name="TTrHutCuoc300.2s" localSheetId="3">[4]NhanCong!$G$187</definedName>
    <definedName name="TTrHutCuoc300.2s">[4]NhanCong!$G$187</definedName>
    <definedName name="TTrHutCuoc800.2b" localSheetId="3">[4]NhanCong!$G$210</definedName>
    <definedName name="TTrHutCuoc800.2b">[4]NhanCong!$G$210</definedName>
    <definedName name="ttronmk" localSheetId="7">#REF!</definedName>
    <definedName name="ttronmk" localSheetId="3">#REF!</definedName>
    <definedName name="ttronmk" localSheetId="6">#REF!</definedName>
    <definedName name="ttronmk">#REF!</definedName>
    <definedName name="ttttt" localSheetId="7" hidden="1">{"'Sheet1'!$L$16"}</definedName>
    <definedName name="ttttt" localSheetId="3" hidden="1">{"'Sheet1'!$L$16"}</definedName>
    <definedName name="ttttt" localSheetId="6" hidden="1">{"'Sheet1'!$L$16"}</definedName>
    <definedName name="ttttt" hidden="1">{"'Sheet1'!$L$16"}</definedName>
    <definedName name="ttttttttttt" localSheetId="7" hidden="1">{"'Sheet1'!$L$16"}</definedName>
    <definedName name="ttttttttttt" localSheetId="3" hidden="1">{"'Sheet1'!$L$16"}</definedName>
    <definedName name="ttttttttttt" localSheetId="6" hidden="1">{"'Sheet1'!$L$16"}</definedName>
    <definedName name="ttttttttttt" hidden="1">{"'Sheet1'!$L$16"}</definedName>
    <definedName name="tuyennhanh" localSheetId="7" hidden="1">{"'Sheet1'!$L$16"}</definedName>
    <definedName name="tuyennhanh" localSheetId="3" hidden="1">{"'Sheet1'!$L$16"}</definedName>
    <definedName name="tuyennhanh" localSheetId="6" hidden="1">{"'Sheet1'!$L$16"}</definedName>
    <definedName name="tuyennhanh" hidden="1">{"'Sheet1'!$L$16"}</definedName>
    <definedName name="tv75nc" localSheetId="3">#REF!</definedName>
    <definedName name="tv75nc">#REF!</definedName>
    <definedName name="tv75vl" localSheetId="7">#REF!</definedName>
    <definedName name="tv75vl" localSheetId="3">#REF!</definedName>
    <definedName name="tv75vl">#REF!</definedName>
    <definedName name="TW" localSheetId="7">#REF!</definedName>
    <definedName name="TW" localSheetId="3">#REF!</definedName>
    <definedName name="TW">#REF!</definedName>
    <definedName name="ty_le" localSheetId="7">#REF!</definedName>
    <definedName name="ty_le" localSheetId="3">#REF!</definedName>
    <definedName name="ty_le">#REF!</definedName>
    <definedName name="ty_le_BTN" localSheetId="7">#REF!</definedName>
    <definedName name="ty_le_BTN" localSheetId="3">#REF!</definedName>
    <definedName name="ty_le_BTN">#REF!</definedName>
    <definedName name="Ty_le1" localSheetId="7">#REF!</definedName>
    <definedName name="Ty_le1" localSheetId="3">#REF!</definedName>
    <definedName name="Ty_le1">#REF!</definedName>
    <definedName name="TYT" localSheetId="7">BlankMacro1</definedName>
    <definedName name="TYT" localSheetId="3">BlankMacro1</definedName>
    <definedName name="TYT" localSheetId="6">BlankMacro1</definedName>
    <definedName name="TYT">BlankMacro1</definedName>
    <definedName name="ưewqêqư" localSheetId="7" hidden="1">{"'Sheet1'!$L$16"}</definedName>
    <definedName name="ưewqêqư" localSheetId="3" hidden="1">{"'Sheet1'!$L$16"}</definedName>
    <definedName name="ưewqêqư" localSheetId="6" hidden="1">{"'Sheet1'!$L$16"}</definedName>
    <definedName name="ưewqêqư" hidden="1">{"'Sheet1'!$L$16"}</definedName>
    <definedName name="unitt" localSheetId="7">BlankMacro1</definedName>
    <definedName name="unitt" localSheetId="3">BlankMacro1</definedName>
    <definedName name="unitt" localSheetId="6">BlankMacro1</definedName>
    <definedName name="unitt">BlankMacro1</definedName>
    <definedName name="upnoc" localSheetId="7">#REF!</definedName>
    <definedName name="upnoc" localSheetId="3">#REF!</definedName>
    <definedName name="upnoc" localSheetId="6">#REF!</definedName>
    <definedName name="upnoc">#REF!</definedName>
    <definedName name="ut" localSheetId="7">BlankMacro1</definedName>
    <definedName name="ut" localSheetId="3">BlankMacro1</definedName>
    <definedName name="ut" localSheetId="6">BlankMacro1</definedName>
    <definedName name="ut">BlankMacro1</definedName>
    <definedName name="uu" localSheetId="7">#REF!</definedName>
    <definedName name="uu" localSheetId="3">#REF!</definedName>
    <definedName name="uu" localSheetId="6">#REF!</definedName>
    <definedName name="uu">#REF!</definedName>
    <definedName name="VAÄT_LIEÄU">"ATRAM"</definedName>
    <definedName name="Value0" localSheetId="7">#REF!</definedName>
    <definedName name="Value0" localSheetId="3">#REF!</definedName>
    <definedName name="Value0" localSheetId="6">#REF!</definedName>
    <definedName name="Value0">#REF!</definedName>
    <definedName name="Value1" localSheetId="7">#REF!</definedName>
    <definedName name="Value1" localSheetId="3">#REF!</definedName>
    <definedName name="Value1" localSheetId="6">#REF!</definedName>
    <definedName name="Value1">#REF!</definedName>
    <definedName name="Value10" localSheetId="7">#REF!</definedName>
    <definedName name="Value10" localSheetId="3">#REF!</definedName>
    <definedName name="Value10" localSheetId="6">#REF!</definedName>
    <definedName name="Value10">#REF!</definedName>
    <definedName name="Value11" localSheetId="7">#REF!</definedName>
    <definedName name="Value11" localSheetId="3">#REF!</definedName>
    <definedName name="Value11">#REF!</definedName>
    <definedName name="Value12" localSheetId="7">#REF!</definedName>
    <definedName name="Value12" localSheetId="3">#REF!</definedName>
    <definedName name="Value12">#REF!</definedName>
    <definedName name="Value13" localSheetId="7">#REF!</definedName>
    <definedName name="Value13" localSheetId="3">#REF!</definedName>
    <definedName name="Value13">#REF!</definedName>
    <definedName name="Value14" localSheetId="7">#REF!</definedName>
    <definedName name="Value14" localSheetId="3">#REF!</definedName>
    <definedName name="Value14">#REF!</definedName>
    <definedName name="Value15" localSheetId="7">#REF!</definedName>
    <definedName name="Value15" localSheetId="3">#REF!</definedName>
    <definedName name="Value15">#REF!</definedName>
    <definedName name="Value16" localSheetId="7">#REF!</definedName>
    <definedName name="Value16" localSheetId="3">#REF!</definedName>
    <definedName name="Value16">#REF!</definedName>
    <definedName name="Value17" localSheetId="7">#REF!</definedName>
    <definedName name="Value17" localSheetId="3">#REF!</definedName>
    <definedName name="Value17">#REF!</definedName>
    <definedName name="Value18" localSheetId="7">#REF!</definedName>
    <definedName name="Value18" localSheetId="3">#REF!</definedName>
    <definedName name="Value18">#REF!</definedName>
    <definedName name="Value19" localSheetId="7">#REF!</definedName>
    <definedName name="Value19" localSheetId="3">#REF!</definedName>
    <definedName name="Value19">#REF!</definedName>
    <definedName name="Value2" localSheetId="7">#REF!</definedName>
    <definedName name="Value2" localSheetId="3">#REF!</definedName>
    <definedName name="Value2">#REF!</definedName>
    <definedName name="Value20" localSheetId="7">#REF!</definedName>
    <definedName name="Value20" localSheetId="3">#REF!</definedName>
    <definedName name="Value20">#REF!</definedName>
    <definedName name="Value21" localSheetId="7">#REF!</definedName>
    <definedName name="Value21" localSheetId="3">#REF!</definedName>
    <definedName name="Value21">#REF!</definedName>
    <definedName name="Value22" localSheetId="7">#REF!</definedName>
    <definedName name="Value22" localSheetId="3">#REF!</definedName>
    <definedName name="Value22">#REF!</definedName>
    <definedName name="Value23" localSheetId="7">#REF!</definedName>
    <definedName name="Value23" localSheetId="3">#REF!</definedName>
    <definedName name="Value23">#REF!</definedName>
    <definedName name="Value24" localSheetId="7">#REF!</definedName>
    <definedName name="Value24" localSheetId="3">#REF!</definedName>
    <definedName name="Value24">#REF!</definedName>
    <definedName name="Value25" localSheetId="7">#REF!</definedName>
    <definedName name="Value25" localSheetId="3">#REF!</definedName>
    <definedName name="Value25">#REF!</definedName>
    <definedName name="Value26" localSheetId="7">#REF!</definedName>
    <definedName name="Value26" localSheetId="3">#REF!</definedName>
    <definedName name="Value26">#REF!</definedName>
    <definedName name="Value27" localSheetId="7">#REF!</definedName>
    <definedName name="Value27" localSheetId="3">#REF!</definedName>
    <definedName name="Value27">#REF!</definedName>
    <definedName name="Value28" localSheetId="7">#REF!</definedName>
    <definedName name="Value28" localSheetId="3">#REF!</definedName>
    <definedName name="Value28">#REF!</definedName>
    <definedName name="Value29" localSheetId="7">#REF!</definedName>
    <definedName name="Value29" localSheetId="3">#REF!</definedName>
    <definedName name="Value29">#REF!</definedName>
    <definedName name="Value3" localSheetId="7">#REF!</definedName>
    <definedName name="Value3" localSheetId="3">#REF!</definedName>
    <definedName name="Value3">#REF!</definedName>
    <definedName name="Value30" localSheetId="7">#REF!</definedName>
    <definedName name="Value30" localSheetId="3">#REF!</definedName>
    <definedName name="Value30">#REF!</definedName>
    <definedName name="Value31" localSheetId="7">#REF!</definedName>
    <definedName name="Value31" localSheetId="3">#REF!</definedName>
    <definedName name="Value31">#REF!</definedName>
    <definedName name="Value32" localSheetId="7">#REF!</definedName>
    <definedName name="Value32" localSheetId="3">#REF!</definedName>
    <definedName name="Value32">#REF!</definedName>
    <definedName name="Value33" localSheetId="7">#REF!</definedName>
    <definedName name="Value33" localSheetId="3">#REF!</definedName>
    <definedName name="Value33">#REF!</definedName>
    <definedName name="Value34" localSheetId="7">#REF!</definedName>
    <definedName name="Value34" localSheetId="3">#REF!</definedName>
    <definedName name="Value34">#REF!</definedName>
    <definedName name="Value35" localSheetId="7">#REF!</definedName>
    <definedName name="Value35" localSheetId="3">#REF!</definedName>
    <definedName name="Value35">#REF!</definedName>
    <definedName name="Value36" localSheetId="7">#REF!</definedName>
    <definedName name="Value36" localSheetId="3">#REF!</definedName>
    <definedName name="Value36">#REF!</definedName>
    <definedName name="Value37" localSheetId="7">#REF!</definedName>
    <definedName name="Value37" localSheetId="3">#REF!</definedName>
    <definedName name="Value37">#REF!</definedName>
    <definedName name="Value38" localSheetId="7">#REF!</definedName>
    <definedName name="Value38" localSheetId="3">#REF!</definedName>
    <definedName name="Value38">#REF!</definedName>
    <definedName name="Value39" localSheetId="7">#REF!</definedName>
    <definedName name="Value39" localSheetId="3">#REF!</definedName>
    <definedName name="Value39">#REF!</definedName>
    <definedName name="Value4" localSheetId="7">#REF!</definedName>
    <definedName name="Value4" localSheetId="3">#REF!</definedName>
    <definedName name="Value4">#REF!</definedName>
    <definedName name="Value40" localSheetId="7">#REF!</definedName>
    <definedName name="Value40" localSheetId="3">#REF!</definedName>
    <definedName name="Value40">#REF!</definedName>
    <definedName name="Value41" localSheetId="7">#REF!</definedName>
    <definedName name="Value41" localSheetId="3">#REF!</definedName>
    <definedName name="Value41">#REF!</definedName>
    <definedName name="Value42" localSheetId="7">#REF!</definedName>
    <definedName name="Value42" localSheetId="3">#REF!</definedName>
    <definedName name="Value42">#REF!</definedName>
    <definedName name="Value43" localSheetId="7">#REF!</definedName>
    <definedName name="Value43" localSheetId="3">#REF!</definedName>
    <definedName name="Value43">#REF!</definedName>
    <definedName name="Value44" localSheetId="7">#REF!</definedName>
    <definedName name="Value44" localSheetId="3">#REF!</definedName>
    <definedName name="Value44">#REF!</definedName>
    <definedName name="Value45" localSheetId="7">#REF!</definedName>
    <definedName name="Value45" localSheetId="3">#REF!</definedName>
    <definedName name="Value45">#REF!</definedName>
    <definedName name="Value46" localSheetId="7">#REF!</definedName>
    <definedName name="Value46" localSheetId="3">#REF!</definedName>
    <definedName name="Value46">#REF!</definedName>
    <definedName name="Value47" localSheetId="7">#REF!</definedName>
    <definedName name="Value47" localSheetId="3">#REF!</definedName>
    <definedName name="Value47">#REF!</definedName>
    <definedName name="Value48" localSheetId="7">#REF!</definedName>
    <definedName name="Value48" localSheetId="3">#REF!</definedName>
    <definedName name="Value48">#REF!</definedName>
    <definedName name="Value49" localSheetId="7">#REF!</definedName>
    <definedName name="Value49" localSheetId="3">#REF!</definedName>
    <definedName name="Value49">#REF!</definedName>
    <definedName name="Value5" localSheetId="7">#REF!</definedName>
    <definedName name="Value5" localSheetId="3">#REF!</definedName>
    <definedName name="Value5">#REF!</definedName>
    <definedName name="Value50" localSheetId="7">#REF!</definedName>
    <definedName name="Value50" localSheetId="3">#REF!</definedName>
    <definedName name="Value50">#REF!</definedName>
    <definedName name="Value51" localSheetId="7">#REF!</definedName>
    <definedName name="Value51" localSheetId="3">#REF!</definedName>
    <definedName name="Value51">#REF!</definedName>
    <definedName name="Value52" localSheetId="7">#REF!</definedName>
    <definedName name="Value52" localSheetId="3">#REF!</definedName>
    <definedName name="Value52">#REF!</definedName>
    <definedName name="Value53" localSheetId="7">#REF!</definedName>
    <definedName name="Value53" localSheetId="3">#REF!</definedName>
    <definedName name="Value53">#REF!</definedName>
    <definedName name="Value54" localSheetId="7">#REF!</definedName>
    <definedName name="Value54" localSheetId="3">#REF!</definedName>
    <definedName name="Value54">#REF!</definedName>
    <definedName name="Value55" localSheetId="7">#REF!</definedName>
    <definedName name="Value55" localSheetId="3">#REF!</definedName>
    <definedName name="Value55">#REF!</definedName>
    <definedName name="Value6" localSheetId="7">#REF!</definedName>
    <definedName name="Value6" localSheetId="3">#REF!</definedName>
    <definedName name="Value6">#REF!</definedName>
    <definedName name="Value7" localSheetId="7">#REF!</definedName>
    <definedName name="Value7" localSheetId="3">#REF!</definedName>
    <definedName name="Value7">#REF!</definedName>
    <definedName name="Value8" localSheetId="7">#REF!</definedName>
    <definedName name="Value8" localSheetId="3">#REF!</definedName>
    <definedName name="Value8">#REF!</definedName>
    <definedName name="Value9" localSheetId="7">#REF!</definedName>
    <definedName name="Value9" localSheetId="3">#REF!</definedName>
    <definedName name="Value9">#REF!</definedName>
    <definedName name="Values_Entered" localSheetId="7">IF(Loan_Amount*Interest_Rate*Loan_Years*Loan_Start&gt;0,1,0)</definedName>
    <definedName name="Values_Entered" localSheetId="3">IF(Loan_Amount*Interest_Rate*Loan_Years*Loan_Start&gt;0,1,0)</definedName>
    <definedName name="Values_Entered" localSheetId="6">IF(Loan_Amount*Interest_Rate*Loan_Years*Loan_Start&gt;0,1,0)</definedName>
    <definedName name="Values_Entered">IF(Loan_Amount*Interest_Rate*Loan_Years*Loan_Start&gt;0,1,0)</definedName>
    <definedName name="VAN_CHUYEN_DUONG_DAI_DZ0.4KV" localSheetId="7">#REF!</definedName>
    <definedName name="VAN_CHUYEN_DUONG_DAI_DZ0.4KV" localSheetId="3">#REF!</definedName>
    <definedName name="VAN_CHUYEN_DUONG_DAI_DZ0.4KV" localSheetId="6">#REF!</definedName>
    <definedName name="VAN_CHUYEN_DUONG_DAI_DZ0.4KV">#REF!</definedName>
    <definedName name="VAN_CHUYEN_DUONG_DAI_DZ22KV" localSheetId="7">#REF!</definedName>
    <definedName name="VAN_CHUYEN_DUONG_DAI_DZ22KV" localSheetId="3">#REF!</definedName>
    <definedName name="VAN_CHUYEN_DUONG_DAI_DZ22KV" localSheetId="6">#REF!</definedName>
    <definedName name="VAN_CHUYEN_DUONG_DAI_DZ22KV">#REF!</definedName>
    <definedName name="VAN_CHUYEN_VAT_TU_CHUNG" localSheetId="7">#REF!</definedName>
    <definedName name="VAN_CHUYEN_VAT_TU_CHUNG" localSheetId="3">#REF!</definedName>
    <definedName name="VAN_CHUYEN_VAT_TU_CHUNG" localSheetId="6">#REF!</definedName>
    <definedName name="VAN_CHUYEN_VAT_TU_CHUNG">#REF!</definedName>
    <definedName name="VAN_TRUNG_CHUYEN_VAT_TU_CHUNG" localSheetId="7">#REF!</definedName>
    <definedName name="VAN_TRUNG_CHUYEN_VAT_TU_CHUNG" localSheetId="3">#REF!</definedName>
    <definedName name="VAN_TRUNG_CHUYEN_VAT_TU_CHUNG">#REF!</definedName>
    <definedName name="vanchuyen" localSheetId="7">#REF!</definedName>
    <definedName name="vanchuyen" localSheetId="3">#REF!</definedName>
    <definedName name="vanchuyen">#REF!</definedName>
    <definedName name="VARIINST" localSheetId="7">#REF!</definedName>
    <definedName name="VARIINST" localSheetId="3">#REF!</definedName>
    <definedName name="VARIINST">#REF!</definedName>
    <definedName name="VARIPURC" localSheetId="7">#REF!</definedName>
    <definedName name="VARIPURC" localSheetId="3">#REF!</definedName>
    <definedName name="VARIPURC">#REF!</definedName>
    <definedName name="vat" localSheetId="7">#REF!</definedName>
    <definedName name="vat" localSheetId="3">#REF!</definedName>
    <definedName name="vat">#REF!</definedName>
    <definedName name="VAT_LIEU_DEN_CHAN_CONG_TRINH" localSheetId="7">#REF!</definedName>
    <definedName name="VAT_LIEU_DEN_CHAN_CONG_TRINH" localSheetId="3">#REF!</definedName>
    <definedName name="VAT_LIEU_DEN_CHAN_CONG_TRINH">#REF!</definedName>
    <definedName name="vat_lieu_KVIII" localSheetId="7">#REF!</definedName>
    <definedName name="vat_lieu_KVIII" localSheetId="3">#REF!</definedName>
    <definedName name="vat_lieu_KVIII">#REF!</definedName>
    <definedName name="VATM" localSheetId="7" hidden="1">{"'Sheet1'!$L$16"}</definedName>
    <definedName name="VATM" localSheetId="3" hidden="1">{"'Sheet1'!$L$16"}</definedName>
    <definedName name="VATM" localSheetId="6" hidden="1">{"'Sheet1'!$L$16"}</definedName>
    <definedName name="VATM" hidden="1">{"'Sheet1'!$L$16"}</definedName>
    <definedName name="Vattu" localSheetId="3">#REF!</definedName>
    <definedName name="Vattu">#REF!</definedName>
    <definedName name="vbtchongnuocm300" localSheetId="7">#REF!</definedName>
    <definedName name="vbtchongnuocm300" localSheetId="3">#REF!</definedName>
    <definedName name="vbtchongnuocm300">#REF!</definedName>
    <definedName name="vbtm150" localSheetId="7">#REF!</definedName>
    <definedName name="vbtm150" localSheetId="3">#REF!</definedName>
    <definedName name="vbtm150">#REF!</definedName>
    <definedName name="vbtm300" localSheetId="7">#REF!</definedName>
    <definedName name="vbtm300" localSheetId="3">#REF!</definedName>
    <definedName name="vbtm300">#REF!</definedName>
    <definedName name="vbtm400" localSheetId="7">#REF!</definedName>
    <definedName name="vbtm400" localSheetId="3">#REF!</definedName>
    <definedName name="vbtm400">#REF!</definedName>
    <definedName name="VC" localSheetId="7">#REF!</definedName>
    <definedName name="VC" localSheetId="3">#REF!</definedName>
    <definedName name="VC">#REF!</definedName>
    <definedName name="vccot" localSheetId="7">#REF!</definedName>
    <definedName name="vccot" localSheetId="3">#REF!</definedName>
    <definedName name="vccot">#REF!</definedName>
    <definedName name="vcdc" localSheetId="7">#REF!</definedName>
    <definedName name="vcdc" localSheetId="3">#REF!</definedName>
    <definedName name="vcdc">#REF!</definedName>
    <definedName name="VCHT" localSheetId="7">#REF!</definedName>
    <definedName name="VCHT" localSheetId="3">#REF!</definedName>
    <definedName name="VCHT">#REF!</definedName>
    <definedName name="vclcat" localSheetId="3">[6]!vclcat</definedName>
    <definedName name="vclcat" localSheetId="6">'Mau 05 UB (2)'!vclcat</definedName>
    <definedName name="vclcat">[6]!vclcat</definedName>
    <definedName name="vcoto" localSheetId="7" hidden="1">{"'Sheet1'!$L$16"}</definedName>
    <definedName name="vcoto" localSheetId="3" hidden="1">{"'Sheet1'!$L$16"}</definedName>
    <definedName name="vcoto" localSheetId="6" hidden="1">{"'Sheet1'!$L$16"}</definedName>
    <definedName name="vcoto" hidden="1">{"'Sheet1'!$L$16"}</definedName>
    <definedName name="vct" localSheetId="3">#REF!</definedName>
    <definedName name="vct">#REF!</definedName>
    <definedName name="vctb" localSheetId="7">#REF!</definedName>
    <definedName name="vctb" localSheetId="3">#REF!</definedName>
    <definedName name="vctb">#REF!</definedName>
    <definedName name="VCVBT1" localSheetId="7">#REF!</definedName>
    <definedName name="VCVBT1" localSheetId="3">#REF!</definedName>
    <definedName name="VCVBT1">#REF!</definedName>
    <definedName name="VCVBT2" localSheetId="7">#REF!</definedName>
    <definedName name="VCVBT2" localSheetId="3">#REF!</definedName>
    <definedName name="VCVBT2">#REF!</definedName>
    <definedName name="vd3p" localSheetId="7">#REF!</definedName>
    <definedName name="vd3p" localSheetId="3">#REF!</definedName>
    <definedName name="vd3p">#REF!</definedName>
    <definedName name="vgk" localSheetId="7">#REF!</definedName>
    <definedName name="vgk" localSheetId="3">#REF!</definedName>
    <definedName name="vgk">#REF!</definedName>
    <definedName name="vgt" localSheetId="7">#REF!</definedName>
    <definedName name="vgt" localSheetId="3">#REF!</definedName>
    <definedName name="vgt">#REF!</definedName>
    <definedName name="VH" localSheetId="7" hidden="1">{"'Sheet1'!$L$16"}</definedName>
    <definedName name="VH" localSheetId="3" hidden="1">{"'Sheet1'!$L$16"}</definedName>
    <definedName name="VH" localSheetId="6" hidden="1">{"'Sheet1'!$L$16"}</definedName>
    <definedName name="VH" hidden="1">{"'Sheet1'!$L$16"}</definedName>
    <definedName name="Viet" localSheetId="7" hidden="1">{"'Sheet1'!$L$16"}</definedName>
    <definedName name="Viet" localSheetId="3" hidden="1">{"'Sheet1'!$L$16"}</definedName>
    <definedName name="Viet" localSheetId="6" hidden="1">{"'Sheet1'!$L$16"}</definedName>
    <definedName name="Viet" hidden="1">{"'Sheet1'!$L$16"}</definedName>
    <definedName name="vkcauthang" localSheetId="3">#REF!</definedName>
    <definedName name="vkcauthang">#REF!</definedName>
    <definedName name="vksan" localSheetId="7">#REF!</definedName>
    <definedName name="vksan" localSheetId="3">#REF!</definedName>
    <definedName name="vksan">#REF!</definedName>
    <definedName name="vl" localSheetId="7">#REF!</definedName>
    <definedName name="vl" localSheetId="3">#REF!</definedName>
    <definedName name="vl">#REF!</definedName>
    <definedName name="vl3p" localSheetId="7">#REF!</definedName>
    <definedName name="vl3p" localSheetId="3">#REF!</definedName>
    <definedName name="vl3p">#REF!</definedName>
    <definedName name="Vlcap0.7" localSheetId="7">#REF!</definedName>
    <definedName name="Vlcap0.7" localSheetId="3">#REF!</definedName>
    <definedName name="Vlcap0.7">#REF!</definedName>
    <definedName name="VLcap1" localSheetId="7">#REF!</definedName>
    <definedName name="VLcap1" localSheetId="3">#REF!</definedName>
    <definedName name="VLcap1">#REF!</definedName>
    <definedName name="vlct" localSheetId="7" hidden="1">{"'Sheet1'!$L$16"}</definedName>
    <definedName name="vlct" localSheetId="3" hidden="1">{"'Sheet1'!$L$16"}</definedName>
    <definedName name="vlct" localSheetId="6" hidden="1">{"'Sheet1'!$L$16"}</definedName>
    <definedName name="vlct" hidden="1">{"'Sheet1'!$L$16"}</definedName>
    <definedName name="VLCT3p" localSheetId="3">#REF!</definedName>
    <definedName name="VLCT3p">#REF!</definedName>
    <definedName name="vldg" localSheetId="7">#REF!</definedName>
    <definedName name="vldg" localSheetId="3">#REF!</definedName>
    <definedName name="vldg">#REF!</definedName>
    <definedName name="vldn400" localSheetId="7">#REF!</definedName>
    <definedName name="vldn400" localSheetId="3">#REF!</definedName>
    <definedName name="vldn400">#REF!</definedName>
    <definedName name="vldn600" localSheetId="7">#REF!</definedName>
    <definedName name="vldn600" localSheetId="3">#REF!</definedName>
    <definedName name="vldn600">#REF!</definedName>
    <definedName name="VLIEU" localSheetId="7">#REF!</definedName>
    <definedName name="VLIEU" localSheetId="3">#REF!</definedName>
    <definedName name="VLIEU">#REF!</definedName>
    <definedName name="VLM" localSheetId="7">#REF!</definedName>
    <definedName name="VLM" localSheetId="3">#REF!</definedName>
    <definedName name="VLM">#REF!</definedName>
    <definedName name="vltram" localSheetId="7">#REF!</definedName>
    <definedName name="vltram" localSheetId="3">#REF!</definedName>
    <definedName name="vltram">#REF!</definedName>
    <definedName name="vr3p" localSheetId="7">#REF!</definedName>
    <definedName name="vr3p" localSheetId="3">#REF!</definedName>
    <definedName name="vr3p">#REF!</definedName>
    <definedName name="Vua" localSheetId="7">#REF!</definedName>
    <definedName name="Vua" localSheetId="3">#REF!</definedName>
    <definedName name="Vua">#REF!</definedName>
    <definedName name="W" localSheetId="7">#REF!</definedName>
    <definedName name="W" localSheetId="3">#REF!</definedName>
    <definedName name="W">#REF!</definedName>
    <definedName name="Winpoints">3</definedName>
    <definedName name="WIRE1">5</definedName>
    <definedName name="wrn.chi._.tiÆt." localSheetId="7" hidden="1">{#N/A,#N/A,FALSE,"Chi tiÆt"}</definedName>
    <definedName name="wrn.chi._.tiÆt." localSheetId="3" hidden="1">{#N/A,#N/A,FALSE,"Chi tiÆt"}</definedName>
    <definedName name="wrn.chi._.tiÆt." localSheetId="6" hidden="1">{#N/A,#N/A,FALSE,"Chi tiÆt"}</definedName>
    <definedName name="wrn.chi._.tiÆt." hidden="1">{#N/A,#N/A,FALSE,"Chi tiÆt"}</definedName>
    <definedName name="wrn.vd." localSheetId="7" hidden="1">{#N/A,#N/A,TRUE,"BT M200 da 10x20"}</definedName>
    <definedName name="wrn.vd." localSheetId="3" hidden="1">{#N/A,#N/A,TRUE,"BT M200 da 10x20"}</definedName>
    <definedName name="wrn.vd." localSheetId="6" hidden="1">{#N/A,#N/A,TRUE,"BT M200 da 10x20"}</definedName>
    <definedName name="wrn.vd." hidden="1">{#N/A,#N/A,TRUE,"BT M200 da 10x20"}</definedName>
    <definedName name="X" localSheetId="7">#REF!</definedName>
    <definedName name="X" localSheetId="3">#REF!</definedName>
    <definedName name="X" localSheetId="6">#REF!</definedName>
    <definedName name="X">#REF!</definedName>
    <definedName name="x1pind" localSheetId="7">#REF!</definedName>
    <definedName name="x1pind" localSheetId="3">#REF!</definedName>
    <definedName name="x1pind" localSheetId="6">#REF!</definedName>
    <definedName name="x1pind">#REF!</definedName>
    <definedName name="X1pINDnc" localSheetId="7">#REF!</definedName>
    <definedName name="X1pINDnc" localSheetId="3">#REF!</definedName>
    <definedName name="X1pINDnc" localSheetId="6">#REF!</definedName>
    <definedName name="X1pINDnc">#REF!</definedName>
    <definedName name="X1pINDvc" localSheetId="7">#REF!</definedName>
    <definedName name="X1pINDvc" localSheetId="3">#REF!</definedName>
    <definedName name="X1pINDvc">#REF!</definedName>
    <definedName name="X1pINDvl" localSheetId="7">#REF!</definedName>
    <definedName name="X1pINDvl" localSheetId="3">#REF!</definedName>
    <definedName name="X1pINDvl">#REF!</definedName>
    <definedName name="x1ping" localSheetId="7">#REF!</definedName>
    <definedName name="x1ping" localSheetId="3">#REF!</definedName>
    <definedName name="x1ping">#REF!</definedName>
    <definedName name="X1pINGnc" localSheetId="7">#REF!</definedName>
    <definedName name="X1pINGnc" localSheetId="3">#REF!</definedName>
    <definedName name="X1pINGnc">#REF!</definedName>
    <definedName name="X1pINGvc" localSheetId="7">#REF!</definedName>
    <definedName name="X1pINGvc" localSheetId="3">#REF!</definedName>
    <definedName name="X1pINGvc">#REF!</definedName>
    <definedName name="X1pINGvl" localSheetId="7">#REF!</definedName>
    <definedName name="X1pINGvl" localSheetId="3">#REF!</definedName>
    <definedName name="X1pINGvl">#REF!</definedName>
    <definedName name="x1pint" localSheetId="7">#REF!</definedName>
    <definedName name="x1pint" localSheetId="3">#REF!</definedName>
    <definedName name="x1pint">#REF!</definedName>
    <definedName name="XBCNCKT">5600</definedName>
    <definedName name="XCCT">0.5</definedName>
    <definedName name="xd0.6" localSheetId="3">#REF!</definedName>
    <definedName name="xd0.6">#REF!</definedName>
    <definedName name="xd1.3" localSheetId="7">#REF!</definedName>
    <definedName name="xd1.3" localSheetId="3">#REF!</definedName>
    <definedName name="xd1.3">#REF!</definedName>
    <definedName name="xd1.5" localSheetId="7">#REF!</definedName>
    <definedName name="xd1.5" localSheetId="3">#REF!</definedName>
    <definedName name="xd1.5">#REF!</definedName>
    <definedName name="xfco" localSheetId="7">#REF!</definedName>
    <definedName name="xfco" localSheetId="3">#REF!</definedName>
    <definedName name="xfco">#REF!</definedName>
    <definedName name="xfco3p" localSheetId="7">#REF!</definedName>
    <definedName name="xfco3p" localSheetId="3">#REF!</definedName>
    <definedName name="xfco3p">#REF!</definedName>
    <definedName name="XFCOnc" localSheetId="7">#REF!</definedName>
    <definedName name="XFCOnc" localSheetId="3">#REF!</definedName>
    <definedName name="XFCOnc">#REF!</definedName>
    <definedName name="xfcotnc" localSheetId="7">#REF!</definedName>
    <definedName name="xfcotnc" localSheetId="3">#REF!</definedName>
    <definedName name="xfcotnc">#REF!</definedName>
    <definedName name="xfcotvl" localSheetId="7">#REF!</definedName>
    <definedName name="xfcotvl" localSheetId="3">#REF!</definedName>
    <definedName name="xfcotvl">#REF!</definedName>
    <definedName name="XFCOvl" localSheetId="7">#REF!</definedName>
    <definedName name="XFCOvl" localSheetId="3">#REF!</definedName>
    <definedName name="XFCOvl">#REF!</definedName>
    <definedName name="xgc100" localSheetId="7">#REF!</definedName>
    <definedName name="xgc100" localSheetId="3">#REF!</definedName>
    <definedName name="xgc100">#REF!</definedName>
    <definedName name="xgc150" localSheetId="7">#REF!</definedName>
    <definedName name="xgc150" localSheetId="3">#REF!</definedName>
    <definedName name="xgc150">#REF!</definedName>
    <definedName name="xgc200" localSheetId="7">#REF!</definedName>
    <definedName name="xgc200" localSheetId="3">#REF!</definedName>
    <definedName name="xgc200">#REF!</definedName>
    <definedName name="xh" localSheetId="7">#REF!</definedName>
    <definedName name="xh" localSheetId="3">#REF!</definedName>
    <definedName name="xh">#REF!</definedName>
    <definedName name="xhn" localSheetId="7">#REF!</definedName>
    <definedName name="xhn" localSheetId="3">#REF!</definedName>
    <definedName name="xhn">#REF!</definedName>
    <definedName name="xig" localSheetId="7">#REF!</definedName>
    <definedName name="xig" localSheetId="3">#REF!</definedName>
    <definedName name="xig">#REF!</definedName>
    <definedName name="xig1" localSheetId="7">#REF!</definedName>
    <definedName name="xig1" localSheetId="3">#REF!</definedName>
    <definedName name="xig1">#REF!</definedName>
    <definedName name="xig1p" localSheetId="7">#REF!</definedName>
    <definedName name="xig1p" localSheetId="3">#REF!</definedName>
    <definedName name="xig1p">#REF!</definedName>
    <definedName name="xig3p" localSheetId="7">#REF!</definedName>
    <definedName name="xig3p" localSheetId="3">#REF!</definedName>
    <definedName name="xig3p">#REF!</definedName>
    <definedName name="XIGnc" localSheetId="7">#REF!</definedName>
    <definedName name="XIGnc" localSheetId="3">#REF!</definedName>
    <definedName name="XIGnc">#REF!</definedName>
    <definedName name="XIGvc" localSheetId="7">#REF!</definedName>
    <definedName name="XIGvc" localSheetId="3">#REF!</definedName>
    <definedName name="XIGvc">#REF!</definedName>
    <definedName name="XIGvl" localSheetId="7">#REF!</definedName>
    <definedName name="XIGvl" localSheetId="3">#REF!</definedName>
    <definedName name="XIGvl">#REF!</definedName>
    <definedName name="ximang" localSheetId="7">#REF!</definedName>
    <definedName name="ximang" localSheetId="3">#REF!</definedName>
    <definedName name="ximang">#REF!</definedName>
    <definedName name="xin" localSheetId="7">#REF!</definedName>
    <definedName name="xin" localSheetId="3">#REF!</definedName>
    <definedName name="xin">#REF!</definedName>
    <definedName name="xin190" localSheetId="7">#REF!</definedName>
    <definedName name="xin190" localSheetId="3">#REF!</definedName>
    <definedName name="xin190">#REF!</definedName>
    <definedName name="xin1903p" localSheetId="7">#REF!</definedName>
    <definedName name="xin1903p" localSheetId="3">#REF!</definedName>
    <definedName name="xin1903p">#REF!</definedName>
    <definedName name="xin3p" localSheetId="7">#REF!</definedName>
    <definedName name="xin3p" localSheetId="3">#REF!</definedName>
    <definedName name="xin3p">#REF!</definedName>
    <definedName name="xind" localSheetId="7">#REF!</definedName>
    <definedName name="xind" localSheetId="3">#REF!</definedName>
    <definedName name="xind">#REF!</definedName>
    <definedName name="xind1p" localSheetId="7">#REF!</definedName>
    <definedName name="xind1p" localSheetId="3">#REF!</definedName>
    <definedName name="xind1p">#REF!</definedName>
    <definedName name="xind3p" localSheetId="7">#REF!</definedName>
    <definedName name="xind3p" localSheetId="3">#REF!</definedName>
    <definedName name="xind3p">#REF!</definedName>
    <definedName name="xindnc1p" localSheetId="7">#REF!</definedName>
    <definedName name="xindnc1p" localSheetId="3">#REF!</definedName>
    <definedName name="xindnc1p">#REF!</definedName>
    <definedName name="xindvl1p" localSheetId="7">#REF!</definedName>
    <definedName name="xindvl1p" localSheetId="3">#REF!</definedName>
    <definedName name="xindvl1p">#REF!</definedName>
    <definedName name="xing1p" localSheetId="7">#REF!</definedName>
    <definedName name="xing1p" localSheetId="3">#REF!</definedName>
    <definedName name="xing1p">#REF!</definedName>
    <definedName name="xingnc1p" localSheetId="7">#REF!</definedName>
    <definedName name="xingnc1p" localSheetId="3">#REF!</definedName>
    <definedName name="xingnc1p">#REF!</definedName>
    <definedName name="xingvl1p" localSheetId="7">#REF!</definedName>
    <definedName name="xingvl1p" localSheetId="3">#REF!</definedName>
    <definedName name="xingvl1p">#REF!</definedName>
    <definedName name="XINnc" localSheetId="7">#REF!</definedName>
    <definedName name="XINnc" localSheetId="3">#REF!</definedName>
    <definedName name="XINnc">#REF!</definedName>
    <definedName name="xint1p" localSheetId="7">#REF!</definedName>
    <definedName name="xint1p" localSheetId="3">#REF!</definedName>
    <definedName name="xint1p">#REF!</definedName>
    <definedName name="XINvc" localSheetId="7">#REF!</definedName>
    <definedName name="XINvc" localSheetId="3">#REF!</definedName>
    <definedName name="XINvc">#REF!</definedName>
    <definedName name="XINvl" localSheetId="7">#REF!</definedName>
    <definedName name="XINvl" localSheetId="3">#REF!</definedName>
    <definedName name="XINvl">#REF!</definedName>
    <definedName name="xit" localSheetId="7">#REF!</definedName>
    <definedName name="xit" localSheetId="3">#REF!</definedName>
    <definedName name="xit">#REF!</definedName>
    <definedName name="xit1" localSheetId="7">#REF!</definedName>
    <definedName name="xit1" localSheetId="3">#REF!</definedName>
    <definedName name="xit1">#REF!</definedName>
    <definedName name="xit1p" localSheetId="7">#REF!</definedName>
    <definedName name="xit1p" localSheetId="3">#REF!</definedName>
    <definedName name="xit1p">#REF!</definedName>
    <definedName name="xit23p" localSheetId="7">#REF!</definedName>
    <definedName name="xit23p" localSheetId="3">#REF!</definedName>
    <definedName name="xit23p">#REF!</definedName>
    <definedName name="xit3p" localSheetId="7">#REF!</definedName>
    <definedName name="xit3p" localSheetId="3">#REF!</definedName>
    <definedName name="xit3p">#REF!</definedName>
    <definedName name="XITnc" localSheetId="7">#REF!</definedName>
    <definedName name="XITnc" localSheetId="3">#REF!</definedName>
    <definedName name="XITnc">#REF!</definedName>
    <definedName name="XITvc" localSheetId="7">#REF!</definedName>
    <definedName name="XITvc" localSheetId="3">#REF!</definedName>
    <definedName name="XITvc">#REF!</definedName>
    <definedName name="XITvl" localSheetId="7">#REF!</definedName>
    <definedName name="XITvl" localSheetId="3">#REF!</definedName>
    <definedName name="XITvl">#REF!</definedName>
    <definedName name="xk0.6" localSheetId="7">#REF!</definedName>
    <definedName name="xk0.6" localSheetId="3">#REF!</definedName>
    <definedName name="xk0.6">#REF!</definedName>
    <definedName name="xk1.3" localSheetId="7">#REF!</definedName>
    <definedName name="xk1.3" localSheetId="3">#REF!</definedName>
    <definedName name="xk1.3">#REF!</definedName>
    <definedName name="xk1.5" localSheetId="7">#REF!</definedName>
    <definedName name="xk1.5" localSheetId="3">#REF!</definedName>
    <definedName name="xk1.5">#REF!</definedName>
    <definedName name="xld1.4" localSheetId="7">#REF!</definedName>
    <definedName name="xld1.4" localSheetId="3">#REF!</definedName>
    <definedName name="xld1.4">#REF!</definedName>
    <definedName name="xlk1.4" localSheetId="7">#REF!</definedName>
    <definedName name="xlk1.4" localSheetId="3">#REF!</definedName>
    <definedName name="xlk1.4">#REF!</definedName>
    <definedName name="xls" localSheetId="7" hidden="1">{"'Sheet1'!$L$16"}</definedName>
    <definedName name="xls" localSheetId="3" hidden="1">{"'Sheet1'!$L$16"}</definedName>
    <definedName name="xls" localSheetId="6" hidden="1">{"'Sheet1'!$L$16"}</definedName>
    <definedName name="xls" hidden="1">{"'Sheet1'!$L$16"}</definedName>
    <definedName name="xlttbninh" localSheetId="7" hidden="1">{"'Sheet1'!$L$16"}</definedName>
    <definedName name="xlttbninh" localSheetId="3" hidden="1">{"'Sheet1'!$L$16"}</definedName>
    <definedName name="xlttbninh" localSheetId="6" hidden="1">{"'Sheet1'!$L$16"}</definedName>
    <definedName name="xlttbninh" hidden="1">{"'Sheet1'!$L$16"}</definedName>
    <definedName name="xm">[2]gvl!$N$16</definedName>
    <definedName name="xm..">[2]gvl!$N$16</definedName>
    <definedName name="xm.1">[2]gvl!$N$16</definedName>
    <definedName name="xmcax" localSheetId="7">#REF!</definedName>
    <definedName name="xmcax" localSheetId="3">#REF!</definedName>
    <definedName name="xmcax" localSheetId="6">#REF!</definedName>
    <definedName name="xmcax">#REF!</definedName>
    <definedName name="xn" localSheetId="7">#REF!</definedName>
    <definedName name="xn" localSheetId="3">#REF!</definedName>
    <definedName name="xn" localSheetId="6">#REF!</definedName>
    <definedName name="xn">#REF!</definedName>
    <definedName name="XTKKTTC">7500</definedName>
    <definedName name="xx" localSheetId="7">#REF!</definedName>
    <definedName name="xx" localSheetId="3">#REF!</definedName>
    <definedName name="xx" localSheetId="6">#REF!</definedName>
    <definedName name="xx">#REF!</definedName>
    <definedName name="y" localSheetId="7">#REF!</definedName>
    <definedName name="y" localSheetId="3">#REF!</definedName>
    <definedName name="y" localSheetId="6">#REF!</definedName>
    <definedName name="y">#REF!</definedName>
    <definedName name="yuyuyu" localSheetId="7" hidden="1">{"'Sheet1'!$L$16"}</definedName>
    <definedName name="yuyuyu" localSheetId="3" hidden="1">{"'Sheet1'!$L$16"}</definedName>
    <definedName name="yuyuyu" localSheetId="6" hidden="1">{"'Sheet1'!$L$16"}</definedName>
    <definedName name="yuyuyu" hidden="1">{"'Sheet1'!$L$16"}</definedName>
    <definedName name="z" localSheetId="3">#REF!</definedName>
    <definedName name="z">#REF!</definedName>
    <definedName name="ZXD" localSheetId="7">#REF!</definedName>
    <definedName name="ZXD" localSheetId="3">#REF!</definedName>
    <definedName name="ZXD">#REF!</definedName>
    <definedName name="ZYX" localSheetId="7">#REF!</definedName>
    <definedName name="ZYX" localSheetId="3">#REF!</definedName>
    <definedName name="ZYX">#REF!</definedName>
    <definedName name="ZZZ" localSheetId="7">#REF!</definedName>
    <definedName name="ZZZ" localSheetId="3">#REF!</definedName>
    <definedName name="ZZZ">#REF!</definedName>
    <definedName name="템플리트모듈1" localSheetId="7">BlankMacro1</definedName>
    <definedName name="템플리트모듈1" localSheetId="3">BlankMacro1</definedName>
    <definedName name="템플리트모듈1" localSheetId="6">BlankMacro1</definedName>
    <definedName name="템플리트모듈1">BlankMacro1</definedName>
    <definedName name="템플리트모듈2" localSheetId="7">BlankMacro1</definedName>
    <definedName name="템플리트모듈2" localSheetId="3">BlankMacro1</definedName>
    <definedName name="템플리트모듈2" localSheetId="6">BlankMacro1</definedName>
    <definedName name="템플리트모듈2">BlankMacro1</definedName>
    <definedName name="템플리트모듈3" localSheetId="7">BlankMacro1</definedName>
    <definedName name="템플리트모듈3" localSheetId="3">BlankMacro1</definedName>
    <definedName name="템플리트모듈3" localSheetId="6">BlankMacro1</definedName>
    <definedName name="템플리트모듈3">BlankMacro1</definedName>
    <definedName name="템플리트모듈4" localSheetId="7">BlankMacro1</definedName>
    <definedName name="템플리트모듈4" localSheetId="3">BlankMacro1</definedName>
    <definedName name="템플리트모듈4" localSheetId="6">BlankMacro1</definedName>
    <definedName name="템플리트모듈4">BlankMacro1</definedName>
    <definedName name="템플리트모듈5" localSheetId="7">BlankMacro1</definedName>
    <definedName name="템플리트모듈5" localSheetId="3">BlankMacro1</definedName>
    <definedName name="템플리트모듈5" localSheetId="6">BlankMacro1</definedName>
    <definedName name="템플리트모듈5">BlankMacro1</definedName>
    <definedName name="템플리트모듈6" localSheetId="7">BlankMacro1</definedName>
    <definedName name="템플리트모듈6" localSheetId="3">BlankMacro1</definedName>
    <definedName name="템플리트모듈6" localSheetId="6">BlankMacro1</definedName>
    <definedName name="템플리트모듈6">BlankMacro1</definedName>
    <definedName name="피팅" localSheetId="7">BlankMacro1</definedName>
    <definedName name="피팅" localSheetId="3">BlankMacro1</definedName>
    <definedName name="피팅" localSheetId="6">BlankMacro1</definedName>
    <definedName name="피팅">BlankMacro1</definedName>
  </definedNames>
  <calcPr calcId="144525" calcOnSave="0"/>
</workbook>
</file>

<file path=xl/calcChain.xml><?xml version="1.0" encoding="utf-8"?>
<calcChain xmlns="http://schemas.openxmlformats.org/spreadsheetml/2006/main">
  <c r="W204" i="71" l="1"/>
  <c r="V1" i="71"/>
  <c r="T9" i="74" l="1"/>
  <c r="S9" i="74"/>
  <c r="R9" i="74"/>
  <c r="U273" i="71"/>
  <c r="K41" i="73" l="1"/>
  <c r="P31" i="74" l="1"/>
  <c r="O29" i="74"/>
  <c r="P29" i="74"/>
  <c r="O30" i="74"/>
  <c r="P30" i="74"/>
  <c r="P28" i="74"/>
  <c r="P26" i="74"/>
  <c r="Q26" i="74"/>
  <c r="Q9" i="74"/>
  <c r="F272" i="71"/>
  <c r="G272" i="71"/>
  <c r="H272" i="71"/>
  <c r="I272" i="71"/>
  <c r="J272" i="71"/>
  <c r="K272" i="71"/>
  <c r="L272" i="71"/>
  <c r="M272" i="71"/>
  <c r="N272" i="71"/>
  <c r="O272" i="71"/>
  <c r="P272" i="71"/>
  <c r="Q272" i="71"/>
  <c r="R272" i="71"/>
  <c r="S272" i="71"/>
  <c r="T272" i="71"/>
  <c r="U272" i="71"/>
  <c r="E272" i="71"/>
  <c r="V280" i="71"/>
  <c r="V279" i="71"/>
  <c r="U101" i="71" l="1"/>
  <c r="V100" i="71"/>
  <c r="U310" i="71"/>
  <c r="M38" i="74" l="1"/>
  <c r="M26" i="74"/>
  <c r="I430" i="71"/>
  <c r="K430" i="71"/>
  <c r="L430" i="71"/>
  <c r="N430" i="71"/>
  <c r="O430" i="71"/>
  <c r="P430" i="71"/>
  <c r="Q430" i="71"/>
  <c r="R430" i="71"/>
  <c r="S430" i="71"/>
  <c r="T430" i="71"/>
  <c r="U430" i="71"/>
  <c r="V244" i="71" l="1"/>
  <c r="L11" i="75" l="1"/>
  <c r="L9" i="75"/>
  <c r="L8" i="75"/>
  <c r="L6" i="75"/>
  <c r="L5" i="75"/>
  <c r="T54" i="71" l="1"/>
  <c r="T184" i="71"/>
  <c r="V183" i="71"/>
  <c r="V182" i="71"/>
  <c r="U171" i="71"/>
  <c r="T171" i="71"/>
  <c r="T170" i="71" l="1"/>
  <c r="U451" i="71" l="1"/>
  <c r="U452" i="71"/>
  <c r="N43" i="74" l="1"/>
  <c r="M44" i="74"/>
  <c r="N28" i="74" l="1"/>
  <c r="E43" i="72" l="1"/>
  <c r="I43" i="72"/>
  <c r="I58" i="72"/>
  <c r="I32" i="72" l="1"/>
  <c r="H62" i="72"/>
  <c r="AB43" i="72"/>
  <c r="Z43" i="72"/>
  <c r="X43" i="72"/>
  <c r="V43" i="72"/>
  <c r="S43" i="72"/>
  <c r="R43" i="72" s="1"/>
  <c r="Q43" i="72"/>
  <c r="O43" i="72"/>
  <c r="M43" i="72"/>
  <c r="G43" i="72"/>
  <c r="K43" i="72"/>
  <c r="AA62" i="72"/>
  <c r="AA63" i="72"/>
  <c r="AA64" i="72"/>
  <c r="AA65" i="72"/>
  <c r="Y62" i="72"/>
  <c r="Y63" i="72"/>
  <c r="Y64" i="72"/>
  <c r="Y65" i="72"/>
  <c r="W62" i="72"/>
  <c r="W63" i="72"/>
  <c r="W64" i="72"/>
  <c r="W65" i="72"/>
  <c r="U62" i="72"/>
  <c r="U63" i="72"/>
  <c r="U64" i="72"/>
  <c r="U65" i="72"/>
  <c r="R62" i="72"/>
  <c r="R63" i="72"/>
  <c r="R64" i="72"/>
  <c r="R65" i="72"/>
  <c r="P62" i="72"/>
  <c r="P63" i="72"/>
  <c r="P64" i="72"/>
  <c r="P65" i="72"/>
  <c r="N62" i="72"/>
  <c r="N63" i="72"/>
  <c r="N64" i="72"/>
  <c r="N65" i="72"/>
  <c r="L62" i="72"/>
  <c r="L63" i="72"/>
  <c r="L64" i="72"/>
  <c r="L65" i="72"/>
  <c r="J62" i="72"/>
  <c r="J63" i="72"/>
  <c r="J64" i="72"/>
  <c r="J65" i="72"/>
  <c r="F62" i="72"/>
  <c r="F63" i="72"/>
  <c r="F64" i="72"/>
  <c r="F65" i="72"/>
  <c r="E62" i="72"/>
  <c r="E63" i="72"/>
  <c r="E64" i="72"/>
  <c r="E65" i="72"/>
  <c r="D62" i="72"/>
  <c r="C62" i="72" s="1"/>
  <c r="D63" i="72"/>
  <c r="C63" i="72" s="1"/>
  <c r="D64" i="72"/>
  <c r="C64" i="72" s="1"/>
  <c r="D65" i="72"/>
  <c r="C65" i="72" s="1"/>
  <c r="H33" i="72"/>
  <c r="H65" i="72"/>
  <c r="H64" i="72"/>
  <c r="I61" i="72"/>
  <c r="H63" i="72"/>
  <c r="U147" i="71"/>
  <c r="T147" i="71"/>
  <c r="T370" i="71"/>
  <c r="I88" i="71"/>
  <c r="I87" i="71" s="1"/>
  <c r="K88" i="71"/>
  <c r="K87" i="71" s="1"/>
  <c r="L88" i="71"/>
  <c r="L87" i="71" s="1"/>
  <c r="O88" i="71"/>
  <c r="O87" i="71" s="1"/>
  <c r="P88" i="71"/>
  <c r="P87" i="71" s="1"/>
  <c r="Q88" i="71"/>
  <c r="Q87" i="71" s="1"/>
  <c r="R88" i="71"/>
  <c r="R87" i="71" s="1"/>
  <c r="S88" i="71"/>
  <c r="S87" i="71" s="1"/>
  <c r="T88" i="71"/>
  <c r="T87" i="71" s="1"/>
  <c r="U88" i="71"/>
  <c r="U87" i="71" s="1"/>
  <c r="K168" i="71"/>
  <c r="L168" i="71"/>
  <c r="N168" i="71"/>
  <c r="O168" i="71"/>
  <c r="P168" i="71"/>
  <c r="Q168" i="71"/>
  <c r="R168" i="71"/>
  <c r="S168" i="71"/>
  <c r="T168" i="71"/>
  <c r="U168" i="71"/>
  <c r="I168" i="71"/>
  <c r="V221" i="71"/>
  <c r="T205" i="71"/>
  <c r="V220" i="71"/>
  <c r="V218" i="71"/>
  <c r="I227" i="71"/>
  <c r="K227" i="71"/>
  <c r="L227" i="71"/>
  <c r="O227" i="71"/>
  <c r="P227" i="71"/>
  <c r="Q227" i="71"/>
  <c r="R227" i="71"/>
  <c r="S227" i="71"/>
  <c r="T227" i="71"/>
  <c r="U227" i="71"/>
  <c r="V235" i="71"/>
  <c r="D43" i="72" l="1"/>
  <c r="C43" i="72" s="1"/>
  <c r="F43" i="72"/>
  <c r="V255" i="71"/>
  <c r="V287" i="71"/>
  <c r="I405" i="71"/>
  <c r="K405" i="71"/>
  <c r="L405" i="71"/>
  <c r="N405" i="71"/>
  <c r="P405" i="71"/>
  <c r="Q405" i="71"/>
  <c r="R405" i="71"/>
  <c r="S405" i="71"/>
  <c r="T405" i="71"/>
  <c r="X10" i="71" s="1"/>
  <c r="U405" i="71"/>
  <c r="V410" i="71"/>
  <c r="V250" i="71"/>
  <c r="V249" i="71"/>
  <c r="I184" i="71"/>
  <c r="K184" i="71"/>
  <c r="L184" i="71"/>
  <c r="N184" i="71"/>
  <c r="O184" i="71"/>
  <c r="P184" i="71"/>
  <c r="Q184" i="71"/>
  <c r="R184" i="71"/>
  <c r="S184" i="71"/>
  <c r="U184" i="71"/>
  <c r="I147" i="71"/>
  <c r="K147" i="71"/>
  <c r="L147" i="71"/>
  <c r="N147" i="71"/>
  <c r="O147" i="71"/>
  <c r="P147" i="71"/>
  <c r="Q147" i="71"/>
  <c r="R147" i="71"/>
  <c r="S147" i="71"/>
  <c r="V161" i="71"/>
  <c r="V98" i="71" l="1"/>
  <c r="U54" i="71"/>
  <c r="S54" i="71"/>
  <c r="V61" i="71"/>
  <c r="L50" i="74"/>
  <c r="K50" i="74"/>
  <c r="J50" i="74"/>
  <c r="I50" i="74"/>
  <c r="J49" i="74"/>
  <c r="J48" i="74"/>
  <c r="J47" i="74" s="1"/>
  <c r="L47" i="74"/>
  <c r="K47" i="74"/>
  <c r="I47" i="74"/>
  <c r="J46" i="74"/>
  <c r="J45" i="74"/>
  <c r="J44" i="74"/>
  <c r="J43" i="74"/>
  <c r="J42" i="74"/>
  <c r="L41" i="74"/>
  <c r="L40" i="74" s="1"/>
  <c r="K41" i="74"/>
  <c r="M41" i="74" s="1"/>
  <c r="I41" i="74"/>
  <c r="I40" i="74"/>
  <c r="J39" i="74"/>
  <c r="J38" i="74" s="1"/>
  <c r="L38" i="74"/>
  <c r="K38" i="74"/>
  <c r="I38" i="74"/>
  <c r="I37" i="74" s="1"/>
  <c r="J34" i="74"/>
  <c r="J33" i="74"/>
  <c r="J32" i="74"/>
  <c r="I31" i="74"/>
  <c r="J29" i="74"/>
  <c r="J23" i="74"/>
  <c r="J22" i="74"/>
  <c r="L21" i="74"/>
  <c r="J21" i="74" s="1"/>
  <c r="J20" i="74"/>
  <c r="J19" i="74"/>
  <c r="K18" i="74"/>
  <c r="I18" i="74"/>
  <c r="J15" i="74"/>
  <c r="K14" i="74"/>
  <c r="J14" i="74" s="1"/>
  <c r="I14" i="74"/>
  <c r="I13" i="74" s="1"/>
  <c r="I12" i="74" s="1"/>
  <c r="I10" i="74" s="1"/>
  <c r="L13" i="74"/>
  <c r="L12" i="74" s="1"/>
  <c r="F50" i="74"/>
  <c r="E50" i="74"/>
  <c r="D50" i="74"/>
  <c r="C50" i="74"/>
  <c r="D49" i="74"/>
  <c r="D48" i="74"/>
  <c r="F47" i="74"/>
  <c r="E47" i="74"/>
  <c r="C47" i="74"/>
  <c r="D46" i="74"/>
  <c r="D45" i="74"/>
  <c r="D44" i="74"/>
  <c r="D43" i="74"/>
  <c r="D42" i="74"/>
  <c r="F41" i="74"/>
  <c r="F40" i="74" s="1"/>
  <c r="E41" i="74"/>
  <c r="C41" i="74"/>
  <c r="C40" i="74" s="1"/>
  <c r="D39" i="74"/>
  <c r="D38" i="74" s="1"/>
  <c r="F38" i="74"/>
  <c r="E38" i="74"/>
  <c r="C38" i="74"/>
  <c r="D35" i="74"/>
  <c r="D34" i="74"/>
  <c r="D33" i="74"/>
  <c r="D32" i="74"/>
  <c r="C31" i="74"/>
  <c r="D30" i="74"/>
  <c r="D29" i="74"/>
  <c r="D28" i="74"/>
  <c r="E26" i="74"/>
  <c r="D26" i="74"/>
  <c r="D23" i="74"/>
  <c r="D22" i="74"/>
  <c r="F21" i="74"/>
  <c r="D21" i="74"/>
  <c r="D20" i="74"/>
  <c r="D19" i="74"/>
  <c r="F18" i="74"/>
  <c r="E18" i="74"/>
  <c r="C18" i="74"/>
  <c r="D15" i="74"/>
  <c r="H14" i="74"/>
  <c r="E14" i="74"/>
  <c r="E13" i="74" s="1"/>
  <c r="C14" i="74"/>
  <c r="F13" i="74"/>
  <c r="F12" i="74" s="1"/>
  <c r="F10" i="74" s="1"/>
  <c r="C13" i="74"/>
  <c r="C12" i="74"/>
  <c r="C10" i="74" s="1"/>
  <c r="L18" i="74" l="1"/>
  <c r="K13" i="74"/>
  <c r="K12" i="74" s="1"/>
  <c r="E31" i="74"/>
  <c r="D31" i="74" s="1"/>
  <c r="J13" i="74"/>
  <c r="J12" i="74" s="1"/>
  <c r="C37" i="74"/>
  <c r="C36" i="74" s="1"/>
  <c r="J18" i="74"/>
  <c r="K40" i="74"/>
  <c r="K37" i="74" s="1"/>
  <c r="K36" i="74" s="1"/>
  <c r="E40" i="74"/>
  <c r="E37" i="74" s="1"/>
  <c r="E36" i="74" s="1"/>
  <c r="I36" i="74"/>
  <c r="L37" i="74"/>
  <c r="L36" i="74" s="1"/>
  <c r="F37" i="74"/>
  <c r="F36" i="74" s="1"/>
  <c r="F9" i="74" s="1"/>
  <c r="J41" i="74"/>
  <c r="J40" i="74" s="1"/>
  <c r="D18" i="74"/>
  <c r="D41" i="74"/>
  <c r="D47" i="74"/>
  <c r="J37" i="74"/>
  <c r="J36" i="74" s="1"/>
  <c r="I9" i="74"/>
  <c r="G13" i="74"/>
  <c r="G19" i="74"/>
  <c r="E12" i="74"/>
  <c r="E10" i="74" s="1"/>
  <c r="E9" i="74" s="1"/>
  <c r="C9" i="74"/>
  <c r="D14" i="74"/>
  <c r="D13" i="74" s="1"/>
  <c r="D12" i="74" s="1"/>
  <c r="D10" i="74" s="1"/>
  <c r="D40" i="74" l="1"/>
  <c r="D37" i="74" s="1"/>
  <c r="D36" i="74" s="1"/>
  <c r="D9" i="74" s="1"/>
  <c r="I42" i="73"/>
  <c r="H42" i="73"/>
  <c r="H32" i="73"/>
  <c r="H28" i="73" s="1"/>
  <c r="H24" i="73" s="1"/>
  <c r="I23" i="73"/>
  <c r="I18" i="73"/>
  <c r="H18" i="73"/>
  <c r="I15" i="73"/>
  <c r="H15" i="73"/>
  <c r="H13" i="73" s="1"/>
  <c r="H11" i="73" s="1"/>
  <c r="I13" i="73"/>
  <c r="I11" i="73" s="1"/>
  <c r="H9" i="73" l="1"/>
  <c r="H8" i="73" s="1"/>
  <c r="G42" i="73"/>
  <c r="F42" i="73"/>
  <c r="E42" i="73"/>
  <c r="D42" i="73"/>
  <c r="C42" i="73"/>
  <c r="F41" i="73"/>
  <c r="D41" i="73"/>
  <c r="E37" i="73"/>
  <c r="G32" i="73"/>
  <c r="G28" i="73" s="1"/>
  <c r="G24" i="73" s="1"/>
  <c r="F32" i="73"/>
  <c r="E32" i="73"/>
  <c r="D32" i="73"/>
  <c r="D30" i="73"/>
  <c r="F28" i="73"/>
  <c r="F24" i="73"/>
  <c r="G23" i="73"/>
  <c r="E21" i="73"/>
  <c r="E18" i="73" s="1"/>
  <c r="G18" i="73"/>
  <c r="F18" i="73"/>
  <c r="D18" i="73"/>
  <c r="C18" i="73"/>
  <c r="G15" i="73"/>
  <c r="G13" i="73" s="1"/>
  <c r="G11" i="73" s="1"/>
  <c r="F15" i="73"/>
  <c r="E15" i="73"/>
  <c r="D15" i="73"/>
  <c r="C15" i="73"/>
  <c r="C13" i="73" s="1"/>
  <c r="C11" i="73" s="1"/>
  <c r="C9" i="73" s="1"/>
  <c r="C8" i="73" s="1"/>
  <c r="F13" i="73"/>
  <c r="F11" i="73" s="1"/>
  <c r="E13" i="73"/>
  <c r="D13" i="73"/>
  <c r="D11" i="73" s="1"/>
  <c r="E11" i="73"/>
  <c r="D28" i="73" l="1"/>
  <c r="D24" i="73" s="1"/>
  <c r="E28" i="73"/>
  <c r="E24" i="73" s="1"/>
  <c r="E9" i="73" s="1"/>
  <c r="E8" i="73" s="1"/>
  <c r="D9" i="73"/>
  <c r="D8" i="73" s="1"/>
  <c r="F9" i="73"/>
  <c r="F8" i="73" s="1"/>
  <c r="G9" i="73"/>
  <c r="G8" i="73" s="1"/>
  <c r="AA82" i="72" l="1"/>
  <c r="Y82" i="72"/>
  <c r="W82" i="72"/>
  <c r="U82" i="72"/>
  <c r="R82" i="72"/>
  <c r="P82" i="72"/>
  <c r="N82" i="72"/>
  <c r="L82" i="72"/>
  <c r="J82" i="72"/>
  <c r="H82" i="72"/>
  <c r="F82" i="72"/>
  <c r="D82" i="72"/>
  <c r="C82" i="72" s="1"/>
  <c r="AA81" i="72"/>
  <c r="Y81" i="72"/>
  <c r="W81" i="72"/>
  <c r="U81" i="72"/>
  <c r="R81" i="72"/>
  <c r="P81" i="72"/>
  <c r="N81" i="72"/>
  <c r="L81" i="72"/>
  <c r="J81" i="72"/>
  <c r="H81" i="72"/>
  <c r="F81" i="72"/>
  <c r="E81" i="72"/>
  <c r="D81" i="72"/>
  <c r="C81" i="72" s="1"/>
  <c r="AA80" i="72"/>
  <c r="Y80" i="72"/>
  <c r="W80" i="72"/>
  <c r="U80" i="72"/>
  <c r="R80" i="72"/>
  <c r="P80" i="72"/>
  <c r="N80" i="72"/>
  <c r="L80" i="72"/>
  <c r="J80" i="72"/>
  <c r="H80" i="72"/>
  <c r="F80" i="72"/>
  <c r="E80" i="72"/>
  <c r="D80" i="72"/>
  <c r="AB79" i="72"/>
  <c r="AA79" i="72" s="1"/>
  <c r="AA78" i="72" s="1"/>
  <c r="Z79" i="72"/>
  <c r="Y79" i="72" s="1"/>
  <c r="Y78" i="72" s="1"/>
  <c r="X79" i="72"/>
  <c r="W79" i="72" s="1"/>
  <c r="U79" i="72"/>
  <c r="S79" i="72"/>
  <c r="R79" i="72"/>
  <c r="R78" i="72" s="1"/>
  <c r="Q79" i="72"/>
  <c r="P79" i="72" s="1"/>
  <c r="O79" i="72"/>
  <c r="N79" i="72" s="1"/>
  <c r="M79" i="72"/>
  <c r="L79" i="72" s="1"/>
  <c r="L78" i="72" s="1"/>
  <c r="J79" i="72"/>
  <c r="J78" i="72" s="1"/>
  <c r="I79" i="72"/>
  <c r="I78" i="72" s="1"/>
  <c r="G79" i="72"/>
  <c r="F79" i="72" s="1"/>
  <c r="E79" i="72"/>
  <c r="E78" i="72" s="1"/>
  <c r="X78" i="72"/>
  <c r="V78" i="72"/>
  <c r="T78" i="72"/>
  <c r="S78" i="72"/>
  <c r="K78" i="72"/>
  <c r="AA77" i="72"/>
  <c r="Y77" i="72"/>
  <c r="W77" i="72"/>
  <c r="U77" i="72"/>
  <c r="R77" i="72"/>
  <c r="P77" i="72"/>
  <c r="N77" i="72"/>
  <c r="L77" i="72"/>
  <c r="J77" i="72"/>
  <c r="H77" i="72"/>
  <c r="F77" i="72"/>
  <c r="E77" i="72"/>
  <c r="D77" i="72"/>
  <c r="AA76" i="72"/>
  <c r="Z76" i="72"/>
  <c r="D76" i="72" s="1"/>
  <c r="W76" i="72"/>
  <c r="U76" i="72"/>
  <c r="R76" i="72"/>
  <c r="P76" i="72"/>
  <c r="N76" i="72"/>
  <c r="L76" i="72"/>
  <c r="J76" i="72"/>
  <c r="H76" i="72"/>
  <c r="F76" i="72"/>
  <c r="E76" i="72"/>
  <c r="AA75" i="72"/>
  <c r="Y75" i="72"/>
  <c r="W75" i="72"/>
  <c r="U75" i="72"/>
  <c r="R75" i="72"/>
  <c r="P75" i="72"/>
  <c r="N75" i="72"/>
  <c r="L75" i="72"/>
  <c r="J75" i="72"/>
  <c r="H75" i="72"/>
  <c r="F75" i="72"/>
  <c r="E75" i="72"/>
  <c r="D75" i="72"/>
  <c r="AA74" i="72"/>
  <c r="Z74" i="72"/>
  <c r="D74" i="72" s="1"/>
  <c r="W74" i="72"/>
  <c r="U74" i="72"/>
  <c r="R74" i="72"/>
  <c r="P74" i="72"/>
  <c r="N74" i="72"/>
  <c r="L74" i="72"/>
  <c r="J74" i="72"/>
  <c r="H74" i="72"/>
  <c r="F74" i="72"/>
  <c r="E74" i="72"/>
  <c r="AA73" i="72"/>
  <c r="Z73" i="72"/>
  <c r="D73" i="72" s="1"/>
  <c r="C73" i="72" s="1"/>
  <c r="W73" i="72"/>
  <c r="U73" i="72"/>
  <c r="R73" i="72"/>
  <c r="P73" i="72"/>
  <c r="N73" i="72"/>
  <c r="L73" i="72"/>
  <c r="J73" i="72"/>
  <c r="H73" i="72"/>
  <c r="F73" i="72"/>
  <c r="E73" i="72"/>
  <c r="AA72" i="72"/>
  <c r="Z72" i="72"/>
  <c r="Y72" i="72" s="1"/>
  <c r="W72" i="72"/>
  <c r="U72" i="72"/>
  <c r="R72" i="72"/>
  <c r="P72" i="72"/>
  <c r="N72" i="72"/>
  <c r="L72" i="72"/>
  <c r="J72" i="72"/>
  <c r="H72" i="72"/>
  <c r="F72" i="72"/>
  <c r="E72" i="72"/>
  <c r="AB71" i="72"/>
  <c r="X71" i="72"/>
  <c r="V71" i="72"/>
  <c r="T71" i="72"/>
  <c r="S71" i="72"/>
  <c r="Q71" i="72"/>
  <c r="O71" i="72"/>
  <c r="M71" i="72"/>
  <c r="K71" i="72"/>
  <c r="I71" i="72"/>
  <c r="G71" i="72"/>
  <c r="AA70" i="72"/>
  <c r="Y70" i="72"/>
  <c r="W70" i="72"/>
  <c r="U70" i="72"/>
  <c r="R70" i="72"/>
  <c r="P70" i="72"/>
  <c r="N70" i="72"/>
  <c r="L70" i="72"/>
  <c r="J70" i="72"/>
  <c r="H70" i="72"/>
  <c r="F70" i="72"/>
  <c r="E70" i="72"/>
  <c r="D70" i="72"/>
  <c r="C70" i="72" s="1"/>
  <c r="AA69" i="72"/>
  <c r="Y69" i="72"/>
  <c r="W69" i="72"/>
  <c r="U69" i="72"/>
  <c r="R69" i="72"/>
  <c r="P69" i="72"/>
  <c r="N69" i="72"/>
  <c r="L69" i="72"/>
  <c r="J69" i="72"/>
  <c r="H69" i="72"/>
  <c r="F69" i="72"/>
  <c r="E69" i="72"/>
  <c r="D69" i="72"/>
  <c r="C69" i="72" s="1"/>
  <c r="AA68" i="72"/>
  <c r="Y68" i="72"/>
  <c r="W68" i="72"/>
  <c r="U68" i="72"/>
  <c r="U67" i="72" s="1"/>
  <c r="R68" i="72"/>
  <c r="P68" i="72"/>
  <c r="N68" i="72"/>
  <c r="L68" i="72"/>
  <c r="J68" i="72"/>
  <c r="H68" i="72"/>
  <c r="F68" i="72"/>
  <c r="E68" i="72"/>
  <c r="E67" i="72" s="1"/>
  <c r="D68" i="72"/>
  <c r="AB67" i="72"/>
  <c r="Z67" i="72"/>
  <c r="X67" i="72"/>
  <c r="V67" i="72"/>
  <c r="V66" i="72" s="1"/>
  <c r="T67" i="72"/>
  <c r="S67" i="72"/>
  <c r="Q67" i="72"/>
  <c r="O67" i="72"/>
  <c r="M67" i="72"/>
  <c r="K67" i="72"/>
  <c r="I67" i="72"/>
  <c r="G67" i="72"/>
  <c r="G66" i="72" s="1"/>
  <c r="AB61" i="72"/>
  <c r="AA61" i="72" s="1"/>
  <c r="Z61" i="72"/>
  <c r="Y61" i="72" s="1"/>
  <c r="X61" i="72"/>
  <c r="W61" i="72" s="1"/>
  <c r="V61" i="72"/>
  <c r="U61" i="72" s="1"/>
  <c r="S61" i="72"/>
  <c r="R61" i="72" s="1"/>
  <c r="Q61" i="72"/>
  <c r="P61" i="72"/>
  <c r="N61" i="72"/>
  <c r="L61" i="72"/>
  <c r="J61" i="72"/>
  <c r="F61" i="72"/>
  <c r="E61" i="72"/>
  <c r="AA60" i="72"/>
  <c r="Y60" i="72"/>
  <c r="W60" i="72"/>
  <c r="U60" i="72"/>
  <c r="R60" i="72"/>
  <c r="P60" i="72"/>
  <c r="N60" i="72"/>
  <c r="L60" i="72"/>
  <c r="J60" i="72"/>
  <c r="H60" i="72"/>
  <c r="F60" i="72"/>
  <c r="E60" i="72"/>
  <c r="D60" i="72"/>
  <c r="C60" i="72" s="1"/>
  <c r="AA59" i="72"/>
  <c r="Y59" i="72"/>
  <c r="W59" i="72"/>
  <c r="U59" i="72"/>
  <c r="R59" i="72"/>
  <c r="P59" i="72"/>
  <c r="N59" i="72"/>
  <c r="L59" i="72"/>
  <c r="J59" i="72"/>
  <c r="H59" i="72"/>
  <c r="F59" i="72"/>
  <c r="E59" i="72"/>
  <c r="D59" i="72"/>
  <c r="C59" i="72" s="1"/>
  <c r="AB58" i="72"/>
  <c r="AA58" i="72" s="1"/>
  <c r="Z58" i="72"/>
  <c r="Y58" i="72"/>
  <c r="X58" i="72"/>
  <c r="W58" i="72" s="1"/>
  <c r="V58" i="72"/>
  <c r="U58" i="72" s="1"/>
  <c r="S58" i="72"/>
  <c r="R58" i="72" s="1"/>
  <c r="Q58" i="72"/>
  <c r="P58" i="72"/>
  <c r="O58" i="72"/>
  <c r="N58" i="72" s="1"/>
  <c r="M58" i="72"/>
  <c r="L58" i="72" s="1"/>
  <c r="K58" i="72"/>
  <c r="J58" i="72" s="1"/>
  <c r="H58" i="72"/>
  <c r="G58" i="72"/>
  <c r="F58" i="72" s="1"/>
  <c r="E58" i="72"/>
  <c r="AA57" i="72"/>
  <c r="Y57" i="72"/>
  <c r="W57" i="72"/>
  <c r="U57" i="72"/>
  <c r="R57" i="72"/>
  <c r="P57" i="72"/>
  <c r="N57" i="72"/>
  <c r="L57" i="72"/>
  <c r="J57" i="72"/>
  <c r="H57" i="72"/>
  <c r="F57" i="72"/>
  <c r="E57" i="72"/>
  <c r="D57" i="72"/>
  <c r="AB56" i="72"/>
  <c r="AA56" i="72" s="1"/>
  <c r="Z56" i="72"/>
  <c r="Y56" i="72" s="1"/>
  <c r="X56" i="72"/>
  <c r="W56" i="72" s="1"/>
  <c r="V56" i="72"/>
  <c r="U56" i="72" s="1"/>
  <c r="S56" i="72"/>
  <c r="R56" i="72" s="1"/>
  <c r="Q56" i="72"/>
  <c r="P56" i="72" s="1"/>
  <c r="O56" i="72"/>
  <c r="N56" i="72" s="1"/>
  <c r="M56" i="72"/>
  <c r="L56" i="72" s="1"/>
  <c r="K56" i="72"/>
  <c r="J56" i="72" s="1"/>
  <c r="I56" i="72"/>
  <c r="H56" i="72" s="1"/>
  <c r="G56" i="72"/>
  <c r="F56" i="72"/>
  <c r="E56" i="72"/>
  <c r="AA55" i="72"/>
  <c r="Y55" i="72"/>
  <c r="W55" i="72"/>
  <c r="U55" i="72"/>
  <c r="R55" i="72"/>
  <c r="P55" i="72"/>
  <c r="N55" i="72"/>
  <c r="L55" i="72"/>
  <c r="J55" i="72"/>
  <c r="H55" i="72"/>
  <c r="F55" i="72"/>
  <c r="E55" i="72"/>
  <c r="D55" i="72"/>
  <c r="AA54" i="72"/>
  <c r="Y54" i="72"/>
  <c r="W54" i="72"/>
  <c r="U54" i="72"/>
  <c r="R54" i="72"/>
  <c r="P54" i="72"/>
  <c r="N54" i="72"/>
  <c r="L54" i="72"/>
  <c r="J54" i="72"/>
  <c r="H54" i="72"/>
  <c r="F54" i="72"/>
  <c r="E54" i="72"/>
  <c r="D54" i="72"/>
  <c r="AA53" i="72"/>
  <c r="Y53" i="72"/>
  <c r="W53" i="72"/>
  <c r="U53" i="72"/>
  <c r="R53" i="72"/>
  <c r="Q53" i="72"/>
  <c r="P53" i="72" s="1"/>
  <c r="N53" i="72"/>
  <c r="L53" i="72"/>
  <c r="J53" i="72"/>
  <c r="H53" i="72"/>
  <c r="F53" i="72"/>
  <c r="E53" i="72"/>
  <c r="AA52" i="72"/>
  <c r="Z52" i="72"/>
  <c r="Y52" i="72" s="1"/>
  <c r="X52" i="72"/>
  <c r="U52" i="72"/>
  <c r="R52" i="72"/>
  <c r="P52" i="72"/>
  <c r="N52" i="72"/>
  <c r="L52" i="72"/>
  <c r="J52" i="72"/>
  <c r="H52" i="72"/>
  <c r="F52" i="72"/>
  <c r="E52" i="72"/>
  <c r="AA51" i="72"/>
  <c r="Y51" i="72"/>
  <c r="W51" i="72"/>
  <c r="U51" i="72"/>
  <c r="R51" i="72"/>
  <c r="P51" i="72"/>
  <c r="N51" i="72"/>
  <c r="L51" i="72"/>
  <c r="J51" i="72"/>
  <c r="H51" i="72"/>
  <c r="F51" i="72"/>
  <c r="E51" i="72"/>
  <c r="D51" i="72"/>
  <c r="AA50" i="72"/>
  <c r="Y50" i="72"/>
  <c r="W50" i="72"/>
  <c r="U50" i="72"/>
  <c r="R50" i="72"/>
  <c r="P50" i="72"/>
  <c r="N50" i="72"/>
  <c r="L50" i="72"/>
  <c r="J50" i="72"/>
  <c r="H50" i="72"/>
  <c r="F50" i="72"/>
  <c r="E50" i="72"/>
  <c r="D50" i="72"/>
  <c r="AA49" i="72"/>
  <c r="Y49" i="72"/>
  <c r="W49" i="72"/>
  <c r="U49" i="72"/>
  <c r="R49" i="72"/>
  <c r="P49" i="72"/>
  <c r="N49" i="72"/>
  <c r="L49" i="72"/>
  <c r="J49" i="72"/>
  <c r="H49" i="72"/>
  <c r="F49" i="72"/>
  <c r="E49" i="72"/>
  <c r="D49" i="72"/>
  <c r="AB48" i="72"/>
  <c r="AA48" i="72" s="1"/>
  <c r="Z48" i="72"/>
  <c r="Y48" i="72" s="1"/>
  <c r="X48" i="72"/>
  <c r="W48" i="72" s="1"/>
  <c r="V48" i="72"/>
  <c r="U48" i="72" s="1"/>
  <c r="S48" i="72"/>
  <c r="R48" i="72" s="1"/>
  <c r="Q48" i="72"/>
  <c r="P48" i="72" s="1"/>
  <c r="O48" i="72"/>
  <c r="N48" i="72" s="1"/>
  <c r="M48" i="72"/>
  <c r="L48" i="72" s="1"/>
  <c r="K48" i="72"/>
  <c r="J48" i="72" s="1"/>
  <c r="I48" i="72"/>
  <c r="H48" i="72" s="1"/>
  <c r="G48" i="72"/>
  <c r="E48" i="72"/>
  <c r="AA47" i="72"/>
  <c r="Y47" i="72"/>
  <c r="W47" i="72"/>
  <c r="U47" i="72"/>
  <c r="R47" i="72"/>
  <c r="P47" i="72"/>
  <c r="N47" i="72"/>
  <c r="L47" i="72"/>
  <c r="J47" i="72"/>
  <c r="H47" i="72"/>
  <c r="F47" i="72"/>
  <c r="E47" i="72"/>
  <c r="D47" i="72"/>
  <c r="AA46" i="72"/>
  <c r="Y46" i="72"/>
  <c r="W46" i="72"/>
  <c r="U46" i="72"/>
  <c r="R46" i="72"/>
  <c r="P46" i="72"/>
  <c r="N46" i="72"/>
  <c r="L46" i="72"/>
  <c r="J46" i="72"/>
  <c r="H46" i="72"/>
  <c r="F46" i="72"/>
  <c r="E46" i="72"/>
  <c r="D46" i="72"/>
  <c r="AA45" i="72"/>
  <c r="Y45" i="72"/>
  <c r="W45" i="72"/>
  <c r="U45" i="72"/>
  <c r="R45" i="72"/>
  <c r="P45" i="72"/>
  <c r="N45" i="72"/>
  <c r="L45" i="72"/>
  <c r="J45" i="72"/>
  <c r="H45" i="72"/>
  <c r="F45" i="72"/>
  <c r="E45" i="72"/>
  <c r="D45" i="72"/>
  <c r="AA44" i="72"/>
  <c r="Y44" i="72"/>
  <c r="W44" i="72"/>
  <c r="U44" i="72"/>
  <c r="R44" i="72"/>
  <c r="P44" i="72"/>
  <c r="N44" i="72"/>
  <c r="L44" i="72"/>
  <c r="J44" i="72"/>
  <c r="H44" i="72"/>
  <c r="F44" i="72"/>
  <c r="E44" i="72"/>
  <c r="D44" i="72"/>
  <c r="AA43" i="72"/>
  <c r="Y43" i="72"/>
  <c r="W43" i="72"/>
  <c r="U43" i="72"/>
  <c r="P43" i="72"/>
  <c r="N43" i="72"/>
  <c r="L43" i="72"/>
  <c r="J43" i="72"/>
  <c r="H43" i="72"/>
  <c r="AA42" i="72"/>
  <c r="Y42" i="72"/>
  <c r="W42" i="72"/>
  <c r="U42" i="72"/>
  <c r="R42" i="72"/>
  <c r="P42" i="72"/>
  <c r="N42" i="72"/>
  <c r="L42" i="72"/>
  <c r="J42" i="72"/>
  <c r="H42" i="72"/>
  <c r="F42" i="72"/>
  <c r="E42" i="72"/>
  <c r="D42" i="72"/>
  <c r="AA41" i="72"/>
  <c r="Y41" i="72"/>
  <c r="W41" i="72"/>
  <c r="U41" i="72"/>
  <c r="R41" i="72"/>
  <c r="P41" i="72"/>
  <c r="N41" i="72"/>
  <c r="L41" i="72"/>
  <c r="J41" i="72"/>
  <c r="H41" i="72"/>
  <c r="F41" i="72"/>
  <c r="E41" i="72"/>
  <c r="D41" i="72"/>
  <c r="AA40" i="72"/>
  <c r="Y40" i="72"/>
  <c r="W40" i="72"/>
  <c r="U40" i="72"/>
  <c r="R40" i="72"/>
  <c r="P40" i="72"/>
  <c r="N40" i="72"/>
  <c r="L40" i="72"/>
  <c r="J40" i="72"/>
  <c r="H40" i="72"/>
  <c r="F40" i="72"/>
  <c r="E40" i="72"/>
  <c r="D40" i="72"/>
  <c r="AB39" i="72"/>
  <c r="Z39" i="72"/>
  <c r="X39" i="72"/>
  <c r="V39" i="72"/>
  <c r="T39" i="72"/>
  <c r="S39" i="72"/>
  <c r="Q39" i="72"/>
  <c r="O39" i="72"/>
  <c r="M39" i="72"/>
  <c r="K39" i="72"/>
  <c r="I39" i="72"/>
  <c r="G39" i="72"/>
  <c r="AA36" i="72"/>
  <c r="Y36" i="72"/>
  <c r="W36" i="72"/>
  <c r="U36" i="72"/>
  <c r="R36" i="72"/>
  <c r="P36" i="72"/>
  <c r="N36" i="72"/>
  <c r="L36" i="72"/>
  <c r="J36" i="72"/>
  <c r="H36" i="72"/>
  <c r="F36" i="72"/>
  <c r="E36" i="72"/>
  <c r="D36" i="72"/>
  <c r="AA35" i="72"/>
  <c r="Y35" i="72"/>
  <c r="W35" i="72"/>
  <c r="U35" i="72"/>
  <c r="R35" i="72"/>
  <c r="P35" i="72"/>
  <c r="N35" i="72"/>
  <c r="L35" i="72"/>
  <c r="L32" i="72" s="1"/>
  <c r="J35" i="72"/>
  <c r="H35" i="72"/>
  <c r="H32" i="72" s="1"/>
  <c r="F35" i="72"/>
  <c r="E35" i="72"/>
  <c r="D35" i="72"/>
  <c r="R34" i="72"/>
  <c r="E34" i="72"/>
  <c r="C34" i="72" s="1"/>
  <c r="AA33" i="72"/>
  <c r="Y33" i="72"/>
  <c r="W33" i="72"/>
  <c r="U33" i="72"/>
  <c r="S33" i="72"/>
  <c r="R33" i="72" s="1"/>
  <c r="P33" i="72"/>
  <c r="N33" i="72"/>
  <c r="L33" i="72"/>
  <c r="J33" i="72"/>
  <c r="F33" i="72"/>
  <c r="E33" i="72"/>
  <c r="AB32" i="72"/>
  <c r="Z32" i="72"/>
  <c r="X32" i="72"/>
  <c r="V32" i="72"/>
  <c r="T32" i="72"/>
  <c r="Q32" i="72"/>
  <c r="O32" i="72"/>
  <c r="M32" i="72"/>
  <c r="K32" i="72"/>
  <c r="G32" i="72"/>
  <c r="AA31" i="72"/>
  <c r="Y31" i="72"/>
  <c r="W31" i="72"/>
  <c r="U31" i="72"/>
  <c r="R31" i="72"/>
  <c r="P31" i="72"/>
  <c r="N31" i="72"/>
  <c r="L31" i="72"/>
  <c r="J31" i="72"/>
  <c r="H31" i="72"/>
  <c r="F31" i="72"/>
  <c r="E31" i="72"/>
  <c r="D31" i="72"/>
  <c r="AA30" i="72"/>
  <c r="AA29" i="72" s="1"/>
  <c r="Y30" i="72"/>
  <c r="W30" i="72"/>
  <c r="U30" i="72"/>
  <c r="R30" i="72"/>
  <c r="P30" i="72"/>
  <c r="N30" i="72"/>
  <c r="L30" i="72"/>
  <c r="J30" i="72"/>
  <c r="J29" i="72" s="1"/>
  <c r="H30" i="72"/>
  <c r="F30" i="72"/>
  <c r="F29" i="72" s="1"/>
  <c r="E30" i="72"/>
  <c r="D30" i="72"/>
  <c r="C30" i="72" s="1"/>
  <c r="AB29" i="72"/>
  <c r="Z29" i="72"/>
  <c r="X29" i="72"/>
  <c r="V29" i="72"/>
  <c r="T29" i="72"/>
  <c r="S29" i="72"/>
  <c r="Q29" i="72"/>
  <c r="O29" i="72"/>
  <c r="M29" i="72"/>
  <c r="K29" i="72"/>
  <c r="I29" i="72"/>
  <c r="G29" i="72"/>
  <c r="AA28" i="72"/>
  <c r="Y28" i="72"/>
  <c r="W28" i="72"/>
  <c r="U28" i="72"/>
  <c r="R28" i="72"/>
  <c r="P28" i="72"/>
  <c r="N28" i="72"/>
  <c r="L28" i="72"/>
  <c r="J28" i="72"/>
  <c r="H28" i="72"/>
  <c r="F28" i="72"/>
  <c r="E28" i="72"/>
  <c r="D28" i="72"/>
  <c r="AA27" i="72"/>
  <c r="Y27" i="72"/>
  <c r="W27" i="72"/>
  <c r="U27" i="72"/>
  <c r="R27" i="72"/>
  <c r="P27" i="72"/>
  <c r="N27" i="72"/>
  <c r="L27" i="72"/>
  <c r="J27" i="72"/>
  <c r="H27" i="72"/>
  <c r="F27" i="72"/>
  <c r="E27" i="72"/>
  <c r="D27" i="72"/>
  <c r="AA26" i="72"/>
  <c r="Y26" i="72"/>
  <c r="W26" i="72"/>
  <c r="U26" i="72"/>
  <c r="R26" i="72"/>
  <c r="P26" i="72"/>
  <c r="N26" i="72"/>
  <c r="L26" i="72"/>
  <c r="J26" i="72"/>
  <c r="H26" i="72"/>
  <c r="F26" i="72"/>
  <c r="E26" i="72"/>
  <c r="D26" i="72"/>
  <c r="AA25" i="72"/>
  <c r="Y25" i="72"/>
  <c r="W25" i="72"/>
  <c r="U25" i="72"/>
  <c r="R25" i="72"/>
  <c r="P25" i="72"/>
  <c r="N25" i="72"/>
  <c r="L25" i="72"/>
  <c r="J25" i="72"/>
  <c r="H25" i="72"/>
  <c r="F25" i="72"/>
  <c r="E25" i="72"/>
  <c r="D25" i="72"/>
  <c r="AA24" i="72"/>
  <c r="Y24" i="72"/>
  <c r="W24" i="72"/>
  <c r="U24" i="72"/>
  <c r="R24" i="72"/>
  <c r="P24" i="72"/>
  <c r="N24" i="72"/>
  <c r="L24" i="72"/>
  <c r="J24" i="72"/>
  <c r="H24" i="72"/>
  <c r="F24" i="72"/>
  <c r="E24" i="72"/>
  <c r="D24" i="72"/>
  <c r="AB23" i="72"/>
  <c r="AA23" i="72" s="1"/>
  <c r="Z23" i="72"/>
  <c r="Y23" i="72" s="1"/>
  <c r="X23" i="72"/>
  <c r="W23" i="72" s="1"/>
  <c r="V23" i="72"/>
  <c r="U23" i="72" s="1"/>
  <c r="S23" i="72"/>
  <c r="R23" i="72" s="1"/>
  <c r="Q23" i="72"/>
  <c r="P23" i="72" s="1"/>
  <c r="O23" i="72"/>
  <c r="N23" i="72" s="1"/>
  <c r="M23" i="72"/>
  <c r="L23" i="72" s="1"/>
  <c r="K23" i="72"/>
  <c r="J23" i="72" s="1"/>
  <c r="I23" i="72"/>
  <c r="H23" i="72" s="1"/>
  <c r="G23" i="72"/>
  <c r="F23" i="72" s="1"/>
  <c r="E23" i="72"/>
  <c r="AA22" i="72"/>
  <c r="Y22" i="72"/>
  <c r="W22" i="72"/>
  <c r="U22" i="72"/>
  <c r="R22" i="72"/>
  <c r="P22" i="72"/>
  <c r="N22" i="72"/>
  <c r="L22" i="72"/>
  <c r="J22" i="72"/>
  <c r="H22" i="72"/>
  <c r="F22" i="72"/>
  <c r="E22" i="72"/>
  <c r="D22" i="72"/>
  <c r="C22" i="72" s="1"/>
  <c r="R21" i="72"/>
  <c r="E21" i="72"/>
  <c r="D21" i="72"/>
  <c r="AA20" i="72"/>
  <c r="AA19" i="72" s="1"/>
  <c r="Y20" i="72"/>
  <c r="Y19" i="72" s="1"/>
  <c r="W20" i="72"/>
  <c r="U20" i="72"/>
  <c r="U19" i="72" s="1"/>
  <c r="R20" i="72"/>
  <c r="P20" i="72"/>
  <c r="P19" i="72" s="1"/>
  <c r="N20" i="72"/>
  <c r="N19" i="72" s="1"/>
  <c r="L20" i="72"/>
  <c r="L19" i="72" s="1"/>
  <c r="J20" i="72"/>
  <c r="J19" i="72" s="1"/>
  <c r="H20" i="72"/>
  <c r="H19" i="72" s="1"/>
  <c r="F20" i="72"/>
  <c r="E20" i="72"/>
  <c r="D20" i="72"/>
  <c r="C20" i="72" s="1"/>
  <c r="AB19" i="72"/>
  <c r="Z19" i="72"/>
  <c r="X19" i="72"/>
  <c r="W19" i="72"/>
  <c r="V19" i="72"/>
  <c r="T19" i="72"/>
  <c r="T15" i="72" s="1"/>
  <c r="S19" i="72"/>
  <c r="Q19" i="72"/>
  <c r="O19" i="72"/>
  <c r="M19" i="72"/>
  <c r="K19" i="72"/>
  <c r="I19" i="72"/>
  <c r="G19" i="72"/>
  <c r="F19" i="72"/>
  <c r="AA18" i="72"/>
  <c r="Y18" i="72"/>
  <c r="W18" i="72"/>
  <c r="U18" i="72"/>
  <c r="R18" i="72"/>
  <c r="P18" i="72"/>
  <c r="N18" i="72"/>
  <c r="L18" i="72"/>
  <c r="J18" i="72"/>
  <c r="H18" i="72"/>
  <c r="F18" i="72"/>
  <c r="E18" i="72"/>
  <c r="C18" i="72" s="1"/>
  <c r="AA17" i="72"/>
  <c r="Y17" i="72"/>
  <c r="W17" i="72"/>
  <c r="U17" i="72"/>
  <c r="R17" i="72"/>
  <c r="P17" i="72"/>
  <c r="N17" i="72"/>
  <c r="L17" i="72"/>
  <c r="J17" i="72"/>
  <c r="H17" i="72"/>
  <c r="E17" i="72"/>
  <c r="D17" i="72"/>
  <c r="AB16" i="72"/>
  <c r="AA16" i="72" s="1"/>
  <c r="Z16" i="72"/>
  <c r="Y16" i="72" s="1"/>
  <c r="W16" i="72"/>
  <c r="V16" i="72"/>
  <c r="S16" i="72"/>
  <c r="R16" i="72" s="1"/>
  <c r="Q16" i="72"/>
  <c r="P16" i="72" s="1"/>
  <c r="O16" i="72"/>
  <c r="N16" i="72" s="1"/>
  <c r="M16" i="72"/>
  <c r="K16" i="72"/>
  <c r="J16" i="72" s="1"/>
  <c r="I16" i="72"/>
  <c r="H16" i="72" s="1"/>
  <c r="G16" i="72"/>
  <c r="F16" i="72" s="1"/>
  <c r="E16" i="72"/>
  <c r="AA14" i="72"/>
  <c r="AA13" i="72" s="1"/>
  <c r="Y14" i="72"/>
  <c r="Y13" i="72" s="1"/>
  <c r="W14" i="72"/>
  <c r="W13" i="72" s="1"/>
  <c r="U14" i="72"/>
  <c r="U13" i="72" s="1"/>
  <c r="R14" i="72"/>
  <c r="R13" i="72" s="1"/>
  <c r="P14" i="72"/>
  <c r="P13" i="72" s="1"/>
  <c r="N14" i="72"/>
  <c r="N13" i="72" s="1"/>
  <c r="L14" i="72"/>
  <c r="L13" i="72" s="1"/>
  <c r="J14" i="72"/>
  <c r="H14" i="72"/>
  <c r="H13" i="72" s="1"/>
  <c r="F14" i="72"/>
  <c r="F13" i="72" s="1"/>
  <c r="E14" i="72"/>
  <c r="E13" i="72" s="1"/>
  <c r="D14" i="72"/>
  <c r="D13" i="72" s="1"/>
  <c r="AB13" i="72"/>
  <c r="Z13" i="72"/>
  <c r="X13" i="72"/>
  <c r="V13" i="72"/>
  <c r="T13" i="72"/>
  <c r="S13" i="72"/>
  <c r="Q13" i="72"/>
  <c r="O13" i="72"/>
  <c r="M13" i="72"/>
  <c r="K13" i="72"/>
  <c r="J13" i="72"/>
  <c r="I13" i="72"/>
  <c r="G13" i="72"/>
  <c r="AB10" i="72"/>
  <c r="AA10" i="72" s="1"/>
  <c r="AA9" i="72" s="1"/>
  <c r="Y10" i="72"/>
  <c r="Y9" i="72" s="1"/>
  <c r="W10" i="72"/>
  <c r="W9" i="72" s="1"/>
  <c r="V10" i="72"/>
  <c r="U10" i="72" s="1"/>
  <c r="U9" i="72" s="1"/>
  <c r="R10" i="72"/>
  <c r="R9" i="72" s="1"/>
  <c r="P10" i="72"/>
  <c r="N10" i="72"/>
  <c r="N9" i="72" s="1"/>
  <c r="L10" i="72"/>
  <c r="L9" i="72" s="1"/>
  <c r="J10" i="72"/>
  <c r="J9" i="72" s="1"/>
  <c r="I10" i="72"/>
  <c r="H10" i="72" s="1"/>
  <c r="H9" i="72" s="1"/>
  <c r="F10" i="72"/>
  <c r="F9" i="72" s="1"/>
  <c r="E10" i="72"/>
  <c r="E9" i="72" s="1"/>
  <c r="Z9" i="72"/>
  <c r="X9" i="72"/>
  <c r="T9" i="72"/>
  <c r="S9" i="72"/>
  <c r="Q9" i="72"/>
  <c r="P9" i="72"/>
  <c r="O9" i="72"/>
  <c r="M9" i="72"/>
  <c r="K9" i="72"/>
  <c r="G9" i="72"/>
  <c r="E29" i="72" l="1"/>
  <c r="J32" i="72"/>
  <c r="R32" i="72"/>
  <c r="S66" i="72"/>
  <c r="E71" i="72"/>
  <c r="E66" i="72" s="1"/>
  <c r="H29" i="72"/>
  <c r="P29" i="72"/>
  <c r="Y29" i="72"/>
  <c r="C40" i="72"/>
  <c r="M66" i="72"/>
  <c r="T66" i="72"/>
  <c r="T12" i="72" s="1"/>
  <c r="T11" i="72" s="1"/>
  <c r="T8" i="72" s="1"/>
  <c r="T7" i="72" s="1"/>
  <c r="N71" i="72"/>
  <c r="C77" i="72"/>
  <c r="AA32" i="72"/>
  <c r="L71" i="72"/>
  <c r="U32" i="72"/>
  <c r="D53" i="72"/>
  <c r="D61" i="72"/>
  <c r="P71" i="72"/>
  <c r="W71" i="72"/>
  <c r="Z15" i="72"/>
  <c r="N32" i="72"/>
  <c r="AB66" i="72"/>
  <c r="P67" i="72"/>
  <c r="D72" i="72"/>
  <c r="C72" i="72" s="1"/>
  <c r="C74" i="72"/>
  <c r="F71" i="72"/>
  <c r="F78" i="72"/>
  <c r="AB9" i="72"/>
  <c r="M15" i="72"/>
  <c r="V15" i="72"/>
  <c r="V12" i="72" s="1"/>
  <c r="V11" i="72" s="1"/>
  <c r="C31" i="72"/>
  <c r="C29" i="72" s="1"/>
  <c r="F32" i="72"/>
  <c r="C55" i="72"/>
  <c r="I66" i="72"/>
  <c r="Q66" i="72"/>
  <c r="D67" i="72"/>
  <c r="H67" i="72"/>
  <c r="Y67" i="72"/>
  <c r="O66" i="72"/>
  <c r="U71" i="72"/>
  <c r="U66" i="72" s="1"/>
  <c r="J71" i="72"/>
  <c r="G78" i="72"/>
  <c r="U78" i="72"/>
  <c r="C54" i="72"/>
  <c r="F39" i="72"/>
  <c r="C42" i="72"/>
  <c r="U16" i="72"/>
  <c r="C17" i="72"/>
  <c r="AB15" i="72"/>
  <c r="C46" i="72"/>
  <c r="R71" i="72"/>
  <c r="C75" i="72"/>
  <c r="N78" i="72"/>
  <c r="C80" i="72"/>
  <c r="L29" i="72"/>
  <c r="Z71" i="72"/>
  <c r="Z78" i="72"/>
  <c r="P78" i="72"/>
  <c r="I15" i="72"/>
  <c r="E19" i="72"/>
  <c r="E15" i="72" s="1"/>
  <c r="C24" i="72"/>
  <c r="N29" i="72"/>
  <c r="U29" i="72"/>
  <c r="M78" i="72"/>
  <c r="AB78" i="72"/>
  <c r="L16" i="72"/>
  <c r="C36" i="72"/>
  <c r="D48" i="72"/>
  <c r="C48" i="72" s="1"/>
  <c r="X66" i="72"/>
  <c r="J67" i="72"/>
  <c r="AA67" i="72"/>
  <c r="K66" i="72"/>
  <c r="H71" i="72"/>
  <c r="O78" i="72"/>
  <c r="Q15" i="72"/>
  <c r="M12" i="72"/>
  <c r="M11" i="72" s="1"/>
  <c r="M8" i="72" s="1"/>
  <c r="M7" i="72" s="1"/>
  <c r="R39" i="72"/>
  <c r="Y39" i="72"/>
  <c r="L67" i="72"/>
  <c r="R67" i="72"/>
  <c r="R66" i="72" s="1"/>
  <c r="Q78" i="72"/>
  <c r="S32" i="72"/>
  <c r="C14" i="72"/>
  <c r="C13" i="72" s="1"/>
  <c r="X15" i="72"/>
  <c r="D33" i="72"/>
  <c r="C33" i="72" s="1"/>
  <c r="C32" i="72" s="1"/>
  <c r="P32" i="72"/>
  <c r="E39" i="72"/>
  <c r="N67" i="72"/>
  <c r="N66" i="72" s="1"/>
  <c r="AA71" i="72"/>
  <c r="Y74" i="72"/>
  <c r="W78" i="72"/>
  <c r="Z66" i="72"/>
  <c r="N39" i="72"/>
  <c r="F48" i="72"/>
  <c r="C49" i="72"/>
  <c r="D52" i="72"/>
  <c r="C52" i="72" s="1"/>
  <c r="AA66" i="72"/>
  <c r="E32" i="72"/>
  <c r="R29" i="72"/>
  <c r="W32" i="72"/>
  <c r="Y73" i="72"/>
  <c r="K15" i="72"/>
  <c r="K12" i="72" s="1"/>
  <c r="K11" i="72" s="1"/>
  <c r="K8" i="72" s="1"/>
  <c r="K7" i="72" s="1"/>
  <c r="Y32" i="72"/>
  <c r="J39" i="72"/>
  <c r="AA39" i="72"/>
  <c r="P39" i="72"/>
  <c r="Z12" i="72"/>
  <c r="Z11" i="72" s="1"/>
  <c r="Z8" i="72" s="1"/>
  <c r="Z7" i="72" s="1"/>
  <c r="D29" i="72"/>
  <c r="W29" i="72"/>
  <c r="C57" i="72"/>
  <c r="C61" i="72"/>
  <c r="C68" i="72"/>
  <c r="V9" i="72"/>
  <c r="U39" i="72"/>
  <c r="F67" i="72"/>
  <c r="F66" i="72" s="1"/>
  <c r="W67" i="72"/>
  <c r="S15" i="72"/>
  <c r="C35" i="72"/>
  <c r="L39" i="72"/>
  <c r="C28" i="72"/>
  <c r="R19" i="72"/>
  <c r="R15" i="72" s="1"/>
  <c r="C44" i="72"/>
  <c r="C51" i="72"/>
  <c r="H39" i="72"/>
  <c r="C53" i="72"/>
  <c r="C41" i="72"/>
  <c r="C26" i="72"/>
  <c r="J15" i="72"/>
  <c r="N15" i="72"/>
  <c r="C21" i="72"/>
  <c r="C19" i="72" s="1"/>
  <c r="L15" i="72"/>
  <c r="U15" i="72"/>
  <c r="D19" i="72"/>
  <c r="C25" i="72"/>
  <c r="C50" i="72"/>
  <c r="C27" i="72"/>
  <c r="C45" i="72"/>
  <c r="W39" i="72"/>
  <c r="C47" i="72"/>
  <c r="F15" i="72"/>
  <c r="W15" i="72"/>
  <c r="H15" i="72"/>
  <c r="Y15" i="72"/>
  <c r="AA15" i="72"/>
  <c r="C67" i="72"/>
  <c r="P15" i="72"/>
  <c r="C76" i="72"/>
  <c r="D16" i="72"/>
  <c r="W52" i="72"/>
  <c r="D58" i="72"/>
  <c r="C58" i="72" s="1"/>
  <c r="H61" i="72"/>
  <c r="Y76" i="72"/>
  <c r="H79" i="72"/>
  <c r="H78" i="72" s="1"/>
  <c r="D10" i="72"/>
  <c r="G15" i="72"/>
  <c r="O15" i="72"/>
  <c r="D39" i="72"/>
  <c r="D56" i="72"/>
  <c r="C56" i="72" s="1"/>
  <c r="I9" i="72"/>
  <c r="D23" i="72"/>
  <c r="C23" i="72" s="1"/>
  <c r="D79" i="72"/>
  <c r="D32" i="72" l="1"/>
  <c r="H66" i="72"/>
  <c r="D71" i="72"/>
  <c r="D66" i="72" s="1"/>
  <c r="P66" i="72"/>
  <c r="O12" i="72"/>
  <c r="O11" i="72" s="1"/>
  <c r="O8" i="72" s="1"/>
  <c r="O7" i="72" s="1"/>
  <c r="X12" i="72"/>
  <c r="X11" i="72" s="1"/>
  <c r="X8" i="72" s="1"/>
  <c r="X7" i="72" s="1"/>
  <c r="AB12" i="72"/>
  <c r="AB11" i="72" s="1"/>
  <c r="AB8" i="72" s="1"/>
  <c r="AB7" i="72" s="1"/>
  <c r="G12" i="72"/>
  <c r="G11" i="72" s="1"/>
  <c r="G8" i="72" s="1"/>
  <c r="G7" i="72" s="1"/>
  <c r="N12" i="72"/>
  <c r="N11" i="72" s="1"/>
  <c r="N8" i="72" s="1"/>
  <c r="N7" i="72" s="1"/>
  <c r="R12" i="72"/>
  <c r="R11" i="72" s="1"/>
  <c r="R8" i="72" s="1"/>
  <c r="R7" i="72" s="1"/>
  <c r="V8" i="72"/>
  <c r="V7" i="72" s="1"/>
  <c r="L66" i="72"/>
  <c r="L12" i="72" s="1"/>
  <c r="L11" i="72" s="1"/>
  <c r="L8" i="72" s="1"/>
  <c r="L7" i="72" s="1"/>
  <c r="Q12" i="72"/>
  <c r="Q11" i="72" s="1"/>
  <c r="Q8" i="72" s="1"/>
  <c r="Q7" i="72" s="1"/>
  <c r="I12" i="72"/>
  <c r="I11" i="72" s="1"/>
  <c r="I8" i="72" s="1"/>
  <c r="I7" i="72" s="1"/>
  <c r="C71" i="72"/>
  <c r="C66" i="72" s="1"/>
  <c r="W66" i="72"/>
  <c r="W12" i="72" s="1"/>
  <c r="W11" i="72" s="1"/>
  <c r="W8" i="72" s="1"/>
  <c r="W7" i="72" s="1"/>
  <c r="J66" i="72"/>
  <c r="AA12" i="72"/>
  <c r="AA11" i="72" s="1"/>
  <c r="AA8" i="72" s="1"/>
  <c r="AA7" i="72" s="1"/>
  <c r="E12" i="72"/>
  <c r="E11" i="72" s="1"/>
  <c r="E8" i="72" s="1"/>
  <c r="E7" i="72" s="1"/>
  <c r="C39" i="72"/>
  <c r="S12" i="72"/>
  <c r="S11" i="72" s="1"/>
  <c r="S8" i="72" s="1"/>
  <c r="S7" i="72" s="1"/>
  <c r="J12" i="72"/>
  <c r="J11" i="72" s="1"/>
  <c r="J8" i="72" s="1"/>
  <c r="J7" i="72" s="1"/>
  <c r="F12" i="72"/>
  <c r="F11" i="72" s="1"/>
  <c r="F8" i="72" s="1"/>
  <c r="F7" i="72" s="1"/>
  <c r="P12" i="72"/>
  <c r="P11" i="72" s="1"/>
  <c r="P8" i="72" s="1"/>
  <c r="P7" i="72" s="1"/>
  <c r="U12" i="72"/>
  <c r="U11" i="72" s="1"/>
  <c r="U8" i="72" s="1"/>
  <c r="U7" i="72" s="1"/>
  <c r="Y71" i="72"/>
  <c r="Y66" i="72" s="1"/>
  <c r="Y12" i="72" s="1"/>
  <c r="Y11" i="72" s="1"/>
  <c r="Y8" i="72" s="1"/>
  <c r="Y7" i="72" s="1"/>
  <c r="H12" i="72"/>
  <c r="H11" i="72" s="1"/>
  <c r="H8" i="72" s="1"/>
  <c r="H7" i="72" s="1"/>
  <c r="C16" i="72"/>
  <c r="D15" i="72"/>
  <c r="C79" i="72"/>
  <c r="C78" i="72" s="1"/>
  <c r="D78" i="72"/>
  <c r="D9" i="72"/>
  <c r="C10" i="72"/>
  <c r="C9" i="72" s="1"/>
  <c r="C15" i="72" l="1"/>
  <c r="C12" i="72" s="1"/>
  <c r="C11" i="72" s="1"/>
  <c r="D12" i="72"/>
  <c r="D11" i="72" s="1"/>
  <c r="C8" i="72" l="1"/>
  <c r="C7" i="72" s="1"/>
  <c r="D8" i="72"/>
  <c r="D7" i="72" s="1"/>
  <c r="L31" i="74"/>
  <c r="L26" i="74" s="1"/>
  <c r="L10" i="74" s="1"/>
  <c r="L9" i="74" s="1"/>
  <c r="N9" i="74" s="1"/>
  <c r="J443" i="71"/>
  <c r="E443" i="71"/>
  <c r="V443" i="71" s="1"/>
  <c r="J442" i="71"/>
  <c r="E442" i="71"/>
  <c r="V442" i="71" s="1"/>
  <c r="M441" i="71"/>
  <c r="J441" i="71"/>
  <c r="M440" i="71"/>
  <c r="J440" i="71"/>
  <c r="J439" i="71" s="1"/>
  <c r="J438" i="71" s="1"/>
  <c r="R439" i="71"/>
  <c r="R438" i="71" s="1"/>
  <c r="Q439" i="71"/>
  <c r="Q438" i="71" s="1"/>
  <c r="P439" i="71"/>
  <c r="P438" i="71" s="1"/>
  <c r="O439" i="71"/>
  <c r="O438" i="71" s="1"/>
  <c r="N439" i="71"/>
  <c r="N438" i="71" s="1"/>
  <c r="K439" i="71"/>
  <c r="K438" i="71" s="1"/>
  <c r="I439" i="71"/>
  <c r="I438" i="71" s="1"/>
  <c r="C439" i="71"/>
  <c r="C438" i="71" s="1"/>
  <c r="M437" i="71"/>
  <c r="J437" i="71"/>
  <c r="M436" i="71"/>
  <c r="J436" i="71"/>
  <c r="R435" i="71"/>
  <c r="Q435" i="71"/>
  <c r="P435" i="71"/>
  <c r="O435" i="71"/>
  <c r="N435" i="71"/>
  <c r="K435" i="71"/>
  <c r="I435" i="71"/>
  <c r="C435" i="71"/>
  <c r="O433" i="71"/>
  <c r="M433" i="71" s="1"/>
  <c r="J433" i="71"/>
  <c r="M432" i="71"/>
  <c r="J432" i="71"/>
  <c r="M431" i="71"/>
  <c r="M430" i="71" s="1"/>
  <c r="J431" i="71"/>
  <c r="D430" i="71"/>
  <c r="C430" i="71"/>
  <c r="M429" i="71"/>
  <c r="J429" i="71"/>
  <c r="M428" i="71"/>
  <c r="J428" i="71"/>
  <c r="M427" i="71"/>
  <c r="J427" i="71"/>
  <c r="M426" i="71"/>
  <c r="J426" i="71"/>
  <c r="H426" i="71" s="1"/>
  <c r="G426" i="71" s="1"/>
  <c r="E426" i="71" s="1"/>
  <c r="M425" i="71"/>
  <c r="J425" i="71"/>
  <c r="M424" i="71"/>
  <c r="J424" i="71"/>
  <c r="M423" i="71"/>
  <c r="J423" i="71"/>
  <c r="M422" i="71"/>
  <c r="J422" i="71"/>
  <c r="M421" i="71"/>
  <c r="J421" i="71"/>
  <c r="M420" i="71"/>
  <c r="J420" i="71"/>
  <c r="M419" i="71"/>
  <c r="J419" i="71"/>
  <c r="M418" i="71"/>
  <c r="J418" i="71"/>
  <c r="M417" i="71"/>
  <c r="J417" i="71"/>
  <c r="S416" i="71"/>
  <c r="R416" i="71"/>
  <c r="Q416" i="71"/>
  <c r="P416" i="71"/>
  <c r="O416" i="71"/>
  <c r="N416" i="71"/>
  <c r="K416" i="71"/>
  <c r="J416" i="71" s="1"/>
  <c r="I416" i="71"/>
  <c r="C416" i="71"/>
  <c r="U415" i="71"/>
  <c r="T415" i="71"/>
  <c r="S415" i="71"/>
  <c r="R415" i="71"/>
  <c r="Q415" i="71"/>
  <c r="P415" i="71"/>
  <c r="O415" i="71"/>
  <c r="N415" i="71"/>
  <c r="K415" i="71"/>
  <c r="I415" i="71"/>
  <c r="C415" i="71"/>
  <c r="M414" i="71"/>
  <c r="J414" i="71"/>
  <c r="M413" i="71"/>
  <c r="J413" i="71"/>
  <c r="M412" i="71"/>
  <c r="J412" i="71"/>
  <c r="H412" i="71" s="1"/>
  <c r="U411" i="71"/>
  <c r="U404" i="71" s="1"/>
  <c r="T411" i="71"/>
  <c r="T404" i="71" s="1"/>
  <c r="S411" i="71"/>
  <c r="R411" i="71"/>
  <c r="Q411" i="71"/>
  <c r="P411" i="71"/>
  <c r="O411" i="71"/>
  <c r="N411" i="71"/>
  <c r="N404" i="71" s="1"/>
  <c r="K411" i="71"/>
  <c r="K404" i="71" s="1"/>
  <c r="I411" i="71"/>
  <c r="C411" i="71"/>
  <c r="F410" i="71"/>
  <c r="M409" i="71"/>
  <c r="J409" i="71"/>
  <c r="M408" i="71"/>
  <c r="J408" i="71"/>
  <c r="O407" i="71"/>
  <c r="M407" i="71" s="1"/>
  <c r="J407" i="71"/>
  <c r="O406" i="71"/>
  <c r="J406" i="71"/>
  <c r="Q404" i="71"/>
  <c r="C405" i="71"/>
  <c r="M403" i="71"/>
  <c r="J403" i="71"/>
  <c r="M402" i="71"/>
  <c r="J402" i="71"/>
  <c r="M401" i="71"/>
  <c r="H401" i="71" s="1"/>
  <c r="G401" i="71" s="1"/>
  <c r="E401" i="71" s="1"/>
  <c r="M400" i="71"/>
  <c r="H400" i="71" s="1"/>
  <c r="G400" i="71" s="1"/>
  <c r="E400" i="71" s="1"/>
  <c r="M399" i="71"/>
  <c r="J399" i="71"/>
  <c r="M398" i="71"/>
  <c r="J398" i="71"/>
  <c r="M397" i="71"/>
  <c r="H397" i="71" s="1"/>
  <c r="G397" i="71" s="1"/>
  <c r="E397" i="71" s="1"/>
  <c r="N396" i="71"/>
  <c r="N394" i="71" s="1"/>
  <c r="J396" i="71"/>
  <c r="M395" i="71"/>
  <c r="J395" i="71"/>
  <c r="U394" i="71"/>
  <c r="T394" i="71"/>
  <c r="S394" i="71"/>
  <c r="R394" i="71"/>
  <c r="Q394" i="71"/>
  <c r="P394" i="71"/>
  <c r="O394" i="71"/>
  <c r="L394" i="71"/>
  <c r="K394" i="71"/>
  <c r="I394" i="71"/>
  <c r="C394" i="71"/>
  <c r="M393" i="71"/>
  <c r="H393" i="71" s="1"/>
  <c r="G393" i="71" s="1"/>
  <c r="E393" i="71" s="1"/>
  <c r="F393" i="71" s="1"/>
  <c r="M392" i="71"/>
  <c r="H392" i="71" s="1"/>
  <c r="G392" i="71" s="1"/>
  <c r="E392" i="71" s="1"/>
  <c r="F392" i="71" s="1"/>
  <c r="M391" i="71"/>
  <c r="J391" i="71"/>
  <c r="M390" i="71"/>
  <c r="J390" i="71"/>
  <c r="M389" i="71"/>
  <c r="H389" i="71" s="1"/>
  <c r="G389" i="71" s="1"/>
  <c r="E389" i="71" s="1"/>
  <c r="N388" i="71"/>
  <c r="J388" i="71"/>
  <c r="M387" i="71"/>
  <c r="J387" i="71"/>
  <c r="U386" i="71"/>
  <c r="T386" i="71"/>
  <c r="S386" i="71"/>
  <c r="R386" i="71"/>
  <c r="Q386" i="71"/>
  <c r="P386" i="71"/>
  <c r="O386" i="71"/>
  <c r="L386" i="71"/>
  <c r="K386" i="71"/>
  <c r="I386" i="71"/>
  <c r="C386" i="71"/>
  <c r="M385" i="71"/>
  <c r="J385" i="71"/>
  <c r="M384" i="71"/>
  <c r="J384" i="71"/>
  <c r="M383" i="71"/>
  <c r="J383" i="71"/>
  <c r="M382" i="71"/>
  <c r="H382" i="71" s="1"/>
  <c r="G382" i="71" s="1"/>
  <c r="E382" i="71" s="1"/>
  <c r="N381" i="71"/>
  <c r="M381" i="71" s="1"/>
  <c r="J381" i="71"/>
  <c r="M380" i="71"/>
  <c r="J380" i="71"/>
  <c r="U379" i="71"/>
  <c r="T379" i="71"/>
  <c r="S379" i="71"/>
  <c r="R379" i="71"/>
  <c r="Q379" i="71"/>
  <c r="P379" i="71"/>
  <c r="O379" i="71"/>
  <c r="L379" i="71"/>
  <c r="K379" i="71"/>
  <c r="I379" i="71"/>
  <c r="C379" i="71"/>
  <c r="M377" i="71"/>
  <c r="J377" i="71"/>
  <c r="M376" i="71"/>
  <c r="J376" i="71"/>
  <c r="M375" i="71"/>
  <c r="J375" i="71"/>
  <c r="M374" i="71"/>
  <c r="J374" i="71"/>
  <c r="M373" i="71"/>
  <c r="H373" i="71" s="1"/>
  <c r="G373" i="71" s="1"/>
  <c r="E373" i="71" s="1"/>
  <c r="N372" i="71"/>
  <c r="N370" i="71" s="1"/>
  <c r="J372" i="71"/>
  <c r="M371" i="71"/>
  <c r="H371" i="71" s="1"/>
  <c r="G371" i="71" s="1"/>
  <c r="U370" i="71"/>
  <c r="S370" i="71"/>
  <c r="R370" i="71"/>
  <c r="Q370" i="71"/>
  <c r="P370" i="71"/>
  <c r="O370" i="71"/>
  <c r="L370" i="71"/>
  <c r="K370" i="71"/>
  <c r="I370" i="71"/>
  <c r="C370" i="71"/>
  <c r="M369" i="71"/>
  <c r="H369" i="71" s="1"/>
  <c r="G369" i="71" s="1"/>
  <c r="E369" i="71" s="1"/>
  <c r="M368" i="71"/>
  <c r="J368" i="71"/>
  <c r="M367" i="71"/>
  <c r="J367" i="71"/>
  <c r="M366" i="71"/>
  <c r="J366" i="71"/>
  <c r="M365" i="71"/>
  <c r="H365" i="71" s="1"/>
  <c r="G365" i="71" s="1"/>
  <c r="E365" i="71" s="1"/>
  <c r="F365" i="71" s="1"/>
  <c r="N364" i="71"/>
  <c r="N362" i="71" s="1"/>
  <c r="J364" i="71"/>
  <c r="M363" i="71"/>
  <c r="H363" i="71" s="1"/>
  <c r="U362" i="71"/>
  <c r="T362" i="71"/>
  <c r="S362" i="71"/>
  <c r="R362" i="71"/>
  <c r="Q362" i="71"/>
  <c r="P362" i="71"/>
  <c r="O362" i="71"/>
  <c r="L362" i="71"/>
  <c r="K362" i="71"/>
  <c r="I362" i="71"/>
  <c r="C362" i="71"/>
  <c r="M361" i="71"/>
  <c r="J361" i="71"/>
  <c r="M360" i="71"/>
  <c r="J360" i="71"/>
  <c r="J359" i="71" s="1"/>
  <c r="U359" i="71"/>
  <c r="T359" i="71"/>
  <c r="S359" i="71"/>
  <c r="R359" i="71"/>
  <c r="Q359" i="71"/>
  <c r="P359" i="71"/>
  <c r="O359" i="71"/>
  <c r="N359" i="71"/>
  <c r="K359" i="71"/>
  <c r="I359" i="71"/>
  <c r="C359" i="71"/>
  <c r="F358" i="71"/>
  <c r="M357" i="71"/>
  <c r="J357" i="71"/>
  <c r="M356" i="71"/>
  <c r="H356" i="71" s="1"/>
  <c r="G356" i="71" s="1"/>
  <c r="E356" i="71" s="1"/>
  <c r="N355" i="71"/>
  <c r="N353" i="71" s="1"/>
  <c r="J355" i="71"/>
  <c r="M354" i="71"/>
  <c r="H354" i="71" s="1"/>
  <c r="G354" i="71" s="1"/>
  <c r="U353" i="71"/>
  <c r="T353" i="71"/>
  <c r="S353" i="71"/>
  <c r="R353" i="71"/>
  <c r="Q353" i="71"/>
  <c r="P353" i="71"/>
  <c r="O353" i="71"/>
  <c r="L353" i="71"/>
  <c r="K353" i="71"/>
  <c r="I353" i="71"/>
  <c r="C353" i="71"/>
  <c r="L352" i="71"/>
  <c r="M351" i="71"/>
  <c r="J351" i="71"/>
  <c r="M350" i="71"/>
  <c r="J350" i="71"/>
  <c r="V349" i="71"/>
  <c r="F349" i="71"/>
  <c r="V348" i="71"/>
  <c r="F348" i="71"/>
  <c r="M347" i="71"/>
  <c r="J347" i="71"/>
  <c r="M346" i="71"/>
  <c r="J346" i="71"/>
  <c r="U345" i="71"/>
  <c r="T345" i="71"/>
  <c r="S345" i="71"/>
  <c r="R345" i="71"/>
  <c r="Q345" i="71"/>
  <c r="P345" i="71"/>
  <c r="O345" i="71"/>
  <c r="N345" i="71"/>
  <c r="K345" i="71"/>
  <c r="I345" i="71"/>
  <c r="C345" i="71"/>
  <c r="M344" i="71"/>
  <c r="J344" i="71"/>
  <c r="M343" i="71"/>
  <c r="H343" i="71" s="1"/>
  <c r="G343" i="71" s="1"/>
  <c r="E343" i="71" s="1"/>
  <c r="N342" i="71"/>
  <c r="J342" i="71"/>
  <c r="M341" i="71"/>
  <c r="H341" i="71" s="1"/>
  <c r="G341" i="71" s="1"/>
  <c r="E341" i="71" s="1"/>
  <c r="V341" i="71" s="1"/>
  <c r="U340" i="71"/>
  <c r="T340" i="71"/>
  <c r="S340" i="71"/>
  <c r="R340" i="71"/>
  <c r="Q340" i="71"/>
  <c r="P340" i="71"/>
  <c r="O340" i="71"/>
  <c r="L340" i="71"/>
  <c r="L339" i="71" s="1"/>
  <c r="K340" i="71"/>
  <c r="I340" i="71"/>
  <c r="C340" i="71"/>
  <c r="R339" i="71"/>
  <c r="M338" i="71"/>
  <c r="J338" i="71"/>
  <c r="C338" i="71"/>
  <c r="C330" i="71" s="1"/>
  <c r="M337" i="71"/>
  <c r="H337" i="71" s="1"/>
  <c r="G337" i="71" s="1"/>
  <c r="E337" i="71" s="1"/>
  <c r="M336" i="71"/>
  <c r="J336" i="71"/>
  <c r="M335" i="71"/>
  <c r="J335" i="71"/>
  <c r="M334" i="71"/>
  <c r="J334" i="71"/>
  <c r="M333" i="71"/>
  <c r="H333" i="71" s="1"/>
  <c r="G333" i="71" s="1"/>
  <c r="E333" i="71" s="1"/>
  <c r="N332" i="71"/>
  <c r="M332" i="71" s="1"/>
  <c r="J332" i="71"/>
  <c r="M331" i="71"/>
  <c r="H331" i="71" s="1"/>
  <c r="G331" i="71" s="1"/>
  <c r="E331" i="71" s="1"/>
  <c r="F331" i="71" s="1"/>
  <c r="U330" i="71"/>
  <c r="T330" i="71"/>
  <c r="S330" i="71"/>
  <c r="R330" i="71"/>
  <c r="Q330" i="71"/>
  <c r="P330" i="71"/>
  <c r="O330" i="71"/>
  <c r="L330" i="71"/>
  <c r="K330" i="71"/>
  <c r="I330" i="71"/>
  <c r="D330" i="71"/>
  <c r="D270" i="71" s="1"/>
  <c r="D167" i="71" s="1"/>
  <c r="H329" i="71"/>
  <c r="G329" i="71" s="1"/>
  <c r="E329" i="71" s="1"/>
  <c r="M328" i="71"/>
  <c r="J328" i="71"/>
  <c r="M327" i="71"/>
  <c r="J327" i="71"/>
  <c r="M326" i="71"/>
  <c r="J326" i="71"/>
  <c r="U325" i="71"/>
  <c r="T325" i="71"/>
  <c r="S325" i="71"/>
  <c r="R325" i="71"/>
  <c r="Q325" i="71"/>
  <c r="P325" i="71"/>
  <c r="O325" i="71"/>
  <c r="N325" i="71"/>
  <c r="K325" i="71"/>
  <c r="I325" i="71"/>
  <c r="C325" i="71"/>
  <c r="M324" i="71"/>
  <c r="J324" i="71"/>
  <c r="M323" i="71"/>
  <c r="H323" i="71" s="1"/>
  <c r="G323" i="71" s="1"/>
  <c r="E323" i="71" s="1"/>
  <c r="N322" i="71"/>
  <c r="M322" i="71" s="1"/>
  <c r="J322" i="71"/>
  <c r="M321" i="71"/>
  <c r="H321" i="71" s="1"/>
  <c r="U320" i="71"/>
  <c r="T320" i="71"/>
  <c r="S320" i="71"/>
  <c r="R320" i="71"/>
  <c r="Q320" i="71"/>
  <c r="P320" i="71"/>
  <c r="O320" i="71"/>
  <c r="O319" i="71" s="1"/>
  <c r="L320" i="71"/>
  <c r="L319" i="71" s="1"/>
  <c r="K320" i="71"/>
  <c r="I320" i="71"/>
  <c r="C320" i="71"/>
  <c r="C319" i="71"/>
  <c r="M318" i="71"/>
  <c r="J318" i="71"/>
  <c r="M317" i="71"/>
  <c r="J317" i="71"/>
  <c r="M316" i="71"/>
  <c r="J316" i="71"/>
  <c r="M315" i="71"/>
  <c r="J315" i="71"/>
  <c r="U314" i="71"/>
  <c r="T314" i="71"/>
  <c r="S314" i="71"/>
  <c r="R314" i="71"/>
  <c r="Q314" i="71"/>
  <c r="P314" i="71"/>
  <c r="O314" i="71"/>
  <c r="N314" i="71"/>
  <c r="K314" i="71"/>
  <c r="I314" i="71"/>
  <c r="C314" i="71"/>
  <c r="M313" i="71"/>
  <c r="J313" i="71"/>
  <c r="M312" i="71"/>
  <c r="H312" i="71" s="1"/>
  <c r="G312" i="71" s="1"/>
  <c r="E312" i="71" s="1"/>
  <c r="V312" i="71" s="1"/>
  <c r="N311" i="71"/>
  <c r="M311" i="71" s="1"/>
  <c r="J311" i="71"/>
  <c r="M310" i="71"/>
  <c r="J310" i="71"/>
  <c r="U309" i="71"/>
  <c r="T309" i="71"/>
  <c r="S309" i="71"/>
  <c r="R309" i="71"/>
  <c r="Q309" i="71"/>
  <c r="P309" i="71"/>
  <c r="P308" i="71" s="1"/>
  <c r="O309" i="71"/>
  <c r="L309" i="71"/>
  <c r="L308" i="71" s="1"/>
  <c r="K309" i="71"/>
  <c r="I309" i="71"/>
  <c r="C309" i="71"/>
  <c r="M307" i="71"/>
  <c r="J307" i="71"/>
  <c r="M306" i="71"/>
  <c r="J306" i="71"/>
  <c r="M305" i="71"/>
  <c r="J305" i="71"/>
  <c r="M304" i="71"/>
  <c r="J304" i="71"/>
  <c r="N303" i="71"/>
  <c r="M303" i="71" s="1"/>
  <c r="J303" i="71"/>
  <c r="M302" i="71"/>
  <c r="H302" i="71" s="1"/>
  <c r="U301" i="71"/>
  <c r="T301" i="71"/>
  <c r="S301" i="71"/>
  <c r="R301" i="71"/>
  <c r="Q301" i="71"/>
  <c r="P301" i="71"/>
  <c r="O301" i="71"/>
  <c r="L301" i="71"/>
  <c r="K301" i="71"/>
  <c r="I301" i="71"/>
  <c r="C301" i="71"/>
  <c r="M300" i="71"/>
  <c r="J300" i="71"/>
  <c r="M299" i="71"/>
  <c r="J299" i="71"/>
  <c r="M298" i="71"/>
  <c r="J298" i="71"/>
  <c r="M297" i="71"/>
  <c r="J297" i="71"/>
  <c r="M296" i="71"/>
  <c r="J296" i="71"/>
  <c r="N295" i="71"/>
  <c r="N293" i="71" s="1"/>
  <c r="J295" i="71"/>
  <c r="M294" i="71"/>
  <c r="J294" i="71"/>
  <c r="U293" i="71"/>
  <c r="T293" i="71"/>
  <c r="S293" i="71"/>
  <c r="R293" i="71"/>
  <c r="Q293" i="71"/>
  <c r="P293" i="71"/>
  <c r="O293" i="71"/>
  <c r="L293" i="71"/>
  <c r="K293" i="71"/>
  <c r="I293" i="71"/>
  <c r="C293" i="71"/>
  <c r="M292" i="71"/>
  <c r="J292" i="71"/>
  <c r="M291" i="71"/>
  <c r="M290" i="71"/>
  <c r="J290" i="71"/>
  <c r="U289" i="71"/>
  <c r="T289" i="71"/>
  <c r="S289" i="71"/>
  <c r="R289" i="71"/>
  <c r="Q289" i="71"/>
  <c r="P289" i="71"/>
  <c r="O289" i="71"/>
  <c r="N289" i="71"/>
  <c r="K289" i="71"/>
  <c r="I289" i="71"/>
  <c r="C289" i="71"/>
  <c r="M288" i="71"/>
  <c r="J288" i="71"/>
  <c r="M286" i="71"/>
  <c r="J286" i="71"/>
  <c r="M285" i="71"/>
  <c r="H285" i="71" s="1"/>
  <c r="G285" i="71" s="1"/>
  <c r="E285" i="71" s="1"/>
  <c r="J285" i="71"/>
  <c r="M284" i="71"/>
  <c r="J284" i="71"/>
  <c r="M283" i="71"/>
  <c r="J283" i="71"/>
  <c r="M282" i="71"/>
  <c r="J282" i="71"/>
  <c r="U281" i="71"/>
  <c r="T281" i="71"/>
  <c r="S281" i="71"/>
  <c r="R281" i="71"/>
  <c r="Q281" i="71"/>
  <c r="P281" i="71"/>
  <c r="O281" i="71"/>
  <c r="N281" i="71"/>
  <c r="K281" i="71"/>
  <c r="I281" i="71"/>
  <c r="I271" i="71" s="1"/>
  <c r="C281" i="71"/>
  <c r="M279" i="71"/>
  <c r="J279" i="71"/>
  <c r="M278" i="71"/>
  <c r="J278" i="71"/>
  <c r="M277" i="71"/>
  <c r="H277" i="71" s="1"/>
  <c r="G277" i="71" s="1"/>
  <c r="E277" i="71" s="1"/>
  <c r="M276" i="71"/>
  <c r="J276" i="71"/>
  <c r="M275" i="71"/>
  <c r="H275" i="71" s="1"/>
  <c r="G275" i="71" s="1"/>
  <c r="E275" i="71" s="1"/>
  <c r="N274" i="71"/>
  <c r="M274" i="71" s="1"/>
  <c r="J274" i="71"/>
  <c r="M273" i="71"/>
  <c r="L271" i="71"/>
  <c r="K271" i="71"/>
  <c r="C272" i="71"/>
  <c r="V269" i="71"/>
  <c r="F269" i="71"/>
  <c r="M268" i="71"/>
  <c r="J268" i="71"/>
  <c r="N267" i="71"/>
  <c r="M267" i="71" s="1"/>
  <c r="J267" i="71"/>
  <c r="M266" i="71"/>
  <c r="J266" i="71"/>
  <c r="U265" i="71"/>
  <c r="T265" i="71"/>
  <c r="S265" i="71"/>
  <c r="R265" i="71"/>
  <c r="Q265" i="71"/>
  <c r="P265" i="71"/>
  <c r="O265" i="71"/>
  <c r="L265" i="71"/>
  <c r="K265" i="71"/>
  <c r="I265" i="71"/>
  <c r="C265" i="71"/>
  <c r="M264" i="71"/>
  <c r="H264" i="71" s="1"/>
  <c r="G264" i="71" s="1"/>
  <c r="E264" i="71" s="1"/>
  <c r="M263" i="71"/>
  <c r="J263" i="71"/>
  <c r="M262" i="71"/>
  <c r="H262" i="71" s="1"/>
  <c r="G262" i="71" s="1"/>
  <c r="E262" i="71" s="1"/>
  <c r="V262" i="71" s="1"/>
  <c r="M261" i="71"/>
  <c r="J261" i="71"/>
  <c r="N260" i="71"/>
  <c r="J260" i="71"/>
  <c r="M259" i="71"/>
  <c r="U258" i="71"/>
  <c r="T258" i="71"/>
  <c r="S258" i="71"/>
  <c r="R258" i="71"/>
  <c r="Q258" i="71"/>
  <c r="P258" i="71"/>
  <c r="O258" i="71"/>
  <c r="L258" i="71"/>
  <c r="K258" i="71"/>
  <c r="I258" i="71"/>
  <c r="C258" i="71"/>
  <c r="M257" i="71"/>
  <c r="J257" i="71"/>
  <c r="M256" i="71"/>
  <c r="J256" i="71"/>
  <c r="M254" i="71"/>
  <c r="J254" i="71"/>
  <c r="M253" i="71"/>
  <c r="H253" i="71" s="1"/>
  <c r="G253" i="71" s="1"/>
  <c r="E253" i="71" s="1"/>
  <c r="M252" i="71"/>
  <c r="H252" i="71" s="1"/>
  <c r="G252" i="71" s="1"/>
  <c r="E252" i="71" s="1"/>
  <c r="M251" i="71"/>
  <c r="J251" i="71"/>
  <c r="M250" i="71"/>
  <c r="J250" i="71"/>
  <c r="M249" i="71"/>
  <c r="H249" i="71" s="1"/>
  <c r="G249" i="71" s="1"/>
  <c r="E249" i="71" s="1"/>
  <c r="N248" i="71"/>
  <c r="J248" i="71"/>
  <c r="M247" i="71"/>
  <c r="H247" i="71" s="1"/>
  <c r="U246" i="71"/>
  <c r="T246" i="71"/>
  <c r="S246" i="71"/>
  <c r="R246" i="71"/>
  <c r="Q246" i="71"/>
  <c r="P246" i="71"/>
  <c r="O246" i="71"/>
  <c r="L246" i="71"/>
  <c r="K246" i="71"/>
  <c r="I246" i="71"/>
  <c r="C246" i="71"/>
  <c r="M245" i="71"/>
  <c r="H245" i="71" s="1"/>
  <c r="G245" i="71" s="1"/>
  <c r="E245" i="71" s="1"/>
  <c r="M243" i="71"/>
  <c r="H243" i="71" s="1"/>
  <c r="G243" i="71" s="1"/>
  <c r="E243" i="71" s="1"/>
  <c r="M242" i="71"/>
  <c r="H242" i="71" s="1"/>
  <c r="G242" i="71" s="1"/>
  <c r="E242" i="71" s="1"/>
  <c r="M241" i="71"/>
  <c r="H241" i="71" s="1"/>
  <c r="G241" i="71" s="1"/>
  <c r="E241" i="71" s="1"/>
  <c r="M240" i="71"/>
  <c r="J240" i="71"/>
  <c r="M239" i="71"/>
  <c r="H239" i="71" s="1"/>
  <c r="G239" i="71" s="1"/>
  <c r="E239" i="71" s="1"/>
  <c r="N238" i="71"/>
  <c r="M238" i="71" s="1"/>
  <c r="H238" i="71" s="1"/>
  <c r="G238" i="71" s="1"/>
  <c r="E238" i="71" s="1"/>
  <c r="M237" i="71"/>
  <c r="U236" i="71"/>
  <c r="T236" i="71"/>
  <c r="S236" i="71"/>
  <c r="R236" i="71"/>
  <c r="Q236" i="71"/>
  <c r="P236" i="71"/>
  <c r="O236" i="71"/>
  <c r="L236" i="71"/>
  <c r="K236" i="71"/>
  <c r="I236" i="71"/>
  <c r="C236" i="71"/>
  <c r="M235" i="71"/>
  <c r="H235" i="71" s="1"/>
  <c r="G235" i="71" s="1"/>
  <c r="E235" i="71" s="1"/>
  <c r="F235" i="71" s="1"/>
  <c r="M234" i="71"/>
  <c r="J234" i="71"/>
  <c r="M233" i="71"/>
  <c r="J233" i="71"/>
  <c r="M232" i="71"/>
  <c r="J232" i="71"/>
  <c r="M231" i="71"/>
  <c r="J231" i="71"/>
  <c r="M230" i="71"/>
  <c r="J230" i="71"/>
  <c r="N229" i="71"/>
  <c r="N227" i="71" s="1"/>
  <c r="J229" i="71"/>
  <c r="M228" i="71"/>
  <c r="C227" i="71"/>
  <c r="M226" i="71"/>
  <c r="J226" i="71"/>
  <c r="M225" i="71"/>
  <c r="J225" i="71"/>
  <c r="M224" i="71"/>
  <c r="J224" i="71"/>
  <c r="M223" i="71"/>
  <c r="J223" i="71"/>
  <c r="M222" i="71"/>
  <c r="J222" i="71"/>
  <c r="H222" i="71" s="1"/>
  <c r="G222" i="71" s="1"/>
  <c r="E222" i="71" s="1"/>
  <c r="M217" i="71"/>
  <c r="J217" i="71"/>
  <c r="M216" i="71"/>
  <c r="J216" i="71"/>
  <c r="M215" i="71"/>
  <c r="J215" i="71"/>
  <c r="M214" i="71"/>
  <c r="J214" i="71"/>
  <c r="M213" i="71"/>
  <c r="J213" i="71"/>
  <c r="M212" i="71"/>
  <c r="J212" i="71"/>
  <c r="M211" i="71"/>
  <c r="J211" i="71"/>
  <c r="M210" i="71"/>
  <c r="H210" i="71" s="1"/>
  <c r="G210" i="71" s="1"/>
  <c r="E210" i="71" s="1"/>
  <c r="M209" i="71"/>
  <c r="J209" i="71"/>
  <c r="M208" i="71"/>
  <c r="H208" i="71" s="1"/>
  <c r="G208" i="71" s="1"/>
  <c r="E208" i="71" s="1"/>
  <c r="N207" i="71"/>
  <c r="J207" i="71"/>
  <c r="M206" i="71"/>
  <c r="H206" i="71" s="1"/>
  <c r="G206" i="71" s="1"/>
  <c r="E206" i="71" s="1"/>
  <c r="U205" i="71"/>
  <c r="S205" i="71"/>
  <c r="R205" i="71"/>
  <c r="Q205" i="71"/>
  <c r="P205" i="71"/>
  <c r="O205" i="71"/>
  <c r="L205" i="71"/>
  <c r="K205" i="71"/>
  <c r="I205" i="71"/>
  <c r="C205" i="71"/>
  <c r="O203" i="71"/>
  <c r="J203" i="71"/>
  <c r="M202" i="71"/>
  <c r="J202" i="71"/>
  <c r="U201" i="71"/>
  <c r="T201" i="71"/>
  <c r="S201" i="71"/>
  <c r="R201" i="71"/>
  <c r="Q201" i="71"/>
  <c r="P201" i="71"/>
  <c r="N201" i="71"/>
  <c r="L201" i="71"/>
  <c r="K201" i="71"/>
  <c r="I201" i="71"/>
  <c r="C201" i="71"/>
  <c r="M199" i="71"/>
  <c r="J199" i="71"/>
  <c r="M198" i="71"/>
  <c r="J198" i="71"/>
  <c r="M197" i="71"/>
  <c r="J197" i="71"/>
  <c r="M196" i="71"/>
  <c r="J196" i="71"/>
  <c r="M195" i="71"/>
  <c r="J195" i="71"/>
  <c r="M194" i="71"/>
  <c r="J194" i="71"/>
  <c r="M193" i="71"/>
  <c r="J193" i="71"/>
  <c r="M192" i="71"/>
  <c r="J192" i="71"/>
  <c r="M191" i="71"/>
  <c r="J191" i="71"/>
  <c r="M190" i="71"/>
  <c r="J190" i="71"/>
  <c r="M189" i="71"/>
  <c r="J189" i="71"/>
  <c r="M188" i="71"/>
  <c r="J188" i="71"/>
  <c r="M187" i="71"/>
  <c r="J187" i="71"/>
  <c r="M186" i="71"/>
  <c r="J186" i="71"/>
  <c r="M185" i="71"/>
  <c r="J185" i="71"/>
  <c r="D184" i="71"/>
  <c r="C184" i="71"/>
  <c r="M181" i="71"/>
  <c r="J181" i="71"/>
  <c r="M180" i="71"/>
  <c r="J180" i="71"/>
  <c r="N179" i="71"/>
  <c r="M179" i="71" s="1"/>
  <c r="J179" i="71"/>
  <c r="M178" i="71"/>
  <c r="H178" i="71" s="1"/>
  <c r="G178" i="71" s="1"/>
  <c r="E178" i="71" s="1"/>
  <c r="M177" i="71"/>
  <c r="H177" i="71" s="1"/>
  <c r="G177" i="71" s="1"/>
  <c r="E177" i="71" s="1"/>
  <c r="M176" i="71"/>
  <c r="H176" i="71" s="1"/>
  <c r="G176" i="71" s="1"/>
  <c r="E176" i="71" s="1"/>
  <c r="F176" i="71" s="1"/>
  <c r="M175" i="71"/>
  <c r="H175" i="71" s="1"/>
  <c r="G175" i="71" s="1"/>
  <c r="E175" i="71" s="1"/>
  <c r="M174" i="71"/>
  <c r="H174" i="71" s="1"/>
  <c r="G174" i="71" s="1"/>
  <c r="R173" i="71"/>
  <c r="R171" i="71" s="1"/>
  <c r="R170" i="71" s="1"/>
  <c r="R169" i="71" s="1"/>
  <c r="Q173" i="71"/>
  <c r="Q171" i="71" s="1"/>
  <c r="Q170" i="71" s="1"/>
  <c r="Q169" i="71" s="1"/>
  <c r="P173" i="71"/>
  <c r="P171" i="71" s="1"/>
  <c r="O173" i="71"/>
  <c r="N173" i="71"/>
  <c r="L173" i="71"/>
  <c r="L171" i="71" s="1"/>
  <c r="L170" i="71" s="1"/>
  <c r="L169" i="71" s="1"/>
  <c r="J173" i="71"/>
  <c r="I173" i="71"/>
  <c r="I171" i="71" s="1"/>
  <c r="I170" i="71" s="1"/>
  <c r="I169" i="71" s="1"/>
  <c r="C173" i="71"/>
  <c r="C171" i="71" s="1"/>
  <c r="M172" i="71"/>
  <c r="S171" i="71"/>
  <c r="O171" i="71"/>
  <c r="K171" i="71"/>
  <c r="M166" i="71"/>
  <c r="J166" i="71"/>
  <c r="M165" i="71"/>
  <c r="J165" i="71"/>
  <c r="M164" i="71"/>
  <c r="M163" i="71" s="1"/>
  <c r="J164" i="71"/>
  <c r="H164" i="71" s="1"/>
  <c r="G164" i="71" s="1"/>
  <c r="E164" i="71" s="1"/>
  <c r="V164" i="71" s="1"/>
  <c r="U163" i="71"/>
  <c r="T163" i="71"/>
  <c r="S163" i="71"/>
  <c r="R163" i="71"/>
  <c r="Q163" i="71"/>
  <c r="P163" i="71"/>
  <c r="O163" i="71"/>
  <c r="N163" i="71"/>
  <c r="K163" i="71"/>
  <c r="I163" i="71"/>
  <c r="C163" i="71"/>
  <c r="M162" i="71"/>
  <c r="J162" i="71"/>
  <c r="M160" i="71"/>
  <c r="J160" i="71"/>
  <c r="M159" i="71"/>
  <c r="J159" i="71"/>
  <c r="M158" i="71"/>
  <c r="J158" i="71"/>
  <c r="M157" i="71"/>
  <c r="J157" i="71"/>
  <c r="M156" i="71"/>
  <c r="J156" i="71"/>
  <c r="W155" i="71"/>
  <c r="M155" i="71"/>
  <c r="J155" i="71"/>
  <c r="W154" i="71"/>
  <c r="X154" i="71" s="1"/>
  <c r="M154" i="71"/>
  <c r="J154" i="71"/>
  <c r="M153" i="71"/>
  <c r="J153" i="71"/>
  <c r="M152" i="71"/>
  <c r="J152" i="71"/>
  <c r="W151" i="71"/>
  <c r="M151" i="71"/>
  <c r="H151" i="71" s="1"/>
  <c r="G151" i="71" s="1"/>
  <c r="E151" i="71" s="1"/>
  <c r="V150" i="71"/>
  <c r="M150" i="71"/>
  <c r="H150" i="71" s="1"/>
  <c r="G150" i="71" s="1"/>
  <c r="F150" i="71"/>
  <c r="V149" i="71"/>
  <c r="M149" i="71"/>
  <c r="H149" i="71" s="1"/>
  <c r="G149" i="71" s="1"/>
  <c r="F149" i="71"/>
  <c r="M148" i="71"/>
  <c r="J148" i="71"/>
  <c r="C147" i="71"/>
  <c r="M146" i="71"/>
  <c r="J146" i="71"/>
  <c r="M145" i="71"/>
  <c r="J145" i="71"/>
  <c r="U144" i="71"/>
  <c r="T144" i="71"/>
  <c r="S144" i="71"/>
  <c r="S143" i="71" s="1"/>
  <c r="R144" i="71"/>
  <c r="Q144" i="71"/>
  <c r="P144" i="71"/>
  <c r="O144" i="71"/>
  <c r="N144" i="71"/>
  <c r="K144" i="71"/>
  <c r="K143" i="71" s="1"/>
  <c r="I144" i="71"/>
  <c r="I143" i="71" s="1"/>
  <c r="C144" i="71"/>
  <c r="M142" i="71"/>
  <c r="J142" i="71"/>
  <c r="M141" i="71"/>
  <c r="J141" i="71"/>
  <c r="M140" i="71"/>
  <c r="J140" i="71"/>
  <c r="M139" i="71"/>
  <c r="J139" i="71"/>
  <c r="M138" i="71"/>
  <c r="J138" i="71"/>
  <c r="N137" i="71"/>
  <c r="M137" i="71" s="1"/>
  <c r="J137" i="71"/>
  <c r="M136" i="71"/>
  <c r="H136" i="71" s="1"/>
  <c r="U135" i="71"/>
  <c r="T135" i="71"/>
  <c r="S135" i="71"/>
  <c r="R135" i="71"/>
  <c r="Q135" i="71"/>
  <c r="P135" i="71"/>
  <c r="O135" i="71"/>
  <c r="L135" i="71"/>
  <c r="K135" i="71"/>
  <c r="I135" i="71"/>
  <c r="C135" i="71"/>
  <c r="P134" i="71"/>
  <c r="M134" i="71"/>
  <c r="J134" i="71"/>
  <c r="V133" i="71"/>
  <c r="F133" i="71"/>
  <c r="M132" i="71"/>
  <c r="J132" i="71"/>
  <c r="M131" i="71"/>
  <c r="J131" i="71"/>
  <c r="M130" i="71"/>
  <c r="J130" i="71"/>
  <c r="M129" i="71"/>
  <c r="J129" i="71"/>
  <c r="M128" i="71"/>
  <c r="H128" i="71" s="1"/>
  <c r="G128" i="71" s="1"/>
  <c r="E128" i="71" s="1"/>
  <c r="V128" i="71" s="1"/>
  <c r="N127" i="71"/>
  <c r="N125" i="71" s="1"/>
  <c r="J127" i="71"/>
  <c r="M126" i="71"/>
  <c r="H126" i="71" s="1"/>
  <c r="G126" i="71" s="1"/>
  <c r="U125" i="71"/>
  <c r="T125" i="71"/>
  <c r="T124" i="71" s="1"/>
  <c r="S125" i="71"/>
  <c r="R125" i="71"/>
  <c r="Q125" i="71"/>
  <c r="Q124" i="71" s="1"/>
  <c r="P125" i="71"/>
  <c r="O125" i="71"/>
  <c r="O124" i="71" s="1"/>
  <c r="L125" i="71"/>
  <c r="L124" i="71" s="1"/>
  <c r="K125" i="71"/>
  <c r="I125" i="71"/>
  <c r="I124" i="71" s="1"/>
  <c r="C125" i="71"/>
  <c r="C124" i="71" s="1"/>
  <c r="J123" i="71"/>
  <c r="H123" i="71" s="1"/>
  <c r="G123" i="71" s="1"/>
  <c r="E123" i="71" s="1"/>
  <c r="F123" i="71" s="1"/>
  <c r="M122" i="71"/>
  <c r="J122" i="71"/>
  <c r="S121" i="71"/>
  <c r="S120" i="71" s="1"/>
  <c r="M121" i="71"/>
  <c r="J121" i="71"/>
  <c r="U120" i="71"/>
  <c r="T120" i="71"/>
  <c r="R120" i="71"/>
  <c r="Q120" i="71"/>
  <c r="P120" i="71"/>
  <c r="O120" i="71"/>
  <c r="N120" i="71"/>
  <c r="K120" i="71"/>
  <c r="I120" i="71"/>
  <c r="C120" i="71"/>
  <c r="P119" i="71"/>
  <c r="P111" i="71" s="1"/>
  <c r="M119" i="71"/>
  <c r="J119" i="71"/>
  <c r="M118" i="71"/>
  <c r="J118" i="71"/>
  <c r="M117" i="71"/>
  <c r="J117" i="71"/>
  <c r="M116" i="71"/>
  <c r="G116" i="71"/>
  <c r="E116" i="71" s="1"/>
  <c r="V116" i="71" s="1"/>
  <c r="M115" i="71"/>
  <c r="J115" i="71"/>
  <c r="M114" i="71"/>
  <c r="J114" i="71"/>
  <c r="M113" i="71"/>
  <c r="J113" i="71"/>
  <c r="M112" i="71"/>
  <c r="J112" i="71"/>
  <c r="U111" i="71"/>
  <c r="T111" i="71"/>
  <c r="S111" i="71"/>
  <c r="R111" i="71"/>
  <c r="Q111" i="71"/>
  <c r="O111" i="71"/>
  <c r="N111" i="71"/>
  <c r="L111" i="71"/>
  <c r="K111" i="71"/>
  <c r="I111" i="71"/>
  <c r="C111" i="71"/>
  <c r="M110" i="71"/>
  <c r="J110" i="71"/>
  <c r="M109" i="71"/>
  <c r="J109" i="71"/>
  <c r="S108" i="71"/>
  <c r="S102" i="71" s="1"/>
  <c r="M108" i="71"/>
  <c r="J108" i="71"/>
  <c r="M107" i="71"/>
  <c r="J107" i="71"/>
  <c r="M106" i="71"/>
  <c r="J106" i="71"/>
  <c r="M105" i="71"/>
  <c r="J105" i="71"/>
  <c r="M104" i="71"/>
  <c r="J104" i="71"/>
  <c r="M103" i="71"/>
  <c r="J103" i="71"/>
  <c r="U102" i="71"/>
  <c r="T102" i="71"/>
  <c r="R102" i="71"/>
  <c r="Q102" i="71"/>
  <c r="P102" i="71"/>
  <c r="O102" i="71"/>
  <c r="N102" i="71"/>
  <c r="L102" i="71"/>
  <c r="K102" i="71"/>
  <c r="K86" i="71" s="1"/>
  <c r="I102" i="71"/>
  <c r="D102" i="71"/>
  <c r="C102" i="71"/>
  <c r="G101" i="71"/>
  <c r="E101" i="71" s="1"/>
  <c r="V101" i="71" s="1"/>
  <c r="M99" i="71"/>
  <c r="J99" i="71"/>
  <c r="M97" i="71"/>
  <c r="J97" i="71"/>
  <c r="M96" i="71"/>
  <c r="J96" i="71"/>
  <c r="M95" i="71"/>
  <c r="J95" i="71"/>
  <c r="M94" i="71"/>
  <c r="J94" i="71"/>
  <c r="M93" i="71"/>
  <c r="J93" i="71"/>
  <c r="N92" i="71"/>
  <c r="N88" i="71" s="1"/>
  <c r="N87" i="71" s="1"/>
  <c r="J92" i="71"/>
  <c r="M91" i="71"/>
  <c r="H91" i="71" s="1"/>
  <c r="G91" i="71" s="1"/>
  <c r="E91" i="71" s="1"/>
  <c r="F91" i="71" s="1"/>
  <c r="M90" i="71"/>
  <c r="H90" i="71" s="1"/>
  <c r="G90" i="71" s="1"/>
  <c r="E90" i="71" s="1"/>
  <c r="M89" i="71"/>
  <c r="D88" i="71"/>
  <c r="D87" i="71" s="1"/>
  <c r="C88" i="71"/>
  <c r="C87" i="71" s="1"/>
  <c r="C86" i="71" s="1"/>
  <c r="M85" i="71"/>
  <c r="J85" i="71"/>
  <c r="M84" i="71"/>
  <c r="J84" i="71"/>
  <c r="U83" i="71"/>
  <c r="T83" i="71"/>
  <c r="S83" i="71"/>
  <c r="R83" i="71"/>
  <c r="Q83" i="71"/>
  <c r="P83" i="71"/>
  <c r="O83" i="71"/>
  <c r="N83" i="71"/>
  <c r="L83" i="71"/>
  <c r="K83" i="71"/>
  <c r="I83" i="71"/>
  <c r="C83" i="71"/>
  <c r="M81" i="71"/>
  <c r="J81" i="71"/>
  <c r="H80" i="71"/>
  <c r="G80" i="71" s="1"/>
  <c r="E80" i="71" s="1"/>
  <c r="F80" i="71" s="1"/>
  <c r="M79" i="71"/>
  <c r="J79" i="71"/>
  <c r="M78" i="71"/>
  <c r="J78" i="71"/>
  <c r="H77" i="71"/>
  <c r="G77" i="71" s="1"/>
  <c r="E77" i="71" s="1"/>
  <c r="V77" i="71" s="1"/>
  <c r="M76" i="71"/>
  <c r="J76" i="71"/>
  <c r="M75" i="71"/>
  <c r="M74" i="71" s="1"/>
  <c r="J75" i="71"/>
  <c r="J74" i="71" s="1"/>
  <c r="U74" i="71"/>
  <c r="U66" i="71" s="1"/>
  <c r="T74" i="71"/>
  <c r="T66" i="71" s="1"/>
  <c r="S74" i="71"/>
  <c r="S66" i="71" s="1"/>
  <c r="R74" i="71"/>
  <c r="Q74" i="71"/>
  <c r="P74" i="71"/>
  <c r="O74" i="71"/>
  <c r="N74" i="71"/>
  <c r="K74" i="71"/>
  <c r="I74" i="71"/>
  <c r="C74" i="71"/>
  <c r="C65" i="71" s="1"/>
  <c r="M73" i="71"/>
  <c r="J73" i="71"/>
  <c r="M72" i="71"/>
  <c r="J72" i="71"/>
  <c r="M71" i="71"/>
  <c r="J71" i="71"/>
  <c r="M70" i="71"/>
  <c r="J70" i="71"/>
  <c r="J69" i="71"/>
  <c r="H69" i="71" s="1"/>
  <c r="G69" i="71" s="1"/>
  <c r="E69" i="71" s="1"/>
  <c r="F69" i="71" s="1"/>
  <c r="M68" i="71"/>
  <c r="H68" i="71" s="1"/>
  <c r="R67" i="71"/>
  <c r="Q67" i="71"/>
  <c r="P67" i="71"/>
  <c r="O67" i="71"/>
  <c r="N67" i="71"/>
  <c r="L67" i="71"/>
  <c r="L66" i="71" s="1"/>
  <c r="K67" i="71"/>
  <c r="I67" i="71"/>
  <c r="C67" i="71"/>
  <c r="D66" i="71"/>
  <c r="U65" i="71"/>
  <c r="D65" i="71"/>
  <c r="M64" i="71"/>
  <c r="J64" i="71"/>
  <c r="M63" i="71"/>
  <c r="J63" i="71"/>
  <c r="U62" i="71"/>
  <c r="T62" i="71"/>
  <c r="S62" i="71"/>
  <c r="R62" i="71"/>
  <c r="Q62" i="71"/>
  <c r="P62" i="71"/>
  <c r="O62" i="71"/>
  <c r="N62" i="71"/>
  <c r="K62" i="71"/>
  <c r="I62" i="71"/>
  <c r="C62" i="71"/>
  <c r="P60" i="71"/>
  <c r="G60" i="71" s="1"/>
  <c r="E60" i="71" s="1"/>
  <c r="V60" i="71" s="1"/>
  <c r="M59" i="71"/>
  <c r="H59" i="71" s="1"/>
  <c r="G59" i="71" s="1"/>
  <c r="E59" i="71" s="1"/>
  <c r="V59" i="71" s="1"/>
  <c r="M58" i="71"/>
  <c r="H58" i="71" s="1"/>
  <c r="G58" i="71" s="1"/>
  <c r="E58" i="71" s="1"/>
  <c r="M57" i="71"/>
  <c r="H57" i="71" s="1"/>
  <c r="G57" i="71" s="1"/>
  <c r="E57" i="71" s="1"/>
  <c r="N56" i="71"/>
  <c r="M56" i="71" s="1"/>
  <c r="J56" i="71"/>
  <c r="J54" i="71" s="1"/>
  <c r="M55" i="71"/>
  <c r="H55" i="71" s="1"/>
  <c r="G55" i="71" s="1"/>
  <c r="R54" i="71"/>
  <c r="Q54" i="71"/>
  <c r="O54" i="71"/>
  <c r="L54" i="71"/>
  <c r="K54" i="71"/>
  <c r="I54" i="71"/>
  <c r="D54" i="71"/>
  <c r="C54" i="71"/>
  <c r="H53" i="71"/>
  <c r="G53" i="71" s="1"/>
  <c r="E53" i="71" s="1"/>
  <c r="F53" i="71" s="1"/>
  <c r="H52" i="71"/>
  <c r="G52" i="71" s="1"/>
  <c r="E52" i="71" s="1"/>
  <c r="M51" i="71"/>
  <c r="J51" i="71"/>
  <c r="M50" i="71"/>
  <c r="J50" i="71"/>
  <c r="M49" i="71"/>
  <c r="H49" i="71" s="1"/>
  <c r="G49" i="71" s="1"/>
  <c r="E49" i="71" s="1"/>
  <c r="N48" i="71"/>
  <c r="M48" i="71" s="1"/>
  <c r="M47" i="71"/>
  <c r="H47" i="71" s="1"/>
  <c r="G47" i="71" s="1"/>
  <c r="E47" i="71" s="1"/>
  <c r="M46" i="71"/>
  <c r="H46" i="71" s="1"/>
  <c r="G46" i="71" s="1"/>
  <c r="E46" i="71" s="1"/>
  <c r="M45" i="71"/>
  <c r="H45" i="71" s="1"/>
  <c r="G45" i="71" s="1"/>
  <c r="U44" i="71"/>
  <c r="U43" i="71" s="1"/>
  <c r="T44" i="71"/>
  <c r="T43" i="71" s="1"/>
  <c r="S44" i="71"/>
  <c r="S43" i="71" s="1"/>
  <c r="R44" i="71"/>
  <c r="Q44" i="71"/>
  <c r="P44" i="71"/>
  <c r="O44" i="71"/>
  <c r="L44" i="71"/>
  <c r="K44" i="71"/>
  <c r="K43" i="71" s="1"/>
  <c r="I44" i="71"/>
  <c r="C44" i="71"/>
  <c r="M42" i="71"/>
  <c r="J42" i="71"/>
  <c r="P41" i="71"/>
  <c r="M41" i="71"/>
  <c r="J41" i="71"/>
  <c r="M40" i="71"/>
  <c r="J40" i="71"/>
  <c r="P39" i="71"/>
  <c r="M39" i="71"/>
  <c r="J39" i="71"/>
  <c r="C39" i="71"/>
  <c r="C38" i="71" s="1"/>
  <c r="U38" i="71"/>
  <c r="U33" i="71" s="1"/>
  <c r="U29" i="71" s="1"/>
  <c r="U28" i="71" s="1"/>
  <c r="U27" i="71" s="1"/>
  <c r="T38" i="71"/>
  <c r="T33" i="71" s="1"/>
  <c r="T29" i="71" s="1"/>
  <c r="T28" i="71" s="1"/>
  <c r="T27" i="71" s="1"/>
  <c r="S38" i="71"/>
  <c r="S33" i="71" s="1"/>
  <c r="R38" i="71"/>
  <c r="R33" i="71" s="1"/>
  <c r="R29" i="71" s="1"/>
  <c r="R28" i="71" s="1"/>
  <c r="R27" i="71" s="1"/>
  <c r="Q38" i="71"/>
  <c r="Q33" i="71" s="1"/>
  <c r="Q29" i="71" s="1"/>
  <c r="Q28" i="71" s="1"/>
  <c r="Q27" i="71" s="1"/>
  <c r="O38" i="71"/>
  <c r="O33" i="71" s="1"/>
  <c r="O29" i="71" s="1"/>
  <c r="O28" i="71" s="1"/>
  <c r="O27" i="71" s="1"/>
  <c r="N38" i="71"/>
  <c r="N33" i="71" s="1"/>
  <c r="N29" i="71" s="1"/>
  <c r="N28" i="71" s="1"/>
  <c r="N27" i="71" s="1"/>
  <c r="K38" i="71"/>
  <c r="K33" i="71" s="1"/>
  <c r="K29" i="71" s="1"/>
  <c r="K28" i="71" s="1"/>
  <c r="K27" i="71" s="1"/>
  <c r="I38" i="71"/>
  <c r="I33" i="71" s="1"/>
  <c r="I29" i="71" s="1"/>
  <c r="I28" i="71" s="1"/>
  <c r="I27" i="71" s="1"/>
  <c r="D38" i="71"/>
  <c r="P37" i="71"/>
  <c r="M37" i="71"/>
  <c r="J37" i="71"/>
  <c r="C37" i="71"/>
  <c r="M36" i="71"/>
  <c r="J36" i="71"/>
  <c r="C36" i="71"/>
  <c r="P35" i="71"/>
  <c r="M35" i="71"/>
  <c r="J35" i="71"/>
  <c r="C35" i="71"/>
  <c r="M34" i="71"/>
  <c r="J34" i="71"/>
  <c r="C34" i="71"/>
  <c r="L33" i="71"/>
  <c r="L29" i="71" s="1"/>
  <c r="L28" i="71" s="1"/>
  <c r="L27" i="71" s="1"/>
  <c r="M32" i="71"/>
  <c r="J32" i="71"/>
  <c r="M31" i="71"/>
  <c r="J31" i="71"/>
  <c r="S30" i="71"/>
  <c r="M30" i="71"/>
  <c r="H30" i="71" s="1"/>
  <c r="C30" i="71"/>
  <c r="V24" i="71"/>
  <c r="M24" i="71"/>
  <c r="J24" i="71"/>
  <c r="V23" i="71"/>
  <c r="M23" i="71"/>
  <c r="J23" i="71"/>
  <c r="V22" i="71"/>
  <c r="M22" i="71"/>
  <c r="J22" i="71"/>
  <c r="V21" i="71"/>
  <c r="M21" i="71"/>
  <c r="J21" i="71"/>
  <c r="V20" i="71"/>
  <c r="M20" i="71"/>
  <c r="H20" i="71" s="1"/>
  <c r="G20" i="71" s="1"/>
  <c r="E20" i="71" s="1"/>
  <c r="F20" i="71" s="1"/>
  <c r="V19" i="71"/>
  <c r="M19" i="71"/>
  <c r="V18" i="71"/>
  <c r="Q18" i="71"/>
  <c r="Q15" i="71" s="1"/>
  <c r="Q13" i="71" s="1"/>
  <c r="Q11" i="71" s="1"/>
  <c r="M18" i="71"/>
  <c r="J18" i="71"/>
  <c r="J15" i="71" s="1"/>
  <c r="V17" i="71"/>
  <c r="G17" i="71"/>
  <c r="E17" i="71" s="1"/>
  <c r="F17" i="71" s="1"/>
  <c r="V16" i="71"/>
  <c r="G16" i="71"/>
  <c r="E16" i="71" s="1"/>
  <c r="U15" i="71"/>
  <c r="U13" i="71" s="1"/>
  <c r="U11" i="71" s="1"/>
  <c r="T15" i="71"/>
  <c r="T13" i="71" s="1"/>
  <c r="T11" i="71" s="1"/>
  <c r="S15" i="71"/>
  <c r="S13" i="71" s="1"/>
  <c r="S11" i="71" s="1"/>
  <c r="R15" i="71"/>
  <c r="R13" i="71" s="1"/>
  <c r="R11" i="71" s="1"/>
  <c r="P15" i="71"/>
  <c r="P13" i="71" s="1"/>
  <c r="P11" i="71" s="1"/>
  <c r="O15" i="71"/>
  <c r="O13" i="71" s="1"/>
  <c r="O11" i="71" s="1"/>
  <c r="N15" i="71"/>
  <c r="N13" i="71" s="1"/>
  <c r="N11" i="71" s="1"/>
  <c r="K15" i="71"/>
  <c r="K13" i="71" s="1"/>
  <c r="K11" i="71" s="1"/>
  <c r="I15" i="71"/>
  <c r="I13" i="71" s="1"/>
  <c r="I11" i="71" s="1"/>
  <c r="C15" i="71"/>
  <c r="C13" i="71" s="1"/>
  <c r="C11" i="71" s="1"/>
  <c r="M14" i="71"/>
  <c r="J14" i="71"/>
  <c r="L13" i="71"/>
  <c r="L11" i="71" s="1"/>
  <c r="V12" i="71"/>
  <c r="M12" i="71"/>
  <c r="J12" i="71"/>
  <c r="H12" i="71" s="1"/>
  <c r="G12" i="71" s="1"/>
  <c r="L204" i="71" l="1"/>
  <c r="H304" i="71"/>
  <c r="G304" i="71" s="1"/>
  <c r="E304" i="71" s="1"/>
  <c r="F304" i="71" s="1"/>
  <c r="J362" i="71"/>
  <c r="T86" i="71"/>
  <c r="Q352" i="71"/>
  <c r="H36" i="71"/>
  <c r="G36" i="71" s="1"/>
  <c r="E36" i="71" s="1"/>
  <c r="F36" i="71" s="1"/>
  <c r="I319" i="71"/>
  <c r="P319" i="71"/>
  <c r="C339" i="71"/>
  <c r="C404" i="71"/>
  <c r="K26" i="71"/>
  <c r="U26" i="71"/>
  <c r="O43" i="71"/>
  <c r="O26" i="71" s="1"/>
  <c r="Q66" i="71"/>
  <c r="S86" i="71"/>
  <c r="L86" i="71"/>
  <c r="M439" i="71"/>
  <c r="M438" i="71" s="1"/>
  <c r="J83" i="71"/>
  <c r="N143" i="71"/>
  <c r="R143" i="71"/>
  <c r="C308" i="71"/>
  <c r="S308" i="71"/>
  <c r="P339" i="71"/>
  <c r="T339" i="71"/>
  <c r="J430" i="71"/>
  <c r="H437" i="71"/>
  <c r="G437" i="71" s="1"/>
  <c r="E437" i="71" s="1"/>
  <c r="V437" i="71" s="1"/>
  <c r="H441" i="71"/>
  <c r="G441" i="71" s="1"/>
  <c r="E441" i="71" s="1"/>
  <c r="U308" i="71"/>
  <c r="D82" i="71"/>
  <c r="H121" i="71"/>
  <c r="G121" i="71" s="1"/>
  <c r="M173" i="71"/>
  <c r="M171" i="71" s="1"/>
  <c r="J168" i="71"/>
  <c r="O204" i="71"/>
  <c r="H256" i="71"/>
  <c r="G256" i="71" s="1"/>
  <c r="E256" i="71" s="1"/>
  <c r="F256" i="71" s="1"/>
  <c r="R352" i="71"/>
  <c r="H419" i="71"/>
  <c r="G419" i="71" s="1"/>
  <c r="E419" i="71" s="1"/>
  <c r="F419" i="71" s="1"/>
  <c r="H423" i="71"/>
  <c r="G423" i="71" s="1"/>
  <c r="E423" i="71" s="1"/>
  <c r="J44" i="71"/>
  <c r="J43" i="71" s="1"/>
  <c r="Q65" i="71"/>
  <c r="I65" i="71"/>
  <c r="O65" i="71"/>
  <c r="N171" i="71"/>
  <c r="N170" i="71" s="1"/>
  <c r="N169" i="71" s="1"/>
  <c r="P204" i="71"/>
  <c r="Q308" i="71"/>
  <c r="C352" i="71"/>
  <c r="O352" i="71"/>
  <c r="S352" i="71"/>
  <c r="J405" i="71"/>
  <c r="H433" i="71"/>
  <c r="G433" i="71" s="1"/>
  <c r="E433" i="71" s="1"/>
  <c r="F433" i="71" s="1"/>
  <c r="S29" i="71"/>
  <c r="S28" i="71" s="1"/>
  <c r="S27" i="71" s="1"/>
  <c r="S26" i="71" s="1"/>
  <c r="M38" i="71"/>
  <c r="C43" i="71"/>
  <c r="N44" i="71"/>
  <c r="R43" i="71"/>
  <c r="R26" i="71" s="1"/>
  <c r="T65" i="71"/>
  <c r="K65" i="71"/>
  <c r="K204" i="71"/>
  <c r="Q204" i="71"/>
  <c r="H225" i="71"/>
  <c r="G225" i="71" s="1"/>
  <c r="E225" i="71" s="1"/>
  <c r="F225" i="71" s="1"/>
  <c r="T308" i="71"/>
  <c r="N320" i="71"/>
  <c r="N319" i="71" s="1"/>
  <c r="U319" i="71"/>
  <c r="H338" i="71"/>
  <c r="G338" i="71" s="1"/>
  <c r="E338" i="71" s="1"/>
  <c r="V338" i="71" s="1"/>
  <c r="Q339" i="71"/>
  <c r="U339" i="71"/>
  <c r="I352" i="71"/>
  <c r="N352" i="71"/>
  <c r="H384" i="71"/>
  <c r="G384" i="71" s="1"/>
  <c r="E384" i="71" s="1"/>
  <c r="V384" i="71" s="1"/>
  <c r="H402" i="71"/>
  <c r="G402" i="71" s="1"/>
  <c r="E402" i="71" s="1"/>
  <c r="F402" i="71" s="1"/>
  <c r="H432" i="71"/>
  <c r="G432" i="71" s="1"/>
  <c r="E432" i="71" s="1"/>
  <c r="V432" i="71" s="1"/>
  <c r="J88" i="71"/>
  <c r="J87" i="71" s="1"/>
  <c r="T26" i="71"/>
  <c r="H318" i="71"/>
  <c r="G318" i="71" s="1"/>
  <c r="E318" i="71" s="1"/>
  <c r="F318" i="71" s="1"/>
  <c r="H79" i="71"/>
  <c r="G79" i="71" s="1"/>
  <c r="E79" i="71" s="1"/>
  <c r="V79" i="71" s="1"/>
  <c r="H110" i="71"/>
  <c r="G110" i="71" s="1"/>
  <c r="E110" i="71" s="1"/>
  <c r="F110" i="71" s="1"/>
  <c r="H188" i="71"/>
  <c r="G188" i="71" s="1"/>
  <c r="E188" i="71" s="1"/>
  <c r="F188" i="71" s="1"/>
  <c r="H267" i="71"/>
  <c r="G267" i="71" s="1"/>
  <c r="E267" i="71" s="1"/>
  <c r="H283" i="71"/>
  <c r="G283" i="71" s="1"/>
  <c r="E283" i="71" s="1"/>
  <c r="V283" i="71" s="1"/>
  <c r="H300" i="71"/>
  <c r="G300" i="71" s="1"/>
  <c r="E300" i="71" s="1"/>
  <c r="F300" i="71" s="1"/>
  <c r="H41" i="71"/>
  <c r="G41" i="71" s="1"/>
  <c r="E41" i="71" s="1"/>
  <c r="H85" i="71"/>
  <c r="G85" i="71" s="1"/>
  <c r="E85" i="71" s="1"/>
  <c r="H172" i="71"/>
  <c r="M168" i="71"/>
  <c r="H336" i="71"/>
  <c r="G336" i="71" s="1"/>
  <c r="E336" i="71" s="1"/>
  <c r="V336" i="71" s="1"/>
  <c r="H357" i="71"/>
  <c r="G357" i="71" s="1"/>
  <c r="E357" i="71" s="1"/>
  <c r="V357" i="71" s="1"/>
  <c r="T352" i="71"/>
  <c r="H96" i="71"/>
  <c r="G96" i="71" s="1"/>
  <c r="E96" i="71" s="1"/>
  <c r="J201" i="71"/>
  <c r="H240" i="71"/>
  <c r="G240" i="71" s="1"/>
  <c r="E240" i="71" s="1"/>
  <c r="H413" i="71"/>
  <c r="G413" i="71" s="1"/>
  <c r="E413" i="71" s="1"/>
  <c r="V413" i="71" s="1"/>
  <c r="H417" i="71"/>
  <c r="Q271" i="71"/>
  <c r="C66" i="71"/>
  <c r="H72" i="71"/>
  <c r="G72" i="71" s="1"/>
  <c r="E72" i="71" s="1"/>
  <c r="F72" i="71" s="1"/>
  <c r="P65" i="71"/>
  <c r="H84" i="71"/>
  <c r="H134" i="71"/>
  <c r="G134" i="71" s="1"/>
  <c r="E134" i="71" s="1"/>
  <c r="H138" i="71"/>
  <c r="G138" i="71" s="1"/>
  <c r="E138" i="71" s="1"/>
  <c r="F138" i="71" s="1"/>
  <c r="H146" i="71"/>
  <c r="G146" i="71" s="1"/>
  <c r="I308" i="71"/>
  <c r="M359" i="71"/>
  <c r="H377" i="71"/>
  <c r="G377" i="71" s="1"/>
  <c r="E377" i="71" s="1"/>
  <c r="V377" i="71" s="1"/>
  <c r="H381" i="71"/>
  <c r="G381" i="71" s="1"/>
  <c r="E381" i="71" s="1"/>
  <c r="O405" i="71"/>
  <c r="H42" i="71"/>
  <c r="G42" i="71" s="1"/>
  <c r="E42" i="71" s="1"/>
  <c r="F42" i="71" s="1"/>
  <c r="H189" i="71"/>
  <c r="G189" i="71" s="1"/>
  <c r="E189" i="71" s="1"/>
  <c r="F189" i="71" s="1"/>
  <c r="H278" i="71"/>
  <c r="G278" i="71" s="1"/>
  <c r="E278" i="71" s="1"/>
  <c r="H286" i="71"/>
  <c r="G286" i="71" s="1"/>
  <c r="E286" i="71" s="1"/>
  <c r="V286" i="71" s="1"/>
  <c r="S319" i="71"/>
  <c r="H328" i="71"/>
  <c r="G328" i="71" s="1"/>
  <c r="E328" i="71" s="1"/>
  <c r="F328" i="71" s="1"/>
  <c r="H390" i="71"/>
  <c r="G390" i="71" s="1"/>
  <c r="E390" i="71" s="1"/>
  <c r="N301" i="71"/>
  <c r="J309" i="71"/>
  <c r="H427" i="71"/>
  <c r="G427" i="71" s="1"/>
  <c r="E427" i="71" s="1"/>
  <c r="F427" i="71" s="1"/>
  <c r="H288" i="71"/>
  <c r="G288" i="71" s="1"/>
  <c r="E288" i="71" s="1"/>
  <c r="H292" i="71"/>
  <c r="G292" i="71" s="1"/>
  <c r="E292" i="71" s="1"/>
  <c r="H420" i="71"/>
  <c r="G420" i="71" s="1"/>
  <c r="E420" i="71" s="1"/>
  <c r="F420" i="71" s="1"/>
  <c r="N434" i="71"/>
  <c r="N65" i="71"/>
  <c r="H140" i="71"/>
  <c r="G140" i="71" s="1"/>
  <c r="E140" i="71" s="1"/>
  <c r="V140" i="71" s="1"/>
  <c r="H166" i="71"/>
  <c r="G166" i="71" s="1"/>
  <c r="E166" i="71" s="1"/>
  <c r="F166" i="71" s="1"/>
  <c r="H391" i="71"/>
  <c r="G391" i="71" s="1"/>
  <c r="E391" i="71" s="1"/>
  <c r="V391" i="71" s="1"/>
  <c r="L43" i="71"/>
  <c r="L26" i="71" s="1"/>
  <c r="H129" i="71"/>
  <c r="G129" i="71" s="1"/>
  <c r="E129" i="71" s="1"/>
  <c r="V129" i="71" s="1"/>
  <c r="H159" i="71"/>
  <c r="G159" i="71" s="1"/>
  <c r="E159" i="71" s="1"/>
  <c r="F159" i="71" s="1"/>
  <c r="O308" i="71"/>
  <c r="H326" i="71"/>
  <c r="G326" i="71" s="1"/>
  <c r="E326" i="71" s="1"/>
  <c r="F326" i="71" s="1"/>
  <c r="P434" i="71"/>
  <c r="H234" i="71"/>
  <c r="G234" i="71" s="1"/>
  <c r="E234" i="71" s="1"/>
  <c r="F234" i="71" s="1"/>
  <c r="H351" i="71"/>
  <c r="G351" i="71" s="1"/>
  <c r="E351" i="71" s="1"/>
  <c r="F351" i="71" s="1"/>
  <c r="Q43" i="71"/>
  <c r="Q26" i="71" s="1"/>
  <c r="C170" i="71"/>
  <c r="C169" i="71" s="1"/>
  <c r="M184" i="71"/>
  <c r="V206" i="71"/>
  <c r="J236" i="71"/>
  <c r="J184" i="71"/>
  <c r="H99" i="71"/>
  <c r="G99" i="71" s="1"/>
  <c r="E99" i="71" s="1"/>
  <c r="H103" i="71"/>
  <c r="G103" i="71" s="1"/>
  <c r="E103" i="71" s="1"/>
  <c r="H213" i="71"/>
  <c r="G213" i="71" s="1"/>
  <c r="E213" i="71" s="1"/>
  <c r="V213" i="71" s="1"/>
  <c r="H160" i="71"/>
  <c r="G160" i="71" s="1"/>
  <c r="E160" i="71" s="1"/>
  <c r="V160" i="71" s="1"/>
  <c r="H106" i="71"/>
  <c r="G106" i="71" s="1"/>
  <c r="E106" i="71" s="1"/>
  <c r="F106" i="71" s="1"/>
  <c r="H233" i="71"/>
  <c r="G233" i="71" s="1"/>
  <c r="E233" i="71" s="1"/>
  <c r="V233" i="71" s="1"/>
  <c r="J62" i="71"/>
  <c r="J227" i="71"/>
  <c r="H195" i="71"/>
  <c r="G195" i="71" s="1"/>
  <c r="E195" i="71" s="1"/>
  <c r="V195" i="71" s="1"/>
  <c r="H228" i="71"/>
  <c r="M147" i="71"/>
  <c r="H131" i="71"/>
  <c r="G131" i="71" s="1"/>
  <c r="E131" i="71" s="1"/>
  <c r="V131" i="71" s="1"/>
  <c r="H154" i="71"/>
  <c r="G154" i="71" s="1"/>
  <c r="E154" i="71" s="1"/>
  <c r="V154" i="71" s="1"/>
  <c r="U271" i="71"/>
  <c r="H118" i="71"/>
  <c r="G118" i="71" s="1"/>
  <c r="E118" i="71" s="1"/>
  <c r="F118" i="71" s="1"/>
  <c r="H191" i="71"/>
  <c r="G191" i="71" s="1"/>
  <c r="E191" i="71" s="1"/>
  <c r="V191" i="71" s="1"/>
  <c r="H257" i="71"/>
  <c r="G257" i="71" s="1"/>
  <c r="E257" i="71" s="1"/>
  <c r="F257" i="71" s="1"/>
  <c r="H232" i="71"/>
  <c r="G232" i="71" s="1"/>
  <c r="E232" i="71" s="1"/>
  <c r="F232" i="71" s="1"/>
  <c r="H214" i="71"/>
  <c r="G214" i="71" s="1"/>
  <c r="E214" i="71" s="1"/>
  <c r="F214" i="71" s="1"/>
  <c r="J147" i="71"/>
  <c r="H190" i="71"/>
  <c r="G190" i="71" s="1"/>
  <c r="E190" i="71" s="1"/>
  <c r="V190" i="71" s="1"/>
  <c r="H211" i="71"/>
  <c r="G211" i="71" s="1"/>
  <c r="E211" i="71" s="1"/>
  <c r="V211" i="71" s="1"/>
  <c r="U170" i="71"/>
  <c r="U169" i="71" s="1"/>
  <c r="T169" i="71"/>
  <c r="H117" i="71"/>
  <c r="G117" i="71" s="1"/>
  <c r="E117" i="71" s="1"/>
  <c r="F117" i="71" s="1"/>
  <c r="H156" i="71"/>
  <c r="G156" i="71" s="1"/>
  <c r="E156" i="71" s="1"/>
  <c r="F156" i="71" s="1"/>
  <c r="H157" i="71"/>
  <c r="G157" i="71" s="1"/>
  <c r="E157" i="71" s="1"/>
  <c r="V157" i="71" s="1"/>
  <c r="H107" i="71"/>
  <c r="G107" i="71" s="1"/>
  <c r="E107" i="71" s="1"/>
  <c r="F107" i="71" s="1"/>
  <c r="H104" i="71"/>
  <c r="G104" i="71" s="1"/>
  <c r="E104" i="71" s="1"/>
  <c r="V104" i="71" s="1"/>
  <c r="J246" i="71"/>
  <c r="H32" i="71"/>
  <c r="G32" i="71" s="1"/>
  <c r="E32" i="71" s="1"/>
  <c r="V32" i="71" s="1"/>
  <c r="H34" i="71"/>
  <c r="G34" i="71" s="1"/>
  <c r="E34" i="71" s="1"/>
  <c r="R66" i="71"/>
  <c r="H113" i="71"/>
  <c r="G113" i="71" s="1"/>
  <c r="E113" i="71" s="1"/>
  <c r="F113" i="71" s="1"/>
  <c r="P124" i="71"/>
  <c r="H224" i="71"/>
  <c r="G224" i="71" s="1"/>
  <c r="E224" i="71" s="1"/>
  <c r="F224" i="71" s="1"/>
  <c r="H290" i="71"/>
  <c r="G290" i="71" s="1"/>
  <c r="E290" i="71" s="1"/>
  <c r="F290" i="71" s="1"/>
  <c r="H14" i="71"/>
  <c r="G14" i="71" s="1"/>
  <c r="H23" i="71"/>
  <c r="G23" i="71" s="1"/>
  <c r="E23" i="71" s="1"/>
  <c r="F23" i="71" s="1"/>
  <c r="P170" i="71"/>
  <c r="P169" i="71" s="1"/>
  <c r="H37" i="71"/>
  <c r="G37" i="71" s="1"/>
  <c r="E37" i="71" s="1"/>
  <c r="F37" i="71" s="1"/>
  <c r="H39" i="71"/>
  <c r="H81" i="71"/>
  <c r="G81" i="71" s="1"/>
  <c r="E81" i="71" s="1"/>
  <c r="F81" i="71" s="1"/>
  <c r="H132" i="71"/>
  <c r="G132" i="71" s="1"/>
  <c r="E132" i="71" s="1"/>
  <c r="F132" i="71" s="1"/>
  <c r="H152" i="71"/>
  <c r="G152" i="71" s="1"/>
  <c r="E152" i="71" s="1"/>
  <c r="H155" i="71"/>
  <c r="G155" i="71" s="1"/>
  <c r="E155" i="71" s="1"/>
  <c r="F155" i="71" s="1"/>
  <c r="H197" i="71"/>
  <c r="G197" i="71" s="1"/>
  <c r="E197" i="71" s="1"/>
  <c r="V197" i="71" s="1"/>
  <c r="H268" i="71"/>
  <c r="G268" i="71" s="1"/>
  <c r="E268" i="71" s="1"/>
  <c r="F268" i="71" s="1"/>
  <c r="M325" i="71"/>
  <c r="M355" i="71"/>
  <c r="M353" i="71" s="1"/>
  <c r="V365" i="71"/>
  <c r="H399" i="71"/>
  <c r="G399" i="71" s="1"/>
  <c r="E399" i="71" s="1"/>
  <c r="V399" i="71" s="1"/>
  <c r="U124" i="71"/>
  <c r="X124" i="71" s="1"/>
  <c r="U352" i="71"/>
  <c r="H366" i="71"/>
  <c r="G366" i="71" s="1"/>
  <c r="E366" i="71" s="1"/>
  <c r="V366" i="71" s="1"/>
  <c r="H375" i="71"/>
  <c r="G375" i="71" s="1"/>
  <c r="E375" i="71" s="1"/>
  <c r="F375" i="71" s="1"/>
  <c r="H429" i="71"/>
  <c r="G429" i="71" s="1"/>
  <c r="E429" i="71" s="1"/>
  <c r="V429" i="71" s="1"/>
  <c r="P38" i="71"/>
  <c r="I66" i="71"/>
  <c r="H108" i="71"/>
  <c r="G108" i="71" s="1"/>
  <c r="E108" i="71" s="1"/>
  <c r="F108" i="71" s="1"/>
  <c r="H179" i="71"/>
  <c r="E179" i="71" s="1"/>
  <c r="H198" i="71"/>
  <c r="G198" i="71" s="1"/>
  <c r="E198" i="71" s="1"/>
  <c r="F198" i="71" s="1"/>
  <c r="H230" i="71"/>
  <c r="G230" i="71" s="1"/>
  <c r="E230" i="71" s="1"/>
  <c r="F230" i="71" s="1"/>
  <c r="T204" i="71"/>
  <c r="H274" i="71"/>
  <c r="G274" i="71" s="1"/>
  <c r="E274" i="71" s="1"/>
  <c r="H317" i="71"/>
  <c r="G317" i="71" s="1"/>
  <c r="E317" i="71" s="1"/>
  <c r="F317" i="71" s="1"/>
  <c r="R319" i="71"/>
  <c r="O434" i="71"/>
  <c r="S404" i="71"/>
  <c r="R434" i="71"/>
  <c r="H22" i="71"/>
  <c r="G22" i="71" s="1"/>
  <c r="E22" i="71" s="1"/>
  <c r="F22" i="71" s="1"/>
  <c r="H50" i="71"/>
  <c r="G50" i="71" s="1"/>
  <c r="E50" i="71" s="1"/>
  <c r="F50" i="71" s="1"/>
  <c r="L65" i="71"/>
  <c r="P66" i="71"/>
  <c r="H71" i="71"/>
  <c r="G71" i="71" s="1"/>
  <c r="E71" i="71" s="1"/>
  <c r="F71" i="71" s="1"/>
  <c r="M92" i="71"/>
  <c r="H92" i="71" s="1"/>
  <c r="G92" i="71" s="1"/>
  <c r="E92" i="71" s="1"/>
  <c r="F92" i="71" s="1"/>
  <c r="O143" i="71"/>
  <c r="H180" i="71"/>
  <c r="E180" i="71" s="1"/>
  <c r="C204" i="71"/>
  <c r="N265" i="71"/>
  <c r="T271" i="71"/>
  <c r="H296" i="71"/>
  <c r="G296" i="71" s="1"/>
  <c r="E296" i="71" s="1"/>
  <c r="V296" i="71" s="1"/>
  <c r="N309" i="71"/>
  <c r="N308" i="71" s="1"/>
  <c r="S339" i="71"/>
  <c r="J435" i="71"/>
  <c r="J434" i="71" s="1"/>
  <c r="P143" i="71"/>
  <c r="H192" i="71"/>
  <c r="G192" i="71" s="1"/>
  <c r="E192" i="71" s="1"/>
  <c r="F192" i="71" s="1"/>
  <c r="H263" i="71"/>
  <c r="G263" i="71" s="1"/>
  <c r="E263" i="71" s="1"/>
  <c r="F263" i="71" s="1"/>
  <c r="H276" i="71"/>
  <c r="G276" i="71" s="1"/>
  <c r="E276" i="71" s="1"/>
  <c r="V276" i="71" s="1"/>
  <c r="H297" i="71"/>
  <c r="G297" i="71" s="1"/>
  <c r="E297" i="71" s="1"/>
  <c r="F297" i="71" s="1"/>
  <c r="T319" i="71"/>
  <c r="M364" i="71"/>
  <c r="H364" i="71" s="1"/>
  <c r="G364" i="71" s="1"/>
  <c r="E364" i="71" s="1"/>
  <c r="V364" i="71" s="1"/>
  <c r="M379" i="71"/>
  <c r="H385" i="71"/>
  <c r="G385" i="71" s="1"/>
  <c r="E385" i="71" s="1"/>
  <c r="F385" i="71" s="1"/>
  <c r="M435" i="71"/>
  <c r="M434" i="71" s="1"/>
  <c r="I434" i="71"/>
  <c r="F241" i="71"/>
  <c r="V241" i="71"/>
  <c r="F242" i="71"/>
  <c r="V242" i="71"/>
  <c r="V317" i="71"/>
  <c r="V245" i="71"/>
  <c r="F245" i="71"/>
  <c r="F249" i="71"/>
  <c r="H24" i="71"/>
  <c r="G24" i="71" s="1"/>
  <c r="E24" i="71" s="1"/>
  <c r="F24" i="71" s="1"/>
  <c r="H35" i="71"/>
  <c r="G35" i="71" s="1"/>
  <c r="E35" i="71" s="1"/>
  <c r="V35" i="71" s="1"/>
  <c r="N54" i="71"/>
  <c r="H63" i="71"/>
  <c r="K66" i="71"/>
  <c r="N135" i="71"/>
  <c r="N124" i="71" s="1"/>
  <c r="H139" i="71"/>
  <c r="G139" i="71" s="1"/>
  <c r="E139" i="71" s="1"/>
  <c r="V139" i="71" s="1"/>
  <c r="H217" i="71"/>
  <c r="G217" i="71" s="1"/>
  <c r="E217" i="71" s="1"/>
  <c r="V217" i="71" s="1"/>
  <c r="H250" i="71"/>
  <c r="G250" i="71" s="1"/>
  <c r="E250" i="71" s="1"/>
  <c r="F250" i="71" s="1"/>
  <c r="M301" i="71"/>
  <c r="H306" i="71"/>
  <c r="G306" i="71" s="1"/>
  <c r="E306" i="71" s="1"/>
  <c r="F306" i="71" s="1"/>
  <c r="K308" i="71"/>
  <c r="H368" i="71"/>
  <c r="G368" i="71" s="1"/>
  <c r="E368" i="71" s="1"/>
  <c r="H409" i="71"/>
  <c r="G409" i="71" s="1"/>
  <c r="E409" i="71" s="1"/>
  <c r="H424" i="71"/>
  <c r="G424" i="71" s="1"/>
  <c r="E424" i="71" s="1"/>
  <c r="F424" i="71" s="1"/>
  <c r="H428" i="71"/>
  <c r="G428" i="71" s="1"/>
  <c r="E428" i="71" s="1"/>
  <c r="F428" i="71" s="1"/>
  <c r="H431" i="71"/>
  <c r="F442" i="71"/>
  <c r="J67" i="71"/>
  <c r="J66" i="71" s="1"/>
  <c r="Q86" i="71"/>
  <c r="F116" i="71"/>
  <c r="R204" i="71"/>
  <c r="H282" i="71"/>
  <c r="G282" i="71" s="1"/>
  <c r="H307" i="71"/>
  <c r="G307" i="71" s="1"/>
  <c r="E307" i="71" s="1"/>
  <c r="V307" i="71" s="1"/>
  <c r="H311" i="71"/>
  <c r="G311" i="71" s="1"/>
  <c r="E311" i="71" s="1"/>
  <c r="V311" i="71" s="1"/>
  <c r="H315" i="71"/>
  <c r="G315" i="71" s="1"/>
  <c r="H40" i="71"/>
  <c r="G40" i="71" s="1"/>
  <c r="E40" i="71" s="1"/>
  <c r="F40" i="71" s="1"/>
  <c r="J144" i="71"/>
  <c r="H153" i="71"/>
  <c r="G153" i="71" s="1"/>
  <c r="E153" i="71" s="1"/>
  <c r="F153" i="71" s="1"/>
  <c r="H162" i="71"/>
  <c r="G162" i="71" s="1"/>
  <c r="E162" i="71" s="1"/>
  <c r="F162" i="71" s="1"/>
  <c r="S170" i="71"/>
  <c r="S169" i="71" s="1"/>
  <c r="Q319" i="71"/>
  <c r="H334" i="71"/>
  <c r="G334" i="71" s="1"/>
  <c r="E334" i="71" s="1"/>
  <c r="V334" i="71" s="1"/>
  <c r="I339" i="71"/>
  <c r="O339" i="71"/>
  <c r="H350" i="71"/>
  <c r="G350" i="71" s="1"/>
  <c r="E350" i="71" s="1"/>
  <c r="V350" i="71" s="1"/>
  <c r="J370" i="71"/>
  <c r="O404" i="71"/>
  <c r="M411" i="71"/>
  <c r="M416" i="71"/>
  <c r="H421" i="71"/>
  <c r="G421" i="71" s="1"/>
  <c r="E421" i="71" s="1"/>
  <c r="V421" i="71" s="1"/>
  <c r="H425" i="71"/>
  <c r="G425" i="71" s="1"/>
  <c r="E425" i="71" s="1"/>
  <c r="F425" i="71" s="1"/>
  <c r="H31" i="71"/>
  <c r="G31" i="71" s="1"/>
  <c r="E31" i="71" s="1"/>
  <c r="F31" i="71" s="1"/>
  <c r="O86" i="71"/>
  <c r="J102" i="71"/>
  <c r="K170" i="71"/>
  <c r="K169" i="71" s="1"/>
  <c r="H215" i="71"/>
  <c r="G215" i="71" s="1"/>
  <c r="E215" i="71" s="1"/>
  <c r="V215" i="71" s="1"/>
  <c r="H251" i="71"/>
  <c r="G251" i="71" s="1"/>
  <c r="E251" i="71" s="1"/>
  <c r="F251" i="71" s="1"/>
  <c r="H261" i="71"/>
  <c r="G261" i="71" s="1"/>
  <c r="E261" i="71" s="1"/>
  <c r="V261" i="71" s="1"/>
  <c r="N271" i="71"/>
  <c r="J289" i="71"/>
  <c r="H303" i="71"/>
  <c r="G303" i="71" s="1"/>
  <c r="E303" i="71" s="1"/>
  <c r="V303" i="71" s="1"/>
  <c r="H344" i="71"/>
  <c r="G344" i="71" s="1"/>
  <c r="E344" i="71" s="1"/>
  <c r="J345" i="71"/>
  <c r="P352" i="71"/>
  <c r="H361" i="71"/>
  <c r="G361" i="71" s="1"/>
  <c r="E361" i="71" s="1"/>
  <c r="F361" i="71" s="1"/>
  <c r="H376" i="71"/>
  <c r="G376" i="71" s="1"/>
  <c r="E376" i="71" s="1"/>
  <c r="F376" i="71" s="1"/>
  <c r="H398" i="71"/>
  <c r="G398" i="71" s="1"/>
  <c r="E398" i="71" s="1"/>
  <c r="F398" i="71" s="1"/>
  <c r="H403" i="71"/>
  <c r="G403" i="71" s="1"/>
  <c r="E403" i="71" s="1"/>
  <c r="F403" i="71" s="1"/>
  <c r="P404" i="71"/>
  <c r="H407" i="71"/>
  <c r="G407" i="71" s="1"/>
  <c r="E407" i="71" s="1"/>
  <c r="R404" i="71"/>
  <c r="H414" i="71"/>
  <c r="G414" i="71" s="1"/>
  <c r="E414" i="71" s="1"/>
  <c r="H418" i="71"/>
  <c r="G418" i="71" s="1"/>
  <c r="E418" i="71" s="1"/>
  <c r="F418" i="71" s="1"/>
  <c r="H422" i="71"/>
  <c r="G422" i="71" s="1"/>
  <c r="E422" i="71" s="1"/>
  <c r="V422" i="71" s="1"/>
  <c r="C33" i="71"/>
  <c r="C29" i="71" s="1"/>
  <c r="C28" i="71" s="1"/>
  <c r="C27" i="71" s="1"/>
  <c r="I43" i="71"/>
  <c r="I26" i="71" s="1"/>
  <c r="P86" i="71"/>
  <c r="J125" i="71"/>
  <c r="R124" i="71"/>
  <c r="H141" i="71"/>
  <c r="G141" i="71" s="1"/>
  <c r="E141" i="71" s="1"/>
  <c r="F141" i="71" s="1"/>
  <c r="J171" i="71"/>
  <c r="U204" i="71"/>
  <c r="H305" i="71"/>
  <c r="G305" i="71" s="1"/>
  <c r="E305" i="71" s="1"/>
  <c r="I404" i="71"/>
  <c r="H440" i="71"/>
  <c r="H439" i="71" s="1"/>
  <c r="H438" i="71" s="1"/>
  <c r="F443" i="71"/>
  <c r="K352" i="71"/>
  <c r="M33" i="71"/>
  <c r="M29" i="71" s="1"/>
  <c r="M28" i="71" s="1"/>
  <c r="M27" i="71" s="1"/>
  <c r="H75" i="71"/>
  <c r="H74" i="71" s="1"/>
  <c r="M102" i="71"/>
  <c r="M111" i="71"/>
  <c r="S124" i="71"/>
  <c r="T143" i="71"/>
  <c r="H165" i="71"/>
  <c r="H163" i="71" s="1"/>
  <c r="W184" i="71"/>
  <c r="H199" i="71"/>
  <c r="G199" i="71" s="1"/>
  <c r="E199" i="71" s="1"/>
  <c r="N236" i="71"/>
  <c r="P271" i="71"/>
  <c r="H279" i="71"/>
  <c r="G279" i="71" s="1"/>
  <c r="E279" i="71" s="1"/>
  <c r="H284" i="71"/>
  <c r="G284" i="71" s="1"/>
  <c r="E284" i="71" s="1"/>
  <c r="V284" i="71" s="1"/>
  <c r="M295" i="71"/>
  <c r="H295" i="71" s="1"/>
  <c r="G295" i="71" s="1"/>
  <c r="E295" i="71" s="1"/>
  <c r="F295" i="71" s="1"/>
  <c r="H332" i="71"/>
  <c r="G332" i="71" s="1"/>
  <c r="E332" i="71" s="1"/>
  <c r="V332" i="71" s="1"/>
  <c r="H367" i="71"/>
  <c r="G367" i="71" s="1"/>
  <c r="E367" i="71" s="1"/>
  <c r="V367" i="71" s="1"/>
  <c r="H374" i="71"/>
  <c r="G374" i="71" s="1"/>
  <c r="E374" i="71" s="1"/>
  <c r="H408" i="71"/>
  <c r="G408" i="71" s="1"/>
  <c r="E408" i="71" s="1"/>
  <c r="V408" i="71" s="1"/>
  <c r="J411" i="71"/>
  <c r="Q434" i="71"/>
  <c r="K434" i="71"/>
  <c r="H51" i="71"/>
  <c r="G51" i="71" s="1"/>
  <c r="E51" i="71" s="1"/>
  <c r="F51" i="71" s="1"/>
  <c r="H115" i="71"/>
  <c r="G115" i="71" s="1"/>
  <c r="E115" i="71" s="1"/>
  <c r="F115" i="71" s="1"/>
  <c r="K124" i="71"/>
  <c r="H181" i="71"/>
  <c r="G181" i="71" s="1"/>
  <c r="O170" i="71"/>
  <c r="O169" i="71" s="1"/>
  <c r="H185" i="71"/>
  <c r="G185" i="71" s="1"/>
  <c r="H193" i="71"/>
  <c r="G193" i="71" s="1"/>
  <c r="E193" i="71" s="1"/>
  <c r="V193" i="71" s="1"/>
  <c r="H226" i="71"/>
  <c r="G226" i="71" s="1"/>
  <c r="E226" i="71" s="1"/>
  <c r="F226" i="71" s="1"/>
  <c r="J265" i="71"/>
  <c r="C271" i="71"/>
  <c r="H324" i="71"/>
  <c r="G324" i="71" s="1"/>
  <c r="E324" i="71" s="1"/>
  <c r="F324" i="71" s="1"/>
  <c r="N379" i="71"/>
  <c r="H395" i="71"/>
  <c r="G395" i="71" s="1"/>
  <c r="I86" i="71"/>
  <c r="H93" i="71"/>
  <c r="G93" i="71" s="1"/>
  <c r="E93" i="71" s="1"/>
  <c r="F93" i="71" s="1"/>
  <c r="H119" i="71"/>
  <c r="G119" i="71" s="1"/>
  <c r="E119" i="71" s="1"/>
  <c r="H73" i="71"/>
  <c r="G73" i="71" s="1"/>
  <c r="E73" i="71" s="1"/>
  <c r="F73" i="71" s="1"/>
  <c r="H97" i="71"/>
  <c r="G97" i="71" s="1"/>
  <c r="E97" i="71" s="1"/>
  <c r="V97" i="71" s="1"/>
  <c r="H18" i="71"/>
  <c r="H21" i="71"/>
  <c r="G21" i="71" s="1"/>
  <c r="E21" i="71" s="1"/>
  <c r="F21" i="71" s="1"/>
  <c r="H64" i="71"/>
  <c r="G64" i="71" s="1"/>
  <c r="E64" i="71" s="1"/>
  <c r="F64" i="71" s="1"/>
  <c r="H70" i="71"/>
  <c r="G70" i="71" s="1"/>
  <c r="E70" i="71" s="1"/>
  <c r="F70" i="71" s="1"/>
  <c r="H94" i="71"/>
  <c r="G94" i="71" s="1"/>
  <c r="E94" i="71" s="1"/>
  <c r="U86" i="71"/>
  <c r="M15" i="71"/>
  <c r="M13" i="71" s="1"/>
  <c r="M11" i="71" s="1"/>
  <c r="H56" i="71"/>
  <c r="G56" i="71" s="1"/>
  <c r="E56" i="71" s="1"/>
  <c r="F56" i="71" s="1"/>
  <c r="G18" i="71"/>
  <c r="E18" i="71" s="1"/>
  <c r="F18" i="71" s="1"/>
  <c r="P33" i="71"/>
  <c r="P29" i="71" s="1"/>
  <c r="P28" i="71" s="1"/>
  <c r="P27" i="71" s="1"/>
  <c r="G68" i="71"/>
  <c r="E45" i="71"/>
  <c r="V57" i="71"/>
  <c r="F57" i="71"/>
  <c r="F46" i="71"/>
  <c r="V46" i="71"/>
  <c r="V58" i="71"/>
  <c r="F58" i="71"/>
  <c r="G63" i="71"/>
  <c r="V36" i="71"/>
  <c r="E55" i="71"/>
  <c r="V55" i="71" s="1"/>
  <c r="V52" i="71"/>
  <c r="F52" i="71"/>
  <c r="G30" i="71"/>
  <c r="F60" i="71"/>
  <c r="V47" i="71"/>
  <c r="F47" i="71"/>
  <c r="G39" i="71"/>
  <c r="M44" i="71"/>
  <c r="H48" i="71"/>
  <c r="G48" i="71" s="1"/>
  <c r="E48" i="71" s="1"/>
  <c r="F59" i="71"/>
  <c r="E12" i="71"/>
  <c r="F49" i="71"/>
  <c r="V49" i="71"/>
  <c r="V31" i="71"/>
  <c r="F16" i="71"/>
  <c r="R65" i="71"/>
  <c r="N66" i="71"/>
  <c r="V91" i="71"/>
  <c r="F222" i="71"/>
  <c r="V222" i="71"/>
  <c r="J13" i="71"/>
  <c r="J11" i="71" s="1"/>
  <c r="M62" i="71"/>
  <c r="S65" i="71"/>
  <c r="O66" i="71"/>
  <c r="H78" i="71"/>
  <c r="G78" i="71" s="1"/>
  <c r="E78" i="71" s="1"/>
  <c r="F128" i="71"/>
  <c r="F208" i="71"/>
  <c r="V208" i="71"/>
  <c r="H19" i="71"/>
  <c r="G19" i="71" s="1"/>
  <c r="E19" i="71" s="1"/>
  <c r="F19" i="71" s="1"/>
  <c r="M54" i="71"/>
  <c r="M67" i="71"/>
  <c r="H76" i="71"/>
  <c r="G76" i="71" s="1"/>
  <c r="E76" i="71" s="1"/>
  <c r="F90" i="71"/>
  <c r="V90" i="71"/>
  <c r="M144" i="71"/>
  <c r="H145" i="71"/>
  <c r="G145" i="71" s="1"/>
  <c r="E145" i="71" s="1"/>
  <c r="V177" i="71"/>
  <c r="F177" i="71"/>
  <c r="J38" i="71"/>
  <c r="J33" i="71" s="1"/>
  <c r="J29" i="71" s="1"/>
  <c r="J28" i="71" s="1"/>
  <c r="J27" i="71" s="1"/>
  <c r="F77" i="71"/>
  <c r="J120" i="71"/>
  <c r="H122" i="71"/>
  <c r="G122" i="71" s="1"/>
  <c r="E122" i="71" s="1"/>
  <c r="E126" i="71"/>
  <c r="V126" i="71" s="1"/>
  <c r="P54" i="71"/>
  <c r="P43" i="71" s="1"/>
  <c r="R86" i="71"/>
  <c r="V96" i="71"/>
  <c r="F96" i="71"/>
  <c r="H148" i="71"/>
  <c r="F178" i="71"/>
  <c r="V178" i="71"/>
  <c r="F193" i="71"/>
  <c r="F101" i="71"/>
  <c r="G136" i="71"/>
  <c r="C143" i="71"/>
  <c r="F164" i="71"/>
  <c r="M83" i="71"/>
  <c r="H142" i="71"/>
  <c r="G142" i="71" s="1"/>
  <c r="E142" i="71" s="1"/>
  <c r="V142" i="71" s="1"/>
  <c r="J135" i="71"/>
  <c r="V151" i="71"/>
  <c r="F151" i="71"/>
  <c r="H112" i="71"/>
  <c r="J111" i="71"/>
  <c r="E174" i="71"/>
  <c r="G173" i="71"/>
  <c r="J205" i="71"/>
  <c r="F253" i="71"/>
  <c r="V253" i="71"/>
  <c r="F307" i="71"/>
  <c r="F311" i="71"/>
  <c r="E354" i="71"/>
  <c r="H89" i="71"/>
  <c r="M127" i="71"/>
  <c r="H130" i="71"/>
  <c r="G130" i="71" s="1"/>
  <c r="E130" i="71" s="1"/>
  <c r="V130" i="71" s="1"/>
  <c r="M135" i="71"/>
  <c r="Q143" i="71"/>
  <c r="H158" i="71"/>
  <c r="G158" i="71" s="1"/>
  <c r="E158" i="71" s="1"/>
  <c r="V176" i="71"/>
  <c r="H202" i="71"/>
  <c r="V239" i="71"/>
  <c r="F239" i="71"/>
  <c r="F264" i="71"/>
  <c r="V264" i="71"/>
  <c r="V268" i="71"/>
  <c r="L270" i="71"/>
  <c r="L167" i="71" s="1"/>
  <c r="H273" i="71"/>
  <c r="H114" i="71"/>
  <c r="G114" i="71" s="1"/>
  <c r="E114" i="71" s="1"/>
  <c r="F114" i="71" s="1"/>
  <c r="H137" i="71"/>
  <c r="G137" i="71" s="1"/>
  <c r="E137" i="71" s="1"/>
  <c r="J163" i="71"/>
  <c r="H187" i="71"/>
  <c r="G187" i="71" s="1"/>
  <c r="E187" i="71" s="1"/>
  <c r="H194" i="71"/>
  <c r="G194" i="71" s="1"/>
  <c r="E194" i="71" s="1"/>
  <c r="V210" i="71"/>
  <c r="F210" i="71"/>
  <c r="F303" i="71"/>
  <c r="F312" i="71"/>
  <c r="F323" i="71"/>
  <c r="V323" i="71"/>
  <c r="V376" i="71"/>
  <c r="F175" i="71"/>
  <c r="V175" i="71"/>
  <c r="F329" i="71"/>
  <c r="V329" i="71"/>
  <c r="F341" i="71"/>
  <c r="F206" i="71"/>
  <c r="G247" i="71"/>
  <c r="V277" i="71"/>
  <c r="F277" i="71"/>
  <c r="V324" i="71"/>
  <c r="F332" i="71"/>
  <c r="N86" i="71"/>
  <c r="H105" i="71"/>
  <c r="G105" i="71" s="1"/>
  <c r="E105" i="71" s="1"/>
  <c r="H109" i="71"/>
  <c r="G109" i="71" s="1"/>
  <c r="E109" i="71" s="1"/>
  <c r="M120" i="71"/>
  <c r="U143" i="71"/>
  <c r="H173" i="71"/>
  <c r="S204" i="71"/>
  <c r="H231" i="71"/>
  <c r="G231" i="71" s="1"/>
  <c r="E231" i="71" s="1"/>
  <c r="M236" i="71"/>
  <c r="H237" i="71"/>
  <c r="F275" i="71"/>
  <c r="V275" i="71"/>
  <c r="H95" i="71"/>
  <c r="G95" i="71" s="1"/>
  <c r="E95" i="71" s="1"/>
  <c r="H186" i="71"/>
  <c r="G186" i="71" s="1"/>
  <c r="E186" i="71" s="1"/>
  <c r="H223" i="71"/>
  <c r="G223" i="71" s="1"/>
  <c r="E223" i="71" s="1"/>
  <c r="F223" i="71" s="1"/>
  <c r="M229" i="71"/>
  <c r="M227" i="71" s="1"/>
  <c r="F278" i="71"/>
  <c r="V278" i="71"/>
  <c r="F285" i="71"/>
  <c r="V285" i="71"/>
  <c r="V288" i="71"/>
  <c r="F288" i="71"/>
  <c r="G321" i="71"/>
  <c r="V238" i="71"/>
  <c r="F238" i="71"/>
  <c r="M248" i="71"/>
  <c r="M246" i="71" s="1"/>
  <c r="N246" i="71"/>
  <c r="V252" i="71"/>
  <c r="F252" i="71"/>
  <c r="V337" i="71"/>
  <c r="F337" i="71"/>
  <c r="I204" i="71"/>
  <c r="H259" i="71"/>
  <c r="H291" i="71"/>
  <c r="G291" i="71" s="1"/>
  <c r="E291" i="71" s="1"/>
  <c r="M289" i="71"/>
  <c r="K319" i="71"/>
  <c r="N330" i="71"/>
  <c r="J353" i="71"/>
  <c r="J352" i="71" s="1"/>
  <c r="F296" i="71"/>
  <c r="H299" i="71"/>
  <c r="G299" i="71" s="1"/>
  <c r="E299" i="71" s="1"/>
  <c r="F299" i="71" s="1"/>
  <c r="G302" i="71"/>
  <c r="H313" i="71"/>
  <c r="G313" i="71" s="1"/>
  <c r="E313" i="71" s="1"/>
  <c r="J314" i="71"/>
  <c r="J308" i="71" s="1"/>
  <c r="H322" i="71"/>
  <c r="G322" i="71" s="1"/>
  <c r="E322" i="71" s="1"/>
  <c r="F397" i="71"/>
  <c r="V397" i="71"/>
  <c r="V304" i="71"/>
  <c r="M320" i="71"/>
  <c r="V331" i="71"/>
  <c r="F373" i="71"/>
  <c r="V373" i="71"/>
  <c r="V382" i="71"/>
  <c r="F382" i="71"/>
  <c r="F390" i="71"/>
  <c r="V390" i="71"/>
  <c r="F407" i="71"/>
  <c r="V407" i="71"/>
  <c r="R271" i="71"/>
  <c r="J281" i="71"/>
  <c r="J301" i="71"/>
  <c r="M330" i="71"/>
  <c r="F333" i="71"/>
  <c r="V333" i="71"/>
  <c r="M342" i="71"/>
  <c r="M340" i="71" s="1"/>
  <c r="N340" i="71"/>
  <c r="N339" i="71" s="1"/>
  <c r="M345" i="71"/>
  <c r="H346" i="71"/>
  <c r="V356" i="71"/>
  <c r="F356" i="71"/>
  <c r="M203" i="71"/>
  <c r="H203" i="71" s="1"/>
  <c r="G203" i="71" s="1"/>
  <c r="E203" i="71" s="1"/>
  <c r="O201" i="71"/>
  <c r="N205" i="71"/>
  <c r="M207" i="71"/>
  <c r="H216" i="71"/>
  <c r="G216" i="71" s="1"/>
  <c r="E216" i="71" s="1"/>
  <c r="F262" i="71"/>
  <c r="M265" i="71"/>
  <c r="H266" i="71"/>
  <c r="F350" i="71"/>
  <c r="H196" i="71"/>
  <c r="G196" i="71" s="1"/>
  <c r="E196" i="71" s="1"/>
  <c r="H209" i="71"/>
  <c r="G209" i="71" s="1"/>
  <c r="E209" i="71" s="1"/>
  <c r="H212" i="71"/>
  <c r="G212" i="71" s="1"/>
  <c r="E212" i="71" s="1"/>
  <c r="H254" i="71"/>
  <c r="G254" i="71" s="1"/>
  <c r="E254" i="71" s="1"/>
  <c r="M260" i="71"/>
  <c r="H260" i="71" s="1"/>
  <c r="G260" i="71" s="1"/>
  <c r="E260" i="71" s="1"/>
  <c r="N258" i="71"/>
  <c r="M281" i="71"/>
  <c r="H298" i="71"/>
  <c r="G298" i="71" s="1"/>
  <c r="E298" i="71" s="1"/>
  <c r="R308" i="71"/>
  <c r="M309" i="71"/>
  <c r="H310" i="71"/>
  <c r="J325" i="71"/>
  <c r="H327" i="71"/>
  <c r="G327" i="71" s="1"/>
  <c r="E327" i="71" s="1"/>
  <c r="H335" i="71"/>
  <c r="G335" i="71" s="1"/>
  <c r="E335" i="71" s="1"/>
  <c r="J330" i="71"/>
  <c r="V343" i="71"/>
  <c r="F343" i="71"/>
  <c r="V351" i="71"/>
  <c r="F357" i="71"/>
  <c r="E371" i="71"/>
  <c r="V371" i="71" s="1"/>
  <c r="F391" i="71"/>
  <c r="V400" i="71"/>
  <c r="F400" i="71"/>
  <c r="G412" i="71"/>
  <c r="V427" i="71"/>
  <c r="F243" i="71"/>
  <c r="V243" i="71"/>
  <c r="J320" i="71"/>
  <c r="V361" i="71"/>
  <c r="V369" i="71"/>
  <c r="F369" i="71"/>
  <c r="V381" i="71"/>
  <c r="F381" i="71"/>
  <c r="O271" i="71"/>
  <c r="M314" i="71"/>
  <c r="J258" i="71"/>
  <c r="S271" i="71"/>
  <c r="H294" i="71"/>
  <c r="J293" i="71"/>
  <c r="H316" i="71"/>
  <c r="G316" i="71" s="1"/>
  <c r="E316" i="71" s="1"/>
  <c r="F366" i="71"/>
  <c r="K339" i="71"/>
  <c r="J340" i="71"/>
  <c r="J339" i="71" s="1"/>
  <c r="M362" i="71"/>
  <c r="F389" i="71"/>
  <c r="V389" i="71"/>
  <c r="G417" i="71"/>
  <c r="C434" i="71"/>
  <c r="F437" i="71"/>
  <c r="J379" i="71"/>
  <c r="H383" i="71"/>
  <c r="G383" i="71" s="1"/>
  <c r="E383" i="71" s="1"/>
  <c r="F426" i="71"/>
  <c r="V426" i="71"/>
  <c r="H360" i="71"/>
  <c r="H387" i="71"/>
  <c r="F399" i="71"/>
  <c r="V441" i="71"/>
  <c r="F441" i="71"/>
  <c r="G363" i="71"/>
  <c r="N386" i="71"/>
  <c r="M388" i="71"/>
  <c r="H388" i="71" s="1"/>
  <c r="G388" i="71" s="1"/>
  <c r="E388" i="71" s="1"/>
  <c r="F401" i="71"/>
  <c r="V401" i="71"/>
  <c r="V424" i="71"/>
  <c r="V428" i="71"/>
  <c r="G431" i="71"/>
  <c r="J386" i="71"/>
  <c r="J394" i="71"/>
  <c r="H436" i="71"/>
  <c r="M396" i="71"/>
  <c r="H396" i="71" s="1"/>
  <c r="M406" i="71"/>
  <c r="J415" i="71"/>
  <c r="H347" i="71"/>
  <c r="G347" i="71" s="1"/>
  <c r="E347" i="71" s="1"/>
  <c r="M372" i="71"/>
  <c r="M415" i="71"/>
  <c r="H380" i="71"/>
  <c r="Q270" i="71" l="1"/>
  <c r="V306" i="71"/>
  <c r="P270" i="71"/>
  <c r="F408" i="71"/>
  <c r="F384" i="71"/>
  <c r="F367" i="71"/>
  <c r="F279" i="71"/>
  <c r="V328" i="71"/>
  <c r="G179" i="71"/>
  <c r="F99" i="71"/>
  <c r="V99" i="71"/>
  <c r="F413" i="71"/>
  <c r="V420" i="71"/>
  <c r="F283" i="71"/>
  <c r="V189" i="71"/>
  <c r="V138" i="71"/>
  <c r="V106" i="71"/>
  <c r="F32" i="71"/>
  <c r="I270" i="71"/>
  <c r="N43" i="71"/>
  <c r="N26" i="71" s="1"/>
  <c r="F423" i="71"/>
  <c r="V423" i="71"/>
  <c r="G440" i="71"/>
  <c r="F432" i="71"/>
  <c r="F377" i="71"/>
  <c r="F422" i="71"/>
  <c r="V398" i="71"/>
  <c r="V295" i="71"/>
  <c r="V256" i="71"/>
  <c r="H120" i="71"/>
  <c r="F79" i="71"/>
  <c r="V107" i="71"/>
  <c r="F190" i="71"/>
  <c r="Q167" i="71"/>
  <c r="Q82" i="71" s="1"/>
  <c r="Q25" i="71" s="1"/>
  <c r="G430" i="71"/>
  <c r="O270" i="71"/>
  <c r="O167" i="71" s="1"/>
  <c r="O82" i="71" s="1"/>
  <c r="O25" i="71" s="1"/>
  <c r="H355" i="71"/>
  <c r="G355" i="71" s="1"/>
  <c r="E355" i="71" s="1"/>
  <c r="F336" i="71"/>
  <c r="L82" i="71"/>
  <c r="L25" i="71" s="1"/>
  <c r="L10" i="71" s="1"/>
  <c r="L444" i="71" s="1"/>
  <c r="F414" i="71"/>
  <c r="V414" i="71"/>
  <c r="H430" i="71"/>
  <c r="F286" i="71"/>
  <c r="F160" i="71"/>
  <c r="F129" i="71"/>
  <c r="F191" i="71"/>
  <c r="F213" i="71"/>
  <c r="G75" i="71"/>
  <c r="G74" i="71" s="1"/>
  <c r="F292" i="71"/>
  <c r="V292" i="71"/>
  <c r="V240" i="71"/>
  <c r="F240" i="71"/>
  <c r="F85" i="71"/>
  <c r="V85" i="71"/>
  <c r="F267" i="71"/>
  <c r="V267" i="71"/>
  <c r="V199" i="71"/>
  <c r="F199" i="71"/>
  <c r="J170" i="71"/>
  <c r="J169" i="71" s="1"/>
  <c r="F274" i="71"/>
  <c r="V274" i="71"/>
  <c r="F152" i="71"/>
  <c r="V152" i="71"/>
  <c r="H83" i="71"/>
  <c r="F41" i="71"/>
  <c r="V41" i="71"/>
  <c r="V433" i="71"/>
  <c r="F429" i="71"/>
  <c r="V418" i="71"/>
  <c r="M319" i="71"/>
  <c r="F261" i="71"/>
  <c r="E181" i="71"/>
  <c r="V181" i="71" s="1"/>
  <c r="F140" i="71"/>
  <c r="H416" i="71"/>
  <c r="H362" i="71"/>
  <c r="F364" i="71"/>
  <c r="V263" i="71"/>
  <c r="V37" i="71"/>
  <c r="F119" i="71"/>
  <c r="V119" i="71"/>
  <c r="F409" i="71"/>
  <c r="V409" i="71"/>
  <c r="M352" i="71"/>
  <c r="V419" i="71"/>
  <c r="F421" i="71"/>
  <c r="H411" i="71"/>
  <c r="V375" i="71"/>
  <c r="E330" i="71"/>
  <c r="F330" i="71" s="1"/>
  <c r="V251" i="71"/>
  <c r="F334" i="71"/>
  <c r="V188" i="71"/>
  <c r="G84" i="71"/>
  <c r="E84" i="71" s="1"/>
  <c r="V162" i="71"/>
  <c r="H38" i="71"/>
  <c r="H33" i="71" s="1"/>
  <c r="H29" i="71" s="1"/>
  <c r="H28" i="71" s="1"/>
  <c r="H27" i="71" s="1"/>
  <c r="C270" i="71"/>
  <c r="J404" i="71"/>
  <c r="C26" i="71"/>
  <c r="E325" i="71"/>
  <c r="F325" i="71" s="1"/>
  <c r="H289" i="71"/>
  <c r="V326" i="71"/>
  <c r="V297" i="71"/>
  <c r="F338" i="71"/>
  <c r="E289" i="71"/>
  <c r="F289" i="71" s="1"/>
  <c r="H171" i="71"/>
  <c r="F154" i="71"/>
  <c r="F195" i="71"/>
  <c r="M170" i="71"/>
  <c r="M169" i="71" s="1"/>
  <c r="P167" i="71"/>
  <c r="P82" i="71" s="1"/>
  <c r="F131" i="71"/>
  <c r="V159" i="71"/>
  <c r="F157" i="71"/>
  <c r="V134" i="71"/>
  <c r="I35" i="73" s="1"/>
  <c r="J35" i="73" s="1"/>
  <c r="W26" i="71"/>
  <c r="H88" i="71"/>
  <c r="H87" i="71" s="1"/>
  <c r="G172" i="71"/>
  <c r="H168" i="71"/>
  <c r="M88" i="71"/>
  <c r="M87" i="71" s="1"/>
  <c r="M86" i="71" s="1"/>
  <c r="V166" i="71"/>
  <c r="V153" i="71"/>
  <c r="V234" i="71"/>
  <c r="V198" i="71"/>
  <c r="F233" i="71"/>
  <c r="U270" i="71"/>
  <c r="U167" i="71" s="1"/>
  <c r="M405" i="71"/>
  <c r="M404" i="71" s="1"/>
  <c r="F211" i="71"/>
  <c r="J65" i="71"/>
  <c r="G165" i="71"/>
  <c r="E165" i="71" s="1"/>
  <c r="E163" i="71" s="1"/>
  <c r="F163" i="71" s="1"/>
  <c r="F276" i="71"/>
  <c r="V214" i="71"/>
  <c r="V156" i="71"/>
  <c r="G228" i="71"/>
  <c r="V232" i="71"/>
  <c r="H147" i="71"/>
  <c r="J26" i="71"/>
  <c r="F35" i="71"/>
  <c r="V230" i="71"/>
  <c r="F217" i="71"/>
  <c r="V257" i="71"/>
  <c r="V117" i="71"/>
  <c r="G184" i="71"/>
  <c r="F197" i="71"/>
  <c r="F139" i="71"/>
  <c r="F215" i="71"/>
  <c r="H184" i="71"/>
  <c r="V115" i="71"/>
  <c r="V141" i="71"/>
  <c r="V93" i="71"/>
  <c r="F104" i="71"/>
  <c r="V132" i="71"/>
  <c r="V192" i="71"/>
  <c r="V155" i="71"/>
  <c r="V92" i="71"/>
  <c r="H144" i="71"/>
  <c r="J86" i="71"/>
  <c r="F134" i="71"/>
  <c r="V40" i="71"/>
  <c r="M143" i="71"/>
  <c r="C167" i="71"/>
  <c r="C82" i="71" s="1"/>
  <c r="M339" i="71"/>
  <c r="H62" i="71"/>
  <c r="V64" i="71"/>
  <c r="J124" i="71"/>
  <c r="G180" i="71"/>
  <c r="M293" i="71"/>
  <c r="T270" i="71"/>
  <c r="T167" i="71" s="1"/>
  <c r="G330" i="71"/>
  <c r="H353" i="71"/>
  <c r="G54" i="71"/>
  <c r="F344" i="71"/>
  <c r="V344" i="71"/>
  <c r="G289" i="71"/>
  <c r="F284" i="71"/>
  <c r="M386" i="71"/>
  <c r="J271" i="71"/>
  <c r="F374" i="71"/>
  <c r="V374" i="71"/>
  <c r="V305" i="71"/>
  <c r="F305" i="71"/>
  <c r="H330" i="71"/>
  <c r="N204" i="71"/>
  <c r="R270" i="71"/>
  <c r="R167" i="71" s="1"/>
  <c r="R82" i="71" s="1"/>
  <c r="R25" i="71" s="1"/>
  <c r="N270" i="71"/>
  <c r="H281" i="71"/>
  <c r="H54" i="71"/>
  <c r="F180" i="71"/>
  <c r="V180" i="71"/>
  <c r="K270" i="71"/>
  <c r="K167" i="71" s="1"/>
  <c r="K82" i="71" s="1"/>
  <c r="K25" i="71" s="1"/>
  <c r="H301" i="71"/>
  <c r="I167" i="71"/>
  <c r="I82" i="71" s="1"/>
  <c r="I25" i="71" s="1"/>
  <c r="H325" i="71"/>
  <c r="V56" i="71"/>
  <c r="F97" i="71"/>
  <c r="V368" i="71"/>
  <c r="F368" i="71"/>
  <c r="V425" i="71"/>
  <c r="H415" i="71"/>
  <c r="J319" i="71"/>
  <c r="H314" i="71"/>
  <c r="V94" i="71"/>
  <c r="F94" i="71"/>
  <c r="H67" i="71"/>
  <c r="H65" i="71" s="1"/>
  <c r="H15" i="71"/>
  <c r="H13" i="71" s="1"/>
  <c r="H11" i="71" s="1"/>
  <c r="H44" i="71"/>
  <c r="F388" i="71"/>
  <c r="V388" i="71"/>
  <c r="G396" i="71"/>
  <c r="E396" i="71" s="1"/>
  <c r="H394" i="71"/>
  <c r="F260" i="71"/>
  <c r="V260" i="71"/>
  <c r="H342" i="71"/>
  <c r="S270" i="71"/>
  <c r="S167" i="71" s="1"/>
  <c r="S82" i="71" s="1"/>
  <c r="M394" i="71"/>
  <c r="M308" i="71"/>
  <c r="F254" i="71"/>
  <c r="V254" i="71"/>
  <c r="V355" i="71"/>
  <c r="F355" i="71"/>
  <c r="F291" i="71"/>
  <c r="V291" i="71"/>
  <c r="F109" i="71"/>
  <c r="V109" i="71"/>
  <c r="V194" i="71"/>
  <c r="F194" i="71"/>
  <c r="F179" i="71"/>
  <c r="W179" i="71"/>
  <c r="V179" i="71"/>
  <c r="G148" i="71"/>
  <c r="G147" i="71" s="1"/>
  <c r="E75" i="71"/>
  <c r="V145" i="71"/>
  <c r="F145" i="71"/>
  <c r="G102" i="71"/>
  <c r="E30" i="71"/>
  <c r="E15" i="71"/>
  <c r="P26" i="71"/>
  <c r="E363" i="71"/>
  <c r="G362" i="71"/>
  <c r="M370" i="71"/>
  <c r="H372" i="71"/>
  <c r="G387" i="71"/>
  <c r="H386" i="71"/>
  <c r="G415" i="71"/>
  <c r="E417" i="71"/>
  <c r="G416" i="71"/>
  <c r="F371" i="71"/>
  <c r="H248" i="71"/>
  <c r="F203" i="71"/>
  <c r="V203" i="71"/>
  <c r="E302" i="71"/>
  <c r="V302" i="71" s="1"/>
  <c r="G301" i="71"/>
  <c r="M258" i="71"/>
  <c r="F105" i="71"/>
  <c r="V105" i="71"/>
  <c r="V102" i="71" s="1"/>
  <c r="F158" i="71"/>
  <c r="V158" i="71"/>
  <c r="G353" i="71"/>
  <c r="G120" i="71"/>
  <c r="E121" i="71"/>
  <c r="J143" i="71"/>
  <c r="V76" i="71"/>
  <c r="F76" i="71"/>
  <c r="F103" i="71"/>
  <c r="E102" i="71"/>
  <c r="F12" i="71"/>
  <c r="F55" i="71"/>
  <c r="E54" i="71"/>
  <c r="F54" i="71" s="1"/>
  <c r="G62" i="71"/>
  <c r="E63" i="71"/>
  <c r="G380" i="71"/>
  <c r="H379" i="71"/>
  <c r="G294" i="71"/>
  <c r="H293" i="71"/>
  <c r="H309" i="71"/>
  <c r="H308" i="71" s="1"/>
  <c r="G310" i="71"/>
  <c r="V347" i="71"/>
  <c r="F347" i="71"/>
  <c r="E431" i="71"/>
  <c r="E430" i="71" s="1"/>
  <c r="G360" i="71"/>
  <c r="H359" i="71"/>
  <c r="V298" i="71"/>
  <c r="F298" i="71"/>
  <c r="V212" i="71"/>
  <c r="F212" i="71"/>
  <c r="H265" i="71"/>
  <c r="G266" i="71"/>
  <c r="H258" i="71"/>
  <c r="G259" i="71"/>
  <c r="G237" i="71"/>
  <c r="H236" i="71"/>
  <c r="E247" i="71"/>
  <c r="V247" i="71" s="1"/>
  <c r="V187" i="71"/>
  <c r="F187" i="71"/>
  <c r="E353" i="71"/>
  <c r="V354" i="71"/>
  <c r="F354" i="71"/>
  <c r="G281" i="71"/>
  <c r="E282" i="71"/>
  <c r="J204" i="71"/>
  <c r="M66" i="71"/>
  <c r="M65" i="71"/>
  <c r="G83" i="71"/>
  <c r="F48" i="71"/>
  <c r="V48" i="71"/>
  <c r="E395" i="71"/>
  <c r="G394" i="71"/>
  <c r="H111" i="71"/>
  <c r="G112" i="71"/>
  <c r="F165" i="71"/>
  <c r="V78" i="71"/>
  <c r="F78" i="71"/>
  <c r="M43" i="71"/>
  <c r="M26" i="71" s="1"/>
  <c r="G273" i="71"/>
  <c r="G439" i="71"/>
  <c r="G438" i="71" s="1"/>
  <c r="E440" i="71"/>
  <c r="H406" i="71"/>
  <c r="H405" i="71" s="1"/>
  <c r="V335" i="71"/>
  <c r="V330" i="71" s="1"/>
  <c r="F335" i="71"/>
  <c r="V196" i="71"/>
  <c r="F196" i="71"/>
  <c r="G346" i="71"/>
  <c r="H345" i="71"/>
  <c r="V322" i="71"/>
  <c r="F322" i="71"/>
  <c r="G320" i="71"/>
  <c r="E321" i="71"/>
  <c r="V231" i="71"/>
  <c r="F231" i="71"/>
  <c r="M271" i="71"/>
  <c r="F130" i="71"/>
  <c r="E315" i="71"/>
  <c r="G314" i="71"/>
  <c r="F126" i="71"/>
  <c r="G15" i="71"/>
  <c r="G13" i="71" s="1"/>
  <c r="G11" i="71" s="1"/>
  <c r="E68" i="71"/>
  <c r="G67" i="71"/>
  <c r="F209" i="71"/>
  <c r="V209" i="71"/>
  <c r="E146" i="71"/>
  <c r="G144" i="71"/>
  <c r="V316" i="71"/>
  <c r="F316" i="71"/>
  <c r="G411" i="71"/>
  <c r="E412" i="71"/>
  <c r="E411" i="71" s="1"/>
  <c r="F327" i="71"/>
  <c r="V327" i="71"/>
  <c r="V216" i="71"/>
  <c r="F216" i="71"/>
  <c r="G325" i="71"/>
  <c r="H320" i="71"/>
  <c r="F95" i="71"/>
  <c r="V95" i="71"/>
  <c r="H229" i="71"/>
  <c r="H227" i="71" s="1"/>
  <c r="V137" i="71"/>
  <c r="F137" i="71"/>
  <c r="M201" i="71"/>
  <c r="H127" i="71"/>
  <c r="M125" i="71"/>
  <c r="M124" i="71" s="1"/>
  <c r="E185" i="71"/>
  <c r="E39" i="71"/>
  <c r="G38" i="71"/>
  <c r="E14" i="71"/>
  <c r="V186" i="71"/>
  <c r="F186" i="71"/>
  <c r="G436" i="71"/>
  <c r="H435" i="71"/>
  <c r="H434" i="71" s="1"/>
  <c r="F383" i="71"/>
  <c r="V383" i="71"/>
  <c r="H207" i="71"/>
  <c r="M205" i="71"/>
  <c r="V313" i="71"/>
  <c r="F313" i="71"/>
  <c r="H201" i="71"/>
  <c r="G202" i="71"/>
  <c r="H102" i="71"/>
  <c r="F174" i="71"/>
  <c r="E173" i="71"/>
  <c r="V174" i="71"/>
  <c r="G135" i="71"/>
  <c r="E136" i="71"/>
  <c r="V136" i="71" s="1"/>
  <c r="V122" i="71"/>
  <c r="F122" i="71"/>
  <c r="G44" i="71"/>
  <c r="G89" i="71"/>
  <c r="G88" i="71" s="1"/>
  <c r="G87" i="71" s="1"/>
  <c r="F142" i="71"/>
  <c r="H135" i="71"/>
  <c r="F34" i="71"/>
  <c r="V34" i="71"/>
  <c r="F45" i="71"/>
  <c r="E44" i="71"/>
  <c r="V45" i="71"/>
  <c r="V165" i="71" l="1"/>
  <c r="V163" i="71" s="1"/>
  <c r="G171" i="71"/>
  <c r="V289" i="71"/>
  <c r="H170" i="71"/>
  <c r="H169" i="71" s="1"/>
  <c r="F181" i="71"/>
  <c r="V111" i="71"/>
  <c r="S25" i="71"/>
  <c r="S10" i="71" s="1"/>
  <c r="S444" i="71" s="1"/>
  <c r="X433" i="71"/>
  <c r="G43" i="71"/>
  <c r="H352" i="71"/>
  <c r="C25" i="71"/>
  <c r="C10" i="71" s="1"/>
  <c r="C444" i="71" s="1"/>
  <c r="H319" i="71"/>
  <c r="V325" i="71"/>
  <c r="V135" i="71"/>
  <c r="I34" i="73" s="1"/>
  <c r="J34" i="73" s="1"/>
  <c r="H143" i="71"/>
  <c r="G163" i="71"/>
  <c r="G143" i="71" s="1"/>
  <c r="T82" i="71"/>
  <c r="T25" i="71" s="1"/>
  <c r="T10" i="71" s="1"/>
  <c r="T444" i="71" s="1"/>
  <c r="M270" i="71"/>
  <c r="J270" i="71"/>
  <c r="J167" i="71" s="1"/>
  <c r="J82" i="71" s="1"/>
  <c r="J25" i="71" s="1"/>
  <c r="V353" i="71"/>
  <c r="E172" i="71"/>
  <c r="E171" i="71" s="1"/>
  <c r="F171" i="71" s="1"/>
  <c r="G168" i="71"/>
  <c r="Q10" i="71"/>
  <c r="Q444" i="71" s="1"/>
  <c r="R10" i="71"/>
  <c r="R444" i="71" s="1"/>
  <c r="K10" i="71"/>
  <c r="K444" i="71" s="1"/>
  <c r="O10" i="71"/>
  <c r="O444" i="71" s="1"/>
  <c r="I10" i="71"/>
  <c r="I444" i="71" s="1"/>
  <c r="U82" i="71"/>
  <c r="H271" i="71"/>
  <c r="H43" i="71"/>
  <c r="H26" i="71" s="1"/>
  <c r="E228" i="71"/>
  <c r="V185" i="71"/>
  <c r="V184" i="71" s="1"/>
  <c r="E184" i="71"/>
  <c r="H66" i="71"/>
  <c r="P25" i="71"/>
  <c r="V44" i="71"/>
  <c r="V54" i="71"/>
  <c r="N167" i="71"/>
  <c r="N82" i="71" s="1"/>
  <c r="N25" i="71" s="1"/>
  <c r="G170" i="71"/>
  <c r="G169" i="71" s="1"/>
  <c r="G319" i="71"/>
  <c r="G236" i="71"/>
  <c r="E237" i="71"/>
  <c r="V237" i="71" s="1"/>
  <c r="G65" i="71"/>
  <c r="G66" i="71"/>
  <c r="V315" i="71"/>
  <c r="V314" i="71" s="1"/>
  <c r="E314" i="71"/>
  <c r="F314" i="71" s="1"/>
  <c r="F315" i="71"/>
  <c r="E112" i="71"/>
  <c r="G111" i="71"/>
  <c r="G86" i="71" s="1"/>
  <c r="F353" i="71"/>
  <c r="E310" i="71"/>
  <c r="V310" i="71" s="1"/>
  <c r="G309" i="71"/>
  <c r="G308" i="71" s="1"/>
  <c r="G248" i="71"/>
  <c r="H246" i="71"/>
  <c r="E387" i="71"/>
  <c r="G386" i="71"/>
  <c r="F30" i="71"/>
  <c r="V30" i="71"/>
  <c r="F396" i="71"/>
  <c r="V396" i="71"/>
  <c r="F412" i="71"/>
  <c r="F411" i="71"/>
  <c r="V412" i="71"/>
  <c r="V411" i="71" s="1"/>
  <c r="I30" i="73" s="1"/>
  <c r="J30" i="73" s="1"/>
  <c r="V84" i="71"/>
  <c r="V83" i="71" s="1"/>
  <c r="E83" i="71"/>
  <c r="F84" i="71"/>
  <c r="E148" i="71"/>
  <c r="H86" i="71"/>
  <c r="V173" i="71"/>
  <c r="F173" i="71"/>
  <c r="E67" i="71"/>
  <c r="F68" i="71"/>
  <c r="G406" i="71"/>
  <c r="G405" i="71" s="1"/>
  <c r="H404" i="71"/>
  <c r="E259" i="71"/>
  <c r="G258" i="71"/>
  <c r="G372" i="71"/>
  <c r="H370" i="71"/>
  <c r="G342" i="71"/>
  <c r="H340" i="71"/>
  <c r="H339" i="71" s="1"/>
  <c r="F44" i="71"/>
  <c r="E43" i="71"/>
  <c r="F43" i="71" s="1"/>
  <c r="E436" i="71"/>
  <c r="G435" i="71"/>
  <c r="G434" i="71" s="1"/>
  <c r="E89" i="71"/>
  <c r="E88" i="71" s="1"/>
  <c r="M204" i="71"/>
  <c r="G127" i="71"/>
  <c r="H125" i="71"/>
  <c r="H124" i="71" s="1"/>
  <c r="F395" i="71"/>
  <c r="V395" i="71"/>
  <c r="E394" i="71"/>
  <c r="F394" i="71" s="1"/>
  <c r="G293" i="71"/>
  <c r="E294" i="71"/>
  <c r="V294" i="71" s="1"/>
  <c r="E38" i="71"/>
  <c r="G33" i="71"/>
  <c r="G29" i="71" s="1"/>
  <c r="G28" i="71" s="1"/>
  <c r="G27" i="71" s="1"/>
  <c r="G26" i="71" s="1"/>
  <c r="G345" i="71"/>
  <c r="E346" i="71"/>
  <c r="F282" i="71"/>
  <c r="V282" i="71"/>
  <c r="V281" i="71" s="1"/>
  <c r="E281" i="71"/>
  <c r="F281" i="71" s="1"/>
  <c r="E266" i="71"/>
  <c r="G265" i="71"/>
  <c r="V431" i="71"/>
  <c r="V430" i="71" s="1"/>
  <c r="F431" i="71"/>
  <c r="F430" i="71" s="1"/>
  <c r="F121" i="71"/>
  <c r="E120" i="71"/>
  <c r="F120" i="71" s="1"/>
  <c r="V121" i="71"/>
  <c r="V120" i="71" s="1"/>
  <c r="F363" i="71"/>
  <c r="E362" i="71"/>
  <c r="F362" i="71" s="1"/>
  <c r="V363" i="71"/>
  <c r="V362" i="71" s="1"/>
  <c r="V75" i="71"/>
  <c r="V74" i="71" s="1"/>
  <c r="F75" i="71"/>
  <c r="E74" i="71"/>
  <c r="F74" i="71" s="1"/>
  <c r="V14" i="71"/>
  <c r="E13" i="71"/>
  <c r="F14" i="71"/>
  <c r="F136" i="71"/>
  <c r="E135" i="71"/>
  <c r="E202" i="71"/>
  <c r="G201" i="71"/>
  <c r="F39" i="71"/>
  <c r="V39" i="71"/>
  <c r="V38" i="71" s="1"/>
  <c r="V33" i="71" s="1"/>
  <c r="F146" i="71"/>
  <c r="V146" i="71"/>
  <c r="V144" i="71" s="1"/>
  <c r="E144" i="71"/>
  <c r="F247" i="71"/>
  <c r="E380" i="71"/>
  <c r="G379" i="71"/>
  <c r="V301" i="71"/>
  <c r="F302" i="71"/>
  <c r="E301" i="71"/>
  <c r="F301" i="71" s="1"/>
  <c r="F417" i="71"/>
  <c r="E416" i="71"/>
  <c r="E415" i="71"/>
  <c r="V417" i="71"/>
  <c r="V415" i="71" s="1"/>
  <c r="I39" i="73" s="1"/>
  <c r="J39" i="73" s="1"/>
  <c r="G207" i="71"/>
  <c r="H205" i="71"/>
  <c r="V440" i="71"/>
  <c r="E439" i="71"/>
  <c r="F440" i="71"/>
  <c r="E360" i="71"/>
  <c r="G359" i="71"/>
  <c r="G352" i="71" s="1"/>
  <c r="F185" i="71"/>
  <c r="F184" i="71" s="1"/>
  <c r="G229" i="71"/>
  <c r="G227" i="71" s="1"/>
  <c r="F321" i="71"/>
  <c r="V321" i="71"/>
  <c r="V320" i="71" s="1"/>
  <c r="V319" i="71" s="1"/>
  <c r="E320" i="71"/>
  <c r="E273" i="71"/>
  <c r="V273" i="71" s="1"/>
  <c r="V272" i="71" s="1"/>
  <c r="G271" i="71"/>
  <c r="F63" i="71"/>
  <c r="E62" i="71"/>
  <c r="F62" i="71" s="1"/>
  <c r="V63" i="71"/>
  <c r="V62" i="71" s="1"/>
  <c r="F102" i="71"/>
  <c r="V15" i="71"/>
  <c r="F15" i="71"/>
  <c r="I41" i="73" l="1"/>
  <c r="K35" i="74"/>
  <c r="J35" i="74" s="1"/>
  <c r="W82" i="71"/>
  <c r="E170" i="71"/>
  <c r="E169" i="71" s="1"/>
  <c r="M167" i="71"/>
  <c r="M82" i="71" s="1"/>
  <c r="M25" i="71" s="1"/>
  <c r="M10" i="71" s="1"/>
  <c r="M444" i="71" s="1"/>
  <c r="F135" i="71"/>
  <c r="E147" i="71"/>
  <c r="X147" i="71" s="1"/>
  <c r="V148" i="71"/>
  <c r="T449" i="71"/>
  <c r="T450" i="71" s="1"/>
  <c r="X7" i="71"/>
  <c r="V43" i="71"/>
  <c r="F415" i="71"/>
  <c r="X415" i="71"/>
  <c r="V172" i="71"/>
  <c r="V171" i="71" s="1"/>
  <c r="F172" i="71"/>
  <c r="E87" i="71"/>
  <c r="N10" i="71"/>
  <c r="N444" i="71" s="1"/>
  <c r="J10" i="71"/>
  <c r="J444" i="71" s="1"/>
  <c r="P10" i="71"/>
  <c r="P444" i="71" s="1"/>
  <c r="U25" i="71"/>
  <c r="U10" i="71" s="1"/>
  <c r="W10" i="71" s="1"/>
  <c r="V228" i="71"/>
  <c r="F228" i="71"/>
  <c r="H270" i="71"/>
  <c r="V394" i="71"/>
  <c r="H204" i="71"/>
  <c r="E229" i="71"/>
  <c r="E227" i="71" s="1"/>
  <c r="F439" i="71"/>
  <c r="E438" i="71"/>
  <c r="V439" i="71"/>
  <c r="F294" i="71"/>
  <c r="V293" i="71"/>
  <c r="E293" i="71"/>
  <c r="F293" i="71" s="1"/>
  <c r="E127" i="71"/>
  <c r="V127" i="71" s="1"/>
  <c r="V125" i="71" s="1"/>
  <c r="G125" i="71"/>
  <c r="G124" i="71" s="1"/>
  <c r="E435" i="71"/>
  <c r="F436" i="71"/>
  <c r="V436" i="71"/>
  <c r="V259" i="71"/>
  <c r="V258" i="71" s="1"/>
  <c r="F259" i="71"/>
  <c r="E258" i="71"/>
  <c r="F258" i="71" s="1"/>
  <c r="F148" i="71"/>
  <c r="F147" i="71" s="1"/>
  <c r="E143" i="71"/>
  <c r="W148" i="71"/>
  <c r="W152" i="71" s="1"/>
  <c r="F202" i="71"/>
  <c r="V202" i="71"/>
  <c r="V201" i="71" s="1"/>
  <c r="E201" i="71"/>
  <c r="F201" i="71" s="1"/>
  <c r="E168" i="71"/>
  <c r="F387" i="71"/>
  <c r="V387" i="71"/>
  <c r="V386" i="71" s="1"/>
  <c r="E386" i="71"/>
  <c r="F386" i="71" s="1"/>
  <c r="F112" i="71"/>
  <c r="E111" i="71"/>
  <c r="F111" i="71" s="1"/>
  <c r="F144" i="71"/>
  <c r="V65" i="71"/>
  <c r="V66" i="71"/>
  <c r="X430" i="71"/>
  <c r="V346" i="71"/>
  <c r="V345" i="71" s="1"/>
  <c r="F346" i="71"/>
  <c r="E345" i="71"/>
  <c r="F345" i="71" s="1"/>
  <c r="G404" i="71"/>
  <c r="E406" i="71"/>
  <c r="E405" i="71" s="1"/>
  <c r="E236" i="71"/>
  <c r="F236" i="71" s="1"/>
  <c r="F237" i="71"/>
  <c r="V236" i="71"/>
  <c r="V271" i="71"/>
  <c r="F273" i="71"/>
  <c r="F83" i="71"/>
  <c r="E248" i="71"/>
  <c r="G246" i="71"/>
  <c r="E207" i="71"/>
  <c r="E205" i="71" s="1"/>
  <c r="G205" i="71"/>
  <c r="F320" i="71"/>
  <c r="E319" i="71"/>
  <c r="F319" i="71" s="1"/>
  <c r="V380" i="71"/>
  <c r="V379" i="71" s="1"/>
  <c r="E379" i="71"/>
  <c r="F379" i="71" s="1"/>
  <c r="F380" i="71"/>
  <c r="V89" i="71"/>
  <c r="V88" i="71" s="1"/>
  <c r="V87" i="71" s="1"/>
  <c r="F89" i="71"/>
  <c r="F88" i="71" s="1"/>
  <c r="F87" i="71" s="1"/>
  <c r="E342" i="71"/>
  <c r="G340" i="71"/>
  <c r="G339" i="71" s="1"/>
  <c r="E66" i="71"/>
  <c r="F67" i="71"/>
  <c r="E65" i="71"/>
  <c r="V29" i="71"/>
  <c r="V28" i="71" s="1"/>
  <c r="V27" i="71" s="1"/>
  <c r="V309" i="71"/>
  <c r="V308" i="71" s="1"/>
  <c r="F310" i="71"/>
  <c r="E309" i="71"/>
  <c r="E359" i="71"/>
  <c r="V360" i="71"/>
  <c r="V359" i="71" s="1"/>
  <c r="V352" i="71" s="1"/>
  <c r="F360" i="71"/>
  <c r="F416" i="71"/>
  <c r="V416" i="71"/>
  <c r="F13" i="71"/>
  <c r="F11" i="71" s="1"/>
  <c r="E11" i="71"/>
  <c r="V266" i="71"/>
  <c r="V265" i="71" s="1"/>
  <c r="F266" i="71"/>
  <c r="F265" i="71" s="1"/>
  <c r="E265" i="71"/>
  <c r="F38" i="71"/>
  <c r="E33" i="71"/>
  <c r="E372" i="71"/>
  <c r="G370" i="71"/>
  <c r="V13" i="71"/>
  <c r="V11" i="71" s="1"/>
  <c r="F170" i="71" l="1"/>
  <c r="K30" i="74"/>
  <c r="V124" i="71"/>
  <c r="I33" i="73"/>
  <c r="J33" i="73" s="1"/>
  <c r="U444" i="71"/>
  <c r="F143" i="71"/>
  <c r="U449" i="71"/>
  <c r="W449" i="71"/>
  <c r="H167" i="71"/>
  <c r="H82" i="71" s="1"/>
  <c r="H25" i="71" s="1"/>
  <c r="H10" i="71" s="1"/>
  <c r="H444" i="71" s="1"/>
  <c r="E86" i="71"/>
  <c r="W86" i="71" s="1"/>
  <c r="X12" i="71"/>
  <c r="F168" i="71"/>
  <c r="V168" i="71"/>
  <c r="V170" i="71"/>
  <c r="V169" i="71" s="1"/>
  <c r="G270" i="71"/>
  <c r="V26" i="71"/>
  <c r="K28" i="74" s="1"/>
  <c r="O28" i="74" s="1"/>
  <c r="V147" i="71"/>
  <c r="V143" i="71" s="1"/>
  <c r="I38" i="73" s="1"/>
  <c r="J38" i="73" s="1"/>
  <c r="G204" i="71"/>
  <c r="F359" i="71"/>
  <c r="E352" i="71"/>
  <c r="F352" i="71" s="1"/>
  <c r="F65" i="71"/>
  <c r="F66" i="71"/>
  <c r="F438" i="71"/>
  <c r="V438" i="71"/>
  <c r="E308" i="71"/>
  <c r="F308" i="71" s="1"/>
  <c r="F309" i="71"/>
  <c r="F406" i="71"/>
  <c r="F405" i="71" s="1"/>
  <c r="V406" i="71"/>
  <c r="V405" i="71" s="1"/>
  <c r="V435" i="71"/>
  <c r="F435" i="71"/>
  <c r="E434" i="71"/>
  <c r="F372" i="71"/>
  <c r="V372" i="71"/>
  <c r="V370" i="71" s="1"/>
  <c r="E370" i="71"/>
  <c r="F370" i="71" s="1"/>
  <c r="F342" i="71"/>
  <c r="V342" i="71"/>
  <c r="V340" i="71" s="1"/>
  <c r="V339" i="71" s="1"/>
  <c r="E340" i="71"/>
  <c r="E271" i="71"/>
  <c r="F127" i="71"/>
  <c r="E125" i="71"/>
  <c r="F229" i="71"/>
  <c r="F227" i="71" s="1"/>
  <c r="V229" i="71"/>
  <c r="V227" i="71" s="1"/>
  <c r="F33" i="71"/>
  <c r="E29" i="71"/>
  <c r="F207" i="71"/>
  <c r="V207" i="71"/>
  <c r="V205" i="71" s="1"/>
  <c r="F169" i="71"/>
  <c r="V248" i="71"/>
  <c r="V246" i="71" s="1"/>
  <c r="F248" i="71"/>
  <c r="E246" i="71"/>
  <c r="F246" i="71" s="1"/>
  <c r="I29" i="73" l="1"/>
  <c r="J29" i="73" s="1"/>
  <c r="V404" i="71"/>
  <c r="M30" i="74"/>
  <c r="J30" i="74"/>
  <c r="I27" i="73" s="1"/>
  <c r="M28" i="74"/>
  <c r="J28" i="74"/>
  <c r="I25" i="73" s="1"/>
  <c r="V449" i="71"/>
  <c r="U450" i="71"/>
  <c r="I32" i="73"/>
  <c r="G167" i="71"/>
  <c r="G82" i="71" s="1"/>
  <c r="G25" i="71" s="1"/>
  <c r="G10" i="71" s="1"/>
  <c r="G444" i="71" s="1"/>
  <c r="X169" i="71"/>
  <c r="V86" i="71"/>
  <c r="X87" i="71"/>
  <c r="V204" i="71"/>
  <c r="V270" i="71"/>
  <c r="F125" i="71"/>
  <c r="E124" i="71"/>
  <c r="X125" i="71"/>
  <c r="E404" i="71"/>
  <c r="F404" i="71" s="1"/>
  <c r="E28" i="71"/>
  <c r="F29" i="71"/>
  <c r="F271" i="71"/>
  <c r="V434" i="71"/>
  <c r="F434" i="71"/>
  <c r="F86" i="71"/>
  <c r="E339" i="71"/>
  <c r="F339" i="71" s="1"/>
  <c r="F340" i="71"/>
  <c r="F205" i="71"/>
  <c r="F204" i="71" s="1"/>
  <c r="E204" i="71"/>
  <c r="X86" i="71" l="1"/>
  <c r="I36" i="73"/>
  <c r="J36" i="73" s="1"/>
  <c r="X204" i="71"/>
  <c r="V167" i="71"/>
  <c r="I37" i="73" s="1"/>
  <c r="J37" i="73" s="1"/>
  <c r="E270" i="71"/>
  <c r="F28" i="71"/>
  <c r="E27" i="71"/>
  <c r="F124" i="71"/>
  <c r="I28" i="73" l="1"/>
  <c r="F270" i="71"/>
  <c r="W270" i="71"/>
  <c r="X270" i="71" s="1"/>
  <c r="V82" i="71"/>
  <c r="K31" i="74" s="1"/>
  <c r="O31" i="74" s="1"/>
  <c r="E167" i="71"/>
  <c r="E26" i="71"/>
  <c r="F27" i="71"/>
  <c r="J31" i="74" l="1"/>
  <c r="M31" i="74" s="1"/>
  <c r="K26" i="74"/>
  <c r="O26" i="74" s="1"/>
  <c r="F167" i="71"/>
  <c r="X167" i="71"/>
  <c r="V25" i="71"/>
  <c r="E82" i="71"/>
  <c r="F26" i="71"/>
  <c r="W444" i="71" l="1"/>
  <c r="V10" i="71"/>
  <c r="N26" i="74"/>
  <c r="J26" i="74"/>
  <c r="J10" i="74" s="1"/>
  <c r="J9" i="74" s="1"/>
  <c r="O9" i="74" s="1"/>
  <c r="K10" i="74"/>
  <c r="K9" i="74" s="1"/>
  <c r="P9" i="74" s="1"/>
  <c r="M32" i="74"/>
  <c r="E447" i="71"/>
  <c r="I24" i="73"/>
  <c r="K24" i="73" s="1"/>
  <c r="F82" i="71"/>
  <c r="X82" i="71"/>
  <c r="E25" i="71"/>
  <c r="M9" i="74" l="1"/>
  <c r="I9" i="73"/>
  <c r="I8" i="73" s="1"/>
  <c r="F25" i="71"/>
  <c r="F10" i="71" s="1"/>
  <c r="F444" i="71" s="1"/>
  <c r="E10" i="71"/>
  <c r="J8" i="73" l="1"/>
  <c r="K8" i="73"/>
  <c r="E444" i="71"/>
  <c r="P96" i="70"/>
  <c r="S95" i="70"/>
  <c r="Q95" i="70"/>
  <c r="N95" i="70"/>
  <c r="L95" i="70"/>
  <c r="L93" i="70" s="1"/>
  <c r="J95" i="70"/>
  <c r="H95" i="70"/>
  <c r="H93" i="70" s="1"/>
  <c r="F95" i="70"/>
  <c r="D95" i="70"/>
  <c r="Q94" i="70"/>
  <c r="P94" i="70"/>
  <c r="O93" i="70"/>
  <c r="N93" i="70"/>
  <c r="M93" i="70"/>
  <c r="K93" i="70"/>
  <c r="I93" i="70"/>
  <c r="G93" i="70"/>
  <c r="F93" i="70"/>
  <c r="E93" i="70"/>
  <c r="S92" i="70"/>
  <c r="Q92" i="70"/>
  <c r="N92" i="70"/>
  <c r="L92" i="70"/>
  <c r="J92" i="70"/>
  <c r="I92" i="70"/>
  <c r="H92" i="70"/>
  <c r="F92" i="70"/>
  <c r="D92" i="70"/>
  <c r="S91" i="70"/>
  <c r="R91" i="70"/>
  <c r="Q91" i="70"/>
  <c r="P91" i="70"/>
  <c r="S90" i="70"/>
  <c r="R90" i="70"/>
  <c r="Q90" i="70"/>
  <c r="P90" i="70"/>
  <c r="I90" i="70"/>
  <c r="I88" i="70" s="1"/>
  <c r="H90" i="70"/>
  <c r="H88" i="70" s="1"/>
  <c r="S89" i="70"/>
  <c r="Q89" i="70"/>
  <c r="N89" i="70"/>
  <c r="N88" i="70" s="1"/>
  <c r="L89" i="70"/>
  <c r="L88" i="70" s="1"/>
  <c r="J89" i="70"/>
  <c r="H89" i="70"/>
  <c r="F89" i="70"/>
  <c r="F88" i="70" s="1"/>
  <c r="D89" i="70"/>
  <c r="O88" i="70"/>
  <c r="M88" i="70"/>
  <c r="K88" i="70"/>
  <c r="J88" i="70"/>
  <c r="G88" i="70"/>
  <c r="E88" i="70"/>
  <c r="E84" i="70" s="1"/>
  <c r="E83" i="70" s="1"/>
  <c r="Q87" i="70"/>
  <c r="P87" i="70"/>
  <c r="S86" i="70"/>
  <c r="R86" i="70"/>
  <c r="Q86" i="70"/>
  <c r="P86" i="70"/>
  <c r="O85" i="70"/>
  <c r="N85" i="70"/>
  <c r="M85" i="70"/>
  <c r="L85" i="70"/>
  <c r="K85" i="70"/>
  <c r="S85" i="70" s="1"/>
  <c r="J85" i="70"/>
  <c r="I85" i="70"/>
  <c r="H85" i="70"/>
  <c r="G85" i="70"/>
  <c r="G84" i="70" s="1"/>
  <c r="G83" i="70" s="1"/>
  <c r="F85" i="70"/>
  <c r="E85" i="70"/>
  <c r="D85" i="70"/>
  <c r="O84" i="70"/>
  <c r="O83" i="70" s="1"/>
  <c r="S82" i="70"/>
  <c r="R82" i="70"/>
  <c r="Q82" i="70"/>
  <c r="P82" i="70"/>
  <c r="S81" i="70"/>
  <c r="R81" i="70"/>
  <c r="Q81" i="70"/>
  <c r="P81" i="70"/>
  <c r="S80" i="70"/>
  <c r="R80" i="70"/>
  <c r="Q80" i="70"/>
  <c r="P80" i="70"/>
  <c r="O79" i="70"/>
  <c r="N79" i="70"/>
  <c r="M79" i="70"/>
  <c r="L79" i="70"/>
  <c r="K79" i="70"/>
  <c r="J79" i="70"/>
  <c r="I79" i="70"/>
  <c r="H79" i="70"/>
  <c r="G79" i="70"/>
  <c r="F79" i="70"/>
  <c r="E79" i="70"/>
  <c r="D79" i="70"/>
  <c r="S78" i="70"/>
  <c r="R78" i="70"/>
  <c r="Q78" i="70"/>
  <c r="P78" i="70"/>
  <c r="S77" i="70"/>
  <c r="R77" i="70"/>
  <c r="Q77" i="70"/>
  <c r="P77" i="70"/>
  <c r="O76" i="70"/>
  <c r="N76" i="70"/>
  <c r="M76" i="70"/>
  <c r="L76" i="70"/>
  <c r="K76" i="70"/>
  <c r="J76" i="70"/>
  <c r="H76" i="70"/>
  <c r="G76" i="70"/>
  <c r="F76" i="70"/>
  <c r="E76" i="70"/>
  <c r="D76" i="70"/>
  <c r="O75" i="70"/>
  <c r="N75" i="70"/>
  <c r="M75" i="70"/>
  <c r="L75" i="70"/>
  <c r="K75" i="70"/>
  <c r="S75" i="70" s="1"/>
  <c r="J75" i="70"/>
  <c r="I75" i="70"/>
  <c r="H75" i="70"/>
  <c r="F75" i="70"/>
  <c r="D75" i="70"/>
  <c r="S74" i="70"/>
  <c r="R74" i="70"/>
  <c r="Q74" i="70"/>
  <c r="P74" i="70"/>
  <c r="O74" i="70"/>
  <c r="O72" i="70" s="1"/>
  <c r="M74" i="70"/>
  <c r="Q73" i="70"/>
  <c r="P73" i="70"/>
  <c r="N72" i="70"/>
  <c r="M72" i="70"/>
  <c r="L72" i="70"/>
  <c r="K72" i="70"/>
  <c r="J72" i="70"/>
  <c r="I72" i="70"/>
  <c r="H72" i="70"/>
  <c r="G72" i="70"/>
  <c r="F72" i="70"/>
  <c r="E72" i="70"/>
  <c r="D72" i="70"/>
  <c r="S71" i="70"/>
  <c r="R71" i="70"/>
  <c r="Q71" i="70"/>
  <c r="P71" i="70"/>
  <c r="S70" i="70"/>
  <c r="R70" i="70"/>
  <c r="Q70" i="70"/>
  <c r="P70" i="70"/>
  <c r="I70" i="70"/>
  <c r="S69" i="70"/>
  <c r="Q69" i="70"/>
  <c r="N69" i="70"/>
  <c r="N67" i="70" s="1"/>
  <c r="N65" i="70" s="1"/>
  <c r="L69" i="70"/>
  <c r="L67" i="70" s="1"/>
  <c r="L65" i="70" s="1"/>
  <c r="J69" i="70"/>
  <c r="P69" i="70" s="1"/>
  <c r="I69" i="70"/>
  <c r="I67" i="70" s="1"/>
  <c r="I65" i="70" s="1"/>
  <c r="H69" i="70"/>
  <c r="H67" i="70" s="1"/>
  <c r="H65" i="70" s="1"/>
  <c r="S68" i="70"/>
  <c r="R68" i="70"/>
  <c r="Q68" i="70"/>
  <c r="P68" i="70"/>
  <c r="O67" i="70"/>
  <c r="O65" i="70" s="1"/>
  <c r="M67" i="70"/>
  <c r="K67" i="70"/>
  <c r="J67" i="70"/>
  <c r="G67" i="70"/>
  <c r="G65" i="70" s="1"/>
  <c r="F67" i="70"/>
  <c r="F65" i="70" s="1"/>
  <c r="E67" i="70"/>
  <c r="E65" i="70" s="1"/>
  <c r="D67" i="70"/>
  <c r="Q66" i="70"/>
  <c r="P66" i="70"/>
  <c r="M65" i="70"/>
  <c r="D65" i="70"/>
  <c r="S64" i="70"/>
  <c r="R64" i="70"/>
  <c r="Q64" i="70"/>
  <c r="P64" i="70"/>
  <c r="S63" i="70"/>
  <c r="R63" i="70"/>
  <c r="Q63" i="70"/>
  <c r="P63" i="70"/>
  <c r="O62" i="70"/>
  <c r="N62" i="70"/>
  <c r="M62" i="70"/>
  <c r="L62" i="70"/>
  <c r="K62" i="70"/>
  <c r="J62" i="70"/>
  <c r="I62" i="70"/>
  <c r="H62" i="70"/>
  <c r="G62" i="70"/>
  <c r="F62" i="70"/>
  <c r="E62" i="70"/>
  <c r="D62" i="70"/>
  <c r="S61" i="70"/>
  <c r="R61" i="70"/>
  <c r="Q61" i="70"/>
  <c r="P61" i="70"/>
  <c r="H61" i="70"/>
  <c r="S60" i="70"/>
  <c r="R60" i="70"/>
  <c r="Q60" i="70"/>
  <c r="P60" i="70"/>
  <c r="Q59" i="70"/>
  <c r="P59" i="70"/>
  <c r="S58" i="70"/>
  <c r="R58" i="70"/>
  <c r="Q58" i="70"/>
  <c r="P58" i="70"/>
  <c r="S57" i="70"/>
  <c r="R57" i="70"/>
  <c r="Q57" i="70"/>
  <c r="P57" i="70"/>
  <c r="S56" i="70"/>
  <c r="R56" i="70"/>
  <c r="Q56" i="70"/>
  <c r="P56" i="70"/>
  <c r="S55" i="70"/>
  <c r="R55" i="70"/>
  <c r="Q55" i="70"/>
  <c r="P55" i="70"/>
  <c r="S54" i="70"/>
  <c r="Q54" i="70"/>
  <c r="H54" i="70"/>
  <c r="F54" i="70"/>
  <c r="F52" i="70" s="1"/>
  <c r="D54" i="70"/>
  <c r="P54" i="70" s="1"/>
  <c r="Q53" i="70"/>
  <c r="P53" i="70"/>
  <c r="O52" i="70"/>
  <c r="O45" i="70" s="1"/>
  <c r="N52" i="70"/>
  <c r="M52" i="70"/>
  <c r="L52" i="70"/>
  <c r="K52" i="70"/>
  <c r="J52" i="70"/>
  <c r="I52" i="70"/>
  <c r="H52" i="70"/>
  <c r="G52" i="70"/>
  <c r="E52" i="70"/>
  <c r="S51" i="70"/>
  <c r="R51" i="70"/>
  <c r="Q51" i="70"/>
  <c r="P51" i="70"/>
  <c r="I51" i="70"/>
  <c r="S50" i="70"/>
  <c r="Q50" i="70"/>
  <c r="N50" i="70"/>
  <c r="L50" i="70"/>
  <c r="J50" i="70"/>
  <c r="R50" i="70" s="1"/>
  <c r="I50" i="70"/>
  <c r="H50" i="70"/>
  <c r="S49" i="70"/>
  <c r="R49" i="70"/>
  <c r="Q49" i="70"/>
  <c r="P49" i="70"/>
  <c r="R48" i="70"/>
  <c r="Q48" i="70"/>
  <c r="P48" i="70"/>
  <c r="S47" i="70"/>
  <c r="R47" i="70"/>
  <c r="Q47" i="70"/>
  <c r="P47" i="70"/>
  <c r="T46" i="70"/>
  <c r="S46" i="70"/>
  <c r="Q46" i="70"/>
  <c r="O46" i="70"/>
  <c r="N46" i="70"/>
  <c r="N45" i="70" s="1"/>
  <c r="M46" i="70"/>
  <c r="M45" i="70" s="1"/>
  <c r="L46" i="70"/>
  <c r="T48" i="70" s="1"/>
  <c r="I46" i="70"/>
  <c r="H46" i="70"/>
  <c r="H45" i="70" s="1"/>
  <c r="F46" i="70"/>
  <c r="D46" i="70"/>
  <c r="P46" i="70" s="1"/>
  <c r="J45" i="70"/>
  <c r="G45" i="70"/>
  <c r="E45" i="70"/>
  <c r="S44" i="70"/>
  <c r="R44" i="70"/>
  <c r="Q44" i="70"/>
  <c r="P44" i="70"/>
  <c r="S43" i="70"/>
  <c r="R43" i="70"/>
  <c r="Q43" i="70"/>
  <c r="P43" i="70"/>
  <c r="S42" i="70"/>
  <c r="R42" i="70"/>
  <c r="Q42" i="70"/>
  <c r="P42" i="70"/>
  <c r="S41" i="70"/>
  <c r="R41" i="70"/>
  <c r="Q41" i="70"/>
  <c r="P41" i="70"/>
  <c r="O40" i="70"/>
  <c r="O37" i="70" s="1"/>
  <c r="N40" i="70"/>
  <c r="N37" i="70" s="1"/>
  <c r="M40" i="70"/>
  <c r="L40" i="70"/>
  <c r="L37" i="70" s="1"/>
  <c r="K40" i="70"/>
  <c r="Q40" i="70" s="1"/>
  <c r="J40" i="70"/>
  <c r="P40" i="70" s="1"/>
  <c r="I40" i="70"/>
  <c r="I37" i="70" s="1"/>
  <c r="H40" i="70"/>
  <c r="G40" i="70"/>
  <c r="G37" i="70" s="1"/>
  <c r="F40" i="70"/>
  <c r="F37" i="70" s="1"/>
  <c r="E40" i="70"/>
  <c r="E37" i="70" s="1"/>
  <c r="D40" i="70"/>
  <c r="D37" i="70" s="1"/>
  <c r="S39" i="70"/>
  <c r="R39" i="70"/>
  <c r="Q39" i="70"/>
  <c r="P39" i="70"/>
  <c r="S38" i="70"/>
  <c r="R38" i="70"/>
  <c r="Q38" i="70"/>
  <c r="P38" i="70"/>
  <c r="M37" i="70"/>
  <c r="H37" i="70"/>
  <c r="Q36" i="70"/>
  <c r="P36" i="70"/>
  <c r="S35" i="70"/>
  <c r="R35" i="70"/>
  <c r="Q35" i="70"/>
  <c r="P35" i="70"/>
  <c r="S34" i="70"/>
  <c r="R34" i="70"/>
  <c r="Q34" i="70"/>
  <c r="P34" i="70"/>
  <c r="O33" i="70"/>
  <c r="O32" i="70" s="1"/>
  <c r="O28" i="70" s="1"/>
  <c r="N33" i="70"/>
  <c r="N32" i="70" s="1"/>
  <c r="M33" i="70"/>
  <c r="M32" i="70" s="1"/>
  <c r="M28" i="70" s="1"/>
  <c r="L33" i="70"/>
  <c r="L32" i="70" s="1"/>
  <c r="K33" i="70"/>
  <c r="J33" i="70"/>
  <c r="R33" i="70" s="1"/>
  <c r="H33" i="70"/>
  <c r="H32" i="70" s="1"/>
  <c r="G33" i="70"/>
  <c r="G32" i="70" s="1"/>
  <c r="G28" i="70" s="1"/>
  <c r="E33" i="70"/>
  <c r="E32" i="70" s="1"/>
  <c r="E28" i="70" s="1"/>
  <c r="I32" i="70"/>
  <c r="F32" i="70"/>
  <c r="F28" i="70" s="1"/>
  <c r="D32" i="70"/>
  <c r="Q31" i="70"/>
  <c r="P31" i="70"/>
  <c r="S30" i="70"/>
  <c r="Q30" i="70"/>
  <c r="N30" i="70"/>
  <c r="L30" i="70"/>
  <c r="J30" i="70"/>
  <c r="H30" i="70"/>
  <c r="F30" i="70"/>
  <c r="D30" i="70"/>
  <c r="D28" i="70" s="1"/>
  <c r="S29" i="70"/>
  <c r="Q29" i="70"/>
  <c r="N29" i="70"/>
  <c r="L29" i="70"/>
  <c r="J29" i="70"/>
  <c r="R29" i="70" s="1"/>
  <c r="H29" i="70"/>
  <c r="I28" i="70"/>
  <c r="S27" i="70"/>
  <c r="R27" i="70"/>
  <c r="Q27" i="70"/>
  <c r="P27" i="70"/>
  <c r="S26" i="70"/>
  <c r="R26" i="70"/>
  <c r="Q26" i="70"/>
  <c r="P26" i="70"/>
  <c r="R25" i="70"/>
  <c r="Q25" i="70"/>
  <c r="P25" i="70"/>
  <c r="H25" i="70"/>
  <c r="H22" i="70" s="1"/>
  <c r="H18" i="70" s="1"/>
  <c r="R24" i="70"/>
  <c r="Q24" i="70"/>
  <c r="P24" i="70"/>
  <c r="R23" i="70"/>
  <c r="Q23" i="70"/>
  <c r="P23" i="70"/>
  <c r="O22" i="70"/>
  <c r="N22" i="70"/>
  <c r="M22" i="70"/>
  <c r="M18" i="70" s="1"/>
  <c r="L22" i="70"/>
  <c r="K22" i="70"/>
  <c r="K18" i="70" s="1"/>
  <c r="J22" i="70"/>
  <c r="I22" i="70"/>
  <c r="I18" i="70" s="1"/>
  <c r="G22" i="70"/>
  <c r="F22" i="70"/>
  <c r="F18" i="70" s="1"/>
  <c r="E22" i="70"/>
  <c r="E18" i="70" s="1"/>
  <c r="D22" i="70"/>
  <c r="D18" i="70" s="1"/>
  <c r="Q21" i="70"/>
  <c r="P21" i="70"/>
  <c r="R20" i="70"/>
  <c r="Q20" i="70"/>
  <c r="P20" i="70"/>
  <c r="Q19" i="70"/>
  <c r="N19" i="70"/>
  <c r="L19" i="70"/>
  <c r="L18" i="70" s="1"/>
  <c r="J19" i="70"/>
  <c r="O18" i="70"/>
  <c r="G18" i="70"/>
  <c r="G43" i="69"/>
  <c r="F43" i="69"/>
  <c r="E43" i="69"/>
  <c r="K42" i="69"/>
  <c r="J42" i="69"/>
  <c r="I42" i="69"/>
  <c r="H42" i="69"/>
  <c r="G42" i="69"/>
  <c r="D42" i="69"/>
  <c r="D40" i="69" s="1"/>
  <c r="K41" i="69"/>
  <c r="J41" i="69"/>
  <c r="I41" i="69"/>
  <c r="H41" i="69"/>
  <c r="G41" i="69"/>
  <c r="F41" i="69"/>
  <c r="E41" i="69"/>
  <c r="E40" i="69" s="1"/>
  <c r="K34" i="69"/>
  <c r="J34" i="69"/>
  <c r="I34" i="69"/>
  <c r="H34" i="69"/>
  <c r="K33" i="69"/>
  <c r="J33" i="69"/>
  <c r="I33" i="69"/>
  <c r="H33" i="69"/>
  <c r="G33" i="69"/>
  <c r="F33" i="69"/>
  <c r="E33" i="69"/>
  <c r="D33" i="69"/>
  <c r="G30" i="69"/>
  <c r="D30" i="69"/>
  <c r="G29" i="69"/>
  <c r="D29" i="69"/>
  <c r="G26" i="69"/>
  <c r="G24" i="69" s="1"/>
  <c r="K24" i="69"/>
  <c r="J24" i="69"/>
  <c r="J20" i="69" s="1"/>
  <c r="I24" i="69"/>
  <c r="H24" i="69"/>
  <c r="F24" i="69"/>
  <c r="F20" i="69" s="1"/>
  <c r="E24" i="69"/>
  <c r="D24" i="69"/>
  <c r="E23" i="69"/>
  <c r="E21" i="69" s="1"/>
  <c r="E20" i="69" s="1"/>
  <c r="K21" i="69"/>
  <c r="K20" i="69" s="1"/>
  <c r="J21" i="69"/>
  <c r="I21" i="69"/>
  <c r="H21" i="69"/>
  <c r="G21" i="69"/>
  <c r="F21" i="69"/>
  <c r="D21" i="69"/>
  <c r="K17" i="69"/>
  <c r="K16" i="69" s="1"/>
  <c r="J16" i="69"/>
  <c r="I16" i="69"/>
  <c r="H16" i="69"/>
  <c r="G16" i="69"/>
  <c r="F16" i="69"/>
  <c r="E16" i="69"/>
  <c r="D16" i="69"/>
  <c r="S97" i="68"/>
  <c r="Q97" i="68"/>
  <c r="M97" i="68"/>
  <c r="K97" i="68"/>
  <c r="K95" i="68" s="1"/>
  <c r="G97" i="68"/>
  <c r="G95" i="68" s="1"/>
  <c r="E97" i="68"/>
  <c r="U95" i="68"/>
  <c r="T95" i="68"/>
  <c r="S95" i="68"/>
  <c r="R95" i="68"/>
  <c r="Q95" i="68"/>
  <c r="P95" i="68"/>
  <c r="O95" i="68"/>
  <c r="N95" i="68"/>
  <c r="M95" i="68"/>
  <c r="L95" i="68"/>
  <c r="J95" i="68"/>
  <c r="I95" i="68"/>
  <c r="H95" i="68"/>
  <c r="F95" i="68"/>
  <c r="E95" i="68"/>
  <c r="D95" i="68"/>
  <c r="U90" i="68"/>
  <c r="T90" i="68"/>
  <c r="S90" i="68"/>
  <c r="R90" i="68"/>
  <c r="Q90" i="68"/>
  <c r="P90" i="68"/>
  <c r="O90" i="68"/>
  <c r="N90" i="68"/>
  <c r="M90" i="68"/>
  <c r="L90" i="68"/>
  <c r="L86" i="68" s="1"/>
  <c r="L85" i="68" s="1"/>
  <c r="K90" i="68"/>
  <c r="J90" i="68"/>
  <c r="I90" i="68"/>
  <c r="H90" i="68"/>
  <c r="G90" i="68"/>
  <c r="F90" i="68"/>
  <c r="E90" i="68"/>
  <c r="D90" i="68"/>
  <c r="U87" i="68"/>
  <c r="U86" i="68" s="1"/>
  <c r="U85" i="68" s="1"/>
  <c r="T87" i="68"/>
  <c r="S87" i="68"/>
  <c r="R87" i="68"/>
  <c r="R86" i="68" s="1"/>
  <c r="R85" i="68" s="1"/>
  <c r="Q87" i="68"/>
  <c r="P87" i="68"/>
  <c r="O87" i="68"/>
  <c r="N87" i="68"/>
  <c r="M87" i="68"/>
  <c r="L87" i="68"/>
  <c r="K87" i="68"/>
  <c r="J87" i="68"/>
  <c r="J86" i="68" s="1"/>
  <c r="J85" i="68" s="1"/>
  <c r="I87" i="68"/>
  <c r="H87" i="68"/>
  <c r="G87" i="68"/>
  <c r="F87" i="68"/>
  <c r="E87" i="68"/>
  <c r="E86" i="68" s="1"/>
  <c r="E85" i="68" s="1"/>
  <c r="D87" i="68"/>
  <c r="T86" i="68"/>
  <c r="T85" i="68" s="1"/>
  <c r="M86" i="68"/>
  <c r="D86" i="68"/>
  <c r="D85" i="68" s="1"/>
  <c r="M85" i="68"/>
  <c r="U81" i="68"/>
  <c r="T81" i="68"/>
  <c r="S81" i="68"/>
  <c r="R81" i="68"/>
  <c r="Q81" i="68"/>
  <c r="P81" i="68"/>
  <c r="O81" i="68"/>
  <c r="N81" i="68"/>
  <c r="M81" i="68"/>
  <c r="L81" i="68"/>
  <c r="K81" i="68"/>
  <c r="J81" i="68"/>
  <c r="I81" i="68"/>
  <c r="H81" i="68"/>
  <c r="G81" i="68"/>
  <c r="F81" i="68"/>
  <c r="E81" i="68"/>
  <c r="D81" i="68"/>
  <c r="U78" i="68"/>
  <c r="T78" i="68"/>
  <c r="S78" i="68"/>
  <c r="R78" i="68"/>
  <c r="Q78" i="68"/>
  <c r="P78" i="68"/>
  <c r="O78" i="68"/>
  <c r="N78" i="68"/>
  <c r="M78" i="68"/>
  <c r="L78" i="68"/>
  <c r="K78" i="68"/>
  <c r="J78" i="68"/>
  <c r="H78" i="68"/>
  <c r="F78" i="68"/>
  <c r="D78" i="68"/>
  <c r="R77" i="68"/>
  <c r="S77" i="68" s="1"/>
  <c r="P77" i="68"/>
  <c r="Q77" i="68" s="1"/>
  <c r="L77" i="68"/>
  <c r="M77" i="68" s="1"/>
  <c r="K77" i="68"/>
  <c r="J77" i="68"/>
  <c r="I77" i="68"/>
  <c r="G77" i="68"/>
  <c r="E77" i="68"/>
  <c r="V76" i="68"/>
  <c r="Q76" i="68"/>
  <c r="Q74" i="68" s="1"/>
  <c r="O76" i="68"/>
  <c r="O74" i="68" s="1"/>
  <c r="N76" i="68"/>
  <c r="N74" i="68" s="1"/>
  <c r="K76" i="68"/>
  <c r="I76" i="68"/>
  <c r="G76" i="68"/>
  <c r="E76" i="68"/>
  <c r="E74" i="68" s="1"/>
  <c r="I75" i="68"/>
  <c r="G75" i="68"/>
  <c r="G74" i="68" s="1"/>
  <c r="E75" i="68"/>
  <c r="U74" i="68"/>
  <c r="T74" i="68"/>
  <c r="S74" i="68"/>
  <c r="R74" i="68"/>
  <c r="P74" i="68"/>
  <c r="M74" i="68"/>
  <c r="L74" i="68"/>
  <c r="K74" i="68"/>
  <c r="J74" i="68"/>
  <c r="I74" i="68"/>
  <c r="H74" i="68"/>
  <c r="F74" i="68"/>
  <c r="D74" i="68"/>
  <c r="I72" i="68"/>
  <c r="R71" i="68"/>
  <c r="R69" i="68" s="1"/>
  <c r="R67" i="68" s="1"/>
  <c r="P71" i="68"/>
  <c r="Q71" i="68" s="1"/>
  <c r="Q69" i="68" s="1"/>
  <c r="Q67" i="68" s="1"/>
  <c r="L71" i="68"/>
  <c r="M71" i="68" s="1"/>
  <c r="M69" i="68" s="1"/>
  <c r="M67" i="68" s="1"/>
  <c r="J71" i="68"/>
  <c r="K71" i="68" s="1"/>
  <c r="K69" i="68" s="1"/>
  <c r="K67" i="68" s="1"/>
  <c r="H71" i="68"/>
  <c r="I71" i="68" s="1"/>
  <c r="G71" i="68"/>
  <c r="G69" i="68" s="1"/>
  <c r="G67" i="68" s="1"/>
  <c r="E71" i="68"/>
  <c r="U69" i="68"/>
  <c r="U67" i="68" s="1"/>
  <c r="T69" i="68"/>
  <c r="T67" i="68" s="1"/>
  <c r="O69" i="68"/>
  <c r="O67" i="68" s="1"/>
  <c r="N69" i="68"/>
  <c r="N67" i="68" s="1"/>
  <c r="F69" i="68"/>
  <c r="F67" i="68" s="1"/>
  <c r="E69" i="68"/>
  <c r="E67" i="68" s="1"/>
  <c r="D69" i="68"/>
  <c r="D67" i="68" s="1"/>
  <c r="U64" i="68"/>
  <c r="S64" i="68"/>
  <c r="R64" i="68"/>
  <c r="Q64" i="68"/>
  <c r="P64" i="68"/>
  <c r="O64" i="68"/>
  <c r="M64" i="68"/>
  <c r="L64" i="68"/>
  <c r="K64" i="68"/>
  <c r="J64" i="68"/>
  <c r="I64" i="68"/>
  <c r="H64" i="68"/>
  <c r="G64" i="68"/>
  <c r="F64" i="68"/>
  <c r="E64" i="68"/>
  <c r="D64" i="68"/>
  <c r="R63" i="68"/>
  <c r="T63" i="68" s="1"/>
  <c r="Q63" i="68"/>
  <c r="L63" i="68"/>
  <c r="N63" i="68" s="1"/>
  <c r="K63" i="68"/>
  <c r="H63" i="68"/>
  <c r="I63" i="68" s="1"/>
  <c r="F63" i="68"/>
  <c r="G63" i="68" s="1"/>
  <c r="D63" i="68"/>
  <c r="E63" i="68" s="1"/>
  <c r="G62" i="68"/>
  <c r="E62" i="68"/>
  <c r="T60" i="68"/>
  <c r="R60" i="68"/>
  <c r="S60" i="68" s="1"/>
  <c r="Q60" i="68"/>
  <c r="N60" i="68"/>
  <c r="L60" i="68"/>
  <c r="M60" i="68" s="1"/>
  <c r="K60" i="68"/>
  <c r="H60" i="68"/>
  <c r="I60" i="68" s="1"/>
  <c r="G60" i="68"/>
  <c r="E60" i="68"/>
  <c r="R56" i="68"/>
  <c r="R54" i="68" s="1"/>
  <c r="P56" i="68"/>
  <c r="P54" i="68" s="1"/>
  <c r="P47" i="68" s="1"/>
  <c r="L56" i="68"/>
  <c r="L54" i="68" s="1"/>
  <c r="J56" i="68"/>
  <c r="J54" i="68" s="1"/>
  <c r="U54" i="68"/>
  <c r="U47" i="68" s="1"/>
  <c r="T54" i="68"/>
  <c r="S54" i="68"/>
  <c r="Q54" i="68"/>
  <c r="O54" i="68"/>
  <c r="O47" i="68" s="1"/>
  <c r="N54" i="68"/>
  <c r="M54" i="68"/>
  <c r="M47" i="68" s="1"/>
  <c r="K54" i="68"/>
  <c r="I54" i="68"/>
  <c r="H54" i="68"/>
  <c r="H47" i="68" s="1"/>
  <c r="G54" i="68"/>
  <c r="G47" i="68" s="1"/>
  <c r="F54" i="68"/>
  <c r="F47" i="68" s="1"/>
  <c r="E54" i="68"/>
  <c r="D54" i="68"/>
  <c r="R52" i="68"/>
  <c r="P52" i="68"/>
  <c r="Q52" i="68" s="1"/>
  <c r="L52" i="68"/>
  <c r="J52" i="68"/>
  <c r="K52" i="68" s="1"/>
  <c r="I52" i="68"/>
  <c r="I47" i="68" s="1"/>
  <c r="G52" i="68"/>
  <c r="E52" i="68"/>
  <c r="S51" i="68"/>
  <c r="Q51" i="68"/>
  <c r="M51" i="68"/>
  <c r="K51" i="68"/>
  <c r="Q50" i="68"/>
  <c r="K50" i="68"/>
  <c r="I50" i="68"/>
  <c r="G50" i="68"/>
  <c r="E50" i="68"/>
  <c r="S49" i="68"/>
  <c r="Q49" i="68"/>
  <c r="M49" i="68"/>
  <c r="K49" i="68"/>
  <c r="I49" i="68"/>
  <c r="G49" i="68"/>
  <c r="E49" i="68"/>
  <c r="T48" i="68"/>
  <c r="R48" i="68"/>
  <c r="Q48" i="68"/>
  <c r="N48" i="68"/>
  <c r="N47" i="68" s="1"/>
  <c r="L48" i="68"/>
  <c r="K48" i="68"/>
  <c r="I48" i="68"/>
  <c r="G48" i="68"/>
  <c r="E48" i="68"/>
  <c r="S47" i="68"/>
  <c r="D47" i="68"/>
  <c r="U42" i="68"/>
  <c r="T42" i="68"/>
  <c r="S42" i="68"/>
  <c r="R42" i="68"/>
  <c r="Q42" i="68"/>
  <c r="P42" i="68"/>
  <c r="O42" i="68"/>
  <c r="N42" i="68"/>
  <c r="M42" i="68"/>
  <c r="M39" i="68" s="1"/>
  <c r="L42" i="68"/>
  <c r="L39" i="68" s="1"/>
  <c r="K42" i="68"/>
  <c r="J42" i="68"/>
  <c r="I42" i="68"/>
  <c r="H42" i="68"/>
  <c r="G42" i="68"/>
  <c r="F42" i="68"/>
  <c r="E42" i="68"/>
  <c r="E39" i="68" s="1"/>
  <c r="D42" i="68"/>
  <c r="D39" i="68" s="1"/>
  <c r="S39" i="68"/>
  <c r="R39" i="68"/>
  <c r="Q39" i="68"/>
  <c r="P39" i="68"/>
  <c r="K39" i="68"/>
  <c r="J39" i="68"/>
  <c r="I39" i="68"/>
  <c r="H39" i="68"/>
  <c r="G39" i="68"/>
  <c r="F39" i="68"/>
  <c r="R35" i="68"/>
  <c r="P35" i="68"/>
  <c r="P34" i="68" s="1"/>
  <c r="L35" i="68"/>
  <c r="L34" i="68" s="1"/>
  <c r="J35" i="68"/>
  <c r="H35" i="68"/>
  <c r="H34" i="68" s="1"/>
  <c r="U34" i="68"/>
  <c r="T34" i="68"/>
  <c r="S34" i="68"/>
  <c r="R34" i="68"/>
  <c r="Q34" i="68"/>
  <c r="O34" i="68"/>
  <c r="N34" i="68"/>
  <c r="M34" i="68"/>
  <c r="K34" i="68"/>
  <c r="J34" i="68"/>
  <c r="J30" i="68" s="1"/>
  <c r="I34" i="68"/>
  <c r="G34" i="68"/>
  <c r="F34" i="68"/>
  <c r="F30" i="68" s="1"/>
  <c r="E34" i="68"/>
  <c r="D34" i="68"/>
  <c r="I33" i="68"/>
  <c r="G33" i="68"/>
  <c r="E33" i="68"/>
  <c r="Q32" i="68"/>
  <c r="K32" i="68"/>
  <c r="I32" i="68"/>
  <c r="G32" i="68"/>
  <c r="E32" i="68"/>
  <c r="R31" i="68"/>
  <c r="R30" i="68" s="1"/>
  <c r="P31" i="68"/>
  <c r="P30" i="68" s="1"/>
  <c r="L31" i="68"/>
  <c r="L30" i="68" s="1"/>
  <c r="J31" i="68"/>
  <c r="K31" i="68" s="1"/>
  <c r="H31" i="68"/>
  <c r="I31" i="68" s="1"/>
  <c r="G31" i="68"/>
  <c r="E31" i="68"/>
  <c r="U30" i="68"/>
  <c r="T30" i="68"/>
  <c r="S30" i="68"/>
  <c r="O30" i="68"/>
  <c r="N30" i="68"/>
  <c r="M30" i="68"/>
  <c r="D30" i="68"/>
  <c r="S27" i="68"/>
  <c r="S24" i="68" s="1"/>
  <c r="S20" i="68" s="1"/>
  <c r="Q27" i="68"/>
  <c r="Q24" i="68" s="1"/>
  <c r="M27" i="68"/>
  <c r="M24" i="68" s="1"/>
  <c r="M20" i="68" s="1"/>
  <c r="K27" i="68"/>
  <c r="K24" i="68" s="1"/>
  <c r="K20" i="68" s="1"/>
  <c r="U24" i="68"/>
  <c r="U20" i="68" s="1"/>
  <c r="T24" i="68"/>
  <c r="R24" i="68"/>
  <c r="R20" i="68" s="1"/>
  <c r="P24" i="68"/>
  <c r="O24" i="68"/>
  <c r="O20" i="68" s="1"/>
  <c r="N24" i="68"/>
  <c r="L24" i="68"/>
  <c r="L20" i="68" s="1"/>
  <c r="J24" i="68"/>
  <c r="I24" i="68"/>
  <c r="H24" i="68"/>
  <c r="H20" i="68" s="1"/>
  <c r="G24" i="68"/>
  <c r="F24" i="68"/>
  <c r="E24" i="68"/>
  <c r="D24" i="68"/>
  <c r="D20" i="68" s="1"/>
  <c r="I23" i="68"/>
  <c r="G23" i="68"/>
  <c r="E23" i="68"/>
  <c r="E20" i="68" s="1"/>
  <c r="I22" i="68"/>
  <c r="G22" i="68"/>
  <c r="E22" i="68"/>
  <c r="T21" i="68"/>
  <c r="T20" i="68" s="1"/>
  <c r="Q21" i="68"/>
  <c r="N21" i="68"/>
  <c r="K21" i="68"/>
  <c r="I21" i="68"/>
  <c r="I20" i="68" s="1"/>
  <c r="G21" i="68"/>
  <c r="E21" i="68"/>
  <c r="P20" i="68"/>
  <c r="J20" i="68"/>
  <c r="F20" i="68"/>
  <c r="V18" i="68"/>
  <c r="E30" i="68" l="1"/>
  <c r="E19" i="68" s="1"/>
  <c r="E18" i="68" s="1"/>
  <c r="L69" i="68"/>
  <c r="L67" i="68" s="1"/>
  <c r="I69" i="68"/>
  <c r="I67" i="68" s="1"/>
  <c r="K86" i="68"/>
  <c r="K85" i="68" s="1"/>
  <c r="S86" i="68"/>
  <c r="S85" i="68" s="1"/>
  <c r="S67" i="70"/>
  <c r="H84" i="70"/>
  <c r="H83" i="70" s="1"/>
  <c r="G20" i="68"/>
  <c r="Q20" i="68"/>
  <c r="D19" i="68"/>
  <c r="D18" i="68" s="1"/>
  <c r="R47" i="68"/>
  <c r="D32" i="69"/>
  <c r="P29" i="70"/>
  <c r="D45" i="70"/>
  <c r="R45" i="70" s="1"/>
  <c r="I45" i="70"/>
  <c r="P50" i="70"/>
  <c r="D52" i="70"/>
  <c r="R72" i="70"/>
  <c r="P79" i="70"/>
  <c r="F84" i="70"/>
  <c r="N84" i="70"/>
  <c r="I84" i="70"/>
  <c r="I83" i="70" s="1"/>
  <c r="I17" i="70" s="1"/>
  <c r="P95" i="70"/>
  <c r="H30" i="68"/>
  <c r="G20" i="69"/>
  <c r="I40" i="69"/>
  <c r="I32" i="69" s="1"/>
  <c r="K40" i="69"/>
  <c r="K32" i="69" s="1"/>
  <c r="S72" i="70"/>
  <c r="K30" i="68"/>
  <c r="K19" i="68" s="1"/>
  <c r="K18" i="68" s="1"/>
  <c r="E47" i="68"/>
  <c r="T47" i="68"/>
  <c r="K47" i="68"/>
  <c r="P69" i="68"/>
  <c r="P67" i="68" s="1"/>
  <c r="H20" i="69"/>
  <c r="F40" i="69"/>
  <c r="P30" i="70"/>
  <c r="Q52" i="70"/>
  <c r="F45" i="70"/>
  <c r="R67" i="70"/>
  <c r="V444" i="71"/>
  <c r="V446" i="71"/>
  <c r="H28" i="70"/>
  <c r="E32" i="69"/>
  <c r="P88" i="70"/>
  <c r="I30" i="68"/>
  <c r="I19" i="68" s="1"/>
  <c r="I18" i="68" s="1"/>
  <c r="G30" i="68"/>
  <c r="J47" i="68"/>
  <c r="R22" i="70"/>
  <c r="N18" i="70"/>
  <c r="R30" i="70"/>
  <c r="L28" i="70"/>
  <c r="N28" i="70"/>
  <c r="J65" i="70"/>
  <c r="R65" i="70" s="1"/>
  <c r="P75" i="70"/>
  <c r="P76" i="70"/>
  <c r="S88" i="70"/>
  <c r="R89" i="70"/>
  <c r="L84" i="70"/>
  <c r="L83" i="70" s="1"/>
  <c r="M19" i="68"/>
  <c r="M18" i="68" s="1"/>
  <c r="T19" i="68"/>
  <c r="T18" i="68" s="1"/>
  <c r="H69" i="68"/>
  <c r="H67" i="68" s="1"/>
  <c r="U19" i="68"/>
  <c r="U18" i="68" s="1"/>
  <c r="H86" i="68"/>
  <c r="H85" i="68" s="1"/>
  <c r="P86" i="68"/>
  <c r="P85" i="68" s="1"/>
  <c r="P19" i="68" s="1"/>
  <c r="P18" i="68" s="1"/>
  <c r="F86" i="68"/>
  <c r="F85" i="68" s="1"/>
  <c r="N86" i="68"/>
  <c r="N85" i="68" s="1"/>
  <c r="F32" i="69"/>
  <c r="J40" i="69"/>
  <c r="J32" i="69" s="1"/>
  <c r="H40" i="69"/>
  <c r="H32" i="69" s="1"/>
  <c r="Q33" i="70"/>
  <c r="J37" i="70"/>
  <c r="P37" i="70" s="1"/>
  <c r="K45" i="70"/>
  <c r="Q45" i="70" s="1"/>
  <c r="P62" i="70"/>
  <c r="P72" i="70"/>
  <c r="T72" i="70"/>
  <c r="Q76" i="70"/>
  <c r="Q79" i="70"/>
  <c r="J84" i="70"/>
  <c r="M84" i="70"/>
  <c r="M83" i="70" s="1"/>
  <c r="M17" i="70" s="1"/>
  <c r="F83" i="70"/>
  <c r="N83" i="70"/>
  <c r="J93" i="70"/>
  <c r="R93" i="70" s="1"/>
  <c r="R95" i="70"/>
  <c r="N20" i="68"/>
  <c r="Q47" i="68"/>
  <c r="J69" i="68"/>
  <c r="J67" i="68" s="1"/>
  <c r="I86" i="68"/>
  <c r="I85" i="68" s="1"/>
  <c r="Q86" i="68"/>
  <c r="Q85" i="68" s="1"/>
  <c r="G86" i="68"/>
  <c r="G85" i="68" s="1"/>
  <c r="O86" i="68"/>
  <c r="O85" i="68" s="1"/>
  <c r="O19" i="68" s="1"/>
  <c r="O18" i="68" s="1"/>
  <c r="I20" i="69"/>
  <c r="D20" i="69"/>
  <c r="G40" i="69"/>
  <c r="G32" i="69" s="1"/>
  <c r="J18" i="70"/>
  <c r="P18" i="70" s="1"/>
  <c r="J32" i="70"/>
  <c r="R32" i="70" s="1"/>
  <c r="P33" i="70"/>
  <c r="K37" i="70"/>
  <c r="Q37" i="70" s="1"/>
  <c r="L45" i="70"/>
  <c r="R46" i="70"/>
  <c r="P52" i="70"/>
  <c r="R54" i="70"/>
  <c r="Q62" i="70"/>
  <c r="R69" i="70"/>
  <c r="Q72" i="70"/>
  <c r="Q75" i="70"/>
  <c r="K84" i="70"/>
  <c r="K83" i="70" s="1"/>
  <c r="S83" i="70" s="1"/>
  <c r="R85" i="70"/>
  <c r="D88" i="70"/>
  <c r="D84" i="70" s="1"/>
  <c r="D83" i="70" s="1"/>
  <c r="P92" i="70"/>
  <c r="R92" i="70"/>
  <c r="S93" i="70"/>
  <c r="Q93" i="70"/>
  <c r="L17" i="70"/>
  <c r="O17" i="70"/>
  <c r="R18" i="70"/>
  <c r="E17" i="70"/>
  <c r="H17" i="70"/>
  <c r="G17" i="70"/>
  <c r="F17" i="70"/>
  <c r="P19" i="70"/>
  <c r="R40" i="70"/>
  <c r="R52" i="70"/>
  <c r="R76" i="70"/>
  <c r="R79" i="70"/>
  <c r="S33" i="70"/>
  <c r="S40" i="70"/>
  <c r="S52" i="70"/>
  <c r="R75" i="70"/>
  <c r="S76" i="70"/>
  <c r="S79" i="70"/>
  <c r="Q88" i="70"/>
  <c r="R19" i="70"/>
  <c r="T45" i="70"/>
  <c r="P67" i="70"/>
  <c r="P84" i="70"/>
  <c r="P85" i="70"/>
  <c r="P89" i="70"/>
  <c r="Q18" i="70"/>
  <c r="K65" i="70"/>
  <c r="Q67" i="70"/>
  <c r="Q85" i="70"/>
  <c r="D93" i="70"/>
  <c r="P22" i="70"/>
  <c r="K32" i="70"/>
  <c r="Q22" i="70"/>
  <c r="R19" i="68"/>
  <c r="R18" i="68" s="1"/>
  <c r="F19" i="68"/>
  <c r="F18" i="68" s="1"/>
  <c r="G19" i="68"/>
  <c r="G18" i="68" s="1"/>
  <c r="L47" i="68"/>
  <c r="L19" i="68" s="1"/>
  <c r="L18" i="68" s="1"/>
  <c r="Q31" i="68"/>
  <c r="Q30" i="68" s="1"/>
  <c r="Q19" i="68" s="1"/>
  <c r="Q18" i="68" s="1"/>
  <c r="S71" i="68"/>
  <c r="S69" i="68" s="1"/>
  <c r="S67" i="68" s="1"/>
  <c r="J28" i="70" l="1"/>
  <c r="D17" i="70"/>
  <c r="S45" i="70"/>
  <c r="H19" i="68"/>
  <c r="H18" i="68" s="1"/>
  <c r="N17" i="70"/>
  <c r="T17" i="70" s="1"/>
  <c r="R88" i="70"/>
  <c r="P45" i="70"/>
  <c r="S19" i="68"/>
  <c r="S18" i="68" s="1"/>
  <c r="V20" i="68" s="1"/>
  <c r="P32" i="70"/>
  <c r="S84" i="70"/>
  <c r="R84" i="70"/>
  <c r="J83" i="70"/>
  <c r="Q84" i="70"/>
  <c r="P65" i="70"/>
  <c r="Q83" i="70"/>
  <c r="N19" i="68"/>
  <c r="N18" i="68" s="1"/>
  <c r="J19" i="68"/>
  <c r="J18" i="68" s="1"/>
  <c r="S65" i="70"/>
  <c r="Q65" i="70"/>
  <c r="P93" i="70"/>
  <c r="S32" i="70"/>
  <c r="Q32" i="70"/>
  <c r="K28" i="70"/>
  <c r="R28" i="70"/>
  <c r="P28" i="70"/>
  <c r="R83" i="70" l="1"/>
  <c r="P83" i="70"/>
  <c r="J17" i="70"/>
  <c r="Q28" i="70"/>
  <c r="S28" i="70"/>
  <c r="K17" i="70"/>
  <c r="R17" i="70" l="1"/>
  <c r="P17" i="70"/>
  <c r="S17" i="70"/>
  <c r="Q17" i="70"/>
  <c r="E101" i="66" l="1"/>
  <c r="F101" i="66"/>
  <c r="G14" i="66"/>
  <c r="G15" i="66"/>
  <c r="G17" i="66"/>
  <c r="G19" i="66"/>
  <c r="G21" i="66"/>
  <c r="G23" i="66"/>
  <c r="G24" i="66"/>
  <c r="G26" i="66"/>
  <c r="G28" i="66"/>
  <c r="G29" i="66"/>
  <c r="G31" i="66"/>
  <c r="G33" i="66"/>
  <c r="G35" i="66"/>
  <c r="G37" i="66"/>
  <c r="G38" i="66"/>
  <c r="G40" i="66"/>
  <c r="G42" i="66"/>
  <c r="G44" i="66"/>
  <c r="G46" i="66"/>
  <c r="G48" i="66"/>
  <c r="G50" i="66"/>
  <c r="G52" i="66"/>
  <c r="G54" i="66"/>
  <c r="G56" i="66"/>
  <c r="G58" i="66"/>
  <c r="G60" i="66"/>
  <c r="G62" i="66"/>
  <c r="G64" i="66"/>
  <c r="G66" i="66"/>
  <c r="G67" i="66"/>
  <c r="G69" i="66"/>
  <c r="G71" i="66"/>
  <c r="G74" i="66"/>
  <c r="G76" i="66"/>
  <c r="G78" i="66"/>
  <c r="G80" i="66"/>
  <c r="G81" i="66"/>
  <c r="G83" i="66"/>
  <c r="G85" i="66"/>
  <c r="G86" i="66"/>
  <c r="G88" i="66"/>
  <c r="G90" i="66"/>
  <c r="G91" i="66"/>
  <c r="G93" i="66"/>
  <c r="G95" i="66"/>
  <c r="G97" i="66"/>
  <c r="G99" i="66"/>
  <c r="G100" i="66"/>
  <c r="G102" i="66"/>
  <c r="G104" i="66"/>
  <c r="G106" i="66"/>
  <c r="G108" i="66"/>
  <c r="G109" i="66"/>
  <c r="G112" i="66"/>
  <c r="G114" i="66"/>
  <c r="G115" i="66"/>
  <c r="G117" i="66"/>
  <c r="G119" i="66"/>
  <c r="G120" i="66"/>
  <c r="G122" i="66"/>
  <c r="G124" i="66"/>
  <c r="G125" i="66"/>
  <c r="G127" i="66"/>
  <c r="G129" i="66"/>
  <c r="G131" i="66"/>
  <c r="G133" i="66"/>
  <c r="G134" i="66"/>
  <c r="G136" i="66"/>
  <c r="G138" i="66"/>
  <c r="G140" i="66"/>
  <c r="G142" i="66"/>
  <c r="G143" i="66"/>
  <c r="G145" i="66"/>
  <c r="G147" i="66"/>
  <c r="G149" i="66"/>
  <c r="G151" i="66"/>
  <c r="G152" i="66"/>
  <c r="G154" i="66"/>
  <c r="G156" i="66"/>
  <c r="G157" i="66"/>
  <c r="G159" i="66"/>
  <c r="G161" i="66"/>
  <c r="G163" i="66"/>
  <c r="G165" i="66"/>
  <c r="G167" i="66"/>
  <c r="G168" i="66"/>
  <c r="G169" i="66"/>
  <c r="G171" i="66"/>
  <c r="G172" i="66"/>
  <c r="G174" i="66"/>
  <c r="G176" i="66"/>
  <c r="G178" i="66"/>
  <c r="G180" i="66"/>
  <c r="G181" i="66"/>
  <c r="G184" i="66"/>
  <c r="G185" i="66"/>
  <c r="G186" i="66"/>
  <c r="G187" i="66"/>
  <c r="G188" i="66"/>
  <c r="G189" i="66"/>
  <c r="G190" i="66"/>
  <c r="G191" i="66"/>
  <c r="G192" i="66"/>
  <c r="G195" i="66"/>
  <c r="G196" i="66"/>
  <c r="G197" i="66"/>
  <c r="G201" i="66"/>
  <c r="G202" i="66"/>
  <c r="G203" i="66"/>
  <c r="G205" i="66"/>
  <c r="G206" i="66"/>
  <c r="G207" i="66"/>
  <c r="G209" i="66"/>
  <c r="G211" i="66"/>
  <c r="G12" i="66"/>
  <c r="F11" i="66"/>
  <c r="F16" i="66"/>
  <c r="F20" i="66"/>
  <c r="F25" i="66"/>
  <c r="F30" i="66"/>
  <c r="F34" i="66"/>
  <c r="F39" i="66"/>
  <c r="F43" i="66"/>
  <c r="F47" i="66"/>
  <c r="F51" i="66"/>
  <c r="F55" i="66"/>
  <c r="F59" i="66"/>
  <c r="F63" i="66"/>
  <c r="F68" i="66"/>
  <c r="F77" i="66"/>
  <c r="F82" i="66"/>
  <c r="F87" i="66"/>
  <c r="F92" i="66"/>
  <c r="F96" i="66"/>
  <c r="E11" i="66"/>
  <c r="E16" i="66"/>
  <c r="E20" i="66"/>
  <c r="E25" i="66"/>
  <c r="E30" i="66"/>
  <c r="E34" i="66"/>
  <c r="E39" i="66"/>
  <c r="E43" i="66"/>
  <c r="E47" i="66"/>
  <c r="E51" i="66"/>
  <c r="E55" i="66"/>
  <c r="E59" i="66"/>
  <c r="E63" i="66"/>
  <c r="E68" i="66"/>
  <c r="E73" i="66"/>
  <c r="E77" i="66"/>
  <c r="E82" i="66"/>
  <c r="E87" i="66"/>
  <c r="E92" i="66"/>
  <c r="E96" i="66"/>
  <c r="E183" i="66"/>
  <c r="E182" i="66" s="1"/>
  <c r="F183" i="66"/>
  <c r="F182" i="66" s="1"/>
  <c r="F105" i="66"/>
  <c r="G194" i="66" l="1"/>
  <c r="G183" i="66"/>
  <c r="G182" i="66" s="1"/>
  <c r="F10" i="66"/>
  <c r="E10" i="66"/>
  <c r="F72" i="66"/>
  <c r="D210" i="66" l="1"/>
  <c r="G210" i="66" s="1"/>
  <c r="D208" i="66"/>
  <c r="G208" i="66" s="1"/>
  <c r="E204" i="66"/>
  <c r="F204" i="66"/>
  <c r="D200" i="66"/>
  <c r="G200" i="66" s="1"/>
  <c r="D199" i="66"/>
  <c r="D194" i="66"/>
  <c r="F193" i="66"/>
  <c r="E193" i="66"/>
  <c r="D183" i="66"/>
  <c r="D182" i="66" s="1"/>
  <c r="D179" i="66"/>
  <c r="F177" i="66"/>
  <c r="D175" i="66"/>
  <c r="G175" i="66" s="1"/>
  <c r="G173" i="66" s="1"/>
  <c r="E173" i="66"/>
  <c r="F173" i="66"/>
  <c r="D170" i="66"/>
  <c r="F166" i="66"/>
  <c r="D164" i="66"/>
  <c r="G164" i="66" s="1"/>
  <c r="G162" i="66" s="1"/>
  <c r="E162" i="66"/>
  <c r="F162" i="66"/>
  <c r="D160" i="66"/>
  <c r="F158" i="66"/>
  <c r="D155" i="66"/>
  <c r="G155" i="66" s="1"/>
  <c r="G153" i="66" s="1"/>
  <c r="E153" i="66"/>
  <c r="F153" i="66"/>
  <c r="D150" i="66"/>
  <c r="F148" i="66"/>
  <c r="D146" i="66"/>
  <c r="G146" i="66" s="1"/>
  <c r="G144" i="66" s="1"/>
  <c r="E144" i="66"/>
  <c r="F144" i="66"/>
  <c r="D141" i="66"/>
  <c r="F139" i="66"/>
  <c r="D137" i="66"/>
  <c r="G137" i="66" s="1"/>
  <c r="G135" i="66" s="1"/>
  <c r="E135" i="66"/>
  <c r="F135" i="66"/>
  <c r="D132" i="66"/>
  <c r="F130" i="66"/>
  <c r="D128" i="66"/>
  <c r="G128" i="66" s="1"/>
  <c r="G126" i="66" s="1"/>
  <c r="E126" i="66"/>
  <c r="F126" i="66"/>
  <c r="D123" i="66"/>
  <c r="F121" i="66"/>
  <c r="D118" i="66"/>
  <c r="G118" i="66" s="1"/>
  <c r="G116" i="66" s="1"/>
  <c r="E116" i="66"/>
  <c r="F116" i="66"/>
  <c r="D113" i="66"/>
  <c r="F111" i="66"/>
  <c r="C110" i="66"/>
  <c r="D107" i="66"/>
  <c r="D103" i="66"/>
  <c r="G103" i="66" s="1"/>
  <c r="G101" i="66" s="1"/>
  <c r="D98" i="66"/>
  <c r="G98" i="66" s="1"/>
  <c r="D94" i="66"/>
  <c r="G94" i="66" s="1"/>
  <c r="D89" i="66"/>
  <c r="G89" i="66" s="1"/>
  <c r="D84" i="66"/>
  <c r="G84" i="66" s="1"/>
  <c r="D79" i="66"/>
  <c r="G79" i="66" s="1"/>
  <c r="D75" i="66"/>
  <c r="G75" i="66" s="1"/>
  <c r="C72" i="66"/>
  <c r="D70" i="66"/>
  <c r="G70" i="66" s="1"/>
  <c r="D65" i="66"/>
  <c r="G65" i="66" s="1"/>
  <c r="D61" i="66"/>
  <c r="G61" i="66" s="1"/>
  <c r="D57" i="66"/>
  <c r="G57" i="66" s="1"/>
  <c r="D53" i="66"/>
  <c r="G53" i="66" s="1"/>
  <c r="D49" i="66"/>
  <c r="G49" i="66" s="1"/>
  <c r="D45" i="66"/>
  <c r="G45" i="66" s="1"/>
  <c r="D43" i="66"/>
  <c r="G43" i="66" s="1"/>
  <c r="D41" i="66"/>
  <c r="G41" i="66" s="1"/>
  <c r="D36" i="66"/>
  <c r="G36" i="66" s="1"/>
  <c r="D32" i="66"/>
  <c r="G32" i="66" s="1"/>
  <c r="D30" i="66"/>
  <c r="G30" i="66" s="1"/>
  <c r="D27" i="66"/>
  <c r="G27" i="66" s="1"/>
  <c r="D22" i="66"/>
  <c r="G22" i="66" s="1"/>
  <c r="D20" i="66"/>
  <c r="G20" i="66" s="1"/>
  <c r="D18" i="66"/>
  <c r="G18" i="66" s="1"/>
  <c r="D13" i="66"/>
  <c r="G13" i="66" s="1"/>
  <c r="G11" i="66" s="1"/>
  <c r="C10" i="66"/>
  <c r="D39" i="66" l="1"/>
  <c r="G39" i="66" s="1"/>
  <c r="D25" i="66"/>
  <c r="G25" i="66" s="1"/>
  <c r="D59" i="66"/>
  <c r="G59" i="66" s="1"/>
  <c r="D16" i="66"/>
  <c r="G16" i="66" s="1"/>
  <c r="D34" i="66"/>
  <c r="G34" i="66" s="1"/>
  <c r="G204" i="66"/>
  <c r="D11" i="66"/>
  <c r="D73" i="66"/>
  <c r="G73" i="66" s="1"/>
  <c r="E121" i="66"/>
  <c r="G123" i="66"/>
  <c r="G121" i="66" s="1"/>
  <c r="E139" i="66"/>
  <c r="G141" i="66"/>
  <c r="G139" i="66" s="1"/>
  <c r="E158" i="66"/>
  <c r="G160" i="66"/>
  <c r="G158" i="66" s="1"/>
  <c r="E177" i="66"/>
  <c r="G179" i="66"/>
  <c r="G177" i="66" s="1"/>
  <c r="D51" i="66"/>
  <c r="G51" i="66" s="1"/>
  <c r="D126" i="66"/>
  <c r="D144" i="66"/>
  <c r="D162" i="66"/>
  <c r="D198" i="66"/>
  <c r="G199" i="66"/>
  <c r="G198" i="66" s="1"/>
  <c r="G193" i="66" s="1"/>
  <c r="E111" i="66"/>
  <c r="G113" i="66"/>
  <c r="G111" i="66" s="1"/>
  <c r="E130" i="66"/>
  <c r="G132" i="66"/>
  <c r="G130" i="66" s="1"/>
  <c r="E148" i="66"/>
  <c r="G150" i="66"/>
  <c r="G148" i="66" s="1"/>
  <c r="E166" i="66"/>
  <c r="G170" i="66"/>
  <c r="G166" i="66" s="1"/>
  <c r="C9" i="66"/>
  <c r="D68" i="66"/>
  <c r="G68" i="66" s="1"/>
  <c r="D92" i="66"/>
  <c r="G92" i="66" s="1"/>
  <c r="E105" i="66"/>
  <c r="E72" i="66" s="1"/>
  <c r="G107" i="66"/>
  <c r="G105" i="66" s="1"/>
  <c r="D116" i="66"/>
  <c r="D135" i="66"/>
  <c r="D153" i="66"/>
  <c r="D173" i="66"/>
  <c r="D204" i="66"/>
  <c r="F110" i="66"/>
  <c r="F9" i="66" s="1"/>
  <c r="F8" i="66" s="1"/>
  <c r="D96" i="66"/>
  <c r="G96" i="66" s="1"/>
  <c r="D77" i="66"/>
  <c r="G77" i="66" s="1"/>
  <c r="D47" i="66"/>
  <c r="D55" i="66"/>
  <c r="G55" i="66" s="1"/>
  <c r="D63" i="66"/>
  <c r="G63" i="66" s="1"/>
  <c r="C8" i="66"/>
  <c r="D111" i="66"/>
  <c r="D121" i="66"/>
  <c r="D130" i="66"/>
  <c r="D139" i="66"/>
  <c r="D148" i="66"/>
  <c r="D158" i="66"/>
  <c r="D166" i="66"/>
  <c r="D177" i="66"/>
  <c r="D82" i="66"/>
  <c r="G82" i="66" s="1"/>
  <c r="D101" i="66"/>
  <c r="D87" i="66"/>
  <c r="D105" i="66"/>
  <c r="E110" i="66" l="1"/>
  <c r="E9" i="66" s="1"/>
  <c r="E8" i="66" s="1"/>
  <c r="D193" i="66"/>
  <c r="G110" i="66"/>
  <c r="D72" i="66"/>
  <c r="G72" i="66" s="1"/>
  <c r="G87" i="66"/>
  <c r="D10" i="66"/>
  <c r="G47" i="66"/>
  <c r="G10" i="66" s="1"/>
  <c r="D110" i="66"/>
  <c r="G9" i="66" l="1"/>
  <c r="G8" i="66" s="1"/>
  <c r="D9" i="66"/>
  <c r="D8" i="66" s="1"/>
</calcChain>
</file>

<file path=xl/comments1.xml><?xml version="1.0" encoding="utf-8"?>
<comments xmlns="http://schemas.openxmlformats.org/spreadsheetml/2006/main">
  <authors>
    <author>VNN.R9</author>
  </authors>
  <commentList>
    <comment ref="A5" authorId="0">
      <text>
        <r>
          <rPr>
            <b/>
            <sz val="9"/>
            <color indexed="81"/>
            <rFont val="Tahoma"/>
            <family val="2"/>
          </rPr>
          <t>VNN.R9:</t>
        </r>
        <r>
          <rPr>
            <sz val="9"/>
            <color indexed="81"/>
            <rFont val="Tahoma"/>
            <family val="2"/>
          </rPr>
          <t xml:space="preserve">
</t>
        </r>
      </text>
    </comment>
  </commentList>
</comments>
</file>

<file path=xl/comments2.xml><?xml version="1.0" encoding="utf-8"?>
<comments xmlns="http://schemas.openxmlformats.org/spreadsheetml/2006/main">
  <authors>
    <author>AutoBVT</author>
  </authors>
  <commentList>
    <comment ref="B400" authorId="0">
      <text>
        <r>
          <rPr>
            <b/>
            <sz val="9"/>
            <color indexed="81"/>
            <rFont val="Tahoma"/>
            <family val="2"/>
            <charset val="163"/>
          </rPr>
          <t>AutoBVT:</t>
        </r>
        <r>
          <rPr>
            <sz val="9"/>
            <color indexed="81"/>
            <rFont val="Tahoma"/>
            <family val="2"/>
            <charset val="163"/>
          </rPr>
          <t xml:space="preserve">
</t>
        </r>
      </text>
    </comment>
  </commentList>
</comments>
</file>

<file path=xl/sharedStrings.xml><?xml version="1.0" encoding="utf-8"?>
<sst xmlns="http://schemas.openxmlformats.org/spreadsheetml/2006/main" count="2026" uniqueCount="965">
  <si>
    <t>ĐVT: Triệu đồng</t>
  </si>
  <si>
    <t>4.1</t>
  </si>
  <si>
    <t>4.2</t>
  </si>
  <si>
    <t>4.3</t>
  </si>
  <si>
    <t>Chi tạo nguồn thực hiện CCTL</t>
  </si>
  <si>
    <t>Dự án tăng cường ATLĐ, vệ sinh lao động ( Nâng cao năng lục và hiệu quả quản lý về an toàn vệ sinh lao động)</t>
  </si>
  <si>
    <t>STT</t>
  </si>
  <si>
    <t>Nội dung</t>
  </si>
  <si>
    <t>A</t>
  </si>
  <si>
    <t>B</t>
  </si>
  <si>
    <t>I</t>
  </si>
  <si>
    <t>-</t>
  </si>
  <si>
    <t>II</t>
  </si>
  <si>
    <t>III</t>
  </si>
  <si>
    <t>Đơn vị: Triệu đồng</t>
  </si>
  <si>
    <t>Chi giáo dục - đào tạo và dạy nghề</t>
  </si>
  <si>
    <t>Chi khoa học và công nghệ</t>
  </si>
  <si>
    <t>Trong đó:</t>
  </si>
  <si>
    <t>IV</t>
  </si>
  <si>
    <t>V</t>
  </si>
  <si>
    <t>Dự phòng ngân sách</t>
  </si>
  <si>
    <t>VI</t>
  </si>
  <si>
    <t>C</t>
  </si>
  <si>
    <t>Chi quốc phòng</t>
  </si>
  <si>
    <t>Chi bảo đảm xã hội</t>
  </si>
  <si>
    <t>Chi thường xuyên</t>
  </si>
  <si>
    <t>Chi đầu tư phát triển</t>
  </si>
  <si>
    <t>Chi bổ sung quỹ dự trữ tài chính</t>
  </si>
  <si>
    <t>Chi đầu tư từ nguồn thu tiền sử dụng đất</t>
  </si>
  <si>
    <t>a</t>
  </si>
  <si>
    <t>b</t>
  </si>
  <si>
    <t>CHI CÂN ĐỐI NGÂN SÁCH ĐỊA PHƯƠNG</t>
  </si>
  <si>
    <t>1.1</t>
  </si>
  <si>
    <t>Chi đầu tư và hỗ trợ vốn cho các doanh nghiệp cung cấp sản phẩm, dịch vụ công ích do Nhà nước đặt hàng, các tổ chức kinh tế, các tổ chức tài chính của địa phương theo quy định của pháp luật</t>
  </si>
  <si>
    <t>1.2</t>
  </si>
  <si>
    <t>Chi đầu tư XDCB vốn trong nước</t>
  </si>
  <si>
    <t>c</t>
  </si>
  <si>
    <t>d</t>
  </si>
  <si>
    <t>Chi an ninh</t>
  </si>
  <si>
    <t>Chi hoạt động kinh tế</t>
  </si>
  <si>
    <t>Chi hoạt động quản lý nhà nước, Đảng, đoàn thể</t>
  </si>
  <si>
    <t>Chi khác</t>
  </si>
  <si>
    <t>Chi sự nghiệp bảo vệ môi trường</t>
  </si>
  <si>
    <t>Chi thường xuyên các lĩnh vực khác</t>
  </si>
  <si>
    <t>Chi sự nghiệp y tế, dân số và gia đình</t>
  </si>
  <si>
    <t>Chi sự nghiệp văn hóa thông tin</t>
  </si>
  <si>
    <t>Chi sự nghiệp phát thanh, truyền hình</t>
  </si>
  <si>
    <t>Chi sự nghiệp thể dục thể thao</t>
  </si>
  <si>
    <t>Chi tạo nguồn cải cách tiền lương</t>
  </si>
  <si>
    <t>Chi từ nguồn bổ sung có mục tiêu</t>
  </si>
  <si>
    <t>Chi thực hiện các chương trình mục tiêu quốc gia</t>
  </si>
  <si>
    <t>+</t>
  </si>
  <si>
    <t>Chi đầu tư thực hiện các chương trình mục tiêu, nhiệm vụ khác</t>
  </si>
  <si>
    <t>2.1</t>
  </si>
  <si>
    <t xml:space="preserve"> Ngân sách TW bổ sung</t>
  </si>
  <si>
    <t xml:space="preserve"> Kinh phí thực hiện nhiệm vụ đảm bảo trật tự an toàn giao thông</t>
  </si>
  <si>
    <t>2.2</t>
  </si>
  <si>
    <t xml:space="preserve"> Ngân sách tỉnh bổ sung</t>
  </si>
  <si>
    <t>Hỗ trợ đầu tư các xã biên giới</t>
  </si>
  <si>
    <t xml:space="preserve"> Chi đo đạc, cấp giấy chứng nhận, quản lý đất đai</t>
  </si>
  <si>
    <t>Chi từ nguồn hỗ trợ thực hiện các chế độ, chính sách theo quy định</t>
  </si>
  <si>
    <t>3.1</t>
  </si>
  <si>
    <t>Hỗ trợ học sinh khuyết tật ( Học bổng và đồ dùng dạy học theo Thông tư Liên tịch số 42/2013/TTLT-BGDĐT-BLĐTBXH-BTC)</t>
  </si>
  <si>
    <t>3.2</t>
  </si>
  <si>
    <t>CHI CHUYỂN NGUỒN SANG NĂM SAU CỦA NGÂN SÁCH ĐỊA PHƯƠNG</t>
  </si>
  <si>
    <t>TỔNG CHI NGÂN SÁCH ĐỊA PHƯƠNG</t>
  </si>
  <si>
    <t>Chi đầu tư phát triển khác</t>
  </si>
  <si>
    <t>TỔNG CHI NGÂN SÁCH ĐỊA PHƯƠNG QUẢN LÝ (I+II)</t>
  </si>
  <si>
    <t>Trong đó: Chi cân đối ngân sách địa phương tính tỷ lệ điều tiết, số bổ sung cân đối từ ngân sách trung ương cho ngân sách địa phương (1)</t>
  </si>
  <si>
    <t>Chi đầu tư phát triển còn lại (1-1.1)</t>
  </si>
  <si>
    <t>1.2.1</t>
  </si>
  <si>
    <t>Chi đầu tư phát triển của các dự án phân theo nguồn vốn</t>
  </si>
  <si>
    <t>1.2.2</t>
  </si>
  <si>
    <t>Chi đầu tư phát triển phân theo lĩnh vực</t>
  </si>
  <si>
    <t>g</t>
  </si>
  <si>
    <t>e</t>
  </si>
  <si>
    <t>i</t>
  </si>
  <si>
    <t>Sự nghiệp văn hoá thông tin, thể thao,  du lịch và truyền thông</t>
  </si>
  <si>
    <t>Ghi chú</t>
  </si>
  <si>
    <t>Bao gồm</t>
  </si>
  <si>
    <t>Chi nguồn thu xổ số Kiến thiết: Ưu tiên Công trình Gíáo dục-ĐT thực hiện CTMTQG xây dựng NTM)</t>
  </si>
  <si>
    <t>UBND HUYỆN SA THẦY</t>
  </si>
  <si>
    <t>Biểu mẫu số 33</t>
  </si>
  <si>
    <t>DỰ TOÁN CHI NGÂN SÁCH ĐỊA PHƯƠNG, CHI NGÂN SÁCH CẤP HUYỆN</t>
  </si>
  <si>
    <t>NS cấp huyện</t>
  </si>
  <si>
    <t>Ngân 
sách xã</t>
  </si>
  <si>
    <t>Chi đầu tư từ nguồn thu xổ số kiến thiết</t>
  </si>
  <si>
    <t>Chi đầu tư từ nguồn bội chi ngân sách địa phương</t>
  </si>
  <si>
    <t>Chi đầu tư và hỗ trợ vốn cho các doanh nghiệp cung cấp sản phẩm, dịch vụ công ích do Nhà nước đặt hàng, các tổ chức kinh tế, các tổ chức tài chính của địa phương theo quy định của pháp luật</t>
  </si>
  <si>
    <t>Chi trả nợ lãi do chính quyền địa phương vay</t>
  </si>
  <si>
    <t>Chi sự nghiệp</t>
  </si>
  <si>
    <t xml:space="preserve"> Hỗ trợ đầu tư xây dụng nông thôn mới</t>
  </si>
  <si>
    <t>Thực hiện nhiệm vụ quy hoạch</t>
  </si>
  <si>
    <t>( Kèm theo Quyết định số: 2409 QĐ-UBND, ngày 21 / 12 /2017 của UBND huyện Sa Thầy )</t>
  </si>
  <si>
    <t>h</t>
  </si>
  <si>
    <t>Chi XDCB</t>
  </si>
  <si>
    <t>Kinh phí tiếp xúc cử tri</t>
  </si>
  <si>
    <t>Chi quản lý hành chính</t>
  </si>
  <si>
    <t>k</t>
  </si>
  <si>
    <t>l</t>
  </si>
  <si>
    <t>m</t>
  </si>
  <si>
    <t>n</t>
  </si>
  <si>
    <t xml:space="preserve"> Chương trình 135</t>
  </si>
  <si>
    <t>NỘI DUNG</t>
  </si>
  <si>
    <t>Mã nhiệm vụ chi</t>
  </si>
  <si>
    <t>Dự toán
năm 2021 ngân sách cấp huyện</t>
  </si>
  <si>
    <t xml:space="preserve">
Chi cân đối</t>
  </si>
  <si>
    <t>Chi bổ 
sung có mục tiêu</t>
  </si>
  <si>
    <t>Tổng chi hoạt 
động bộ máy</t>
  </si>
  <si>
    <t>Chi hoạt 
động sự nghiệp</t>
  </si>
  <si>
    <t>Dự toán 
chi đầu tư xây dựng</t>
  </si>
  <si>
    <t>Qũy tiền
 lương</t>
  </si>
  <si>
    <t>Trong đó;</t>
  </si>
  <si>
    <t>Dự toán 
chi thường xuyên</t>
  </si>
  <si>
    <t>Tiền lương
 1,21 trđ</t>
  </si>
  <si>
    <t>Bổ sung thực hiện Cải cách tiền lương</t>
  </si>
  <si>
    <t>Chi nhiệm
 vụ đặc thù, đột xuất</t>
  </si>
  <si>
    <t>TỔNG CHI CÂN ĐỐI</t>
  </si>
  <si>
    <t>CHI ĐẦU TƯ PHÁT TRIỂN</t>
  </si>
  <si>
    <t>Chi đầu tư XDCB tập trung phân cấp NS huyện</t>
  </si>
  <si>
    <t>Chi từ nguồn thu sử dụng đất</t>
  </si>
  <si>
    <t>Đầu tư cơ sở hạ tầng</t>
  </si>
  <si>
    <t xml:space="preserve"> 10% Thu tiền sử dụng đất để thực hiện công tác quy hoạch, đo đạc, đăng ký QLĐĐ, cấp giấy chứng nhận</t>
  </si>
  <si>
    <t>Cơ quan chuyên môn tham mưu phân bổ chi tiết</t>
  </si>
  <si>
    <t>Ban quản lý dự án ĐTXD</t>
  </si>
  <si>
    <t>Hỗ trợ đầu tư xây dựng NTM</t>
  </si>
  <si>
    <t>Phòng Lao động TBXH</t>
  </si>
  <si>
    <t xml:space="preserve"> CHI THƯỜNG XUYÊN</t>
  </si>
  <si>
    <t xml:space="preserve"> Chi sự nghiệp giáo dục</t>
  </si>
  <si>
    <t>Phòng Giáo dục và Đào tạo</t>
  </si>
  <si>
    <t>a.1</t>
  </si>
  <si>
    <t xml:space="preserve"> Chi cân đối: </t>
  </si>
  <si>
    <t>Chi tiền lương, các khoản có tính chất như lương và hoạt động thường xuyên chuyên môn ngành</t>
  </si>
  <si>
    <t xml:space="preserve"> Học sinh bán trú và PTDT bán trú theo NĐ 116/2016/CP</t>
  </si>
  <si>
    <t>a.2</t>
  </si>
  <si>
    <t>Kinh phí thực hiện chính sách quy định tại Nghị định số 105/2020/NĐ-CP chính sách phát triển giáo viên mầm non</t>
  </si>
  <si>
    <t>Hỗ trợ học sinh dân tộc rất ít người Theo NĐ 57/2017/NĐCP</t>
  </si>
  <si>
    <t>++</t>
  </si>
  <si>
    <t>Cấp bù miễn giảm học phí; Hỗ trợ chi phí học tập</t>
  </si>
  <si>
    <t>Phòng Lao động TB&amp;XH</t>
  </si>
  <si>
    <t>Hỗ trợ chi phí học tập</t>
  </si>
  <si>
    <t>Hỗ trợ chi phí học tập cho  sinh viên là người đồng bào dân tộc thiểu số nghèo và cận nghèo theo QĐ 66/TTg</t>
  </si>
  <si>
    <t xml:space="preserve">  Sự nghiệp đào tạo và dạy nghề</t>
  </si>
  <si>
    <t>Phụ cấp cấp ủy viên ( 01 người UV chi bộ cơ sở)</t>
  </si>
  <si>
    <t xml:space="preserve">Hỗ trợ chi bộ cơ sở theoQĐ số 99-QĐ/TW ngày 30/5/2012/của BCH </t>
  </si>
  <si>
    <t>Chi mở  các lớp đào tạo, bồi dưỡng theo kế hoạch phê duyệt</t>
  </si>
  <si>
    <t>Mua 01 bộ máy tính, máy in, bộ âm ly phục vụ chuyên môn</t>
  </si>
  <si>
    <t>Trung tâm Giáo dục  nghề nghiệp- Giáo dục thường xuyên</t>
  </si>
  <si>
    <t>Trung tâm GD NN- GD TX</t>
  </si>
  <si>
    <t>Phụ cấp cấp ủy viên ( 02 người UV chi bộ cơ sở)</t>
  </si>
  <si>
    <t>Hỗ trợ chi bộ cơ sở theoQĐ số 99-QĐ/TW ngày 30/5/2012 của BCH TƯ</t>
  </si>
  <si>
    <t>Hỗ trợ Đại hội Chi bộ cơ sở theo QĐ số 99-QĐ/TW ngày 30/5/2012 của BCH TƯ</t>
  </si>
  <si>
    <t>Sự nghiệp Khoa học và công nghệ</t>
  </si>
  <si>
    <t>Phòng kinh tế hạ tầng</t>
  </si>
  <si>
    <t>Chi tập huấn ứng dụng, chuyển giao công nghệ; QLNN trong lĩnh vực KH-CN</t>
  </si>
  <si>
    <t>Chi thực hiện ứng dụng, chuyển giao công nghệ</t>
  </si>
  <si>
    <t>Sự nghiệp môi trường</t>
  </si>
  <si>
    <t>*</t>
  </si>
  <si>
    <t>Trung tâm Môi trường và Dịch vụ đô thị</t>
  </si>
  <si>
    <t xml:space="preserve"> Chi hoạt động bộ máy QLNN (03 B/c) </t>
  </si>
  <si>
    <t>Trung tâm môi trường dịch vụ đô thị</t>
  </si>
  <si>
    <t>Tiền lương ngạch bậc 03 biên chế CBQL</t>
  </si>
  <si>
    <t>Chi khác theo định mức 03 người x 18trđ/năm</t>
  </si>
  <si>
    <t>Cập nhật phần mềm kế toán;  phần mềm QL Công sản</t>
  </si>
  <si>
    <t xml:space="preserve"> Chi hoạt động SN dịch vụ công ích</t>
  </si>
  <si>
    <t>Chi thường xuyên các lĩnh vực hành chính, sự nghiệp khác</t>
  </si>
  <si>
    <t xml:space="preserve">Sự nghiệp Ytế </t>
  </si>
  <si>
    <t xml:space="preserve">Sự nghiệp kinh tế </t>
  </si>
  <si>
    <t>4.2.1</t>
  </si>
  <si>
    <t>Phụ cấp cấp ủy viên (2 người UV chi bộ cơ sở)</t>
  </si>
  <si>
    <t>Hỗ trợ Đại hội Chi bộ cơ sở</t>
  </si>
  <si>
    <t xml:space="preserve"> Tăng cường khuyến nông; Hỗ trợ các xã vùng ngập lòng hồ thuỷ điện Ya Ly và PLeiKrông</t>
  </si>
  <si>
    <t xml:space="preserve"> Kinh phí kiểm soát giết mổ động vật</t>
  </si>
  <si>
    <t xml:space="preserve"> Kinh phí phòng chống dịch bệnh trên cạn và dịch bệnh thủy sản</t>
  </si>
  <si>
    <t>Ban chỉ đạo hợp tác xã bò sữa</t>
  </si>
  <si>
    <t>Chương trình tái cơ cấu kinh tế nông nghiệp và phòng chống giảm nhẹ thiên tai, ổn định đời sống dân cư (Hỗ trợ di dân)</t>
  </si>
  <si>
    <t>Phòng Nông nghiệp NPTNT</t>
  </si>
  <si>
    <t>4.2.2</t>
  </si>
  <si>
    <t xml:space="preserve">  SN giao thông nông thôn, thuỷ lợi </t>
  </si>
  <si>
    <t>Khắc phục, sửa chữa hố ga, hế thống thoát nước , vỉa hè mặt đường Trần Hưng Đạo, đường trường chinh huyện Sa Thầy</t>
  </si>
  <si>
    <t>4.2.3</t>
  </si>
  <si>
    <t xml:space="preserve">  Chi SN kiến thiết thị chính </t>
  </si>
  <si>
    <t>NSNN Đặt hàng:  Dịch vụ chiếu sáng đô thị (Duy trì  trạm đèn, hệ thống điện công lộ, sửa chữa thường xuyên hệ thống điện chiếu sáng)</t>
  </si>
  <si>
    <t>Chi Tiền điện công lộ</t>
  </si>
  <si>
    <t>Chi ban ATGT: trong đó, bao gồm chi phí tiền điện, sủa chữa vận hành đèn báo ATGT</t>
  </si>
  <si>
    <t xml:space="preserve"> Sửa chữa nhà lồng chính TTTM huyện</t>
  </si>
  <si>
    <t>Điều chỉnh quy hoạch chung thị trấn, huyện Sa Thầy</t>
  </si>
  <si>
    <t>Phòng Kinh tế Hạ tầng</t>
  </si>
  <si>
    <t>4.2.4</t>
  </si>
  <si>
    <t xml:space="preserve">  Sự nghiệp kinh tế khác</t>
  </si>
  <si>
    <t>Văn phòng HĐND-UBND</t>
  </si>
  <si>
    <t xml:space="preserve"> Qũy tiền lương  08 Biên chế + 01 hợp đồng 68</t>
  </si>
  <si>
    <t>Hỗ trợ chi bộ cơ sở theoQĐ số 99-QĐ/TW ngày 30/5/2012/ BCH TƯ</t>
  </si>
  <si>
    <t xml:space="preserve">Chi  hoạt động sự nghiệp </t>
  </si>
  <si>
    <t>Thực hiện Đề án giữ gìn bản sắc văn hóa dân tộc</t>
  </si>
  <si>
    <t xml:space="preserve">Chi hoạt động SN gia đình </t>
  </si>
  <si>
    <t>TT Văn hóa TT, DL và truyền thông</t>
  </si>
  <si>
    <t xml:space="preserve">Chi sự nghiệp thể thao;  </t>
  </si>
  <si>
    <t>Chi sự nghiệp du lịch và truyền  thông</t>
  </si>
  <si>
    <t>Trđó:- B/chế quỹ tiền lương, và các khoản đóng góp (08  người )</t>
  </si>
  <si>
    <t>Chi trạm phát lại truyền hình</t>
  </si>
  <si>
    <t>Tram phát lại xã vùng lõm ( phối hợp với UBND xã thực hiện)</t>
  </si>
  <si>
    <t>Kinh phí lắp đặt hệ thống truyền thanh không dây Xã Sa Bình, Ya Ly, Rờ Kơi</t>
  </si>
  <si>
    <t>Kinh phí lắp đặt hệ thống âm thanh tuyên truyền</t>
  </si>
  <si>
    <t>4.6</t>
  </si>
  <si>
    <t>Chi đảm bảo xã hội</t>
  </si>
  <si>
    <t>4.6.1</t>
  </si>
  <si>
    <t>Chương trình chăm sóc bảo vệ trẻ em</t>
  </si>
  <si>
    <t xml:space="preserve"> Sự nghiệp Chăm sóc trẻ em </t>
  </si>
  <si>
    <t>4.6.2</t>
  </si>
  <si>
    <t>Chi công tác xã hội</t>
  </si>
  <si>
    <t>Hợp đồng  bảo vệ nghĩa trang huyện 01 người x 3trđ/người/tháng x 12 tháng; Bảo vệ khu di tích, Đài tưởng niệm ChưtanKara 02 người x 03 trđ/th x12th)</t>
  </si>
  <si>
    <t xml:space="preserve">Kinh phí hoạt động tổ chức tù chính trị </t>
  </si>
  <si>
    <t>Chi đảm bảo xã hội khác,</t>
  </si>
  <si>
    <t>Tiền điện ,nước phục vụ Đài tưởng niệm</t>
  </si>
  <si>
    <t>Bảo hiểm y tế Cựu chiến binh trực tiếp tham gia kháng chiến BVTQ làm nhiệm vụ quốc tế Lào, CPC, TNXP</t>
  </si>
  <si>
    <t xml:space="preserve">Kinh phí mua thẻ y tế cho đối tượng bảo trợ xã hội; </t>
  </si>
  <si>
    <t>Dự án phát triển thị trường lao động và việc làm (Cơ sở dữ liệu cung cầu lao đồng; thu thâp thông tin cung cầu lao động)</t>
  </si>
  <si>
    <t>Dự án hỗ trợ thực hiện các mục tiêu quốc gia về bình đẳng giới ( Truyền thông nâng cao nhận thức về bình đẳng giới)</t>
  </si>
  <si>
    <t>Hỗ trợ phụ cấp hàng tháng cho đội ngũ cộng tác viên làm công tác giảm nghèo cấp xã</t>
  </si>
  <si>
    <t>4.6.3</t>
  </si>
  <si>
    <t xml:space="preserve"> Chi thực hiện chính sách 102/TTg</t>
  </si>
  <si>
    <t>4.6.4</t>
  </si>
  <si>
    <t>Kinh phí thực hiện chính sách theo QĐ 253/TTg ; QĐ 18/2011/QĐ-TTg</t>
  </si>
  <si>
    <t xml:space="preserve">Hỗ trợ  người có uy tín trong đồng bào DTTS theo QĐ số 18/2011/QĐ-TTg </t>
  </si>
  <si>
    <t>Phòng Dân tộc</t>
  </si>
  <si>
    <t xml:space="preserve">Hỗ trợ già làng theo Quyết định 253/QĐ-TTg </t>
  </si>
  <si>
    <t>Phòng Nội vụ</t>
  </si>
  <si>
    <t xml:space="preserve"> Hỗ trợ  tiền điện hộ nghèo</t>
  </si>
  <si>
    <t>4.7</t>
  </si>
  <si>
    <t>4.7.1</t>
  </si>
  <si>
    <t>Kinh phí Đảng</t>
  </si>
  <si>
    <t xml:space="preserve"> Văn phòng Huyện ủy</t>
  </si>
  <si>
    <t>Kinh phí giao tự chủ tài chính</t>
  </si>
  <si>
    <t>Trong đó: UV BCH Huyện đảng bộ (42 người)</t>
  </si>
  <si>
    <t>UV  Chi bộ cơ sở (2 người)</t>
  </si>
  <si>
    <t>Cho hỗ trợ công tác sau thanh tra</t>
  </si>
  <si>
    <t>a2</t>
  </si>
  <si>
    <t>Kinh phí không giao tự chủ</t>
  </si>
  <si>
    <t>KP đặc thù ngân sách đảng theo QĐ 946-QĐ/TU</t>
  </si>
  <si>
    <t>Chi công tác đặc thù của thường trực</t>
  </si>
  <si>
    <t>KP biên tập văn bản</t>
  </si>
  <si>
    <t xml:space="preserve"> Sửa chữa xe Ôtô </t>
  </si>
  <si>
    <t>4.7.2</t>
  </si>
  <si>
    <t xml:space="preserve">  Kinh phí hoạt động hội đồng nhân dân</t>
  </si>
  <si>
    <t>Sinh hoạt phí đại biểu HĐND huyện( 31 vị)</t>
  </si>
  <si>
    <t>4.7.3</t>
  </si>
  <si>
    <t>Kinh phí Đoàn thể</t>
  </si>
  <si>
    <t xml:space="preserve">  Uỷ ban mặt trận</t>
  </si>
  <si>
    <t>Ủy ban mặt trận huyện</t>
  </si>
  <si>
    <t>Phụ cấp cấp ủy viên (02 người UV chi bộ cơ sở)</t>
  </si>
  <si>
    <t>Hỗ trợ thực hiện cuộc vận động " Toàn dân đoàn kết XDDSVH đô thị văn minh"</t>
  </si>
  <si>
    <t xml:space="preserve"> Hỗ trợ sinh hoạt phí đối với UV UBMTTQ ( theo Quyết định 33/2014/QĐ-TTg)</t>
  </si>
  <si>
    <t>Hỗ trợ đón tiếp, thăm hỏi, chúc mừng với một số đối tượng do UBMT thực hiện ( Theo QĐ 39/2014/QĐ-UBND ngày 21/7/2014)</t>
  </si>
  <si>
    <t>Kinh phí thực hiện Đề án 02-1133 2018//TTg Tiếp tục xây dụng và đẩy mạnh công các tuyên truyền vận động chấp hành Pháp luật trong cộng đồng dân cư năm 2018</t>
  </si>
  <si>
    <t>Hỗ trợ kinh phí về thành phần cốt cán phong trào tôn giáo</t>
  </si>
  <si>
    <t>KP thực hiện cuộc vận động ưu tiên dùng hàng Việt Nam</t>
  </si>
  <si>
    <t>Kinh phí giám sát, phản biện xã hội (TT-BTC số 337/2016)</t>
  </si>
  <si>
    <t>Kinh phí  hoạt động quản lý quỹ vì người nghèo</t>
  </si>
  <si>
    <t xml:space="preserve">  Hội liên hiệp phụ nữ</t>
  </si>
  <si>
    <t>Chi tiền lương bộ máy  (03 người )</t>
  </si>
  <si>
    <t>Chi theo định mức biên chế 03 người x18trđ/năm x1,3</t>
  </si>
  <si>
    <t>Giám sát phản biện xã hội theo TT337/2016/TT-BTC</t>
  </si>
  <si>
    <t>Chi hoạt động phong trào hội LHPN</t>
  </si>
  <si>
    <t>Chi tổ chức ngày phụ nữ khởi nghiệp; Tập huấn khởi nghiệp cho Hội viên, phụ nữ có ý tưởng khởi nghiệp; Tổ chức hội thi tuyên truyền An toàn cho phụ nữ và trẻ em</t>
  </si>
  <si>
    <t xml:space="preserve">  Huyện đoàn</t>
  </si>
  <si>
    <t xml:space="preserve">  Hội nông dân</t>
  </si>
  <si>
    <t xml:space="preserve"> Chi hoạt động bộ máy (3 người )</t>
  </si>
  <si>
    <t xml:space="preserve"> Chi theo định mức biên chế 03 người x18trđ/năm x1,3</t>
  </si>
  <si>
    <t xml:space="preserve"> Phụ cấp cấp ủy viên (1  người UV chi bộ cơ sở)</t>
  </si>
  <si>
    <t xml:space="preserve">  Cựu chiến binh</t>
  </si>
  <si>
    <t xml:space="preserve"> Chi hoạt động bộ máy (02 người)</t>
  </si>
  <si>
    <t xml:space="preserve"> Chi theo định mức biên chế 02 người x18trđ/năm x1,3</t>
  </si>
  <si>
    <t>Hỗ trợ chi bộ cơ sở theo QĐ số 99-QĐ/TW ngày 30/5/2012 của BCH TƯ</t>
  </si>
  <si>
    <t xml:space="preserve">Chi công tác Hội chữ thập đỏ </t>
  </si>
  <si>
    <t>Phòng Y tế</t>
  </si>
  <si>
    <t xml:space="preserve"> Chi hoạt động bộ máy (01 biên chế+ phụ cấp kiêm nhiệm)</t>
  </si>
  <si>
    <t>4.7.4</t>
  </si>
  <si>
    <t>Quản lý Nhà nước</t>
  </si>
  <si>
    <t>Văn phòng HĐND - UBND</t>
  </si>
  <si>
    <t>Kinh phí tự chủ hoạt động bộ máy</t>
  </si>
  <si>
    <t>Cập nhật phần mềm QL công sản</t>
  </si>
  <si>
    <t xml:space="preserve">  Kinh phí chi thường xuyên không tự chủ:</t>
  </si>
  <si>
    <t>Chi xăng xe, phí, lệ phí và bảo hiểm xe và sửa chữa thường xuyên  xe ô tô phục vụ công tác</t>
  </si>
  <si>
    <t>Kinh phí phục vụ công tác đặc thù, đột xuất của huyện</t>
  </si>
  <si>
    <t>Kinh phí trực bộ phận 1 cửa</t>
  </si>
  <si>
    <t xml:space="preserve"> Kinh phí bồi dưỡng tiếp công dân, xử lý đơn thu, khiếu nại, tố cáo, kiến nghị, phản ánh tại các trụ sở tiếp công dân theo quy định tại NĐ 64/2014</t>
  </si>
  <si>
    <t>Duy trì hoạt động trang TTĐT</t>
  </si>
  <si>
    <t>a.3</t>
  </si>
  <si>
    <t>Kinh phí không thường xuyên</t>
  </si>
  <si>
    <t xml:space="preserve"> Sửa chữa xe ô tô </t>
  </si>
  <si>
    <t>Phòng Nông nghiệp và Phát triển nông thôn</t>
  </si>
  <si>
    <t>Phòng Nông nghiệp và PTNT</t>
  </si>
  <si>
    <t xml:space="preserve"> KP hoạt động Ban chỉ đạo phòng chống lụt bão</t>
  </si>
  <si>
    <t>Mua máy vi tính</t>
  </si>
  <si>
    <t>Cập nhật phần mền kế toán</t>
  </si>
  <si>
    <t>Phòng Tài nguyên môi trường</t>
  </si>
  <si>
    <t>Thanh tra huyện</t>
  </si>
  <si>
    <t>d.1</t>
  </si>
  <si>
    <t xml:space="preserve">  Kinh phí tự chủ hoạt động bộ máy</t>
  </si>
  <si>
    <t>Phụ cấp cấp ủy viên (01 người UV chi bộ cơ sở)</t>
  </si>
  <si>
    <t>d.2</t>
  </si>
  <si>
    <t xml:space="preserve">  Kinh phí không giao tự chủ </t>
  </si>
  <si>
    <t>Chi công tác tiếp dân và Hỗ trợ chi  tiếp dân theo NQ 16/2018/HĐNH tỉnh; Xử đơn thư khiếu nại, tố cáo theo Nghị định 64/2014</t>
  </si>
  <si>
    <t>KP tập huấn về tiếp công dân giải quyết đơn thu khiếu nại, tố cáo</t>
  </si>
  <si>
    <t>Mua sắm máy phô tô</t>
  </si>
  <si>
    <t>Phòng Tư pháp</t>
  </si>
  <si>
    <t>e.1</t>
  </si>
  <si>
    <t>Chi hoạt động bộ máy  (03 người )</t>
  </si>
  <si>
    <t>Chi theo định mức biên chế 03 người x18trđ/năm *1,3</t>
  </si>
  <si>
    <t>Phụ cấp cấp ủy viên (1 người UV chi bộ cơ sở)</t>
  </si>
  <si>
    <t>e.2</t>
  </si>
  <si>
    <t>Chi công tác tuyên truyền pháp luật, kiểm tra, xử lý, rà soát, hệ thống văn bản quy phạm pháp luật trên địa bàn</t>
  </si>
  <si>
    <t>Hội đồng tư vấn  giải quyết khiếu nại, tố cáo</t>
  </si>
  <si>
    <t>Tạm cấp kinh phí tập huấn số hóa dữ liệu hộ tịch lịch sử vào cơ sở dữ liệu hộ tịch điện tử toàn quốc  theo kế hoạch 155/KH-UBND ngày 12/11/2020</t>
  </si>
  <si>
    <t>Phòng Văn hoá thông tin</t>
  </si>
  <si>
    <t>B/chế quỹ tiền lương và các khoản đóng góp  (3 người )</t>
  </si>
  <si>
    <t>KP hỗ trợ 25 trđ BCĐ 814 và 30 trđ ban chỉ đạo XDDSVHKDC</t>
  </si>
  <si>
    <t xml:space="preserve">Phòng  Nội vụ </t>
  </si>
  <si>
    <t>h.1</t>
  </si>
  <si>
    <t xml:space="preserve"> Kinh phí giao tự chủ</t>
  </si>
  <si>
    <t>h.2</t>
  </si>
  <si>
    <t xml:space="preserve"> Hỗ trợ công tác tôn giáo và gặp mặt các chức sắc tôn giáo hàng năm</t>
  </si>
  <si>
    <t>Chỉnh lý tài liệu tồn đọng 2013 trở về trước theo CV1884/SNV ngày 24/9/2020</t>
  </si>
  <si>
    <t>Mua kệ tài liệu chỉnh lý</t>
  </si>
  <si>
    <t>i.1</t>
  </si>
  <si>
    <t xml:space="preserve">Phụ cấp cấp ủy viên </t>
  </si>
  <si>
    <t>i.2</t>
  </si>
  <si>
    <t>Phòng Giáo dục &amp; Đào tạo</t>
  </si>
  <si>
    <t xml:space="preserve"> Chi theo định mức biên chế 05 người x18trđ/năm *1,3</t>
  </si>
  <si>
    <t xml:space="preserve"> Phụ cấp cấp ủy viên (1 người UV chi bộ cơ sở)</t>
  </si>
  <si>
    <t>Mua máy phô tô</t>
  </si>
  <si>
    <t>Phòng Lao động TB &amp; XH</t>
  </si>
  <si>
    <t xml:space="preserve"> Chi hoạt động bộ máy (6 người )</t>
  </si>
  <si>
    <t xml:space="preserve">Điều tra hộ nghèo hàng năm
</t>
  </si>
  <si>
    <t xml:space="preserve">Hỗ trợ ban chỉ đạo  giảm nghèo
</t>
  </si>
  <si>
    <t>KP hoạt động vì sự tiến bộ phụ nữ</t>
  </si>
  <si>
    <t>Phòng Kinh tế và Hạ tầng</t>
  </si>
  <si>
    <t xml:space="preserve"> Chi theo định mức biên chế 04 người x18trđ/năm *1,3</t>
  </si>
  <si>
    <t>o</t>
  </si>
  <si>
    <t xml:space="preserve"> Chi hoạt động bộ máy  (03 người )</t>
  </si>
  <si>
    <t xml:space="preserve"> Chi theo định mức biên chế 03 người x18trđ/năm *1,3</t>
  </si>
  <si>
    <t xml:space="preserve"> Chi công tác kiểm tra An toàn thực phẩm và nhiệm vụ chuyên môn ngành</t>
  </si>
  <si>
    <t>p</t>
  </si>
  <si>
    <t xml:space="preserve"> B/chế quỹ tiền lương và các khoản đóng góp  (04 biên chế )</t>
  </si>
  <si>
    <t xml:space="preserve"> Phụ cấp cấp uỷ viên</t>
  </si>
  <si>
    <t>Kinh phí hoạt động  thường trực về chính sách dân tộc</t>
  </si>
  <si>
    <t>q</t>
  </si>
  <si>
    <t>Phòng nội vụ</t>
  </si>
  <si>
    <t>4.8</t>
  </si>
  <si>
    <t>Chi an ninh quốc phòng</t>
  </si>
  <si>
    <t>Chi quốc phòng ( Huyện đội)</t>
  </si>
  <si>
    <t>010</t>
  </si>
  <si>
    <t xml:space="preserve">Ban Chỉ huy Quân sự huyện </t>
  </si>
  <si>
    <t xml:space="preserve"> Hỗ trợ KP tuần tra, kiểm soát  tự quản đường biên giới</t>
  </si>
  <si>
    <t>Chi công tác an ninh</t>
  </si>
  <si>
    <t>040</t>
  </si>
  <si>
    <t xml:space="preserve">Công an huyện </t>
  </si>
  <si>
    <t>Văn phòng Huyện ủy</t>
  </si>
  <si>
    <t>4.9</t>
  </si>
  <si>
    <t>Chi khác ngân sách</t>
  </si>
  <si>
    <t xml:space="preserve"> Chi hỗ trợ xét xử Toà án và chi hoạt động HTND </t>
  </si>
  <si>
    <t>Tòa án huyện</t>
  </si>
  <si>
    <t>Kinh phí xét xử, vụ án điểm dự kiến 10 vụ</t>
  </si>
  <si>
    <t>KP hổ trợ VPP, tập huấn, sơ kết tổng kết Hội thẩm nhân dân</t>
  </si>
  <si>
    <t>Việm Kiểm sát</t>
  </si>
  <si>
    <t>Chi cục thuế</t>
  </si>
  <si>
    <t xml:space="preserve"> Chi ban ATGT; trong đó, bao gồm chi phí tiền điện vận hành đèn báo ATGT</t>
  </si>
  <si>
    <t>Phòng Kinh tế hạ tầng</t>
  </si>
  <si>
    <t>Trung tâm Y tế huyện</t>
  </si>
  <si>
    <t>Chi công tác đối ngoại</t>
  </si>
  <si>
    <t>Ngân hàng chính sách huyện</t>
  </si>
  <si>
    <t>Hỗ trợ Qũy hỗ trợ nông dân theo Quyết định 69/QĐ-UBND ngày 09/01/2020</t>
  </si>
  <si>
    <t>Hội nông dân</t>
  </si>
  <si>
    <t>Trung tân y tế huyện</t>
  </si>
  <si>
    <t>Hỗ trợ chi phí sau thanh tra</t>
  </si>
  <si>
    <t>4.10</t>
  </si>
  <si>
    <t xml:space="preserve"> Dự kiến 70% tăng thu thực hiện CCTL</t>
  </si>
  <si>
    <t>Dự phòng Ngân sách</t>
  </si>
  <si>
    <t>Chi chương trình mục tiêu quốc gia</t>
  </si>
  <si>
    <t>Biểu số          /phân bổ chi tiết CT MTQG</t>
  </si>
  <si>
    <t xml:space="preserve"> Chương trình mục tiêu quốc gia  xây dựng nông thôn mới</t>
  </si>
  <si>
    <t>0390</t>
  </si>
  <si>
    <t xml:space="preserve">Vốn đầu tư </t>
  </si>
  <si>
    <t>Vốn sự nghiệp</t>
  </si>
  <si>
    <t>Chương trình mục tiêu quốc gia giảm nghèo bền vững</t>
  </si>
  <si>
    <t>0010</t>
  </si>
  <si>
    <t xml:space="preserve"> Dự án 4: truyền thông va giảm nghèo về thông tin</t>
  </si>
  <si>
    <t xml:space="preserve"> Dự án 5:  nâng cao năng lực và giám sát, 
đánh giá thực hiện chương trình</t>
  </si>
  <si>
    <t>TỔNG CỘNG</t>
  </si>
  <si>
    <t>SỰ NGHIỆP GIÁO DỤC NĂM 2021</t>
  </si>
  <si>
    <t>Nội dung/Đơn vị</t>
  </si>
  <si>
    <t>Biên chế</t>
  </si>
  <si>
    <t>CHI CÂN ĐỐI</t>
  </si>
  <si>
    <t>GIÁO DỤC MẦM NON</t>
  </si>
  <si>
    <t>Trường Mầm non Hoa Hồng</t>
  </si>
  <si>
    <t>Biên chế quỹ lương và các khoản đóng góp</t>
  </si>
  <si>
    <t>Định mức chi khác (29 người  x 11 triệu /năm)</t>
  </si>
  <si>
    <t xml:space="preserve"> Tăng cường cơ sở vật chất, trang bị thiết bị cần thiết (rèm màn che nắng, khẩu hiệu, bảng biểu, sửa chữa đồ chơi ngoài trời, trang trí khu vui chơi...) cho trường mới xây dựng</t>
  </si>
  <si>
    <t>Kinh phí HĐ TX chi bộ cơ sở theo QĐ số 99-QĐ/TW ngày 30/5/2012 của BCH TƯ</t>
  </si>
  <si>
    <t>Trường Mầm non Họa Mi</t>
  </si>
  <si>
    <t>- Biên chế quỹ lương và các khoản đóng góp</t>
  </si>
  <si>
    <t>- Định mức chi khác (29 người  x 11 triệu /năm)</t>
  </si>
  <si>
    <t>-Kinh phí HĐ TX chi bộ cơ sở theo QĐ số 99-QĐ/TW ngày 30/5/2012 của BCH TƯ</t>
  </si>
  <si>
    <t>Trường Mầm non Sơn Ca</t>
  </si>
  <si>
    <t>- Định mức chi khác  (24 người  x 11 triệu /năm)</t>
  </si>
  <si>
    <t>- Hỗ trợ công tác phí</t>
  </si>
  <si>
    <t>Trường Mầm non Mô Ray</t>
  </si>
  <si>
    <t>- Định mức chi khác (17 người  x 11,5 triệu /năm)</t>
  </si>
  <si>
    <t>Trường Mầm non Sa Nhơn</t>
  </si>
  <si>
    <t>- Định mức chi khác (21 người  x 11,5 triệu /năm)</t>
  </si>
  <si>
    <t>Trường Mầm non xã Rờ Kơi</t>
  </si>
  <si>
    <t>- Định mức chi khác (23 người  x 11 triệu /năm)</t>
  </si>
  <si>
    <t>Trường Mầm non xã Ya Xiêr</t>
  </si>
  <si>
    <t>- Định mức chi khác (27 người  x 11 triệu /năm)</t>
  </si>
  <si>
    <t>Trường Mầm non Ánh Dương xã Sa Bình</t>
  </si>
  <si>
    <t>- Định mức chi khác (15 người  x 11,5 triệu /năm)</t>
  </si>
  <si>
    <t xml:space="preserve">Trường Mầm non Chim Non </t>
  </si>
  <si>
    <t>- Định mức chi khác (16 người  x 11,5 triệu /năm)</t>
  </si>
  <si>
    <t>Trường Mầm non Sao Mai</t>
  </si>
  <si>
    <t>- Định mức chi khác (16 người  x 11,5triệu /năm)</t>
  </si>
  <si>
    <t>Trường Mầm non Hoa Sen xã Sa Nghĩa</t>
  </si>
  <si>
    <t>- Định mức chi khác (19 người  x 11 triệu /năm)</t>
  </si>
  <si>
    <t>Trường Mầm non Vàng Anh</t>
  </si>
  <si>
    <t>- Định mức chi khác (13 người  x 11,5 triệu /năm)</t>
  </si>
  <si>
    <t>Trường Mầm non Tuổi Thơ</t>
  </si>
  <si>
    <t>- Định mức chi khác (18 người  x 11 triệu /năm)</t>
  </si>
  <si>
    <t>Trường Mầm non Bình Minh</t>
  </si>
  <si>
    <t>TIỂU HỌC</t>
  </si>
  <si>
    <t>Trường Tiểu học Lê Hồng Phong</t>
  </si>
  <si>
    <t>- Định mức chi khác (21 người  x 11 triệu /năm)</t>
  </si>
  <si>
    <t>Trường TH Trần Quốc Toản</t>
  </si>
  <si>
    <t>- Định mức chi khác (42 người  x 11 triệu /năm)</t>
  </si>
  <si>
    <t>- Hỗ trợ nhiệm vụ vận chuyển gạo các trường bán trú và công tác phí</t>
  </si>
  <si>
    <t>Trường TH Rờ Kơi</t>
  </si>
  <si>
    <t>- Định mức chi khác (37 người  x 11 triệu /năm)</t>
  </si>
  <si>
    <t>- Kinh phí HĐ TX chi bộ cơ sở theo QĐ số 99-QĐ/TW ngày 30/5/2012 của BCH TƯ</t>
  </si>
  <si>
    <t>Trường PTDTBT TH Lý Thường Kiệt</t>
  </si>
  <si>
    <t>- Định mức chi khác (31 người  x 11  triệu /năm)</t>
  </si>
  <si>
    <t>Trường Tiểu học Nguyễn Bá Ngọc</t>
  </si>
  <si>
    <t>- Định mức chi khác (20 người  x 11 triệu /năm)</t>
  </si>
  <si>
    <t>Trường TH Lê Văn Tám</t>
  </si>
  <si>
    <t>- Định mức chi khác (25 người  x 11 triệu /năm)</t>
  </si>
  <si>
    <t>- Hỗ trợ nhiệm vụ vận chuyển gạo các trường bán trú.</t>
  </si>
  <si>
    <t>Trường Tiểu học Võ Thị Sáu</t>
  </si>
  <si>
    <t>- Định mức chi khác (32 người  x 11 triệu /năm)</t>
  </si>
  <si>
    <t>Trường TH Hùng Vương</t>
  </si>
  <si>
    <t>- Định mức chi khác (38 người  x 11 triệu /năm)</t>
  </si>
  <si>
    <t>- Hỗ trợ tiền điện hội trường phục vụ tập huấn, hội thảo của ngành</t>
  </si>
  <si>
    <t>TRUNG HỌC CƠ SỞ</t>
  </si>
  <si>
    <t>Trường THCS Nguyễn Tất Thành</t>
  </si>
  <si>
    <t>- Định mức chi khác (41 người  x 11 triệu /năm)</t>
  </si>
  <si>
    <t>Trường TH - THCS xã Ya Ly</t>
  </si>
  <si>
    <t>Trường PTDTBT THCS Hai Bà Trưng</t>
  </si>
  <si>
    <t>Trường TH -THCS Chu Văn An</t>
  </si>
  <si>
    <t>- Định mức chi khác (22 người  x 11 triệu /năm)</t>
  </si>
  <si>
    <t>Trường THCS Rờ Kơi</t>
  </si>
  <si>
    <t>Trường TH - THCS xã Sa Sơn</t>
  </si>
  <si>
    <t>- Định mức chi khác (30 người  x 11triệu /năm)</t>
  </si>
  <si>
    <t>Trường PTDTBT THCS Nguyễn Huệ</t>
  </si>
  <si>
    <t>Trường TH - THCS xã Sa Nghĩa</t>
  </si>
  <si>
    <t>- Định mức chi khác (36 người  x 11 triệu /năm)</t>
  </si>
  <si>
    <t>Trường PTDTBT THCS Phan Đình Phùng</t>
  </si>
  <si>
    <t>- Định mức chi khác (39 người  x 11 triệu /năm)</t>
  </si>
  <si>
    <t>Trường TH-THCS xã Ya Tăng</t>
  </si>
  <si>
    <t>Trường TH - THCS xã Ya Xiêr</t>
  </si>
  <si>
    <t>- Định mức chi khác (52 người  x 11 triệu /năm)</t>
  </si>
  <si>
    <t>Trường TH - THCS xã Sa Nhơn</t>
  </si>
  <si>
    <t>Trường TH- THCS Võ Nguyên Giáp</t>
  </si>
  <si>
    <t>Lương và các khoản trích theo lương</t>
  </si>
  <si>
    <t>Trường TH -THCS Nguyễn Trãi</t>
  </si>
  <si>
    <t>- Định mức chi khác (31 người  x 11 triệu /năm)</t>
  </si>
  <si>
    <t>Trường TH -THCS Lê Qúy Đôn</t>
  </si>
  <si>
    <t>- Định mức chi khác (30 người  x 11 triệu /năm*1,5)</t>
  </si>
  <si>
    <t>- Tăng cường cơ sở vật chất, trang bị thiết bị cần thiết (rèm màn che nắng, khẩu hiệu, bảng biểu...) cho trường mới xây dựng</t>
  </si>
  <si>
    <t>Phòng giáo dục và Đào tạo</t>
  </si>
  <si>
    <t>Chi khác để chi công tác chuyên môn mang tính chất chung của ngành</t>
  </si>
  <si>
    <t>- Chi trích lập quỹ khen thưởng toàn ngành, từ cấp huyện khen thưởng trở lên</t>
  </si>
  <si>
    <t>- Chi công tác chuyên môn mang tính chất chung của toàn ngành (hoạt động chuyên môn ngành, VPP, tham quan học hỏi kinh nghiệm...)</t>
  </si>
  <si>
    <t>- Chi công tác phí cho cán bộ được điều động lên công tác tại Phòng giáo dục, đi công tác phục vụ chuyên môn của toàn ngành (07 CBQL, GV, NV)</t>
  </si>
  <si>
    <t>- Chi tổ chức tập huấn, cấp tài khoản, công tác phí cho cán bộ quản lý, giáo viên phổ thông tham gia tập huấn đại trà thực hiện chương trình giáo dục phổ thông năm 2018.</t>
  </si>
  <si>
    <t xml:space="preserve"> - Kinh phí gia hạn, nâng cấp phần mềm MiSa</t>
  </si>
  <si>
    <t xml:space="preserve"> - Mua mới máy photo</t>
  </si>
  <si>
    <t>Hỗ trợ, bồi dưỡng học sinh giỏi, nâng cao kiến thức chuyên môn nghiệp vụ giáo viên (Đề án của huyện)</t>
  </si>
  <si>
    <t>CHI MỤC TIÊU NHIỆM VỤ</t>
  </si>
  <si>
    <t>NGUỒN MỤC TIÊU  TÍNH CÂN ĐỐI</t>
  </si>
  <si>
    <t>Học sinh bán trú và Trường PTDT bán trú theo NĐ 116/2016/NĐ-CP</t>
  </si>
  <si>
    <t>Kinh phí hỗ trợ ăn trưa cho trẻ Mẫu giáo từ 3-5 tuổi theo NĐ 105/NĐ-TTg</t>
  </si>
  <si>
    <t>Hỗ trợ học sinh khuyết tật (Học bổng và đồ dùng dạy học theo Thông tu liên tịch số 42/2013/TTLT-BGDĐT-BLĐTBXH-BTC)</t>
  </si>
  <si>
    <t>NGUỒN NGÂN SÁCH TỈNH BỔ SUNG MỤC TIÊU</t>
  </si>
  <si>
    <t>Hỗ trợ học sinh Rơ Mâm theo QĐ 2123 và QĐ 57/QĐ-TTg</t>
  </si>
  <si>
    <t>Xây dựng giếng khoan trường TH - THCS Lê Qúy Đôn thị trấn Sa Thầy</t>
  </si>
  <si>
    <t>Xây dựng giếng khoan trường Mầm non Hoa Hồng thị trấn Sa Thầy</t>
  </si>
  <si>
    <t>Xây mới cổng tường rào trường Mầm non Sơn Ca xã Hơ Moong</t>
  </si>
  <si>
    <t>NGUỒN TRUNG ƯƠNG BỔ SUNG MỤC TIÊU</t>
  </si>
  <si>
    <t>Hỗ trợ chi phí học tập và miễm giảm học phí</t>
  </si>
  <si>
    <t>- Hỗ trợ chi phí học tập</t>
  </si>
  <si>
    <t>- Kinh phí cấp bù, miễn giảm học phí</t>
  </si>
  <si>
    <t>Tổng số</t>
  </si>
  <si>
    <t>Thị trấn</t>
  </si>
  <si>
    <t>Xã Sa Sơn</t>
  </si>
  <si>
    <t xml:space="preserve"> Sa Bình</t>
  </si>
  <si>
    <t xml:space="preserve"> Sa nghĩa</t>
  </si>
  <si>
    <t>Sa Nhơn</t>
  </si>
  <si>
    <t>Xã Ya ly</t>
  </si>
  <si>
    <t xml:space="preserve"> Ya Xiêr</t>
  </si>
  <si>
    <t xml:space="preserve"> Ya  Tăng</t>
  </si>
  <si>
    <t>Hơ Moong</t>
  </si>
  <si>
    <t xml:space="preserve"> Rờ Kơi</t>
  </si>
  <si>
    <t>Xã Mô rai</t>
  </si>
  <si>
    <t>Tổng Số</t>
  </si>
  <si>
    <t>Bổ sung mục tiêu</t>
  </si>
  <si>
    <t>NS tỉnh</t>
  </si>
  <si>
    <t>TỔNG CHI NGÂN SÁCH CẤP XÃ</t>
  </si>
  <si>
    <t>Chi cân đối</t>
  </si>
  <si>
    <t>Chi sự nghiệp giáo dục-Đào tạo</t>
  </si>
  <si>
    <t>Hỗ trợ tiền ăn cho người hoạt động không chuyên trách ở cấp xã, thôn, tổ dân phố khi tham gia các lớp đào tạo, bồi dưỡng.</t>
  </si>
  <si>
    <t>Chi sự nghiệp Kinh tế</t>
  </si>
  <si>
    <t>KP cấp bù miễn thu thủy lợi phí</t>
  </si>
  <si>
    <t>Diện tích Thủy lợi xã quản lý</t>
  </si>
  <si>
    <t xml:space="preserve"> Định mức</t>
  </si>
  <si>
    <t>Hỗ trợ phát triển đất trồng lúa</t>
  </si>
  <si>
    <t xml:space="preserve"> Chi sự nghiệp môi trường</t>
  </si>
  <si>
    <t xml:space="preserve"> Sự nghiệp văn hóa</t>
  </si>
  <si>
    <t xml:space="preserve"> Sự nghiệp thể thao </t>
  </si>
  <si>
    <t xml:space="preserve"> Chi công tác xã hội khác</t>
  </si>
  <si>
    <t>Bồi dưỡng tiếp công dân, xử lý đơn thu, khiếu nại, tố cáo, kiến nghị, phản ánh tại các trụ sở tiếp công dân theo quy định tại NĐ 64/2014</t>
  </si>
  <si>
    <t>Kinh phí Vận hành công trình thủy lợi làng lung</t>
  </si>
  <si>
    <t xml:space="preserve"> Phụ cấp ủy viên cấp xã</t>
  </si>
  <si>
    <t>KP HĐ TX chi bộ cơ sở theo QĐ số 99-QĐ/TW ngày 30/5/2012 của BCH TƯ</t>
  </si>
  <si>
    <t>Chi hỗ trợ UBMTTQ; Ban công tác MT ở khu dân cư NQ 16_2018</t>
  </si>
  <si>
    <t xml:space="preserve"> Kinh phí hoạt động các chi hội xã ĐBKK</t>
  </si>
  <si>
    <t>Chi công tác DQTV, ANTT</t>
  </si>
  <si>
    <t>Chi an ninh trật tự</t>
  </si>
  <si>
    <t>Chi công tác quốc phòng</t>
  </si>
  <si>
    <t>Kinh phí diễn tập PT 2021</t>
  </si>
  <si>
    <t>Hỗ trợ thôn làng đón tết</t>
  </si>
  <si>
    <t xml:space="preserve"> Chi dự phòng ngân sách</t>
  </si>
  <si>
    <t>Dự toán điều chỉnh</t>
  </si>
  <si>
    <t>BIỂU PHÂN BỔ CHI TIẾT DỰ TOÁN CHI THƯỜNG XUYÊN</t>
  </si>
  <si>
    <t>Dự toán giao tại Quyết định 2601/QĐ-UBND ngày 25/12/2020</t>
  </si>
  <si>
    <t xml:space="preserve">Điều chỉnh </t>
  </si>
  <si>
    <t>Tăng (+)</t>
  </si>
  <si>
    <t>Giảm 
(-)</t>
  </si>
  <si>
    <t>Xây mới 01 nhà vệ sinh tại trường Tiểu học Lê Hồng Phong</t>
  </si>
  <si>
    <t>Chi hoạt động bộ máy (8 người )</t>
  </si>
  <si>
    <t>Dự toán  điều chỉnh</t>
  </si>
  <si>
    <r>
      <t xml:space="preserve">Mua sắm 02 phòng máy vi tính ( Mỗi phòng 30 máy x 02 phòng) </t>
    </r>
    <r>
      <rPr>
        <i/>
        <sz val="11"/>
        <color theme="1"/>
        <rFont val="Times New Roman"/>
        <family val="1"/>
      </rPr>
      <t>(kinh phí đề nghị bố trí đợt này)</t>
    </r>
  </si>
  <si>
    <t>Mẫu biểu số 32/TT342</t>
  </si>
  <si>
    <t>(Kèm theo Phương án  phân bổ số:              /PA-UBND ngày              /       /2018 của UBND huyện Sa Thầy)</t>
  </si>
  <si>
    <t>( Kèm theo Nghị quyết số          /NQ-HĐND ngày       /12/ 2018 của Hội đồng nhân dân huyện Sa Thầy)</t>
  </si>
  <si>
    <t>Dự toán năm 2020</t>
  </si>
  <si>
    <t>UTH năm 2020</t>
  </si>
  <si>
    <t>Dự toán tỉnh giao</t>
  </si>
  <si>
    <t>Dự toán huyện giao</t>
  </si>
  <si>
    <t>Biểu mẫu số 16/NĐ31</t>
  </si>
  <si>
    <t>DỰ TOÁN THU NGÂN SÁCH NHÀ NƯỚC THEO LĨNH VỰC NĂM 2021</t>
  </si>
  <si>
    <t>( Kèm theo Quyết định số: 2789 QĐ-UBND, ngày 20 /12/2018 của UBND huyện Sa Thầy )</t>
  </si>
  <si>
    <t>( Kèm theo Nghị quyết số  41 /NQ-HĐND ngày 20/12/ 2019 của Hội đồng nhân dân huyện Sa Thầy)</t>
  </si>
  <si>
    <t>(Kèm theo Tờ trình số        /TTr-UBND ngày       /      /2018 của UBND huyện Sa Thầy)</t>
  </si>
  <si>
    <t>(Kèm theo Phương án  phân bổ số:              /PA-UBND ngày              / 11 /2019 của UBND huyện Sa Thầy)</t>
  </si>
  <si>
    <t>(Kèm theo Báo cáo số         /BC-UBND ngày         / 11 /2019 của UBND huyện Sa Thầy)</t>
  </si>
  <si>
    <t>(Kèm theo Tờ trình số       /TTr- UBND ngày       /    /2018 của UBND huyện Sa Thầy)</t>
  </si>
  <si>
    <t>(Dùng cho UBND huyện, thành phố  báo cáo Sở Tài chính)</t>
  </si>
  <si>
    <t>Dự toán năm 2021 HĐND huyện giao tại Nghị quyết số /NQ-HĐND</t>
  </si>
  <si>
    <t xml:space="preserve">Dự toán  điều chỉnh </t>
  </si>
  <si>
    <t>Dự toán  tỉnh giao</t>
  </si>
  <si>
    <t>Tổng thu NSNN</t>
  </si>
  <si>
    <t>Thu NSĐP</t>
  </si>
  <si>
    <t>Tỉnh giao</t>
  </si>
  <si>
    <t>HĐND huyện giao</t>
  </si>
  <si>
    <t>Dự toán thu trên địa bàn</t>
  </si>
  <si>
    <t>NS xã</t>
  </si>
  <si>
    <t>TỔNG THU NSNN</t>
  </si>
  <si>
    <t>Thu nội địa</t>
  </si>
  <si>
    <t>1</t>
  </si>
  <si>
    <t>Thu từ khu vực DNNN trung ương quản lý</t>
  </si>
  <si>
    <t>Thuế giá trị gia tăng</t>
  </si>
  <si>
    <t>Tr. Đó: Từ các nhà máy thủy điện</t>
  </si>
  <si>
    <t>Thuế thu nhập doanh nghiệp</t>
  </si>
  <si>
    <t>1.3</t>
  </si>
  <si>
    <t>Thuế tài nguyên</t>
  </si>
  <si>
    <t>Thuế Tài nguyên nước</t>
  </si>
  <si>
    <t>Thuế tài nguyên rừng</t>
  </si>
  <si>
    <t>Thuế tài nguyên khoáng sản</t>
  </si>
  <si>
    <t>Thuế tài nguyên khác</t>
  </si>
  <si>
    <t>1.4</t>
  </si>
  <si>
    <t>Thu hồi vốn, thu khác</t>
  </si>
  <si>
    <t>2</t>
  </si>
  <si>
    <t>Thu từ khu vực DNNN địa phương quản lý</t>
  </si>
  <si>
    <t>2.3</t>
  </si>
  <si>
    <t>Thuế TTĐB</t>
  </si>
  <si>
    <t>2.4</t>
  </si>
  <si>
    <t>3</t>
  </si>
  <si>
    <t>Thu từ KV DN có vốn đầu tư nước ngoài</t>
  </si>
  <si>
    <t>Thuế thu nhập DN</t>
  </si>
  <si>
    <t>3.3</t>
  </si>
  <si>
    <t>3.4</t>
  </si>
  <si>
    <t>Thuê đất</t>
  </si>
  <si>
    <t>3.5</t>
  </si>
  <si>
    <t>Thu khác</t>
  </si>
  <si>
    <t>4</t>
  </si>
  <si>
    <t>Thu từ khu vục kinh tế ngoài quốc doanh</t>
  </si>
  <si>
    <t>Trong đó: Từ các nhà máy sản xuất chế biến TBS</t>
  </si>
  <si>
    <t>Từ các nhà máy thủy điện nhỏ</t>
  </si>
  <si>
    <t>Thuế TTĐB hàng nội địa</t>
  </si>
  <si>
    <t>4.4</t>
  </si>
  <si>
    <t>4.5</t>
  </si>
  <si>
    <t>Thu khác ngoài QD</t>
  </si>
  <si>
    <t>5</t>
  </si>
  <si>
    <t>Lệ phí trước bạ</t>
  </si>
  <si>
    <t>6</t>
  </si>
  <si>
    <t>Thuế sử dụng đất nông nghiệp</t>
  </si>
  <si>
    <t>7</t>
  </si>
  <si>
    <t>Thuế SD đất phi nông nghiệp</t>
  </si>
  <si>
    <t>8</t>
  </si>
  <si>
    <t>Thuế thu nhập cá nhân</t>
  </si>
  <si>
    <t>9</t>
  </si>
  <si>
    <t>Thu thuế bảo vệ môi trường</t>
  </si>
  <si>
    <t xml:space="preserve"> Thu từ hàng hóa nhập khẩu</t>
  </si>
  <si>
    <t xml:space="preserve"> Thu từ hàng hóa  sản xuất trong nước</t>
  </si>
  <si>
    <t>10</t>
  </si>
  <si>
    <t>Thu phí và lệ phí</t>
  </si>
  <si>
    <t>Phí, lệ phí cơ quan Trung ương thu</t>
  </si>
  <si>
    <t>Phí, lệ phí cơ quan địa phương</t>
  </si>
  <si>
    <t>Phí bảo vệ môi trường khai thác khoáng sản</t>
  </si>
  <si>
    <t>Lệ phí môn bài</t>
  </si>
  <si>
    <t>Phí lệ phí khác</t>
  </si>
  <si>
    <t xml:space="preserve">  Tr.đó Phí sử dụng các công trình kết cấu hạ tầng</t>
  </si>
  <si>
    <t>11</t>
  </si>
  <si>
    <t>Tiền sử dụng đất</t>
  </si>
  <si>
    <t xml:space="preserve">Từ dự án khai thác quỹ đất  </t>
  </si>
  <si>
    <t>Từ nguồn sử dụng đất khác</t>
  </si>
  <si>
    <t>12</t>
  </si>
  <si>
    <t>Thu cho thuê mặt đất mặt nước</t>
  </si>
  <si>
    <t>13</t>
  </si>
  <si>
    <t>Thu từ bán tài sản nhà nước</t>
  </si>
  <si>
    <t>Trong đó: - Do trung ương quản lý</t>
  </si>
  <si>
    <t xml:space="preserve">                - Do địa phương quản lý</t>
  </si>
  <si>
    <t>14</t>
  </si>
  <si>
    <t>Thu từ tài sản được xác lập quyền sở hữu của NN</t>
  </si>
  <si>
    <t>Trong đó: - Do trung ương xử lý</t>
  </si>
  <si>
    <t xml:space="preserve">                - Do địa phương xử lý</t>
  </si>
  <si>
    <t>15</t>
  </si>
  <si>
    <t>Thu tiền cho thuê và bán nhà ở thuộc sở hữu nhà nước</t>
  </si>
  <si>
    <t>13.1</t>
  </si>
  <si>
    <t>Phạt vi pham hành chính</t>
  </si>
  <si>
    <t>Phạt VPHC lĩnh vực  an toàn giao thông</t>
  </si>
  <si>
    <t>Do cơ quan trung ương thu</t>
  </si>
  <si>
    <t>Do cơ quan địa phương thu</t>
  </si>
  <si>
    <t>Phạt vi phạm hành chính  lĩnh vực khác</t>
  </si>
  <si>
    <t>16.2</t>
  </si>
  <si>
    <t>Tiền cây đứng cấp lại vốn điều lệ DA rừng bền vững</t>
  </si>
  <si>
    <t>13.2</t>
  </si>
  <si>
    <t>Các khoản thu khác còn lại</t>
  </si>
  <si>
    <t>Thu cấp quyền khai thác khoáng sản</t>
  </si>
  <si>
    <t>Giấy phép do trung ương cấp</t>
  </si>
  <si>
    <t>Giấy phép do UBND cấp tỉnh cấp</t>
  </si>
  <si>
    <t>Thu từ quỹ đất công ích và hoa lợi CS</t>
  </si>
  <si>
    <t>Thu cổ tức và lợi nhuận sau thuế</t>
  </si>
  <si>
    <t>17</t>
  </si>
  <si>
    <t>Thu xổ số kiến thíêt</t>
  </si>
  <si>
    <t>Thu từ dầu thô</t>
  </si>
  <si>
    <t>Thu từ hoạt động xuất, nhập khẩu</t>
  </si>
  <si>
    <t>Thu viện trợ</t>
  </si>
  <si>
    <t>Mẫu biểu số 29/TT342</t>
  </si>
  <si>
    <t>CÂN ĐỐI NGÂN SÁCH ĐỊA PHƯƠNG NĂM 2021</t>
  </si>
  <si>
    <t>(Kèm theo Tờ trình số  15 /TTr-TCKH  ngày 23 /12  /2019 của PTC-KH huyện Sa Thầy)</t>
  </si>
  <si>
    <t>(Kèm theo Phương án  phân bổ số:        /PA-UBND ngày      / 11 /2019 của UBND huyện Sa Thầy)</t>
  </si>
  <si>
    <t>(Kèm theo Báo cáo số       /BC-UBND ngày       / 7  /2019 của UBND huyện Sa Thầy)</t>
  </si>
  <si>
    <t>(Kèm theo Quyết định số           /QĐ-UBND ngày       /        /2019 của UBND huyện Sa Thầy)</t>
  </si>
  <si>
    <t>(Dùng cho các năm trong thời kỳ ổn định ngân sách)</t>
  </si>
  <si>
    <t>Thực hiện năm 2019</t>
  </si>
  <si>
    <t xml:space="preserve">Dự toán năm 2021 giao tại Nghị quyết số /NQ-HĐND </t>
  </si>
  <si>
    <t>UBND tỉnh giao</t>
  </si>
  <si>
    <t xml:space="preserve"> HĐND huyện giao</t>
  </si>
  <si>
    <t>Ước thực hiện</t>
  </si>
  <si>
    <t>TỔNG THU NSNN TRÊN ĐỊA BÀN</t>
  </si>
  <si>
    <t>Thu từ hoạt động xuất khẩu, nhập khẩu</t>
  </si>
  <si>
    <t>Thu viện trợ không hoàn lại</t>
  </si>
  <si>
    <t>TỔNG THU NGÂN SÁCH ĐỊA PHƯƠNG</t>
  </si>
  <si>
    <t>Thu NSĐP được hưởng theo phân cấp</t>
  </si>
  <si>
    <t>Các khoản thu NSĐP hưởng 100%</t>
  </si>
  <si>
    <t>Các khoản thu phân chia NSĐP theo tỷ lệ %</t>
  </si>
  <si>
    <t>Thu bổ sung từ ngân sách cấp trên</t>
  </si>
  <si>
    <t>Thu bổ sung cân đối ngân sách</t>
  </si>
  <si>
    <t>Thu bổ sung có mục tiêu</t>
  </si>
  <si>
    <t>Thu từ quỹ dự trữ tài chính</t>
  </si>
  <si>
    <t>Thu từ NS cấp dưới nộp lên</t>
  </si>
  <si>
    <t>Thu kết dư</t>
  </si>
  <si>
    <t>Thu chuyển nguồn từ năm trước chuyển sang</t>
  </si>
  <si>
    <t>Ghi thu, ghi chi</t>
  </si>
  <si>
    <t>Tổng chi cân đối ngân sách địa phương</t>
  </si>
  <si>
    <t>Chi đầu tư phát triển (1)</t>
  </si>
  <si>
    <t>Chi trả nợ lãi, phí</t>
  </si>
  <si>
    <t>Chi thực hiện các chương trình mục tiêu, nhiệm vụ</t>
  </si>
  <si>
    <t>Chi thực hiện các chế độ, chính sách</t>
  </si>
  <si>
    <t>Chi chuyển nguồn sang năm sau</t>
  </si>
  <si>
    <t>Chi nộp ngân sách cấp trên</t>
  </si>
  <si>
    <t>Sa Thầy, ngày 29 tháng 7 năm 2019</t>
  </si>
  <si>
    <t>TM/ỦY BAN NHÂN DÂN</t>
  </si>
  <si>
    <t>CHỦ TỊCH</t>
  </si>
  <si>
    <t>(Ký tên, đóng dấu)</t>
  </si>
  <si>
    <t>Mẫu biểu số 31/TT342</t>
  </si>
  <si>
    <t>BIỂU TỔNG HỢP DỰ TOÁN THU NSNN NĂM 2021</t>
  </si>
  <si>
    <t>( Kèm theo Quyết định số:                QĐ-UBND, ngày         /12/2019 của UBND huyện Sa Thầy )</t>
  </si>
  <si>
    <t>(Kèm theo Phương án  phân bổ số:              /PA-UBND ngày              / 11/2019 của UBND huyện Sa Thầy)</t>
  </si>
  <si>
    <t>(Kèm theo Báo cáo số       /BC-UBND ngày       /12 /2019 của UBND huyện Sa Thầy)</t>
  </si>
  <si>
    <t xml:space="preserve">Dự toán năm 2021 
</t>
  </si>
  <si>
    <t>So sánh DT 2021/2020 tỉnh giao</t>
  </si>
  <si>
    <t>Huyện giao</t>
  </si>
  <si>
    <t>Số tuyệt đối</t>
  </si>
  <si>
    <t>Tỷ lệ %</t>
  </si>
  <si>
    <t>Thu trên địa bàn</t>
  </si>
  <si>
    <t>Trong đó: Thu do UBND huyện trực tiếp tổ chức thực hiện</t>
  </si>
  <si>
    <t>Trong đó: Thu do UBND huyện  thực hiện</t>
  </si>
  <si>
    <t>11=7-1</t>
  </si>
  <si>
    <t>10=8-2</t>
  </si>
  <si>
    <t>11=7/1</t>
  </si>
  <si>
    <t>12=8/2</t>
  </si>
  <si>
    <t>Tổng cộng thu nội địa</t>
  </si>
  <si>
    <t>Từ các nhà máy sản xuất chế biến TBS</t>
  </si>
  <si>
    <t>Từ dự án khai thác quỹ đất  tỉnh</t>
  </si>
  <si>
    <t>Sa Thầy, ngày 29   tháng  7 năm 2019</t>
  </si>
  <si>
    <t>BIỂU TỔNG HỢP DỰ TOÁN CHI NSĐP NĂM 2022</t>
  </si>
  <si>
    <t xml:space="preserve"> VÀ CHI NGÂN SÁCH XÃ THEO CƠ CẤU CHI NĂM 2022</t>
  </si>
  <si>
    <t>HUYỆN SA THẦY</t>
  </si>
  <si>
    <t>Biểu số 05/UB/2022</t>
  </si>
  <si>
    <t>PHÂN BỔ CHI TIẾT DỰ TOÁN CHI NGÂN SÁCH CÁC ĐƠN VỊ DỰ TOÁN CẤP HUYỆN NĂM 2022</t>
  </si>
  <si>
    <t>Dự toán giao đầu năm tại QĐ số 2116/QĐ-UBND ngày 23/12/2021 của UBND huyện</t>
  </si>
  <si>
    <t>Tiết kiệm 10% chi thường xuyên 2022</t>
  </si>
  <si>
    <t>Dự toán
năm 2022 ngân sách cấp huyện</t>
  </si>
  <si>
    <t>Chênh lệch DT2022 so 2021</t>
  </si>
  <si>
    <t>Biên chế,
 định mức huyện giao</t>
  </si>
  <si>
    <t>Tăng(+)</t>
  </si>
  <si>
    <t>Giảm (-)</t>
  </si>
  <si>
    <t>Biên 
chế huyện giao</t>
  </si>
  <si>
    <t>Chi thường xuyên theo định mức</t>
  </si>
  <si>
    <t>(Biểu số 46 /ĐTC 2022)</t>
  </si>
  <si>
    <t>Đo đạc đất trả về (494,2 ha)</t>
  </si>
  <si>
    <t>Lập kế hoạch sử dụng đất 2022, 2023</t>
  </si>
  <si>
    <t>Phòng TN-MT</t>
  </si>
  <si>
    <t>Thống kê đất đai năm 2021, 2022</t>
  </si>
  <si>
    <t>Lập kế hoạch sử dụng đất  2022</t>
  </si>
  <si>
    <t xml:space="preserve">Lập dự án quy hoạch sử dụng đất thời kỳ 2021-2030 </t>
  </si>
  <si>
    <t>Công tác đo đạc, đăng ký đất đai, cấp Giấy chứng nhận, xây dựng cơ sở dữ liệu đất đai và đăng ký biến động, chỉnh lý hồ sơ địa chính thường xuyên</t>
  </si>
  <si>
    <t>Hỗ trợ đầu tư các công trình  cấp bách</t>
  </si>
  <si>
    <t>Phòng giáo dục và ĐT phân bổ chi tiết</t>
  </si>
  <si>
    <t>Đề  án nâng cao chất lượng HSDTTS</t>
  </si>
  <si>
    <t>Tăng cường cơ sở vật chất, trang thiết bị dạy học và sự nghiệp giáo dục khác…</t>
  </si>
  <si>
    <t>Chi các chính sách giáo dục</t>
  </si>
  <si>
    <t>Thực hiên chính sách theo NĐ 81/2021/NĐCP</t>
  </si>
  <si>
    <t>Chính sách cấp bù học phí,  hỗ trợ chi phí học tập cho học sinh sinh viên theo Nghị định 81/2021/NĐ-CP</t>
  </si>
  <si>
    <t>Trung tâm bồi dưỡng chính trị</t>
  </si>
  <si>
    <t>Lương và các khoản đóng góp theo lương ( 3 BC)</t>
  </si>
  <si>
    <t>Định mức chi thường xuyên 03 người x 18trđ/người/năm</t>
  </si>
  <si>
    <t>Kinh phí cập nhật phần mềm QLCS</t>
  </si>
  <si>
    <t xml:space="preserve">Kinh phí mua bàn ghế học viên; Mua sắm vật tư trang bị khu ký túc xá </t>
  </si>
  <si>
    <t>Lương và các khoản đóng góp theo lương ( 8 BC)</t>
  </si>
  <si>
    <t xml:space="preserve"> Định mức chi thường xuyên 08 người x 18trđ/người/năm</t>
  </si>
  <si>
    <t xml:space="preserve">Kinh phí thực hiện chuyên môn đào tạo </t>
  </si>
  <si>
    <t xml:space="preserve"> NSNN đặt hàng: Dịch vụ thu gom, vận chuyển rác đến điểm tập kết và vận chuyển rác thải đến nhà máy xử lý rác Kon Tum; vận chuyển và xử lý rác tồn đọng tại bãi</t>
  </si>
  <si>
    <t>Chi công tác quản lý giám sát về tài nguyên môi trường các nhà máy chế biến nông sản và khai thác cát đá sỏi trên địa bàn</t>
  </si>
  <si>
    <t>Phòng Tài nguyên&amp; Môi trường</t>
  </si>
  <si>
    <t xml:space="preserve">Cải tạo, trồng mới cây xanh trên địa bàn </t>
  </si>
  <si>
    <t>NSNN đặt hàng: Chăm sóc vườn hoa, cây xanh công viên; Duy trì cây bóng mát, cây hàng rào; phát thảm cỏ, làm cỏ tạp, tưới nước thảm cỏ; trang trí hoa tết</t>
  </si>
  <si>
    <t>NSNN Đặt hàng; Duy trì hệ thống thoát nước đô thị, 
thu gom đất bồi lắng mặt đường đô thị</t>
  </si>
  <si>
    <t>Sự nghiệp môi trường khác</t>
  </si>
  <si>
    <t>Cơ quan chuyên môn phân bổ khi phát sinh nhiệm vụ</t>
  </si>
  <si>
    <t>Sửa xe ô tô chuyên dùng</t>
  </si>
  <si>
    <t>Phòng LĐTB&amp; XH</t>
  </si>
  <si>
    <t>Trung tâm dịch vụ nông nghiệp</t>
  </si>
  <si>
    <t>Chi thường xuyên hoạt động bộ máy (06 biên chế)</t>
  </si>
  <si>
    <t>Định mức chi thường xuyên 06 người x 18 trđ/năm</t>
  </si>
  <si>
    <t xml:space="preserve">Thực hiện mô hình khuyến nông, khuyến lâm, khuyến ngư: </t>
  </si>
  <si>
    <t xml:space="preserve"> Thực hiện Đề án 07-ĐA/HU ngày 25/10/2021 cải tạo vườn tạp trên địa bàn huyện giai đoạn 2021-2025 và các đề án khác </t>
  </si>
  <si>
    <t>Duy tu, bảo dưỡng công trình giao thông, thủy lợi thuộc huyện quản lý</t>
  </si>
  <si>
    <t>Sửa chữa mặt đường và vĩa hè đường Trần Hưng Đạo ( Đoạn từ Nguyễn Tất Thành đến làng Kà Đừ) thị trấn Sa Thầy</t>
  </si>
  <si>
    <t>Sửa chữa mặt đường vàhệ thống thoát nước,  vĩa hè đường quy hoạch số 1 ( Đoạn từ Đường Tô Vĩnh Diện đến Đường Trường Chinh) thị trấn Sa Thầy</t>
  </si>
  <si>
    <t>Sửa chữa mặt đường vàhệ thống thoát nước,  vĩa hè đường Bùi Thị Xuân ( Đoạn từ Đường Tô Vĩnh Diện đến Đường Trường Chinh) thị trấn Sa Thầy</t>
  </si>
  <si>
    <t>Sửa chữa mặt đường từ trung tâm xã Sa Sơn đi làng Bađgoc</t>
  </si>
  <si>
    <t xml:space="preserve"> Khắp phục, sửa chữa cầu treo Kram xã Rờ Kơi; 
Cầu treo làng Kênh; Cầu treo đội 3 thôn Ia Tri; Cầu treo làng Xộp; Cầu treo đi khi SX làng rẽ xã Mô Rai</t>
  </si>
  <si>
    <t>Duy tu, bảo dưỡng hệ thống điện chiếu sáng một số tuyến đường trên địa bàn huyện Sa Thầy: Đường Lê Duẩn ( Đoạn từ đường Trần Hưng Đạo đến Đường Phan Bội Châu); đường Trần Phú ( Đoạn từ đường Lê Duẩn đến đường Trần Hưng Đạo); đường Quy hoạch số 1 ( Đoạn từ đường Tô Vĩnh Diện đến đường Hoàng Hoa Thám); Đường Hàm Nghi ( Đoạn từ đường Phan Bội châu đến hội trường thôn 4)</t>
  </si>
  <si>
    <t>Duy tu, bảo dưỡng hệ thống đèn chiếu sáng, trang trí đường Nguyễn trãi</t>
  </si>
  <si>
    <t>Kinh phí hoạt động của BCĐ công tác QLBV&amp;PTR và Tổ công tác liên ngành QLBVR</t>
  </si>
  <si>
    <t>Chi phí ban đầu cho khai thác hệ thống cấp nước sinh hoạt</t>
  </si>
  <si>
    <t>Xây dựng đô thị tăng trưởng xanh</t>
  </si>
  <si>
    <t xml:space="preserve"> Định mức chi thường xuyên ( 09 người* 18 trđ/người/năm)</t>
  </si>
  <si>
    <t>Kinh phí bầu cử</t>
  </si>
  <si>
    <t xml:space="preserve">Chi thường xuyên  08 người *18 trđ/người/năm) </t>
  </si>
  <si>
    <t>Chi hoạt động chuyên môn sự nghiệp ( Bao gồm, trạm phát lại truyền hình; trạm phát lại xã vùng lõm;  tăng thời lượng phát sóng, phát thanh truyền hình tiếng dân tộc)</t>
  </si>
  <si>
    <t xml:space="preserve">Thực hiện chương trình hành động quốc gia vì trẻ em </t>
  </si>
  <si>
    <t>Chính sách Bảo trợ  xã hội theo Nghị định 20/CP,  hỗ trợ đối tượng chính sách</t>
  </si>
  <si>
    <t xml:space="preserve">Hỗ trợ mai táng phí cho đối tượng người có công </t>
  </si>
  <si>
    <t>Kinh phí thực hiện chính sách đặc thù ĐP trợ giúp xã hội đối tượng BTXH theo NQ-HĐND tỉnh triển khai NĐ 20/2021/NĐ-CP</t>
  </si>
  <si>
    <t>Qũy tiền lương</t>
  </si>
  <si>
    <t xml:space="preserve">Tiền lương biên chế 37 biên chế </t>
  </si>
  <si>
    <t xml:space="preserve"> Phụ cấp cấp ủy viên </t>
  </si>
  <si>
    <t>Phụ cấp trách nhiệm NĐ 72/2020/NĐCP</t>
  </si>
  <si>
    <t>Phụ cấp báo cáo viên ( 18 người*0,2)</t>
  </si>
  <si>
    <t>Định mức chi thường xuyên 33 BC *16trđ/năm *1,3</t>
  </si>
  <si>
    <t>Phụ cấp cộng tác viên dư luận xã hội</t>
  </si>
  <si>
    <t>Chi xăng xe; bảo hiểm, phí, lệ phí xe và sủa chữa xe ô tô
 phục vụ công tác</t>
  </si>
  <si>
    <t>Chi công tác đột xuất của huyện ủy, tiếp các đoàn về làm việc với huyện theo duy định tại Quyết định số 22/2019 QĐ-UBND ngày 09/12/2019; thăm, chúc tết, dự, chúc mừng kỷ niệm ngày truyền thống các đồn biên phòng, các xã...</t>
  </si>
  <si>
    <t>Chi ban chỉ đạo của BTV huyện ủy (Thực hiện cải cách tư pháp;  Ban tôn giáo; BCĐ quy chế dân chủ; BCĐ covid_19)</t>
  </si>
  <si>
    <t>Hoạt động Ban chỉ đạo 35 (Không gian mạng)</t>
  </si>
  <si>
    <t>Kinh phí mua sắm, duy tu, bảo dưỡng tài sản;lắp đặt,
 duy trì hệ thồng mạng nội bộ</t>
  </si>
  <si>
    <t xml:space="preserve">KP nâng cấp mạng LAN nội bộ (năm 2022: mở rộng, bảo dưỡng hệ thống </t>
  </si>
  <si>
    <t xml:space="preserve">Kinh phí khoan giếng </t>
  </si>
  <si>
    <t>Kinh phí chỉnh lý tài liệu Các cơ quan chuyên trách giúp việc huyện ủy</t>
  </si>
  <si>
    <t>Kinh phí sửa chữa hệ thống cửa nhà làm việc số 1; sửa chữa hệ thống tường, mái bị dột ,thấm nước các nhà khu nhà làm việc Huyện ủy</t>
  </si>
  <si>
    <t>Chi thường xuyên bộ máy  (3 người )</t>
  </si>
  <si>
    <t xml:space="preserve"> Định mức chi thường xuyên 03 người 18trđ/năm x1,3</t>
  </si>
  <si>
    <t>Chế độ thù lao đối với  người đã nghĩ hưu giữ chức danh lãnh đạo chuyên trách Hội người Cao tuổi và hỗ trợ kinh phí hoạt động hội</t>
  </si>
  <si>
    <t xml:space="preserve"> Kinh phí sơ kết giữa nhiệm kỳ</t>
  </si>
  <si>
    <t>Kinh phí tổ chức khảo sát lấy ý kiến hài lòng của người dân trong xây dựng nông thôn mới</t>
  </si>
  <si>
    <t>Kinh phí hỗ trợ mô hình nuôi heo sọc dưa (05 hộ x 20tr/hộ)</t>
  </si>
  <si>
    <t>Đại hội cháu ngoan Bác Hồ</t>
  </si>
  <si>
    <t xml:space="preserve">Chi  hoạt động phong trào Đoàn </t>
  </si>
  <si>
    <t>Chế độ thù lao đối với  người đã nghĩ hưu giữ chức danh lãnh đạo chuyên trách Hội cựu thanh niên xung phong và hỗ trợ kinh phí hoạt động hội</t>
  </si>
  <si>
    <t>Đại hội đoàn thanh niên CS HCM nhiệm kỳ 2022-2027</t>
  </si>
  <si>
    <t>Kinh phí Tổ chức tuyên truyền pháp luật tại các thôn, làng, theo đề án 021133, tại Làng Kà Đừ, làng Chốt, Làng Kleng (Thị trấn); làng Răk xã Ya Xia, Làng Tum xã Ya Ly</t>
  </si>
  <si>
    <t>Kinh phí Tổ chức thăm hỏi các đồn biên phòng theo quy chế ký kết phối hợp nhân ngay biên phòng toàn dân (ngày 03/3)</t>
  </si>
  <si>
    <t>Kinh phí Tổ chức Hội thi và đưa Hội viên nông dân tham gia Hội thi "Nhà nông đua tài" toàn tỉnh năm 2022 và tham gia hội thi "Nhà nông đua tài" toàn quốc lần thứ V</t>
  </si>
  <si>
    <t>Kinh phí tổ chức hội thi Nhà nông đua tài cấp huyện
 năm 2022</t>
  </si>
  <si>
    <t>Mua sắm TSCĐ (01 bộ máy vi tính )</t>
  </si>
  <si>
    <t>Kinh phí xây dựng mô hình chăn nuôi heo sọc dưa</t>
  </si>
  <si>
    <t>Tổng kết 5 năm phong trào CCB giúp nhau xóa đói giảm nghèo làm kinh tế giỏi</t>
  </si>
  <si>
    <t>Chế độ thù lao đối với  người đã nghĩ hưu giữ chức danh lãnh đạo chuyên trách Hội nạn nhân chất độc Da cam và hỗ trợ kinh phí hoạt động hội</t>
  </si>
  <si>
    <t>Kinh phí đại hội Hội Cựu chiến binh nhiệm kỳ 2022-2027</t>
  </si>
  <si>
    <t xml:space="preserve"> Chi theo định mức biên chế 01 người x18 trđ/năm </t>
  </si>
  <si>
    <t>Chi hoạt động công tác hội</t>
  </si>
  <si>
    <t>Dđại hội nhiệm kỳ 2021-2025</t>
  </si>
  <si>
    <t>Chi theo định mức biên chế 23 người x16trđ/năm x1,3</t>
  </si>
  <si>
    <t>Kinh phí công vụ phục vụ chung khối Ủy ban</t>
  </si>
  <si>
    <t>KP thăm và chúc tết Nguyên Đán các đồn biên phòng, các đơn vị, xã  tuyến biên giới…theo Nghị quyết 73/2020/NQ-HĐND ngày 14/12/2020</t>
  </si>
  <si>
    <t>Mua sắm trang bị hội trường 19/5; sủa chữa máy điều hòa hội trường 19/5 huyện</t>
  </si>
  <si>
    <t>Sửa chữa một số vị trí hàng rào trụ sở Ủy ban nhân dân huyện và các hạng mục phụ trợ trong khuôn viên Hội trường 19-5</t>
  </si>
  <si>
    <t>Sử dụng phần mềm QLTS, Kế toán</t>
  </si>
  <si>
    <t>Chi theo định mức biên chế 06 người x18trđ/năm *1,3</t>
  </si>
  <si>
    <t>Chi hoạt động bộ máy  (5 người )</t>
  </si>
  <si>
    <t>Chi theo định mức biên chế 05 người x18trđ/năm *1,3</t>
  </si>
  <si>
    <t>Chi mua trang phục ngành ( 05 biên chế)</t>
  </si>
  <si>
    <t>Chi mua sắm tài sản (01 bộ máy vi tính)</t>
  </si>
  <si>
    <t>Phần mện kế toán</t>
  </si>
  <si>
    <t>Kinh phí  tuyên truyền, phổ biến, giáo dục pháp luật về quản lý, hoạt động phát triển sự nghiệp ngành, lĩnh vực: Quảng bá, PT nguồn dược liệu gắn với Du lịch trên địa bàn theo Nghị quyết HĐND huyện.</t>
  </si>
  <si>
    <t>Chi hoạt động bộ máy  (06 người )</t>
  </si>
  <si>
    <t>Tập huấn NĐ 30/2020</t>
  </si>
  <si>
    <t>Trang bị phần mền quản lý  bộ máy hành chính huyện</t>
  </si>
  <si>
    <t>Phòng Tài chính- kế hoạch</t>
  </si>
  <si>
    <t>Chi theo định mức biên chế 08 người x18trđ/năm *1,3</t>
  </si>
  <si>
    <t>Cài đặt phần mệ kế toán</t>
  </si>
  <si>
    <t xml:space="preserve"> Chi thực hiện công tác chuyên môn ngành, lĩnh vực kế hoạch PT KTXH, đầu tư công, ngân sách hàng năm</t>
  </si>
  <si>
    <t>Kinh phí chi trả thuê kênh truyền hàng tháng ( CV 2035/2018/STC-QLNS)</t>
  </si>
  <si>
    <t>Hỗ trợ KP hoạt động của Hội Khuyến học</t>
  </si>
  <si>
    <t>Hỗ trợ hội  cựu giáo chức</t>
  </si>
  <si>
    <t>Chế độ thù lao chức danh đứng đầu hội 57,22trđ; hỗ trợ cơ sở vật chất ban đầu 25trđ ( Bàn ghế làm việc, máy vi tính, tủ đụng tài liệu); Hỗ trợ đại hội Hội cựu giáo chức 50 trđ; hoạt động hội nhiệm vụ được giao 10trđ</t>
  </si>
  <si>
    <t xml:space="preserve"> Chi theo định mức biên chế 06 người x18trđ/năm *1,3</t>
  </si>
  <si>
    <t xml:space="preserve"> Chi hoạt động bộ máy  (04 người )</t>
  </si>
  <si>
    <t xml:space="preserve"> Kinh phí đoàn kiểm tra theo QĐ 2499 và BCĐ theo QĐ 389/2015</t>
  </si>
  <si>
    <t>Mua sắm máy vi tính; máy in</t>
  </si>
  <si>
    <t>Phòng Ytế</t>
  </si>
  <si>
    <t>Chi kiểm tra hành nghề Y Dược tư nhân</t>
  </si>
  <si>
    <t>Chi tập huấn các hộ kinh doanh</t>
  </si>
  <si>
    <t>Thực hiện đề án tuyên truyền, phổ biến, giáo dục PL và vận động đồng bào DTTS giai đoạn 2021-2025</t>
  </si>
  <si>
    <t>Kinh phí thực hiện Đề án 500 trí thức trẻ tình nguyện 
( Phòng nội vụ)</t>
  </si>
  <si>
    <t>r</t>
  </si>
  <si>
    <t xml:space="preserve"> Chi công tác huấn luyện lực lượng Dân quân tự vệ và DBĐV</t>
  </si>
  <si>
    <t xml:space="preserve"> KP thực hiện chi trả  chế độ theo NĐ 72/2020/NĐ-CP</t>
  </si>
  <si>
    <t xml:space="preserve"> Hỗ công tác quân sự địa phương, gồm: Hội nghị, tập huấn, xăng xe, VPP, thông tin liên lạc, Khám tuyển nghĩa vụ, các BCĐ và hội đồng GDQP  và hoạt động khác</t>
  </si>
  <si>
    <t xml:space="preserve"> Chi hỗ trợ công tác giữ gìn ANTT ATXH trên địa bàn; ANBG (Bao gồm tà đạo hà mòn) ; Hỗ trợ kinh phí tập huấn công tác phòng cháy chữa cháy</t>
  </si>
  <si>
    <t xml:space="preserve"> Chi công tác đối ngoại, an ninh biên giới</t>
  </si>
  <si>
    <t xml:space="preserve"> Chi công tác xây dựng mạng lưới cung cấp thông tin về an ninh chính trị trên địa bàn; vấn đề nổi cộm các điểm nóng về an ninh quốc phòng, dân tộc tôn giáo</t>
  </si>
  <si>
    <t>Chi hỗ trợ công tác tuyên truyền vận động nhiệm vụ của ngành</t>
  </si>
  <si>
    <t xml:space="preserve">Hỗ trợ công tác chống thất thu thuế </t>
  </si>
  <si>
    <t xml:space="preserve">Chi hỗ trợ công tác dân số- KHHGD </t>
  </si>
  <si>
    <t>Chi trích lập quỹ khen thưởng</t>
  </si>
  <si>
    <t>Chi ủy thác vay đối với người nghèo và các đối tượng chính sách khác</t>
  </si>
  <si>
    <t>Hỗ trợ bệnh nhân nghèo điều trị nội trú trong dịp tết nguyên đán</t>
  </si>
  <si>
    <t>Hỗ trợ học sinh dân tộc thiểu số tham gia kỳ thi tốt nghiệp THPTQG ( Trường PTDTND, THPT quang trung, TTGDTX-GDNN)</t>
  </si>
  <si>
    <t>Biểu 08/PBNSX 2022</t>
  </si>
  <si>
    <t>PHÂN BỔ DỰ TOÁN CHI  NGÂN SÁCH CẤP XÃ NĂM 2022</t>
  </si>
  <si>
    <t>Dự toán
lương 1,49trđ</t>
  </si>
  <si>
    <t>Chi ĐTPT từ nguồn thu sử dụng đất</t>
  </si>
  <si>
    <t>II.a</t>
  </si>
  <si>
    <t>Chi thường xuyên cân đối NS</t>
  </si>
  <si>
    <t>Kp giao thông nông thôn, thủy lợi (6%)</t>
  </si>
  <si>
    <t xml:space="preserve"> Giao thông nông thôn</t>
  </si>
  <si>
    <t xml:space="preserve"> Thủy lợi</t>
  </si>
  <si>
    <t>Kinh phí phòng chống dịch bệnh động vật trên cạn gồm: ( vệ sinh khử trùng tiêu độc và đăng ký, theo dõi, quản lý chó nuôi, điều trị dự phòng bệnh dại)</t>
  </si>
  <si>
    <t>Đồ án Quy hoạch chung các xã  giai đoạn 2021-2030</t>
  </si>
  <si>
    <t>Công tác quản lý, bảo vệ môi trường 6%</t>
  </si>
  <si>
    <t>Chi văn hóa thể thao du lịch- truyền thông 10%</t>
  </si>
  <si>
    <t xml:space="preserve"> Trong đó: Hỗ trợ kinh phí trang bị các bộ
 cồng chiêng, trống cho các thôn, làng đồng bào dân tộc thiểu số không có cồng chiêng trên địa bàn tỉnh</t>
  </si>
  <si>
    <t xml:space="preserve"> Chi hoạt động phát thanh</t>
  </si>
  <si>
    <t xml:space="preserve"> Trong đó:  Lương hưu trí</t>
  </si>
  <si>
    <t xml:space="preserve"> Hỗ trợ KP chúc thọ mừng thọ (NQ 24/2019/HĐND); hoạt động theo Luật người cao tuổi</t>
  </si>
  <si>
    <t>Tr. đó gồm: - SHP đại biểu HĐ và BHYT</t>
  </si>
  <si>
    <t xml:space="preserve">  Phụ cấp CB không chuyên trách theo NĐ 34/2019</t>
  </si>
  <si>
    <t xml:space="preserve"> + Số lượng</t>
  </si>
  <si>
    <t xml:space="preserve"> KP Hoạt động của các chức danh thôn, tổ dân phố ( Không bao gồm: bí thư chi bộ thôn, trưởng thôn, tố trưởng dân phố và công an viên ở thôn, tổ dân phố); BHYT cán bộ thôn, làng</t>
  </si>
  <si>
    <t xml:space="preserve">Bảo hiểm y tế cán bộ KCT thôn làng </t>
  </si>
  <si>
    <t>Chi công tác quản lý điểm cao 1049 xã Rờ Kơi ; 1051 xã hơ moong</t>
  </si>
  <si>
    <t>Chi mua sắm, sửa chữa thường xuyên trụ sở, phương tiện làm việc và tài sản cố định khác</t>
  </si>
  <si>
    <t>Chi Giám sát  đầu tư cộng đồng; Tổ hoà giải; Thanh tra nhân dân</t>
  </si>
  <si>
    <t>Biên soạn lịch sử Đảng (Chỉ thị số 20-CT/TW ngày 18-01-2018 của Ban Bí Thư</t>
  </si>
  <si>
    <t>Đại hội Đoàn thanh niên nhiệm kỳ 2022-2027</t>
  </si>
  <si>
    <t xml:space="preserve"> KP bảo vệ ANTTXH địa bàn; An ninh biên giới; Tà đạo Hà mòn</t>
  </si>
  <si>
    <t>Phụ cấp công an xã bán chuyên trách theo Nghị định 42/CP và Nghị quyết HĐND tỉnh</t>
  </si>
  <si>
    <t>Phụ cấp thường xuyên cho đội trưởng, đội phó dân phòng theo Nghị định 136/2020/CP</t>
  </si>
  <si>
    <t xml:space="preserve">Trong đó: Lương và các khoản đóng góp theo lương </t>
  </si>
  <si>
    <t>Phụ cấp thôn đội trưởng</t>
  </si>
  <si>
    <t>Phụ cấp theo NĐ 72/2020</t>
  </si>
  <si>
    <t>Phụ cấp lực lượng dân quân thường trực</t>
  </si>
  <si>
    <t>KP huấn luyện dân quân TX</t>
  </si>
  <si>
    <t xml:space="preserve">Các khoản chi khác </t>
  </si>
  <si>
    <t xml:space="preserve">Tiết kiệm 10% chi thường xuyên </t>
  </si>
  <si>
    <t>Dự toán năm 2021</t>
  </si>
  <si>
    <t>UTH năm 2021</t>
  </si>
  <si>
    <t>Chi hoạt động của cơ quan quản lý nhà nước, đảng, đoàn thể</t>
  </si>
  <si>
    <t>Sự nghiệp văn hoá thông tin, thể thao, du lịch và truyền thông</t>
  </si>
  <si>
    <t>Chi từ nguồn bổ sung có mục tiêu, mục tiêu quốc gia</t>
  </si>
  <si>
    <t>UBND  tỉnh giao</t>
  </si>
  <si>
    <t>;-</t>
  </si>
  <si>
    <t>Chi đầu tư Công trình cấp bách</t>
  </si>
  <si>
    <t>Kinh phí thực hiện Đề án Cồng chiêng</t>
  </si>
  <si>
    <t>Tiền điện phục vụ khu cách ly</t>
  </si>
  <si>
    <t>Kinh phí thực hiện sửa chữa nâng cấp các Nghĩa trang liệt sĩ và nhà bia tưởng niệm các Liệt sĩ trên địa bàn huyện: Bia tưởng niệm xã Ya Xiêr: 75 triệu; bia tưởng niệm xã Ya Tăng: 150 triệu; bia tưởng niệm xã Mô Rai: 135 triệu.</t>
  </si>
  <si>
    <t>Kinh phí tổ chức hội thi cán bộ giỏi</t>
  </si>
  <si>
    <t>Tổ chức mở lớp tập huấn triển khai thực hiện cuộc vận động " Làm thay đổi nếp nghĩ, cách làm của đồng bào dân tộc thiểu số, làm cho đồng bào DTTS vươn lên thoát nghèo bền vững "43 thôn làng+22 chủ tịch;PCT UBMTTQVN xã, thị trấn"</t>
  </si>
  <si>
    <t>Khảo sát đánh giá sự hài lòng của người dân về xây dựng nông thôn mới, nông thôn mới nâng cao</t>
  </si>
  <si>
    <t>Cuộc vận động người dân ưu tiên dùng hàng Việt Nam</t>
  </si>
  <si>
    <t>Kinh phí diễn tập CĐPT xã Sa Nhơn</t>
  </si>
  <si>
    <t>Kinh phí phát sinh xã Sa Bình đạt chuẩn nông thôn mới</t>
  </si>
  <si>
    <t>Kinh phí đại hội chi bộ trực thuộc đảng ủy cơ sở
 nhiệm kỳ 2022-2025</t>
  </si>
  <si>
    <t>tổng</t>
  </si>
  <si>
    <t>Bổ sung kinh phí chuyển vùng xã Sa Bình đạt chuẩn NTM</t>
  </si>
  <si>
    <t>Giảm phụ cấp thu hút</t>
  </si>
  <si>
    <t>Giảm phụ cấp lâu năm</t>
  </si>
  <si>
    <t>Phụ cấp kiêm nhiệm chức danh lãnh đạo</t>
  </si>
  <si>
    <t>Kinh phí chi thường xuyên cán bộ biệt phái</t>
  </si>
  <si>
    <t>Kinh phí trồng thông ba lá tại điểm cao 1015 và 1049 huyện Sa Thầy</t>
  </si>
  <si>
    <t>Tiết kiệm 10% chi thường xuyên tạo nguồn cải cách tiền lương</t>
  </si>
  <si>
    <t xml:space="preserve">Kinh phí mua vắc xin phòng chống bệnh viêm da nổi cục ở Trâu, bò </t>
  </si>
  <si>
    <t>Dự toán giao tại QĐ số 2116/QĐ-UBND ngày 23/12/21</t>
  </si>
  <si>
    <t>Dự toán giao tại QĐ số 2116/QĐ-UBND ngày 23/12/2021</t>
  </si>
  <si>
    <t xml:space="preserve">Dự toán được sử dụng sau điều chỉnh </t>
  </si>
  <si>
    <t>Chi sự nghiệp Giáo dục - Đào tạo</t>
  </si>
  <si>
    <t>Chi sự nghiệp nông lâm nghiệp</t>
  </si>
  <si>
    <t>Trung tâm Dịch vụ nông nghiệp)</t>
  </si>
  <si>
    <t xml:space="preserve"> Thực hiện Đề án 06-ĐA/HU 25/10/2021 nuôi trồng thủy sản; </t>
  </si>
  <si>
    <t>Dự kiến phát sinh Cơ quan chuyên môn tham mưu phân bổ  chi tiết khi có chủ trương thực hiện</t>
  </si>
  <si>
    <t>Sự nghiệp Văn hoá thông tin</t>
  </si>
  <si>
    <t>Trung tâm Văn hoá - Thể thao - Du lịch và Truyền thông</t>
  </si>
  <si>
    <t>Phòng Văn hóa - Thông tin</t>
  </si>
  <si>
    <t>Kinh phí  hoạt động thường xuyên</t>
  </si>
  <si>
    <t>Chi hoạt động bộ máy  (7 người)</t>
  </si>
  <si>
    <t>Chi theo định mức biên chế 07 người x18trđ/năm *1,3</t>
  </si>
  <si>
    <t>Kinh phí chuẩn bị gian hàng tham gia tại diễn đàn "Du lịch Kon Tum - Tiềm năng và triển vọng" năm 2022</t>
  </si>
  <si>
    <t>Chi hoạt động bộ máy (06 người )</t>
  </si>
  <si>
    <t>Phòng Lao động Thương binh &amp; Xã hội</t>
  </si>
  <si>
    <t>Kinh phí 50 năm chiến thắng Đăk Tô - Tân Cảnh</t>
  </si>
  <si>
    <t>(Trường THPT Quang trung 13 trđ; trường PTDT Nội trú 15 trđ; Trung tâm GDNN-GDTX 02 trđ); điều chỉnh giảm 11 triệu đồng từ trường PTDT Nội trú sang trường Quang Trung</t>
  </si>
  <si>
    <t>Lắp đặt camera tại Bộ phận tiếp nhận và trả kết quả huyện</t>
  </si>
  <si>
    <t>Chi hoạt động bộ máy  (20 BC+03 HĐ 68)</t>
  </si>
</sst>
</file>

<file path=xl/styles.xml><?xml version="1.0" encoding="utf-8"?>
<styleSheet xmlns="http://schemas.openxmlformats.org/spreadsheetml/2006/main" xmlns:mc="http://schemas.openxmlformats.org/markup-compatibility/2006" xmlns:x14ac="http://schemas.microsoft.com/office/spreadsheetml/2009/9/ac" mc:Ignorable="x14ac">
  <numFmts count="155">
    <numFmt numFmtId="5" formatCode="&quot;$&quot;#,##0_);\(&quot;$&quot;#,##0\)"/>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 _₫_-;\-* #,##0\ _₫_-;_-* &quot;-&quot;\ _₫_-;_-@_-"/>
    <numFmt numFmtId="165" formatCode="_-* #,##0.00\ _₫_-;\-* #,##0.00\ _₫_-;_-* &quot;-&quot;??\ _₫_-;_-@_-"/>
    <numFmt numFmtId="166" formatCode="_(* #,##0_);_(* \(#,##0\);_(* &quot;-&quot;??_);_(@_)"/>
    <numFmt numFmtId="167" formatCode="_-* #,##0\ _₫_-;\-* #,##0\ _₫_-;_-* &quot;-&quot;??\ _₫_-;_-@_-"/>
    <numFmt numFmtId="168" formatCode="_(* #,##0.00_);_(* \(#,##0.00\);_(* \-??_);_(@_)"/>
    <numFmt numFmtId="169" formatCode="_(* #,##0.0_);_(* \(#,##0.0\);_(* &quot;-&quot;??_);_(@_)"/>
    <numFmt numFmtId="170" formatCode="_(* #,##0.000_);_(* \(#,##0.000\);_(* &quot;-&quot;??_);_(@_)"/>
    <numFmt numFmtId="171" formatCode="_-* #,##0.0\ _₫_-;\-* #,##0.0\ _₫_-;_-* &quot;-&quot;??\ _₫_-;_-@_-"/>
    <numFmt numFmtId="172" formatCode="_-* #,##0\ _€_-;\-* #,##0\ _€_-;_-* &quot;-&quot;??\ _€_-;_-@_-"/>
    <numFmt numFmtId="173" formatCode="_-* #,##0.00\ _€_-;\-* #,##0.00\ _€_-;_-* &quot;-&quot;??\ _€_-;_-@_-"/>
    <numFmt numFmtId="174" formatCode="&quot;\&quot;#,##0;[Red]&quot;\&quot;\-#,##0"/>
    <numFmt numFmtId="175" formatCode="_(* #,##0.000_);_(* \(#,##0.000\);_(* &quot;-&quot;???_);_(@_)"/>
    <numFmt numFmtId="176" formatCode="_-* #,##0.000\ _€_-;\-* #,##0.000\ _€_-;_-* &quot;-&quot;??\ _€_-;_-@_-"/>
    <numFmt numFmtId="177" formatCode="_(* #,##0.0000_);_(* \(#,##0.0000\);_(* &quot;-&quot;??_);_(@_)"/>
    <numFmt numFmtId="178" formatCode="_(* #,##0.00000_);_(* \(#,##0.00000\);_(* &quot;-&quot;??_);_(@_)"/>
    <numFmt numFmtId="179" formatCode="_(* #,##0.000000_);_(* \(#,##0.000000\);_(* &quot;-&quot;??_);_(@_)"/>
    <numFmt numFmtId="180" formatCode="0.0000"/>
    <numFmt numFmtId="181" formatCode="_(* #,##0_);_(* \(#,##0\);_(* \-??_);_(@_)"/>
    <numFmt numFmtId="182" formatCode="0.0%"/>
    <numFmt numFmtId="183" formatCode="_-* #,##0.000_-;\-* #,##0.000_-;_-* &quot;-&quot;??_-;_-@_-"/>
    <numFmt numFmtId="184" formatCode="_-&quot;€&quot;* #,##0_-;\-&quot;€&quot;* #,##0_-;_-&quot;€&quot;* &quot;-&quot;_-;_-@_-"/>
    <numFmt numFmtId="185" formatCode="&quot;\&quot;#,##0.00;[Red]&quot;\&quot;&quot;\&quot;&quot;\&quot;&quot;\&quot;&quot;\&quot;&quot;\&quot;\-#,##0.00"/>
    <numFmt numFmtId="186" formatCode="&quot;€&quot;###,0&quot;.&quot;00_);\(&quot;€&quot;###,0&quot;.&quot;00\)"/>
    <numFmt numFmtId="187" formatCode="&quot;\&quot;#,##0;[Red]&quot;\&quot;&quot;\&quot;\-#,##0"/>
    <numFmt numFmtId="188" formatCode="_-&quot;£&quot;* #,##0_-;\-&quot;£&quot;* #,##0_-;_-&quot;£&quot;* &quot;-&quot;_-;_-@_-"/>
    <numFmt numFmtId="189" formatCode="_-&quot;£&quot;* #,##0.00_-;\-&quot;£&quot;* #,##0.00_-;_-&quot;£&quot;* &quot;-&quot;??_-;_-@_-"/>
    <numFmt numFmtId="190" formatCode="#.##00"/>
    <numFmt numFmtId="191" formatCode="_-* #,##0_-;\-* #,##0_-;_-* &quot;-&quot;_-;_-@_-"/>
    <numFmt numFmtId="192" formatCode="_-* #,##0.00_-;\-* #,##0.00_-;_-* &quot;-&quot;??_-;_-@_-"/>
    <numFmt numFmtId="193" formatCode="_-&quot;$&quot;* #,##0_-;\-&quot;$&quot;* #,##0_-;_-&quot;$&quot;* &quot;-&quot;_-;_-@_-"/>
    <numFmt numFmtId="194" formatCode="_-* #,##0\ &quot;€&quot;_-;\-* #,##0\ &quot;€&quot;_-;_-* &quot;-&quot;\ &quot;€&quot;_-;_-@_-"/>
    <numFmt numFmtId="195" formatCode="_-* #,##0\ _F_-;\-* #,##0\ _F_-;_-* &quot;-&quot;\ _F_-;_-@_-"/>
    <numFmt numFmtId="196" formatCode="_-* #,##0\ &quot;F&quot;_-;\-* #,##0\ &quot;F&quot;_-;_-* &quot;-&quot;\ &quot;F&quot;_-;_-@_-"/>
    <numFmt numFmtId="197" formatCode="_-* #,##0&quot;$&quot;_-;_-* #,##0&quot;$&quot;\-;_-* &quot;-&quot;&quot;$&quot;_-;_-@_-"/>
    <numFmt numFmtId="198" formatCode="_-* #,##0\ &quot;$&quot;_-;\-* #,##0\ &quot;$&quot;_-;_-* &quot;-&quot;\ &quot;$&quot;_-;_-@_-"/>
    <numFmt numFmtId="199" formatCode="_-* #,##0_-;\-* #,##0_-;_-* &quot;-&quot;??_-;_-@_-"/>
    <numFmt numFmtId="200" formatCode="_-&quot;$&quot;* #,##0.00_-;\-&quot;$&quot;* #,##0.00_-;_-&quot;$&quot;* &quot;-&quot;??_-;_-@_-"/>
    <numFmt numFmtId="201" formatCode="_-&quot;ñ&quot;* #,##0_-;\-&quot;ñ&quot;* #,##0_-;_-&quot;ñ&quot;* &quot;-&quot;_-;_-@_-"/>
    <numFmt numFmtId="202" formatCode="_-* ###,0&quot;.&quot;00_-;\-* ###,0&quot;.&quot;00_-;_-* &quot;-&quot;??_-;_-@_-"/>
    <numFmt numFmtId="203" formatCode="_ * #,##0.00_ ;_ * \-#,##0.00_ ;_ * &quot;-&quot;??_ ;_ @_ "/>
    <numFmt numFmtId="204" formatCode="_-* #,##0.00\ _V_N_D_-;\-* #,##0.00\ _V_N_D_-;_-* &quot;-&quot;??\ _V_N_D_-;_-@_-"/>
    <numFmt numFmtId="205" formatCode="_-* #,##0.00\ _F_-;\-* #,##0.00\ _F_-;_-* &quot;-&quot;??\ _F_-;_-@_-"/>
    <numFmt numFmtId="206" formatCode="_-* #,##0.00\ _V_N_Ñ_-;_-* #,##0.00\ _V_N_Ñ\-;_-* &quot;-&quot;??\ _V_N_Ñ_-;_-@_-"/>
    <numFmt numFmtId="207" formatCode="_-* #,##0.00_$_-;_-* #,##0.00_$\-;_-* &quot;-&quot;??_$_-;_-@_-"/>
    <numFmt numFmtId="208" formatCode="_(* ###,0&quot;.&quot;00_);_(* \(###,0&quot;.&quot;00\);_(* &quot;-&quot;??_);_(@_)"/>
    <numFmt numFmtId="209" formatCode="&quot;£&quot;#,##0;[Red]\-&quot;£&quot;#,##0"/>
    <numFmt numFmtId="210" formatCode="_-* #,##0.00\ _ñ_-;\-* #,##0.00\ _ñ_-;_-* &quot;-&quot;??\ _ñ_-;_-@_-"/>
    <numFmt numFmtId="211" formatCode="0.00000"/>
    <numFmt numFmtId="212" formatCode="#,##0.00\ &quot;F&quot;;\-#,##0.00\ &quot;F&quot;"/>
    <numFmt numFmtId="213" formatCode="_(&quot;£&quot;\ * #,##0_);_(&quot;£&quot;\ * \(#,##0\);_(&quot;£&quot;\ * &quot;-&quot;_);_(@_)"/>
    <numFmt numFmtId="214" formatCode="&quot;$&quot;#,##0;[Red]\-&quot;$&quot;#,##0"/>
    <numFmt numFmtId="215" formatCode="_(&quot;$&quot;\ * #,##0_);_(&quot;$&quot;\ * \(#,##0\);_(&quot;$&quot;\ * &quot;-&quot;_);_(@_)"/>
    <numFmt numFmtId="216" formatCode="&quot;$&quot;#,##0.00;[Red]\-&quot;$&quot;#,##0.00"/>
    <numFmt numFmtId="217" formatCode="_-* #,##0\ &quot;ñ&quot;_-;\-* #,##0\ &quot;ñ&quot;_-;_-* &quot;-&quot;\ &quot;ñ&quot;_-;_-@_-"/>
    <numFmt numFmtId="218" formatCode="0.0000000"/>
    <numFmt numFmtId="219" formatCode="#,##0.0"/>
    <numFmt numFmtId="220" formatCode="_(&quot;€&quot;* #,##0_);_(&quot;€&quot;* \(#,##0\);_(&quot;€&quot;* &quot;-&quot;_);_(@_)"/>
    <numFmt numFmtId="221" formatCode="_ * #,##0_ ;_ * \-#,##0_ ;_ * &quot;-&quot;_ ;_ @_ "/>
    <numFmt numFmtId="222" formatCode="_-* #,##0\ _V_N_D_-;\-* #,##0\ _V_N_D_-;_-* &quot;-&quot;\ _V_N_D_-;_-@_-"/>
    <numFmt numFmtId="223" formatCode="_-* #,##0\ _V_N_Ñ_-;_-* #,##0\ _V_N_Ñ\-;_-* &quot;-&quot;\ _V_N_Ñ_-;_-@_-"/>
    <numFmt numFmtId="224" formatCode="_-* #,##0\ _€_-;\-* #,##0\ _€_-;_-* &quot;-&quot;\ _€_-;_-@_-"/>
    <numFmt numFmtId="225" formatCode="_-* #,##0_$_-;_-* #,##0_$\-;_-* &quot;-&quot;_$_-;_-@_-"/>
    <numFmt numFmtId="226" formatCode="_-* #,##0\ _$_-;\-* #,##0\ _$_-;_-* &quot;-&quot;\ _$_-;_-@_-"/>
    <numFmt numFmtId="227" formatCode="_-* #,##0\ _m_k_-;\-* #,##0\ _m_k_-;_-* &quot;-&quot;\ _m_k_-;_-@_-"/>
    <numFmt numFmtId="228" formatCode="&quot;£&quot;#,##0;\-&quot;£&quot;#,##0"/>
    <numFmt numFmtId="229" formatCode="_-* #,##0\ _ñ_-;\-* #,##0\ _ñ_-;_-* &quot;-&quot;\ _ñ_-;_-@_-"/>
    <numFmt numFmtId="230" formatCode="0.000000"/>
    <numFmt numFmtId="231" formatCode="#,##0.0_);[Red]\(#,##0.0\)"/>
    <numFmt numFmtId="232" formatCode="_ &quot;\&quot;* #,##0_ ;_ &quot;\&quot;* \-#,##0_ ;_ &quot;\&quot;* &quot;-&quot;_ ;_ @_ "/>
    <numFmt numFmtId="233" formatCode="&quot;\&quot;#,##0.00;[Red]&quot;\&quot;\-#,##0.00"/>
    <numFmt numFmtId="234" formatCode="&quot;SFr.&quot;\ #,##0.00;[Red]&quot;SFr.&quot;\ \-#,##0.00"/>
    <numFmt numFmtId="235" formatCode="_ &quot;SFr.&quot;\ * #,##0_ ;_ &quot;SFr.&quot;\ * \-#,##0_ ;_ &quot;SFr.&quot;\ * &quot;-&quot;_ ;_ @_ "/>
    <numFmt numFmtId="236" formatCode="_ &quot;\&quot;* #,##0.00_ ;_ &quot;\&quot;* \-#,##0.00_ ;_ &quot;\&quot;* &quot;-&quot;??_ ;_ @_ "/>
    <numFmt numFmtId="237" formatCode="0.000"/>
    <numFmt numFmtId="238" formatCode="#,##0.0_);\(#,##0.0\)"/>
    <numFmt numFmtId="239" formatCode="0.0%;[Red]\(0.0%\)"/>
    <numFmt numFmtId="240" formatCode="_ * #,##0.00_)&quot;£&quot;_ ;_ * \(#,##0.00\)&quot;£&quot;_ ;_ * &quot;-&quot;??_)&quot;£&quot;_ ;_ @_ "/>
    <numFmt numFmtId="241" formatCode="0.0%;\(0.0%\)"/>
    <numFmt numFmtId="242" formatCode="_-* #,##0.00\ &quot;F&quot;_-;\-* #,##0.00\ &quot;F&quot;_-;_-* &quot;-&quot;??\ &quot;F&quot;_-;_-@_-"/>
    <numFmt numFmtId="243" formatCode="0.000_)"/>
    <numFmt numFmtId="244" formatCode="_(* #,##0_);_(* \(#,##0\);_(* \-_);_(@_)"/>
    <numFmt numFmtId="245" formatCode="_(* #,##0.0_);_(* \(#,##0.0\);_(* &quot;-&quot;?_);_(@_)"/>
    <numFmt numFmtId="246" formatCode="#,##0.00;[Red]#,##0.00"/>
    <numFmt numFmtId="247" formatCode="&quot;C&quot;#,##0.00_);\(&quot;C&quot;#,##0.00\)"/>
    <numFmt numFmtId="248" formatCode="#,##0;\(#,##0\)"/>
    <numFmt numFmtId="249" formatCode="_ &quot;R&quot;\ * #,##0_ ;_ &quot;R&quot;\ * \-#,##0_ ;_ &quot;R&quot;\ * &quot;-&quot;_ ;_ @_ "/>
    <numFmt numFmtId="250" formatCode="_ &quot;\&quot;* #,##0.00_ ;_ &quot;\&quot;* &quot;\&quot;&quot;\&quot;&quot;\&quot;&quot;\&quot;&quot;\&quot;&quot;\&quot;&quot;\&quot;&quot;\&quot;&quot;\&quot;\-#,##0.00_ ;_ &quot;\&quot;* &quot;-&quot;??_ ;_ @_ "/>
    <numFmt numFmtId="251" formatCode="\$#,##0\ ;\(\$#,##0\)"/>
    <numFmt numFmtId="252" formatCode="#,##0.000_);\(#,##0.000\)"/>
    <numFmt numFmtId="253" formatCode="_-* #,##0.0000\ _F_-;\-* #,##0.0000\ _F_-;_-* &quot;-&quot;??\ _F_-;_-@_-"/>
    <numFmt numFmtId="254" formatCode="&quot;C&quot;#,##0_);\(&quot;C&quot;#,##0\)"/>
    <numFmt numFmtId="255" formatCode="\t0.00%"/>
    <numFmt numFmtId="256" formatCode="?\,???.??__;[Red]&quot;- &quot;?\,???.??__"/>
    <numFmt numFmtId="257" formatCode="?,???.??__;[Red]\-\ ?,???.??__;"/>
    <numFmt numFmtId="258" formatCode="\U\S\$#,##0.00;\(\U\S\$#,##0.00\)"/>
    <numFmt numFmtId="259" formatCode="_(\§\g\ #,##0_);_(\§\g\ \(#,##0\);_(\§\g\ &quot;-&quot;??_);_(@_)"/>
    <numFmt numFmtId="260" formatCode="_(\§\g\ #,##0_);_(\§\g\ \(#,##0\);_(\§\g\ &quot;-&quot;_);_(@_)"/>
    <numFmt numFmtId="261" formatCode="&quot;C&quot;#,##0_);[Red]\(&quot;C&quot;#,##0\)"/>
    <numFmt numFmtId="262" formatCode="\t#\ ??/??"/>
    <numFmt numFmtId="263" formatCode="\§\g#,##0_);\(\§\g#,##0\)"/>
    <numFmt numFmtId="264" formatCode="_-&quot;VND&quot;* #,##0_-;\-&quot;VND&quot;* #,##0_-;_-&quot;VND&quot;* &quot;-&quot;_-;_-@_-"/>
    <numFmt numFmtId="265" formatCode="_(&quot;Rp&quot;* #,##0.00_);_(&quot;Rp&quot;* \(#,##0.00\);_(&quot;Rp&quot;* &quot;-&quot;??_);_(@_)"/>
    <numFmt numFmtId="266" formatCode="#,##0.00\ &quot;FB&quot;;[Red]\-#,##0.00\ &quot;FB&quot;"/>
    <numFmt numFmtId="267" formatCode="#,##0\ &quot;$&quot;;\-#,##0\ &quot;$&quot;"/>
    <numFmt numFmtId="268" formatCode="&quot;$&quot;#,##0;\-&quot;$&quot;#,##0"/>
    <numFmt numFmtId="269" formatCode="_-* #,##0\ _F_B_-;\-* #,##0\ _F_B_-;_-* &quot;-&quot;\ _F_B_-;_-@_-"/>
    <numFmt numFmtId="270" formatCode="_-[$€-2]* #,##0.00_-;\-[$€-2]* #,##0.00_-;_-[$€-2]* &quot;-&quot;??_-"/>
    <numFmt numFmtId="271" formatCode="_-[$€]* #,##0.00_-;\-[$€]* #,##0.00_-;_-[$€]* &quot;-&quot;??_-;_-@_-"/>
    <numFmt numFmtId="272" formatCode="&quot;öS&quot;\ #,##0;[Red]\-&quot;öS&quot;\ #,##0"/>
    <numFmt numFmtId="273" formatCode="&quot;Q&quot;#,##0_);\(&quot;Q&quot;#,##0\)"/>
    <numFmt numFmtId="274" formatCode="#,##0_);\-#,##0_)"/>
    <numFmt numFmtId="275" formatCode="#,###;\-#,###;&quot;&quot;;_(@_)"/>
    <numFmt numFmtId="276" formatCode="#,##0\ &quot;$&quot;_);\(#,##0\ &quot;$&quot;\)"/>
    <numFmt numFmtId="277" formatCode="#,##0_ ;[Red]\-#,##0\ "/>
    <numFmt numFmtId="278" formatCode="#,##0\ &quot;$&quot;_);[Red]\(#,##0\ &quot;$&quot;\)"/>
    <numFmt numFmtId="279" formatCode="&quot;$&quot;###,0&quot;.&quot;00_);[Red]\(&quot;$&quot;###,0&quot;.&quot;00\)"/>
    <numFmt numFmtId="280" formatCode="&quot;\&quot;#,##0;[Red]\-&quot;\&quot;#,##0"/>
    <numFmt numFmtId="281" formatCode="&quot;\&quot;#,##0.00;\-&quot;\&quot;#,##0.00"/>
    <numFmt numFmtId="282" formatCode="_ * #,##0_)\ &quot;$&quot;_ ;_ * \(#,##0\)\ &quot;$&quot;_ ;_ * &quot;-&quot;_)\ &quot;$&quot;_ ;_ @_ "/>
    <numFmt numFmtId="283" formatCode="&quot;VND&quot;#,##0_);[Red]\(&quot;VND&quot;#,##0\)"/>
    <numFmt numFmtId="284" formatCode="_ * #,##0_)&quot; $&quot;_ ;_ * \(#,##0&quot;) $&quot;_ ;_ * \-_)&quot; $&quot;_ ;_ @_ "/>
    <numFmt numFmtId="285" formatCode="#,##0.00_);\-#,##0.00_)"/>
    <numFmt numFmtId="286" formatCode="#"/>
    <numFmt numFmtId="287" formatCode="#,##0.0000"/>
    <numFmt numFmtId="288" formatCode="&quot;¡Ì&quot;#,##0;[Red]\-&quot;¡Ì&quot;#,##0"/>
    <numFmt numFmtId="289" formatCode="#,##0.00\ &quot;F&quot;;[Red]\-#,##0.00\ &quot;F&quot;"/>
    <numFmt numFmtId="290" formatCode="#,##0.00&quot; F&quot;;[Red]\-#,##0.00&quot; F&quot;"/>
    <numFmt numFmtId="291" formatCode="_-* #,##0.0\ _F_-;\-* #,##0.0\ _F_-;_-* &quot;-&quot;??\ _F_-;_-@_-"/>
    <numFmt numFmtId="292" formatCode="#,##0.00\ \ "/>
    <numFmt numFmtId="293" formatCode="0.00000000"/>
    <numFmt numFmtId="294" formatCode="_ * #,##0.0_ ;_ * \-#,##0.0_ ;_ * &quot;-&quot;??_ ;_ @_ "/>
    <numFmt numFmtId="295" formatCode="#,##0.00\ \ \ \ "/>
    <numFmt numFmtId="296" formatCode="_(* #.##0.00_);_(* \(#.##0.00\);_(* &quot;-&quot;??_);_(@_)"/>
    <numFmt numFmtId="297" formatCode="###\ ###\ ##0"/>
    <numFmt numFmtId="298" formatCode="&quot;\&quot;#,##0;&quot;\&quot;\-#,##0"/>
    <numFmt numFmtId="299" formatCode="_-* ###,0&quot;.&quot;00\ _F_B_-;\-* ###,0&quot;.&quot;00\ _F_B_-;_-* &quot;-&quot;??\ _F_B_-;_-@_-"/>
    <numFmt numFmtId="300" formatCode="\\#,##0;[Red]&quot;-\&quot;#,##0"/>
    <numFmt numFmtId="301" formatCode="_ * #.##._ ;_ * \-#.##._ ;_ * &quot;-&quot;??_ ;_ @_ⴆ"/>
    <numFmt numFmtId="302" formatCode="#,##0\ &quot;F&quot;;\-#,##0\ &quot;F&quot;"/>
    <numFmt numFmtId="303" formatCode="#,##0\ &quot;F&quot;;[Red]\-#,##0\ &quot;F&quot;"/>
    <numFmt numFmtId="304" formatCode="_-* #,##0\ _F_-;\-* #,##0\ _F_-;_-* &quot;-&quot;??\ _F_-;_-@_-"/>
    <numFmt numFmtId="305" formatCode="#,###"/>
    <numFmt numFmtId="306" formatCode="0.000\ "/>
    <numFmt numFmtId="307" formatCode="#,##0\ &quot;Lt&quot;;[Red]\-#,##0\ &quot;Lt&quot;"/>
    <numFmt numFmtId="308" formatCode="_-* #,##0\ &quot;DM&quot;_-;\-* #,##0\ &quot;DM&quot;_-;_-* &quot;-&quot;\ &quot;DM&quot;_-;_-@_-"/>
    <numFmt numFmtId="309" formatCode="_-* #,##0.00\ &quot;DM&quot;_-;\-* #,##0.00\ &quot;DM&quot;_-;_-* &quot;-&quot;??\ &quot;DM&quot;_-;_-@_-"/>
    <numFmt numFmtId="310" formatCode="#,##0.000"/>
    <numFmt numFmtId="311" formatCode="#,##0.00_ ;\-#,##0.00\ "/>
    <numFmt numFmtId="312" formatCode="#,##0.00\ _₫;\-#,##0.00\ _₫;&quot;-&quot;"/>
  </numFmts>
  <fonts count="304">
    <font>
      <sz val="11"/>
      <color theme="1"/>
      <name val="Calibri"/>
      <family val="2"/>
      <charset val="163"/>
      <scheme val="minor"/>
    </font>
    <font>
      <sz val="11"/>
      <color theme="1"/>
      <name val="Calibri"/>
      <family val="2"/>
      <scheme val="minor"/>
    </font>
    <font>
      <sz val="11"/>
      <color theme="1"/>
      <name val="Calibri"/>
      <family val="2"/>
      <scheme val="minor"/>
    </font>
    <font>
      <sz val="11"/>
      <color indexed="8"/>
      <name val="Arial"/>
      <family val="2"/>
      <charset val="163"/>
    </font>
    <font>
      <sz val="10"/>
      <name val="Arial"/>
      <family val="2"/>
    </font>
    <font>
      <sz val="12"/>
      <name val="Times New Roman"/>
      <family val="1"/>
    </font>
    <font>
      <sz val="12"/>
      <name val=".VnArial Narrow"/>
      <family val="2"/>
    </font>
    <font>
      <sz val="12"/>
      <name val=".VnTime"/>
      <family val="2"/>
    </font>
    <font>
      <sz val="13"/>
      <color theme="1"/>
      <name val="Times New Roman"/>
      <family val="2"/>
    </font>
    <font>
      <sz val="11"/>
      <color theme="1"/>
      <name val="Calibri"/>
      <family val="2"/>
      <charset val="163"/>
      <scheme val="minor"/>
    </font>
    <font>
      <b/>
      <sz val="12"/>
      <color theme="1"/>
      <name val="Times New Roman"/>
      <family val="2"/>
    </font>
    <font>
      <b/>
      <sz val="10"/>
      <color theme="1"/>
      <name val="Times New Roman"/>
      <family val="1"/>
      <charset val="163"/>
    </font>
    <font>
      <sz val="10"/>
      <color theme="1"/>
      <name val="Times New Roman"/>
      <family val="1"/>
      <charset val="163"/>
    </font>
    <font>
      <b/>
      <sz val="12"/>
      <color theme="1"/>
      <name val="Times New Roman"/>
      <family val="1"/>
    </font>
    <font>
      <b/>
      <sz val="14"/>
      <color theme="1"/>
      <name val="Times New Roman"/>
      <family val="1"/>
      <charset val="163"/>
    </font>
    <font>
      <sz val="12"/>
      <color theme="1"/>
      <name val="Times New Roman"/>
      <family val="1"/>
      <charset val="163"/>
    </font>
    <font>
      <b/>
      <sz val="12"/>
      <color theme="1"/>
      <name val="Times New Roman"/>
      <family val="1"/>
      <charset val="163"/>
    </font>
    <font>
      <sz val="12"/>
      <name val=".VnArial Narrow"/>
      <family val="2"/>
    </font>
    <font>
      <b/>
      <sz val="11"/>
      <color theme="1"/>
      <name val="Times New Roman"/>
      <family val="1"/>
      <charset val="163"/>
    </font>
    <font>
      <i/>
      <sz val="11"/>
      <color theme="1"/>
      <name val="Times New Roman"/>
      <family val="1"/>
      <charset val="163"/>
    </font>
    <font>
      <sz val="11"/>
      <color theme="1"/>
      <name val="Times New Roman"/>
      <family val="1"/>
      <charset val="163"/>
    </font>
    <font>
      <b/>
      <sz val="10"/>
      <color theme="1"/>
      <name val="Times New Roman"/>
      <family val="1"/>
    </font>
    <font>
      <sz val="10"/>
      <color theme="1"/>
      <name val="Times New Roman"/>
      <family val="1"/>
    </font>
    <font>
      <sz val="11"/>
      <color theme="1"/>
      <name val="Times New Roman"/>
      <family val="1"/>
    </font>
    <font>
      <b/>
      <sz val="14"/>
      <color theme="1"/>
      <name val="Times New Roman"/>
      <family val="1"/>
    </font>
    <font>
      <sz val="12"/>
      <color theme="1"/>
      <name val="Times New Roman"/>
      <family val="1"/>
    </font>
    <font>
      <i/>
      <sz val="10"/>
      <color theme="1"/>
      <name val="Times New Roman"/>
      <family val="1"/>
    </font>
    <font>
      <i/>
      <sz val="11"/>
      <color theme="1"/>
      <name val="Times New Roman"/>
      <family val="1"/>
    </font>
    <font>
      <i/>
      <sz val="12"/>
      <color theme="1"/>
      <name val="Times New Roman"/>
      <family val="1"/>
    </font>
    <font>
      <i/>
      <sz val="10"/>
      <color theme="1"/>
      <name val="Times New Roman"/>
      <family val="1"/>
      <charset val="163"/>
    </font>
    <font>
      <b/>
      <sz val="11"/>
      <color theme="1"/>
      <name val="Times New Roman"/>
      <family val="1"/>
    </font>
    <font>
      <b/>
      <sz val="9"/>
      <color indexed="81"/>
      <name val="Tahoma"/>
      <family val="2"/>
    </font>
    <font>
      <sz val="9"/>
      <color indexed="81"/>
      <name val="Tahoma"/>
      <family val="2"/>
    </font>
    <font>
      <b/>
      <i/>
      <sz val="11"/>
      <color theme="1"/>
      <name val="Times New Roman"/>
      <family val="1"/>
    </font>
    <font>
      <b/>
      <sz val="14"/>
      <color indexed="8"/>
      <name val="Times New Roman"/>
      <family val="1"/>
      <charset val="163"/>
    </font>
    <font>
      <sz val="10"/>
      <color theme="1"/>
      <name val="Times New Roman"/>
      <family val="2"/>
    </font>
    <font>
      <i/>
      <sz val="12"/>
      <color rgb="FFFF0000"/>
      <name val="Times New Roman"/>
      <family val="1"/>
    </font>
    <font>
      <sz val="12"/>
      <color indexed="8"/>
      <name val="Times New Roman"/>
      <family val="1"/>
    </font>
    <font>
      <sz val="13"/>
      <name val="Times New Roman"/>
      <family val="1"/>
    </font>
    <font>
      <sz val="9"/>
      <name val="Arial MT"/>
    </font>
    <font>
      <sz val="10"/>
      <name val="Times New Roman"/>
      <family val="1"/>
    </font>
    <font>
      <i/>
      <sz val="10"/>
      <color indexed="8"/>
      <name val="Times New Roman"/>
      <family val="1"/>
      <charset val="163"/>
    </font>
    <font>
      <b/>
      <sz val="10"/>
      <name val="Times New Roman"/>
      <family val="1"/>
      <charset val="163"/>
    </font>
    <font>
      <sz val="10"/>
      <name val="Times New Roman"/>
      <family val="1"/>
      <charset val="163"/>
    </font>
    <font>
      <b/>
      <sz val="11"/>
      <name val="Times New Roman"/>
      <family val="1"/>
      <charset val="163"/>
    </font>
    <font>
      <b/>
      <sz val="11"/>
      <color rgb="FFFF0000"/>
      <name val="Times New Roman"/>
      <family val="1"/>
      <charset val="163"/>
    </font>
    <font>
      <sz val="11"/>
      <name val="Times New Roman"/>
      <family val="1"/>
      <charset val="163"/>
    </font>
    <font>
      <i/>
      <sz val="11"/>
      <name val="Times New Roman"/>
      <family val="1"/>
      <charset val="163"/>
    </font>
    <font>
      <sz val="12"/>
      <name val="Times New Roman"/>
      <family val="1"/>
      <charset val="163"/>
    </font>
    <font>
      <i/>
      <sz val="12"/>
      <color rgb="FF000000"/>
      <name val="Times New Roman"/>
      <family val="1"/>
      <charset val="163"/>
    </font>
    <font>
      <b/>
      <sz val="12"/>
      <color rgb="FF000000"/>
      <name val="Times New Roman"/>
      <family val="1"/>
      <charset val="163"/>
    </font>
    <font>
      <sz val="14"/>
      <color indexed="8"/>
      <name val="Times New Roman"/>
      <family val="2"/>
    </font>
    <font>
      <sz val="10"/>
      <color indexed="8"/>
      <name val="Arial"/>
      <family val="2"/>
      <charset val="163"/>
    </font>
    <font>
      <b/>
      <sz val="10"/>
      <color indexed="8"/>
      <name val="Arial"/>
      <family val="2"/>
      <charset val="163"/>
    </font>
    <font>
      <sz val="14"/>
      <name val="Times New Roman"/>
      <family val="1"/>
    </font>
    <font>
      <i/>
      <sz val="12"/>
      <color indexed="10"/>
      <name val="Times New Roman"/>
      <family val="1"/>
    </font>
    <font>
      <sz val="13"/>
      <color indexed="8"/>
      <name val="Times New Roman"/>
      <family val="2"/>
    </font>
    <font>
      <sz val="8"/>
      <color theme="1"/>
      <name val="Calibri"/>
      <family val="2"/>
      <charset val="163"/>
      <scheme val="minor"/>
    </font>
    <font>
      <sz val="11"/>
      <color theme="1"/>
      <name val="Times New Roman"/>
      <family val="2"/>
    </font>
    <font>
      <sz val="8"/>
      <name val="Times New Roman"/>
      <family val="1"/>
      <charset val="163"/>
    </font>
    <font>
      <sz val="8"/>
      <color rgb="FFFF0000"/>
      <name val="Times New Roman"/>
      <family val="1"/>
      <charset val="163"/>
    </font>
    <font>
      <b/>
      <sz val="10"/>
      <color rgb="FFFF0000"/>
      <name val="Times New Roman"/>
      <family val="1"/>
      <charset val="163"/>
    </font>
    <font>
      <b/>
      <sz val="12"/>
      <color indexed="8"/>
      <name val="Times New Roman"/>
      <family val="2"/>
    </font>
    <font>
      <sz val="10"/>
      <color rgb="FFFF0000"/>
      <name val="Times New Roman"/>
      <family val="1"/>
      <charset val="163"/>
    </font>
    <font>
      <b/>
      <sz val="11"/>
      <color indexed="8"/>
      <name val="Times New Roman"/>
      <family val="1"/>
      <charset val="163"/>
    </font>
    <font>
      <sz val="11"/>
      <color indexed="8"/>
      <name val="Times New Roman"/>
      <family val="1"/>
      <charset val="163"/>
    </font>
    <font>
      <i/>
      <sz val="14"/>
      <color indexed="8"/>
      <name val="Times New Roman"/>
      <family val="1"/>
      <charset val="163"/>
    </font>
    <font>
      <i/>
      <sz val="14"/>
      <color rgb="FFFF0000"/>
      <name val="Times New Roman"/>
      <family val="1"/>
    </font>
    <font>
      <i/>
      <sz val="10"/>
      <color rgb="FF000000"/>
      <name val="Arial"/>
      <family val="2"/>
    </font>
    <font>
      <sz val="11"/>
      <name val="Calibri"/>
      <family val="2"/>
      <charset val="163"/>
      <scheme val="minor"/>
    </font>
    <font>
      <b/>
      <sz val="10"/>
      <name val="Arial"/>
      <family val="2"/>
    </font>
    <font>
      <b/>
      <sz val="10"/>
      <color rgb="FFFF0000"/>
      <name val="Arial"/>
      <family val="2"/>
    </font>
    <font>
      <sz val="10"/>
      <color rgb="FF000000"/>
      <name val="Arial"/>
      <family val="2"/>
    </font>
    <font>
      <b/>
      <sz val="10"/>
      <color rgb="FF000000"/>
      <name val="Arial"/>
      <family val="2"/>
    </font>
    <font>
      <b/>
      <sz val="10"/>
      <color rgb="FF000000"/>
      <name val="Times New Roman"/>
      <family val="1"/>
      <charset val="163"/>
    </font>
    <font>
      <sz val="10"/>
      <color indexed="8"/>
      <name val="Times New Roman"/>
      <family val="1"/>
      <charset val="163"/>
    </font>
    <font>
      <sz val="10"/>
      <color rgb="FF000000"/>
      <name val="Times New Roman"/>
      <family val="1"/>
      <charset val="163"/>
    </font>
    <font>
      <sz val="8"/>
      <color indexed="8"/>
      <name val="Times New Roman"/>
      <family val="1"/>
    </font>
    <font>
      <sz val="8"/>
      <color rgb="FFFF0000"/>
      <name val="Arial"/>
      <family val="2"/>
    </font>
    <font>
      <b/>
      <sz val="10"/>
      <name val="Times New Roman"/>
      <family val="1"/>
    </font>
    <font>
      <b/>
      <sz val="10"/>
      <color indexed="8"/>
      <name val="Times New Roman"/>
      <family val="1"/>
      <charset val="163"/>
    </font>
    <font>
      <sz val="11"/>
      <name val="Times New Roman"/>
      <family val="1"/>
    </font>
    <font>
      <i/>
      <sz val="14"/>
      <color rgb="FF000000"/>
      <name val="Times New Roman"/>
      <family val="1"/>
      <charset val="163"/>
    </font>
    <font>
      <b/>
      <sz val="14"/>
      <color rgb="FF000000"/>
      <name val="Times New Roman"/>
      <family val="1"/>
      <charset val="163"/>
    </font>
    <font>
      <sz val="14"/>
      <color theme="1"/>
      <name val="Times New Roman"/>
      <family val="2"/>
    </font>
    <font>
      <sz val="12"/>
      <color rgb="FFFF0000"/>
      <name val="Times New Roman"/>
      <family val="1"/>
      <charset val="163"/>
    </font>
    <font>
      <sz val="11"/>
      <color rgb="FF000000"/>
      <name val="Times New Roman"/>
      <family val="1"/>
      <charset val="163"/>
    </font>
    <font>
      <b/>
      <sz val="12"/>
      <color rgb="FFFF0000"/>
      <name val="Arial Narrow"/>
      <family val="2"/>
    </font>
    <font>
      <b/>
      <sz val="12"/>
      <color rgb="FFFF0000"/>
      <name val="Times New Roman"/>
      <family val="1"/>
      <charset val="163"/>
    </font>
    <font>
      <b/>
      <sz val="12"/>
      <name val="Arial Narrow"/>
      <family val="2"/>
    </font>
    <font>
      <b/>
      <sz val="12"/>
      <name val="Times New Roman"/>
      <family val="1"/>
      <charset val="163"/>
    </font>
    <font>
      <sz val="12"/>
      <name val="Arial Narrow"/>
      <family val="2"/>
    </font>
    <font>
      <i/>
      <sz val="12"/>
      <name val="Arial Narrow"/>
      <family val="2"/>
    </font>
    <font>
      <i/>
      <sz val="12"/>
      <name val="Times New Roman"/>
      <family val="1"/>
      <charset val="163"/>
    </font>
    <font>
      <sz val="8"/>
      <color theme="1"/>
      <name val="Times New Roman"/>
      <family val="1"/>
      <charset val="163"/>
    </font>
    <font>
      <b/>
      <sz val="12"/>
      <color rgb="FFFF0000"/>
      <name val="Times New Roman"/>
      <family val="2"/>
    </font>
    <font>
      <b/>
      <sz val="10"/>
      <color indexed="8"/>
      <name val="Times New Roman"/>
      <family val="1"/>
    </font>
    <font>
      <sz val="10"/>
      <color rgb="FF000000"/>
      <name val="Times New Roman"/>
      <family val="1"/>
    </font>
    <font>
      <b/>
      <sz val="12"/>
      <color rgb="FF000000"/>
      <name val="Arial"/>
      <family val="2"/>
    </font>
    <font>
      <sz val="12"/>
      <color rgb="FF000000"/>
      <name val="Arial"/>
      <family val="2"/>
    </font>
    <font>
      <sz val="10"/>
      <color indexed="8"/>
      <name val="Times New Roman"/>
      <family val="1"/>
    </font>
    <font>
      <b/>
      <sz val="11"/>
      <color rgb="FF000000"/>
      <name val="Times New Roman"/>
      <family val="1"/>
      <charset val="163"/>
    </font>
    <font>
      <sz val="11"/>
      <color indexed="8"/>
      <name val="times new roman"/>
      <family val="2"/>
      <charset val="163"/>
    </font>
    <font>
      <b/>
      <sz val="11"/>
      <name val="Times New Roman"/>
      <family val="1"/>
    </font>
    <font>
      <sz val="8"/>
      <name val="Times New Roman"/>
      <family val="1"/>
    </font>
    <font>
      <sz val="11"/>
      <color theme="1"/>
      <name val="times new roman"/>
      <family val="2"/>
      <charset val="163"/>
    </font>
    <font>
      <b/>
      <sz val="9"/>
      <color indexed="81"/>
      <name val="Tahoma"/>
      <family val="2"/>
      <charset val="163"/>
    </font>
    <font>
      <sz val="9"/>
      <color indexed="81"/>
      <name val="Tahoma"/>
      <family val="2"/>
      <charset val="163"/>
    </font>
    <font>
      <sz val="12"/>
      <name val="VNI-Times"/>
    </font>
    <font>
      <sz val="12"/>
      <name val="돋움체"/>
      <family val="3"/>
      <charset val="129"/>
    </font>
    <font>
      <sz val="12"/>
      <name val="VNtimes new roman"/>
      <family val="2"/>
    </font>
    <font>
      <sz val="10"/>
      <name val=".VnTime"/>
      <family val="2"/>
    </font>
    <font>
      <sz val="10"/>
      <name val="Helv"/>
      <family val="2"/>
    </font>
    <font>
      <sz val="12"/>
      <name val=".VnArial"/>
      <family val="2"/>
    </font>
    <font>
      <sz val="10"/>
      <name val="??"/>
      <family val="3"/>
      <charset val="129"/>
    </font>
    <font>
      <sz val="16"/>
      <name val="AngsanaUPC"/>
      <family val="3"/>
    </font>
    <font>
      <sz val="12"/>
      <name val="????"/>
      <family val="1"/>
      <charset val="136"/>
    </font>
    <font>
      <sz val="12"/>
      <name val="Courier"/>
      <family val="3"/>
    </font>
    <font>
      <sz val="10"/>
      <name val="AngsanaUPC"/>
      <family val="1"/>
    </font>
    <font>
      <sz val="12"/>
      <name val="|??¢¥¢¬¨Ï"/>
      <family val="1"/>
      <charset val="129"/>
    </font>
    <font>
      <sz val="10"/>
      <name val="VNI-Times"/>
    </font>
    <font>
      <sz val="10"/>
      <name val="MS Sans Serif"/>
      <family val="2"/>
    </font>
    <font>
      <sz val="10"/>
      <color indexed="8"/>
      <name val="Arial"/>
      <family val="2"/>
    </font>
    <font>
      <sz val="10"/>
      <name val="VNtimes new roman"/>
      <family val="2"/>
    </font>
    <font>
      <sz val="10"/>
      <name val="VNI-Helve"/>
    </font>
    <font>
      <sz val="13"/>
      <name val=".VnTime"/>
      <family val="2"/>
    </font>
    <font>
      <sz val="11"/>
      <name val="VNI-Aptima"/>
    </font>
    <font>
      <sz val="12"/>
      <name val="???"/>
    </font>
    <font>
      <sz val="11"/>
      <name val="‚l‚r ‚oƒSƒVƒbƒN"/>
      <family val="3"/>
      <charset val="128"/>
    </font>
    <font>
      <sz val="11"/>
      <name val="–¾’©"/>
      <family val="1"/>
      <charset val="128"/>
    </font>
    <font>
      <sz val="14"/>
      <name val="Terminal"/>
      <family val="3"/>
      <charset val="128"/>
    </font>
    <font>
      <sz val="14"/>
      <name val="VnTime"/>
    </font>
    <font>
      <b/>
      <sz val="10"/>
      <name val=".VnTimeH"/>
      <family val="2"/>
    </font>
    <font>
      <sz val="11"/>
      <name val=".VnTime"/>
      <family val="2"/>
    </font>
    <font>
      <b/>
      <u/>
      <sz val="14"/>
      <color indexed="8"/>
      <name val=".VnBook-AntiquaH"/>
      <family val="2"/>
    </font>
    <font>
      <b/>
      <u/>
      <sz val="10"/>
      <name val="VNI-Times"/>
    </font>
    <font>
      <b/>
      <sz val="10"/>
      <name val=".VnArial"/>
      <family val="2"/>
    </font>
    <font>
      <sz val="10"/>
      <name val="VnTimes"/>
    </font>
    <font>
      <sz val="12"/>
      <color indexed="10"/>
      <name val=".VnArial Narrow"/>
      <family val="2"/>
    </font>
    <font>
      <sz val="12"/>
      <color indexed="8"/>
      <name val="¹ÙÅÁÃ¼"/>
      <family val="1"/>
      <charset val="129"/>
    </font>
    <font>
      <i/>
      <sz val="12"/>
      <color indexed="8"/>
      <name val=".VnBook-AntiquaH"/>
      <family val="2"/>
    </font>
    <font>
      <sz val="12"/>
      <color indexed="8"/>
      <name val="Arial Narrow"/>
      <family val="2"/>
    </font>
    <font>
      <sz val="11"/>
      <color indexed="8"/>
      <name val="Calibri"/>
      <family val="2"/>
    </font>
    <font>
      <b/>
      <sz val="12"/>
      <color indexed="8"/>
      <name val=".VnBook-Antiqua"/>
      <family val="2"/>
    </font>
    <font>
      <i/>
      <sz val="12"/>
      <color indexed="8"/>
      <name val=".VnBook-Antiqua"/>
      <family val="2"/>
    </font>
    <font>
      <sz val="12"/>
      <color indexed="9"/>
      <name val="Arial Narrow"/>
      <family val="2"/>
    </font>
    <font>
      <sz val="11"/>
      <color indexed="9"/>
      <name val="Calibri"/>
      <family val="2"/>
    </font>
    <font>
      <sz val="14"/>
      <name val=".VnTime"/>
      <family val="2"/>
    </font>
    <font>
      <sz val="12"/>
      <name val="¹UAAA¼"/>
      <family val="3"/>
      <charset val="129"/>
    </font>
    <font>
      <sz val="11"/>
      <name val="±¼¸²Ã¼"/>
      <family val="3"/>
      <charset val="129"/>
    </font>
    <font>
      <b/>
      <sz val="12"/>
      <color indexed="63"/>
      <name val="VNI-Times"/>
    </font>
    <font>
      <sz val="12"/>
      <name val="¹ÙÅÁÃ¼"/>
      <charset val="129"/>
    </font>
    <font>
      <sz val="12"/>
      <color indexed="20"/>
      <name val="Arial Narrow"/>
      <family val="2"/>
    </font>
    <font>
      <sz val="12"/>
      <name val="Tms Rmn"/>
    </font>
    <font>
      <sz val="12"/>
      <name val="µ¸¿òÃ¼"/>
      <family val="3"/>
      <charset val="129"/>
    </font>
    <font>
      <sz val="10"/>
      <name val="±¼¸²A¼"/>
      <family val="3"/>
      <charset val="129"/>
    </font>
    <font>
      <sz val="10"/>
      <name val="Arial"/>
      <family val="2"/>
      <charset val="163"/>
    </font>
    <font>
      <sz val="10"/>
      <name val="Helv"/>
    </font>
    <font>
      <b/>
      <sz val="12"/>
      <color indexed="52"/>
      <name val="Arial Narrow"/>
      <family val="2"/>
    </font>
    <font>
      <b/>
      <sz val="10"/>
      <name val="Helv"/>
    </font>
    <font>
      <b/>
      <sz val="12"/>
      <color indexed="9"/>
      <name val="Arial Narrow"/>
      <family val="2"/>
    </font>
    <font>
      <sz val="10"/>
      <name val=".VnArial"/>
      <family val="2"/>
    </font>
    <font>
      <sz val="11"/>
      <name val="VNbook-Antiqua"/>
      <family val="2"/>
    </font>
    <font>
      <sz val="10"/>
      <name val="VNI-Aptima"/>
    </font>
    <font>
      <sz val="11"/>
      <name val="VNtimes new roman"/>
      <family val="2"/>
    </font>
    <font>
      <sz val="11"/>
      <name val="Tms Rmn"/>
    </font>
    <font>
      <sz val="12"/>
      <color indexed="8"/>
      <name val="Times New Roman"/>
      <family val="2"/>
    </font>
    <font>
      <sz val="11"/>
      <color indexed="8"/>
      <name val="Calibri"/>
      <family val="2"/>
      <charset val="163"/>
    </font>
    <font>
      <sz val="10"/>
      <color indexed="8"/>
      <name val="Times New Roman"/>
      <family val="2"/>
      <charset val="163"/>
    </font>
    <font>
      <sz val="10"/>
      <name val="BERNHARD"/>
    </font>
    <font>
      <b/>
      <sz val="12"/>
      <name val="VNTime"/>
      <family val="2"/>
    </font>
    <font>
      <sz val="10"/>
      <name val="MS Serif"/>
      <family val="1"/>
    </font>
    <font>
      <b/>
      <sz val="11"/>
      <color indexed="63"/>
      <name val="Calibri"/>
      <family val="2"/>
    </font>
    <font>
      <sz val="11"/>
      <color indexed="62"/>
      <name val="Calibri"/>
      <family val="2"/>
    </font>
    <font>
      <b/>
      <sz val="12"/>
      <name val="VNTimeH"/>
      <family val="2"/>
    </font>
    <font>
      <b/>
      <sz val="15"/>
      <color indexed="56"/>
      <name val="Calibri"/>
      <family val="2"/>
    </font>
    <font>
      <b/>
      <sz val="13"/>
      <color indexed="56"/>
      <name val="Calibri"/>
      <family val="2"/>
    </font>
    <font>
      <b/>
      <sz val="11"/>
      <color indexed="56"/>
      <name val="Calibri"/>
      <family val="2"/>
    </font>
    <font>
      <sz val="1"/>
      <color indexed="8"/>
      <name val="Courier"/>
      <family val="1"/>
    </font>
    <font>
      <sz val="10"/>
      <name val="Arial CE"/>
      <charset val="238"/>
    </font>
    <font>
      <b/>
      <sz val="1"/>
      <color indexed="8"/>
      <name val="Courier"/>
      <family val="1"/>
    </font>
    <font>
      <sz val="10"/>
      <color indexed="16"/>
      <name val="MS Serif"/>
      <family val="1"/>
    </font>
    <font>
      <sz val="14"/>
      <name val="VNtimes new roman"/>
      <family val="2"/>
    </font>
    <font>
      <sz val="10"/>
      <color indexed="8"/>
      <name val="Arial"/>
      <family val="2"/>
      <charset val="1"/>
    </font>
    <font>
      <i/>
      <sz val="12"/>
      <color indexed="23"/>
      <name val="Arial Narrow"/>
      <family val="2"/>
    </font>
    <font>
      <b/>
      <sz val="16"/>
      <color indexed="16"/>
      <name val="VNbritannic"/>
      <family val="2"/>
    </font>
    <font>
      <b/>
      <sz val="18"/>
      <color indexed="12"/>
      <name val="VNbritannic"/>
      <family val="2"/>
    </font>
    <font>
      <b/>
      <sz val="18"/>
      <name val="VNnew Century Cond"/>
      <family val="2"/>
    </font>
    <font>
      <b/>
      <sz val="20"/>
      <color indexed="12"/>
      <name val="VNnew Century Cond"/>
      <family val="2"/>
    </font>
    <font>
      <b/>
      <sz val="16"/>
      <name val="VNlucida sans"/>
      <family val="2"/>
    </font>
    <font>
      <b/>
      <sz val="18"/>
      <color indexed="10"/>
      <name val="VNnew Century Cond"/>
      <family val="2"/>
    </font>
    <font>
      <b/>
      <sz val="16"/>
      <color indexed="14"/>
      <name val="VNottawa"/>
      <family val="2"/>
    </font>
    <font>
      <sz val="8"/>
      <color indexed="8"/>
      <name val="Helvetica"/>
      <family val="2"/>
    </font>
    <font>
      <sz val="12"/>
      <name val="VNTime"/>
      <family val="2"/>
    </font>
    <font>
      <sz val="12"/>
      <color indexed="17"/>
      <name val="Arial Narrow"/>
      <family val="2"/>
    </font>
    <font>
      <sz val="8"/>
      <name val="Arial"/>
      <family val="2"/>
      <charset val="163"/>
    </font>
    <font>
      <sz val="10"/>
      <name val=".VnArialH"/>
      <family val="2"/>
    </font>
    <font>
      <b/>
      <sz val="12"/>
      <name val=".VnBook-AntiquaH"/>
      <family val="2"/>
    </font>
    <font>
      <b/>
      <sz val="12"/>
      <color indexed="9"/>
      <name val="Tms Rmn"/>
    </font>
    <font>
      <b/>
      <sz val="12"/>
      <name val="Helv"/>
    </font>
    <font>
      <b/>
      <sz val="12"/>
      <name val="Arial"/>
      <family val="2"/>
    </font>
    <font>
      <b/>
      <sz val="18"/>
      <name val="Arial"/>
      <family val="2"/>
    </font>
    <font>
      <b/>
      <sz val="11"/>
      <color indexed="56"/>
      <name val="Arial Narrow"/>
      <family val="2"/>
    </font>
    <font>
      <b/>
      <sz val="8"/>
      <name val="MS Sans Serif"/>
      <family val="2"/>
    </font>
    <font>
      <b/>
      <sz val="10"/>
      <name val=".VnTime"/>
      <family val="2"/>
    </font>
    <font>
      <sz val="10"/>
      <name val="vnTimesRoman"/>
    </font>
    <font>
      <b/>
      <sz val="14"/>
      <name val=".VnTimeH"/>
      <family val="2"/>
    </font>
    <font>
      <sz val="12"/>
      <name val="±¼¸²Ã¼"/>
      <family val="3"/>
      <charset val="129"/>
    </font>
    <font>
      <sz val="12"/>
      <color indexed="62"/>
      <name val="Arial Narrow"/>
      <family val="2"/>
    </font>
    <font>
      <u/>
      <sz val="10"/>
      <color indexed="12"/>
      <name val=".VnTime"/>
      <family val="2"/>
    </font>
    <font>
      <u/>
      <sz val="12"/>
      <color indexed="12"/>
      <name val=".VnTime"/>
      <family val="2"/>
    </font>
    <font>
      <u/>
      <sz val="12"/>
      <color indexed="12"/>
      <name val="Arial"/>
      <family val="2"/>
    </font>
    <font>
      <sz val="10"/>
      <name val="VNI-Avo"/>
    </font>
    <font>
      <b/>
      <sz val="11"/>
      <color indexed="9"/>
      <name val="Calibri"/>
      <family val="2"/>
    </font>
    <font>
      <b/>
      <sz val="14"/>
      <name val=".VnArialH"/>
      <family val="2"/>
    </font>
    <font>
      <sz val="12"/>
      <name val="Arial"/>
      <family val="2"/>
    </font>
    <font>
      <sz val="12"/>
      <color indexed="52"/>
      <name val="Arial Narrow"/>
      <family val="2"/>
    </font>
    <font>
      <sz val="8"/>
      <name val="VNarial"/>
      <family val="2"/>
    </font>
    <font>
      <b/>
      <sz val="11"/>
      <name val="Helv"/>
    </font>
    <font>
      <sz val="12"/>
      <color indexed="60"/>
      <name val="Arial Narrow"/>
      <family val="2"/>
    </font>
    <font>
      <sz val="7"/>
      <name val="Small Fonts"/>
      <family val="2"/>
    </font>
    <font>
      <b/>
      <sz val="12"/>
      <name val="VN-NTime"/>
    </font>
    <font>
      <sz val="12"/>
      <name val="???"/>
      <family val="1"/>
      <charset val="129"/>
    </font>
    <font>
      <sz val="12"/>
      <name val="바탕체"/>
      <family val="1"/>
      <charset val="129"/>
    </font>
    <font>
      <sz val="12"/>
      <color theme="1"/>
      <name val="Times New Roman"/>
      <family val="2"/>
      <charset val="163"/>
    </font>
    <font>
      <sz val="11"/>
      <color theme="1"/>
      <name val="Calibri"/>
      <family val="2"/>
    </font>
    <font>
      <sz val="9"/>
      <name val="Arial"/>
      <family val="2"/>
    </font>
    <font>
      <sz val="12"/>
      <color indexed="8"/>
      <name val="Times New Roman"/>
      <family val="2"/>
      <charset val="163"/>
    </font>
    <font>
      <sz val="12"/>
      <color theme="1"/>
      <name val="Times New Roman"/>
      <family val="2"/>
    </font>
    <font>
      <sz val="11"/>
      <color indexed="8"/>
      <name val="Helvetica Neue"/>
    </font>
    <font>
      <sz val="10"/>
      <name val="VNlucida sans"/>
      <family val="2"/>
    </font>
    <font>
      <sz val="11"/>
      <color indexed="52"/>
      <name val="Calibri"/>
      <family val="2"/>
    </font>
    <font>
      <b/>
      <sz val="11"/>
      <name val="Arial"/>
      <family val="2"/>
    </font>
    <font>
      <b/>
      <sz val="12"/>
      <color indexed="63"/>
      <name val="Arial Narrow"/>
      <family val="2"/>
    </font>
    <font>
      <sz val="14"/>
      <name val=".VnArial Narrow"/>
      <family val="2"/>
    </font>
    <font>
      <sz val="12"/>
      <name val="Helv"/>
    </font>
    <font>
      <b/>
      <sz val="10"/>
      <name val="MS Sans Serif"/>
      <family val="2"/>
    </font>
    <font>
      <sz val="8"/>
      <name val="Wingdings"/>
      <charset val="2"/>
    </font>
    <font>
      <sz val="8"/>
      <name val="Helv"/>
    </font>
    <font>
      <b/>
      <sz val="12"/>
      <color indexed="8"/>
      <name val="Arial"/>
      <family val="2"/>
    </font>
    <font>
      <b/>
      <i/>
      <sz val="12"/>
      <color indexed="8"/>
      <name val="Arial"/>
      <family val="2"/>
    </font>
    <font>
      <sz val="12"/>
      <color indexed="8"/>
      <name val="Arial"/>
      <family val="2"/>
    </font>
    <font>
      <i/>
      <sz val="12"/>
      <color indexed="8"/>
      <name val="Arial"/>
      <family val="2"/>
    </font>
    <font>
      <sz val="19"/>
      <color indexed="48"/>
      <name val="Arial"/>
      <family val="2"/>
    </font>
    <font>
      <sz val="12"/>
      <color indexed="14"/>
      <name val="Arial"/>
      <family val="2"/>
    </font>
    <font>
      <sz val="11"/>
      <name val="3C_Times_T"/>
    </font>
    <font>
      <sz val="8"/>
      <name val="MS Sans Serif"/>
      <family val="2"/>
    </font>
    <font>
      <sz val="8"/>
      <name val="Tms Rmn"/>
    </font>
    <font>
      <b/>
      <sz val="10.5"/>
      <name val=".VnAvantH"/>
      <family val="2"/>
    </font>
    <font>
      <sz val="10"/>
      <name val="VNbook-Antiqua"/>
    </font>
    <font>
      <sz val="11"/>
      <color indexed="32"/>
      <name val="VNI-Times"/>
    </font>
    <font>
      <b/>
      <sz val="8"/>
      <color indexed="8"/>
      <name val="Helv"/>
    </font>
    <font>
      <sz val="10"/>
      <name val="Symbol"/>
      <family val="1"/>
      <charset val="2"/>
    </font>
    <font>
      <sz val="13"/>
      <name val=".VnArial"/>
      <family val="2"/>
    </font>
    <font>
      <b/>
      <sz val="10"/>
      <name val="VNI-Univer"/>
    </font>
    <font>
      <sz val="10"/>
      <name val=".VnBook-Antiqua"/>
      <family val="2"/>
    </font>
    <font>
      <b/>
      <sz val="12"/>
      <name val="VNI-Times"/>
    </font>
    <font>
      <sz val="12"/>
      <color indexed="8"/>
      <name val=".VnTime"/>
      <family val="2"/>
    </font>
    <font>
      <sz val="11"/>
      <name val=".VnAvant"/>
      <family val="2"/>
    </font>
    <font>
      <b/>
      <sz val="13"/>
      <color indexed="8"/>
      <name val=".VnTimeH"/>
      <family val="2"/>
    </font>
    <font>
      <b/>
      <u val="double"/>
      <sz val="12"/>
      <color indexed="12"/>
      <name val=".VnBahamasB"/>
      <family val="2"/>
    </font>
    <font>
      <b/>
      <sz val="18"/>
      <color indexed="56"/>
      <name val="Cambria"/>
      <family val="2"/>
    </font>
    <font>
      <b/>
      <sz val="11"/>
      <color indexed="52"/>
      <name val="Calibri"/>
      <family val="2"/>
    </font>
    <font>
      <sz val="9.5"/>
      <name val=".VnBlackH"/>
      <family val="2"/>
    </font>
    <font>
      <b/>
      <sz val="10"/>
      <name val=".VnBahamasBH"/>
      <family val="2"/>
    </font>
    <font>
      <b/>
      <sz val="11"/>
      <name val=".VnArialH"/>
      <family val="2"/>
    </font>
    <font>
      <b/>
      <sz val="11"/>
      <color indexed="8"/>
      <name val="Calibri"/>
      <family val="2"/>
    </font>
    <font>
      <b/>
      <sz val="10"/>
      <name val=".VnArialH"/>
      <family val="2"/>
    </font>
    <font>
      <sz val="11"/>
      <color indexed="17"/>
      <name val="Calibri"/>
      <family val="2"/>
    </font>
    <font>
      <sz val="10"/>
      <name val=".VnAvant"/>
      <family val="2"/>
    </font>
    <font>
      <sz val="11"/>
      <color indexed="60"/>
      <name val="Calibri"/>
      <family val="2"/>
    </font>
    <font>
      <sz val="10"/>
      <name val=".VnArial Narrow"/>
      <family val="2"/>
    </font>
    <font>
      <sz val="9"/>
      <name val="VNswitzerlandCondensed"/>
      <family val="2"/>
    </font>
    <font>
      <sz val="11"/>
      <name val="VNI-Times"/>
    </font>
    <font>
      <sz val="11"/>
      <color indexed="10"/>
      <name val="Calibri"/>
      <family val="2"/>
    </font>
    <font>
      <i/>
      <sz val="11"/>
      <color indexed="23"/>
      <name val="Calibri"/>
      <family val="2"/>
    </font>
    <font>
      <sz val="8"/>
      <name val="VNI-Helve"/>
    </font>
    <font>
      <sz val="10"/>
      <color indexed="8"/>
      <name val="MS Sans Serif"/>
      <family val="2"/>
    </font>
    <font>
      <sz val="14"/>
      <name val="VnTime"/>
      <family val="2"/>
    </font>
    <font>
      <sz val="8"/>
      <name val=".VnTime"/>
      <family val="2"/>
    </font>
    <font>
      <b/>
      <sz val="8"/>
      <name val="VN Helvetica"/>
    </font>
    <font>
      <b/>
      <sz val="12"/>
      <name val=".VnTime"/>
      <family val="2"/>
    </font>
    <font>
      <b/>
      <sz val="10"/>
      <name val="VN AvantGBook"/>
    </font>
    <font>
      <b/>
      <sz val="16"/>
      <name val=".VnTime"/>
      <family val="2"/>
    </font>
    <font>
      <sz val="9"/>
      <name val=".VnTime"/>
      <family val="2"/>
    </font>
    <font>
      <sz val="12"/>
      <color indexed="10"/>
      <name val="Arial Narrow"/>
      <family val="2"/>
    </font>
    <font>
      <sz val="10"/>
      <name val="Geneva"/>
      <family val="2"/>
    </font>
    <font>
      <sz val="11"/>
      <color indexed="20"/>
      <name val="Calibri"/>
      <family val="2"/>
    </font>
    <font>
      <sz val="14"/>
      <name val=".VnArial"/>
      <family val="2"/>
    </font>
    <font>
      <sz val="10"/>
      <name val=" "/>
      <family val="1"/>
      <charset val="136"/>
    </font>
    <font>
      <sz val="14"/>
      <name val="뼻뮝"/>
      <family val="3"/>
      <charset val="129"/>
    </font>
    <font>
      <sz val="12"/>
      <color indexed="8"/>
      <name val="바탕체"/>
      <family val="3"/>
    </font>
    <font>
      <sz val="12"/>
      <name val="뼻뮝"/>
      <family val="1"/>
      <charset val="129"/>
    </font>
    <font>
      <sz val="10"/>
      <name val="명조"/>
      <family val="3"/>
      <charset val="129"/>
    </font>
    <font>
      <sz val="10"/>
      <name val="돋움체"/>
      <family val="3"/>
      <charset val="129"/>
    </font>
    <font>
      <i/>
      <sz val="12"/>
      <color theme="1"/>
      <name val="Times New Roman"/>
      <family val="1"/>
      <charset val="163"/>
    </font>
    <font>
      <b/>
      <sz val="8"/>
      <color theme="1"/>
      <name val="Times New Roman"/>
      <family val="1"/>
    </font>
    <font>
      <sz val="9"/>
      <color theme="1"/>
      <name val="Times New Roman"/>
      <family val="1"/>
    </font>
    <font>
      <b/>
      <sz val="9"/>
      <color theme="1"/>
      <name val="Times New Roman"/>
      <family val="1"/>
    </font>
    <font>
      <sz val="8"/>
      <color theme="1"/>
      <name val="Times New Roman"/>
      <family val="1"/>
    </font>
    <font>
      <b/>
      <i/>
      <sz val="9"/>
      <color theme="1"/>
      <name val="Times New Roman"/>
      <family val="1"/>
    </font>
    <font>
      <b/>
      <sz val="13"/>
      <color theme="1"/>
      <name val="Times New Roman"/>
      <family val="1"/>
    </font>
    <font>
      <b/>
      <i/>
      <sz val="8"/>
      <color theme="1"/>
      <name val="Times New Roman"/>
      <family val="1"/>
    </font>
    <font>
      <i/>
      <sz val="8"/>
      <color theme="1"/>
      <name val="Times New Roman"/>
      <family val="1"/>
    </font>
  </fonts>
  <fills count="53">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00"/>
        <bgColor indexed="64"/>
      </patternFill>
    </fill>
    <fill>
      <patternFill patternType="solid">
        <fgColor indexed="22"/>
        <bgColor indexed="64"/>
      </patternFill>
    </fill>
    <fill>
      <patternFill patternType="solid">
        <fgColor indexed="22"/>
        <bgColor indexed="31"/>
      </patternFill>
    </fill>
    <fill>
      <patternFill patternType="solid">
        <fgColor indexed="1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9"/>
      </patternFill>
    </fill>
    <fill>
      <patternFill patternType="solid">
        <fgColor indexed="26"/>
      </patternFill>
    </fill>
    <fill>
      <patternFill patternType="solid">
        <fgColor indexed="65"/>
        <bgColor indexed="64"/>
      </patternFill>
    </fill>
    <fill>
      <patternFill patternType="solid">
        <fgColor indexed="40"/>
        <bgColor indexed="64"/>
      </patternFill>
    </fill>
    <fill>
      <patternFill patternType="solid">
        <fgColor indexed="43"/>
      </patternFill>
    </fill>
    <fill>
      <patternFill patternType="darkVertica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4"/>
      </patternFill>
    </fill>
    <fill>
      <patternFill patternType="solid">
        <fgColor indexed="44"/>
        <bgColor indexed="64"/>
      </patternFill>
    </fill>
    <fill>
      <patternFill patternType="solid">
        <fgColor indexed="41"/>
        <bgColor indexed="64"/>
      </patternFill>
    </fill>
    <fill>
      <patternFill patternType="solid">
        <fgColor indexed="35"/>
        <bgColor indexed="64"/>
      </patternFill>
    </fill>
    <fill>
      <patternFill patternType="gray125">
        <fgColor indexed="35"/>
      </patternFill>
    </fill>
    <fill>
      <patternFill patternType="solid">
        <fgColor indexed="26"/>
        <bgColor indexed="9"/>
      </patternFill>
    </fill>
    <fill>
      <patternFill patternType="solid">
        <fgColor indexed="9"/>
        <bgColor indexed="10"/>
      </patternFill>
    </fill>
    <fill>
      <patternFill patternType="solid">
        <fgColor theme="9" tint="0.39997558519241921"/>
        <bgColor indexed="64"/>
      </patternFill>
    </fill>
  </fills>
  <borders count="6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auto="1"/>
      </left>
      <right style="thin">
        <color auto="1"/>
      </right>
      <top style="dashed">
        <color auto="1"/>
      </top>
      <bottom style="thin">
        <color auto="1"/>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dashed">
        <color indexed="64"/>
      </top>
      <bottom/>
      <diagonal/>
    </border>
    <border>
      <left/>
      <right style="thin">
        <color indexed="64"/>
      </right>
      <top/>
      <bottom/>
      <diagonal/>
    </border>
    <border>
      <left style="thin">
        <color auto="1"/>
      </left>
      <right style="thin">
        <color auto="1"/>
      </right>
      <top style="dashed">
        <color auto="1"/>
      </top>
      <bottom style="thin">
        <color auto="1"/>
      </bottom>
      <diagonal/>
    </border>
    <border>
      <left/>
      <right/>
      <top style="thin">
        <color indexed="64"/>
      </top>
      <bottom/>
      <diagonal/>
    </border>
    <border>
      <left style="thin">
        <color indexed="64"/>
      </left>
      <right style="thin">
        <color indexed="64"/>
      </right>
      <top style="dashed">
        <color indexed="64"/>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auto="1"/>
      </left>
      <right style="thin">
        <color auto="1"/>
      </right>
      <top style="hair">
        <color auto="1"/>
      </top>
      <bottom/>
      <diagonal/>
    </border>
    <border>
      <left style="thin">
        <color indexed="64"/>
      </left>
      <right style="thin">
        <color indexed="64"/>
      </right>
      <top style="double">
        <color indexed="64"/>
      </top>
      <bottom style="hair">
        <color indexed="64"/>
      </bottom>
      <diagonal/>
    </border>
    <border>
      <left/>
      <right/>
      <top/>
      <bottom style="hair">
        <color indexed="64"/>
      </bottom>
      <diagonal/>
    </border>
    <border>
      <left style="thin">
        <color indexed="8"/>
      </left>
      <right style="thin">
        <color indexed="8"/>
      </right>
      <top style="hair">
        <color indexed="8"/>
      </top>
      <bottom style="hair">
        <color indexed="8"/>
      </bottom>
      <diagonal/>
    </border>
    <border>
      <left style="thin">
        <color indexed="8"/>
      </left>
      <right style="thin">
        <color indexed="8"/>
      </right>
      <top style="thin">
        <color indexed="8"/>
      </top>
      <bottom style="thin">
        <color indexed="8"/>
      </bottom>
      <diagonal/>
    </border>
    <border>
      <left/>
      <right/>
      <top style="double">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style="double">
        <color indexed="64"/>
      </right>
      <top/>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double">
        <color indexed="64"/>
      </top>
      <bottom style="double">
        <color indexed="64"/>
      </bottom>
      <diagonal/>
    </border>
    <border>
      <left style="thick">
        <color indexed="64"/>
      </left>
      <right/>
      <top style="thick">
        <color indexed="64"/>
      </top>
      <bottom/>
      <diagonal/>
    </border>
    <border>
      <left style="medium">
        <color indexed="10"/>
      </left>
      <right style="medium">
        <color indexed="10"/>
      </right>
      <top style="hair">
        <color indexed="10"/>
      </top>
      <bottom style="hair">
        <color indexed="10"/>
      </bottom>
      <diagonal/>
    </border>
    <border>
      <left style="thin">
        <color indexed="22"/>
      </left>
      <right style="thin">
        <color indexed="22"/>
      </right>
      <top style="thin">
        <color indexed="22"/>
      </top>
      <bottom style="thin">
        <color indexed="22"/>
      </bottom>
      <diagonal/>
    </border>
    <border>
      <left/>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8"/>
      </top>
      <bottom style="thin">
        <color indexed="64"/>
      </bottom>
      <diagonal/>
    </border>
    <border>
      <left style="double">
        <color indexed="64"/>
      </left>
      <right style="thin">
        <color indexed="64"/>
      </right>
      <top style="hair">
        <color indexed="64"/>
      </top>
      <bottom style="hair">
        <color indexed="64"/>
      </bottom>
      <diagonal/>
    </border>
    <border>
      <left/>
      <right/>
      <top/>
      <bottom style="double">
        <color indexed="52"/>
      </bottom>
      <diagonal/>
    </border>
    <border>
      <left/>
      <right/>
      <top style="medium">
        <color indexed="64"/>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right style="thin">
        <color indexed="64"/>
      </right>
      <top style="hair">
        <color indexed="64"/>
      </top>
      <bottom style="hair">
        <color indexed="64"/>
      </bottom>
      <diagonal/>
    </border>
    <border>
      <left style="thin">
        <color indexed="8"/>
      </left>
      <right/>
      <top style="thin">
        <color indexed="8"/>
      </top>
      <bottom style="thin">
        <color indexed="8"/>
      </bottom>
      <diagonal/>
    </border>
    <border>
      <left style="thin">
        <color indexed="64"/>
      </left>
      <right style="medium">
        <color indexed="64"/>
      </right>
      <top style="medium">
        <color indexed="64"/>
      </top>
      <bottom style="thin">
        <color indexed="64"/>
      </bottom>
      <diagonal/>
    </border>
    <border>
      <left/>
      <right style="medium">
        <color indexed="0"/>
      </right>
      <top/>
      <bottom/>
      <diagonal/>
    </border>
    <border>
      <left style="double">
        <color indexed="64"/>
      </left>
      <right style="thin">
        <color indexed="64"/>
      </right>
      <top style="double">
        <color indexed="64"/>
      </top>
      <bottom/>
      <diagonal/>
    </border>
    <border>
      <left/>
      <right/>
      <top style="thin">
        <color indexed="62"/>
      </top>
      <bottom style="double">
        <color indexed="62"/>
      </bottom>
      <diagonal/>
    </border>
    <border>
      <left style="double">
        <color indexed="64"/>
      </left>
      <right style="thin">
        <color indexed="64"/>
      </right>
      <top style="hair">
        <color indexed="64"/>
      </top>
      <bottom style="double">
        <color indexed="64"/>
      </bottom>
      <diagonal/>
    </border>
    <border>
      <left style="medium">
        <color indexed="9"/>
      </left>
      <right style="medium">
        <color indexed="9"/>
      </right>
      <top style="medium">
        <color indexed="9"/>
      </top>
      <bottom style="medium">
        <color indexed="9"/>
      </bottom>
      <diagonal/>
    </border>
    <border>
      <left style="hair">
        <color indexed="64"/>
      </left>
      <right/>
      <top/>
      <bottom/>
      <diagonal/>
    </border>
    <border>
      <left style="double">
        <color indexed="64"/>
      </left>
      <right style="double">
        <color indexed="64"/>
      </right>
      <top style="double">
        <color indexed="64"/>
      </top>
      <bottom style="double">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style="medium">
        <color indexed="64"/>
      </top>
      <bottom/>
      <diagonal/>
    </border>
  </borders>
  <cellStyleXfs count="2020">
    <xf numFmtId="0" fontId="0" fillId="0" borderId="0"/>
    <xf numFmtId="0" fontId="4" fillId="0" borderId="0"/>
    <xf numFmtId="0" fontId="4" fillId="0" borderId="0"/>
    <xf numFmtId="43" fontId="3" fillId="0" borderId="0" applyFont="0" applyFill="0" applyBorder="0" applyAlignment="0" applyProtection="0"/>
    <xf numFmtId="43" fontId="4" fillId="0" borderId="0" applyFont="0" applyFill="0" applyBorder="0" applyAlignment="0" applyProtection="0"/>
    <xf numFmtId="168" fontId="4" fillId="0" borderId="0" applyFill="0" applyBorder="0" applyAlignment="0" applyProtection="0"/>
    <xf numFmtId="0" fontId="7" fillId="0" borderId="0"/>
    <xf numFmtId="0" fontId="6" fillId="0" borderId="0"/>
    <xf numFmtId="0" fontId="4" fillId="0" borderId="0"/>
    <xf numFmtId="0" fontId="8" fillId="0" borderId="0"/>
    <xf numFmtId="9" fontId="3" fillId="0" borderId="0" applyFont="0" applyFill="0" applyBorder="0" applyAlignment="0" applyProtection="0"/>
    <xf numFmtId="0" fontId="9" fillId="0" borderId="0"/>
    <xf numFmtId="0" fontId="17" fillId="0" borderId="0"/>
    <xf numFmtId="0" fontId="7" fillId="0" borderId="0"/>
    <xf numFmtId="0" fontId="17" fillId="0" borderId="0"/>
    <xf numFmtId="0" fontId="17" fillId="0" borderId="0"/>
    <xf numFmtId="0" fontId="7" fillId="0" borderId="0"/>
    <xf numFmtId="174" fontId="5" fillId="0" borderId="0" applyFont="0" applyFill="0" applyBorder="0" applyAlignment="0" applyProtection="0"/>
    <xf numFmtId="43" fontId="102" fillId="0" borderId="0" applyFont="0" applyFill="0" applyBorder="0" applyAlignment="0" applyProtection="0"/>
    <xf numFmtId="0" fontId="105" fillId="0" borderId="0"/>
    <xf numFmtId="43" fontId="3" fillId="0" borderId="0" applyFont="0" applyFill="0" applyBorder="0" applyAlignment="0" applyProtection="0"/>
    <xf numFmtId="184" fontId="108" fillId="0" borderId="0" applyFon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3" fontId="109" fillId="0" borderId="1"/>
    <xf numFmtId="166" fontId="110" fillId="0" borderId="29" applyFont="0" applyBorder="0"/>
    <xf numFmtId="181" fontId="91" fillId="0" borderId="0" applyBorder="0"/>
    <xf numFmtId="166" fontId="110" fillId="0" borderId="29" applyFont="0" applyBorder="0"/>
    <xf numFmtId="0" fontId="111" fillId="0" borderId="0"/>
    <xf numFmtId="185" fontId="4" fillId="0" borderId="0" applyFont="0" applyFill="0" applyBorder="0" applyAlignment="0" applyProtection="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186" fontId="40" fillId="0" borderId="0" applyFont="0" applyFill="0" applyBorder="0" applyAlignment="0" applyProtection="0"/>
    <xf numFmtId="187" fontId="4" fillId="0" borderId="0" applyFont="0" applyFill="0" applyBorder="0" applyAlignment="0" applyProtection="0"/>
    <xf numFmtId="0" fontId="4" fillId="0" borderId="0" applyNumberFormat="0" applyFill="0" applyBorder="0" applyAlignment="0" applyProtection="0"/>
    <xf numFmtId="0" fontId="113" fillId="0" borderId="0" applyFont="0" applyFill="0" applyBorder="0" applyAlignment="0" applyProtection="0"/>
    <xf numFmtId="0" fontId="114" fillId="0" borderId="30"/>
    <xf numFmtId="188" fontId="115" fillId="0" borderId="0" applyFont="0" applyFill="0" applyBorder="0" applyAlignment="0" applyProtection="0"/>
    <xf numFmtId="189" fontId="115" fillId="0" borderId="0" applyFont="0" applyFill="0" applyBorder="0" applyAlignment="0" applyProtection="0"/>
    <xf numFmtId="190" fontId="111" fillId="0" borderId="0" applyFont="0" applyFill="0" applyBorder="0" applyAlignment="0" applyProtection="0"/>
    <xf numFmtId="191" fontId="116" fillId="0" borderId="0" applyFont="0" applyFill="0" applyBorder="0" applyAlignment="0" applyProtection="0"/>
    <xf numFmtId="192" fontId="116" fillId="0" borderId="0" applyFont="0" applyFill="0" applyBorder="0" applyAlignment="0" applyProtection="0"/>
    <xf numFmtId="6" fontId="117" fillId="0" borderId="0" applyFont="0" applyFill="0" applyBorder="0" applyAlignment="0" applyProtection="0"/>
    <xf numFmtId="0" fontId="118"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119" fillId="0" borderId="0"/>
    <xf numFmtId="0" fontId="4" fillId="0" borderId="0" applyNumberFormat="0" applyFill="0" applyBorder="0" applyAlignment="0" applyProtection="0"/>
    <xf numFmtId="191" fontId="7" fillId="0" borderId="0" applyFont="0" applyFill="0" applyBorder="0" applyAlignment="0" applyProtection="0"/>
    <xf numFmtId="193" fontId="120" fillId="0" borderId="0" applyFont="0" applyFill="0" applyBorder="0" applyAlignment="0" applyProtection="0"/>
    <xf numFmtId="194" fontId="120" fillId="0" borderId="0" applyFont="0" applyFill="0" applyBorder="0" applyAlignment="0" applyProtection="0"/>
    <xf numFmtId="194" fontId="120" fillId="0" borderId="0" applyFont="0" applyFill="0" applyBorder="0" applyAlignment="0" applyProtection="0"/>
    <xf numFmtId="0" fontId="121" fillId="0" borderId="0"/>
    <xf numFmtId="0" fontId="121" fillId="0" borderId="0"/>
    <xf numFmtId="0" fontId="121" fillId="0" borderId="0"/>
    <xf numFmtId="195" fontId="7" fillId="0" borderId="0" applyFont="0" applyFill="0" applyBorder="0" applyAlignment="0" applyProtection="0"/>
    <xf numFmtId="195" fontId="7" fillId="0" borderId="0" applyFont="0" applyFill="0" applyBorder="0" applyAlignment="0" applyProtection="0"/>
    <xf numFmtId="193" fontId="120" fillId="0" borderId="0" applyFont="0" applyFill="0" applyBorder="0" applyAlignment="0" applyProtection="0"/>
    <xf numFmtId="0" fontId="121" fillId="0" borderId="0"/>
    <xf numFmtId="0" fontId="112" fillId="0" borderId="0"/>
    <xf numFmtId="0" fontId="122" fillId="0" borderId="0">
      <alignment vertical="top"/>
    </xf>
    <xf numFmtId="0" fontId="122" fillId="0" borderId="0">
      <alignment vertical="top"/>
    </xf>
    <xf numFmtId="188" fontId="120" fillId="0" borderId="0" applyFont="0" applyFill="0" applyBorder="0" applyAlignment="0" applyProtection="0"/>
    <xf numFmtId="193" fontId="120" fillId="0" borderId="0" applyFont="0" applyFill="0" applyBorder="0" applyAlignment="0" applyProtection="0"/>
    <xf numFmtId="196" fontId="108" fillId="0" borderId="0" applyFont="0" applyFill="0" applyBorder="0" applyAlignment="0" applyProtection="0"/>
    <xf numFmtId="197" fontId="120" fillId="0" borderId="0" applyFont="0" applyFill="0" applyBorder="0" applyAlignment="0" applyProtection="0"/>
    <xf numFmtId="198" fontId="120" fillId="0" borderId="0" applyFont="0" applyFill="0" applyBorder="0" applyAlignment="0" applyProtection="0"/>
    <xf numFmtId="197" fontId="120" fillId="0" borderId="0" applyFont="0" applyFill="0" applyBorder="0" applyAlignment="0" applyProtection="0"/>
    <xf numFmtId="196" fontId="108" fillId="0" borderId="0" applyFont="0" applyFill="0" applyBorder="0" applyAlignment="0" applyProtection="0"/>
    <xf numFmtId="0" fontId="112" fillId="0" borderId="0"/>
    <xf numFmtId="0" fontId="111" fillId="0" borderId="0" applyNumberFormat="0" applyFill="0" applyBorder="0" applyAlignment="0" applyProtection="0"/>
    <xf numFmtId="0" fontId="111" fillId="0" borderId="0" applyNumberFormat="0" applyFill="0" applyBorder="0" applyAlignment="0" applyProtection="0"/>
    <xf numFmtId="196" fontId="108" fillId="0" borderId="0" applyFont="0" applyFill="0" applyBorder="0" applyAlignment="0" applyProtection="0"/>
    <xf numFmtId="0" fontId="112" fillId="0" borderId="0"/>
    <xf numFmtId="0" fontId="122" fillId="0" borderId="0">
      <alignment vertical="top"/>
    </xf>
    <xf numFmtId="0" fontId="122" fillId="0" borderId="0">
      <alignment vertical="top"/>
    </xf>
    <xf numFmtId="0" fontId="122" fillId="0" borderId="0">
      <alignment vertical="top"/>
    </xf>
    <xf numFmtId="193" fontId="120" fillId="0" borderId="0" applyFont="0" applyFill="0" applyBorder="0" applyAlignment="0" applyProtection="0"/>
    <xf numFmtId="193" fontId="120" fillId="0" borderId="0" applyFont="0" applyFill="0" applyBorder="0" applyAlignment="0" applyProtection="0"/>
    <xf numFmtId="193" fontId="123" fillId="0" borderId="0" applyFon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2" fillId="0" borderId="0"/>
    <xf numFmtId="0" fontId="112" fillId="0" borderId="0"/>
    <xf numFmtId="0" fontId="112" fillId="0" borderId="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21" fillId="0" borderId="0" applyFont="0" applyFill="0" applyBorder="0" applyAlignment="0" applyProtection="0"/>
    <xf numFmtId="0" fontId="121" fillId="0" borderId="0" applyFont="0" applyFill="0" applyBorder="0" applyAlignment="0" applyProtection="0"/>
    <xf numFmtId="0" fontId="121" fillId="0" borderId="0" applyFont="0" applyFill="0" applyBorder="0" applyAlignment="0" applyProtection="0"/>
    <xf numFmtId="0" fontId="121" fillId="0" borderId="0" applyFont="0" applyFill="0" applyBorder="0" applyAlignment="0" applyProtection="0"/>
    <xf numFmtId="0" fontId="112" fillId="0" borderId="0"/>
    <xf numFmtId="0" fontId="112" fillId="0" borderId="0"/>
    <xf numFmtId="0" fontId="121" fillId="0" borderId="0"/>
    <xf numFmtId="193" fontId="120" fillId="0" borderId="0" applyFont="0" applyFill="0" applyBorder="0" applyAlignment="0" applyProtection="0"/>
    <xf numFmtId="199" fontId="108" fillId="0" borderId="0" applyFont="0" applyFill="0" applyBorder="0" applyAlignment="0" applyProtection="0"/>
    <xf numFmtId="194" fontId="120" fillId="0" borderId="0" applyFont="0" applyFill="0" applyBorder="0" applyAlignment="0" applyProtection="0"/>
    <xf numFmtId="184" fontId="108" fillId="0" borderId="0" applyFont="0" applyFill="0" applyBorder="0" applyAlignment="0" applyProtection="0"/>
    <xf numFmtId="193" fontId="108" fillId="0" borderId="0" applyFont="0" applyFill="0" applyBorder="0" applyAlignment="0" applyProtection="0"/>
    <xf numFmtId="193" fontId="108" fillId="0" borderId="0" applyFont="0" applyFill="0" applyBorder="0" applyAlignment="0" applyProtection="0"/>
    <xf numFmtId="200" fontId="124" fillId="0" borderId="0" applyFont="0" applyFill="0" applyBorder="0" applyAlignment="0" applyProtection="0"/>
    <xf numFmtId="201" fontId="108" fillId="0" borderId="0" applyFont="0" applyFill="0" applyBorder="0" applyAlignment="0" applyProtection="0"/>
    <xf numFmtId="201" fontId="108" fillId="0" borderId="0" applyFont="0" applyFill="0" applyBorder="0" applyAlignment="0" applyProtection="0"/>
    <xf numFmtId="180" fontId="4" fillId="0" borderId="0" applyFont="0" applyFill="0" applyBorder="0" applyAlignment="0" applyProtection="0"/>
    <xf numFmtId="180" fontId="4" fillId="0" borderId="0" applyFont="0" applyFill="0" applyBorder="0" applyAlignment="0" applyProtection="0"/>
    <xf numFmtId="180" fontId="124" fillId="0" borderId="0" applyFont="0" applyFill="0" applyBorder="0" applyAlignment="0" applyProtection="0"/>
    <xf numFmtId="201" fontId="108" fillId="0" borderId="0" applyFont="0" applyFill="0" applyBorder="0" applyAlignment="0" applyProtection="0"/>
    <xf numFmtId="200" fontId="124" fillId="0" borderId="0" applyFont="0" applyFill="0" applyBorder="0" applyAlignment="0" applyProtection="0"/>
    <xf numFmtId="184" fontId="108" fillId="0" borderId="0" applyFont="0" applyFill="0" applyBorder="0" applyAlignment="0" applyProtection="0"/>
    <xf numFmtId="193" fontId="108" fillId="0" borderId="0" applyFont="0" applyFill="0" applyBorder="0" applyAlignment="0" applyProtection="0"/>
    <xf numFmtId="192" fontId="108" fillId="0" borderId="0" applyFont="0" applyFill="0" applyBorder="0" applyAlignment="0" applyProtection="0"/>
    <xf numFmtId="192" fontId="108" fillId="0" borderId="0" applyFont="0" applyFill="0" applyBorder="0" applyAlignment="0" applyProtection="0"/>
    <xf numFmtId="202" fontId="108" fillId="0" borderId="0" applyFont="0" applyFill="0" applyBorder="0" applyAlignment="0" applyProtection="0"/>
    <xf numFmtId="202" fontId="108" fillId="0" borderId="0" applyFont="0" applyFill="0" applyBorder="0" applyAlignment="0" applyProtection="0"/>
    <xf numFmtId="0" fontId="120" fillId="0" borderId="0" applyFont="0" applyFill="0" applyBorder="0" applyAlignment="0" applyProtection="0"/>
    <xf numFmtId="165" fontId="120" fillId="0" borderId="0" applyFont="0" applyFill="0" applyBorder="0" applyAlignment="0" applyProtection="0"/>
    <xf numFmtId="203" fontId="120" fillId="0" borderId="0" applyFont="0" applyFill="0" applyBorder="0" applyAlignment="0" applyProtection="0"/>
    <xf numFmtId="204" fontId="120" fillId="0" borderId="0" applyFont="0" applyFill="0" applyBorder="0" applyAlignment="0" applyProtection="0"/>
    <xf numFmtId="205" fontId="120" fillId="0" borderId="0" applyFont="0" applyFill="0" applyBorder="0" applyAlignment="0" applyProtection="0"/>
    <xf numFmtId="204" fontId="120" fillId="0" borderId="0" applyFont="0" applyFill="0" applyBorder="0" applyAlignment="0" applyProtection="0"/>
    <xf numFmtId="165" fontId="120" fillId="0" borderId="0" applyFont="0" applyFill="0" applyBorder="0" applyAlignment="0" applyProtection="0"/>
    <xf numFmtId="165" fontId="120" fillId="0" borderId="0" applyFont="0" applyFill="0" applyBorder="0" applyAlignment="0" applyProtection="0"/>
    <xf numFmtId="205" fontId="120" fillId="0" borderId="0" applyFont="0" applyFill="0" applyBorder="0" applyAlignment="0" applyProtection="0"/>
    <xf numFmtId="203" fontId="120" fillId="0" borderId="0" applyFont="0" applyFill="0" applyBorder="0" applyAlignment="0" applyProtection="0"/>
    <xf numFmtId="206" fontId="120" fillId="0" borderId="0" applyFont="0" applyFill="0" applyBorder="0" applyAlignment="0" applyProtection="0"/>
    <xf numFmtId="0" fontId="120" fillId="0" borderId="0" applyFont="0" applyFill="0" applyBorder="0" applyAlignment="0" applyProtection="0"/>
    <xf numFmtId="165" fontId="120" fillId="0" borderId="0" applyFont="0" applyFill="0" applyBorder="0" applyAlignment="0" applyProtection="0"/>
    <xf numFmtId="0" fontId="120" fillId="0" borderId="0" applyFont="0" applyFill="0" applyBorder="0" applyAlignment="0" applyProtection="0"/>
    <xf numFmtId="204" fontId="120" fillId="0" borderId="0" applyFont="0" applyFill="0" applyBorder="0" applyAlignment="0" applyProtection="0"/>
    <xf numFmtId="204" fontId="120" fillId="0" borderId="0" applyFont="0" applyFill="0" applyBorder="0" applyAlignment="0" applyProtection="0"/>
    <xf numFmtId="203" fontId="120" fillId="0" borderId="0" applyFont="0" applyFill="0" applyBorder="0" applyAlignment="0" applyProtection="0"/>
    <xf numFmtId="173" fontId="120" fillId="0" borderId="0" applyFont="0" applyFill="0" applyBorder="0" applyAlignment="0" applyProtection="0"/>
    <xf numFmtId="204" fontId="120" fillId="0" borderId="0" applyFont="0" applyFill="0" applyBorder="0" applyAlignment="0" applyProtection="0"/>
    <xf numFmtId="207" fontId="120" fillId="0" borderId="0" applyFont="0" applyFill="0" applyBorder="0" applyAlignment="0" applyProtection="0"/>
    <xf numFmtId="207" fontId="120" fillId="0" borderId="0" applyFont="0" applyFill="0" applyBorder="0" applyAlignment="0" applyProtection="0"/>
    <xf numFmtId="203" fontId="120" fillId="0" borderId="0" applyFont="0" applyFill="0" applyBorder="0" applyAlignment="0" applyProtection="0"/>
    <xf numFmtId="205" fontId="120" fillId="0" borderId="0" applyFont="0" applyFill="0" applyBorder="0" applyAlignment="0" applyProtection="0"/>
    <xf numFmtId="205" fontId="120" fillId="0" borderId="0" applyFont="0" applyFill="0" applyBorder="0" applyAlignment="0" applyProtection="0"/>
    <xf numFmtId="165" fontId="120" fillId="0" borderId="0" applyFont="0" applyFill="0" applyBorder="0" applyAlignment="0" applyProtection="0"/>
    <xf numFmtId="204" fontId="120" fillId="0" borderId="0" applyFont="0" applyFill="0" applyBorder="0" applyAlignment="0" applyProtection="0"/>
    <xf numFmtId="165" fontId="120" fillId="0" borderId="0" applyFont="0" applyFill="0" applyBorder="0" applyAlignment="0" applyProtection="0"/>
    <xf numFmtId="205" fontId="120" fillId="0" borderId="0" applyFont="0" applyFill="0" applyBorder="0" applyAlignment="0" applyProtection="0"/>
    <xf numFmtId="204" fontId="120" fillId="0" borderId="0" applyFont="0" applyFill="0" applyBorder="0" applyAlignment="0" applyProtection="0"/>
    <xf numFmtId="204" fontId="120" fillId="0" borderId="0" applyFont="0" applyFill="0" applyBorder="0" applyAlignment="0" applyProtection="0"/>
    <xf numFmtId="204" fontId="120" fillId="0" borderId="0" applyFont="0" applyFill="0" applyBorder="0" applyAlignment="0" applyProtection="0"/>
    <xf numFmtId="173" fontId="120" fillId="0" borderId="0" applyFont="0" applyFill="0" applyBorder="0" applyAlignment="0" applyProtection="0"/>
    <xf numFmtId="173" fontId="120" fillId="0" borderId="0" applyFont="0" applyFill="0" applyBorder="0" applyAlignment="0" applyProtection="0"/>
    <xf numFmtId="205" fontId="120" fillId="0" borderId="0" applyFont="0" applyFill="0" applyBorder="0" applyAlignment="0" applyProtection="0"/>
    <xf numFmtId="208" fontId="120" fillId="0" borderId="0" applyFont="0" applyFill="0" applyBorder="0" applyAlignment="0" applyProtection="0"/>
    <xf numFmtId="165" fontId="120" fillId="0" borderId="0" applyFont="0" applyFill="0" applyBorder="0" applyAlignment="0" applyProtection="0"/>
    <xf numFmtId="204" fontId="120" fillId="0" borderId="0" applyFont="0" applyFill="0" applyBorder="0" applyAlignment="0" applyProtection="0"/>
    <xf numFmtId="209" fontId="108" fillId="0" borderId="0" applyFont="0" applyFill="0" applyBorder="0" applyAlignment="0" applyProtection="0"/>
    <xf numFmtId="205" fontId="120" fillId="0" borderId="0" applyFont="0" applyFill="0" applyBorder="0" applyAlignment="0" applyProtection="0"/>
    <xf numFmtId="204" fontId="120" fillId="0" borderId="0" applyFont="0" applyFill="0" applyBorder="0" applyAlignment="0" applyProtection="0"/>
    <xf numFmtId="204" fontId="120" fillId="0" borderId="0" applyFont="0" applyFill="0" applyBorder="0" applyAlignment="0" applyProtection="0"/>
    <xf numFmtId="204" fontId="120" fillId="0" borderId="0" applyFont="0" applyFill="0" applyBorder="0" applyAlignment="0" applyProtection="0"/>
    <xf numFmtId="205" fontId="120" fillId="0" borderId="0" applyFont="0" applyFill="0" applyBorder="0" applyAlignment="0" applyProtection="0"/>
    <xf numFmtId="204" fontId="120" fillId="0" borderId="0" applyFont="0" applyFill="0" applyBorder="0" applyAlignment="0" applyProtection="0"/>
    <xf numFmtId="205" fontId="120" fillId="0" borderId="0" applyFont="0" applyFill="0" applyBorder="0" applyAlignment="0" applyProtection="0"/>
    <xf numFmtId="191" fontId="124" fillId="0" borderId="0" applyFont="0" applyFill="0" applyBorder="0" applyAlignment="0" applyProtection="0"/>
    <xf numFmtId="210" fontId="120" fillId="0" borderId="0" applyFont="0" applyFill="0" applyBorder="0" applyAlignment="0" applyProtection="0"/>
    <xf numFmtId="210" fontId="120" fillId="0" borderId="0" applyFont="0" applyFill="0" applyBorder="0" applyAlignment="0" applyProtection="0"/>
    <xf numFmtId="211" fontId="4" fillId="0" borderId="0" applyFont="0" applyFill="0" applyBorder="0" applyAlignment="0" applyProtection="0"/>
    <xf numFmtId="211" fontId="4" fillId="0" borderId="0" applyFont="0" applyFill="0" applyBorder="0" applyAlignment="0" applyProtection="0"/>
    <xf numFmtId="192" fontId="124" fillId="0" borderId="0" applyFont="0" applyFill="0" applyBorder="0" applyAlignment="0" applyProtection="0"/>
    <xf numFmtId="210" fontId="120" fillId="0" borderId="0" applyFont="0" applyFill="0" applyBorder="0" applyAlignment="0" applyProtection="0"/>
    <xf numFmtId="191" fontId="124" fillId="0" borderId="0" applyFont="0" applyFill="0" applyBorder="0" applyAlignment="0" applyProtection="0"/>
    <xf numFmtId="212" fontId="125" fillId="0" borderId="0" applyFont="0" applyFill="0" applyBorder="0" applyAlignment="0" applyProtection="0"/>
    <xf numFmtId="208" fontId="120" fillId="0" borderId="0" applyFont="0" applyFill="0" applyBorder="0" applyAlignment="0" applyProtection="0"/>
    <xf numFmtId="204" fontId="120" fillId="0" borderId="0" applyFont="0" applyFill="0" applyBorder="0" applyAlignment="0" applyProtection="0"/>
    <xf numFmtId="192" fontId="120" fillId="0" borderId="0" applyFont="0" applyFill="0" applyBorder="0" applyAlignment="0" applyProtection="0"/>
    <xf numFmtId="192" fontId="120" fillId="0" borderId="0" applyFont="0" applyFill="0" applyBorder="0" applyAlignment="0" applyProtection="0"/>
    <xf numFmtId="204" fontId="120" fillId="0" borderId="0" applyFont="0" applyFill="0" applyBorder="0" applyAlignment="0" applyProtection="0"/>
    <xf numFmtId="204" fontId="120" fillId="0" borderId="0" applyFont="0" applyFill="0" applyBorder="0" applyAlignment="0" applyProtection="0"/>
    <xf numFmtId="165" fontId="120" fillId="0" borderId="0" applyFont="0" applyFill="0" applyBorder="0" applyAlignment="0" applyProtection="0"/>
    <xf numFmtId="204" fontId="120" fillId="0" borderId="0" applyFont="0" applyFill="0" applyBorder="0" applyAlignment="0" applyProtection="0"/>
    <xf numFmtId="191" fontId="108" fillId="0" borderId="0" applyFont="0" applyFill="0" applyBorder="0" applyAlignment="0" applyProtection="0"/>
    <xf numFmtId="194" fontId="120" fillId="0" borderId="0" applyFont="0" applyFill="0" applyBorder="0" applyAlignment="0" applyProtection="0"/>
    <xf numFmtId="196" fontId="108" fillId="0" borderId="0" applyFont="0" applyFill="0" applyBorder="0" applyAlignment="0" applyProtection="0"/>
    <xf numFmtId="197" fontId="120" fillId="0" borderId="0" applyFont="0" applyFill="0" applyBorder="0" applyAlignment="0" applyProtection="0"/>
    <xf numFmtId="198" fontId="120" fillId="0" borderId="0" applyFont="0" applyFill="0" applyBorder="0" applyAlignment="0" applyProtection="0"/>
    <xf numFmtId="197" fontId="120" fillId="0" borderId="0" applyFont="0" applyFill="0" applyBorder="0" applyAlignment="0" applyProtection="0"/>
    <xf numFmtId="193" fontId="123" fillId="0" borderId="0" applyFont="0" applyFill="0" applyBorder="0" applyAlignment="0" applyProtection="0"/>
    <xf numFmtId="193" fontId="120" fillId="0" borderId="0" applyFont="0" applyFill="0" applyBorder="0" applyAlignment="0" applyProtection="0"/>
    <xf numFmtId="199" fontId="108" fillId="0" borderId="0" applyFont="0" applyFill="0" applyBorder="0" applyAlignment="0" applyProtection="0"/>
    <xf numFmtId="193" fontId="120" fillId="0" borderId="0" applyFont="0" applyFill="0" applyBorder="0" applyAlignment="0" applyProtection="0"/>
    <xf numFmtId="197" fontId="120" fillId="0" borderId="0" applyFont="0" applyFill="0" applyBorder="0" applyAlignment="0" applyProtection="0"/>
    <xf numFmtId="193" fontId="123" fillId="0" borderId="0" applyFont="0" applyFill="0" applyBorder="0" applyAlignment="0" applyProtection="0"/>
    <xf numFmtId="213" fontId="120" fillId="0" borderId="0" applyFont="0" applyFill="0" applyBorder="0" applyAlignment="0" applyProtection="0"/>
    <xf numFmtId="196" fontId="108" fillId="0" borderId="0" applyFont="0" applyFill="0" applyBorder="0" applyAlignment="0" applyProtection="0"/>
    <xf numFmtId="214" fontId="124" fillId="0" borderId="0" applyFont="0" applyFill="0" applyBorder="0" applyAlignment="0" applyProtection="0"/>
    <xf numFmtId="215" fontId="120" fillId="0" borderId="0" applyFont="0" applyFill="0" applyBorder="0" applyAlignment="0" applyProtection="0"/>
    <xf numFmtId="215" fontId="120" fillId="0" borderId="0" applyFont="0" applyFill="0" applyBorder="0" applyAlignment="0" applyProtection="0"/>
    <xf numFmtId="216" fontId="124" fillId="0" borderId="0" applyFont="0" applyFill="0" applyBorder="0" applyAlignment="0" applyProtection="0"/>
    <xf numFmtId="215" fontId="120" fillId="0" borderId="0" applyFont="0" applyFill="0" applyBorder="0" applyAlignment="0" applyProtection="0"/>
    <xf numFmtId="214" fontId="124" fillId="0" borderId="0" applyFont="0" applyFill="0" applyBorder="0" applyAlignment="0" applyProtection="0"/>
    <xf numFmtId="215" fontId="120" fillId="0" borderId="0" applyFont="0" applyFill="0" applyBorder="0" applyAlignment="0" applyProtection="0"/>
    <xf numFmtId="196" fontId="120" fillId="0" borderId="0" applyFont="0" applyFill="0" applyBorder="0" applyAlignment="0" applyProtection="0"/>
    <xf numFmtId="196" fontId="120" fillId="0" borderId="0" applyFont="0" applyFill="0" applyBorder="0" applyAlignment="0" applyProtection="0"/>
    <xf numFmtId="216" fontId="124" fillId="0" borderId="0" applyFont="0" applyFill="0" applyBorder="0" applyAlignment="0" applyProtection="0"/>
    <xf numFmtId="217" fontId="120" fillId="0" borderId="0" applyFont="0" applyFill="0" applyBorder="0" applyAlignment="0" applyProtection="0"/>
    <xf numFmtId="217" fontId="120" fillId="0" borderId="0" applyFont="0" applyFill="0" applyBorder="0" applyAlignment="0" applyProtection="0"/>
    <xf numFmtId="218" fontId="4" fillId="0" borderId="0" applyFont="0" applyFill="0" applyBorder="0" applyAlignment="0" applyProtection="0"/>
    <xf numFmtId="218" fontId="4" fillId="0" borderId="0" applyFont="0" applyFill="0" applyBorder="0" applyAlignment="0" applyProtection="0"/>
    <xf numFmtId="191" fontId="124" fillId="0" borderId="0" applyFont="0" applyFill="0" applyBorder="0" applyAlignment="0" applyProtection="0"/>
    <xf numFmtId="217" fontId="120" fillId="0" borderId="0" applyFont="0" applyFill="0" applyBorder="0" applyAlignment="0" applyProtection="0"/>
    <xf numFmtId="216" fontId="124" fillId="0" borderId="0" applyFont="0" applyFill="0" applyBorder="0" applyAlignment="0" applyProtection="0"/>
    <xf numFmtId="219" fontId="125" fillId="0" borderId="0" applyFont="0" applyFill="0" applyBorder="0" applyAlignment="0" applyProtection="0"/>
    <xf numFmtId="220" fontId="120" fillId="0" borderId="0" applyFont="0" applyFill="0" applyBorder="0" applyAlignment="0" applyProtection="0"/>
    <xf numFmtId="193" fontId="120" fillId="0" borderId="0" applyFont="0" applyFill="0" applyBorder="0" applyAlignment="0" applyProtection="0"/>
    <xf numFmtId="0" fontId="120" fillId="0" borderId="0" applyFont="0" applyFill="0" applyBorder="0" applyAlignment="0" applyProtection="0"/>
    <xf numFmtId="165" fontId="120" fillId="0" borderId="0" applyFont="0" applyFill="0" applyBorder="0" applyAlignment="0" applyProtection="0"/>
    <xf numFmtId="203" fontId="120" fillId="0" borderId="0" applyFont="0" applyFill="0" applyBorder="0" applyAlignment="0" applyProtection="0"/>
    <xf numFmtId="204" fontId="120" fillId="0" borderId="0" applyFont="0" applyFill="0" applyBorder="0" applyAlignment="0" applyProtection="0"/>
    <xf numFmtId="205" fontId="120" fillId="0" borderId="0" applyFont="0" applyFill="0" applyBorder="0" applyAlignment="0" applyProtection="0"/>
    <xf numFmtId="204" fontId="120" fillId="0" borderId="0" applyFont="0" applyFill="0" applyBorder="0" applyAlignment="0" applyProtection="0"/>
    <xf numFmtId="165" fontId="120" fillId="0" borderId="0" applyFont="0" applyFill="0" applyBorder="0" applyAlignment="0" applyProtection="0"/>
    <xf numFmtId="165" fontId="120" fillId="0" borderId="0" applyFont="0" applyFill="0" applyBorder="0" applyAlignment="0" applyProtection="0"/>
    <xf numFmtId="205" fontId="120" fillId="0" borderId="0" applyFont="0" applyFill="0" applyBorder="0" applyAlignment="0" applyProtection="0"/>
    <xf numFmtId="203" fontId="120" fillId="0" borderId="0" applyFont="0" applyFill="0" applyBorder="0" applyAlignment="0" applyProtection="0"/>
    <xf numFmtId="206" fontId="120" fillId="0" borderId="0" applyFont="0" applyFill="0" applyBorder="0" applyAlignment="0" applyProtection="0"/>
    <xf numFmtId="0" fontId="120" fillId="0" borderId="0" applyFont="0" applyFill="0" applyBorder="0" applyAlignment="0" applyProtection="0"/>
    <xf numFmtId="165" fontId="120" fillId="0" borderId="0" applyFont="0" applyFill="0" applyBorder="0" applyAlignment="0" applyProtection="0"/>
    <xf numFmtId="0" fontId="120" fillId="0" borderId="0" applyFont="0" applyFill="0" applyBorder="0" applyAlignment="0" applyProtection="0"/>
    <xf numFmtId="204" fontId="120" fillId="0" borderId="0" applyFont="0" applyFill="0" applyBorder="0" applyAlignment="0" applyProtection="0"/>
    <xf numFmtId="204" fontId="120" fillId="0" borderId="0" applyFont="0" applyFill="0" applyBorder="0" applyAlignment="0" applyProtection="0"/>
    <xf numFmtId="203" fontId="120" fillId="0" borderId="0" applyFont="0" applyFill="0" applyBorder="0" applyAlignment="0" applyProtection="0"/>
    <xf numFmtId="173" fontId="120" fillId="0" borderId="0" applyFont="0" applyFill="0" applyBorder="0" applyAlignment="0" applyProtection="0"/>
    <xf numFmtId="204" fontId="120" fillId="0" borderId="0" applyFont="0" applyFill="0" applyBorder="0" applyAlignment="0" applyProtection="0"/>
    <xf numFmtId="207" fontId="120" fillId="0" borderId="0" applyFont="0" applyFill="0" applyBorder="0" applyAlignment="0" applyProtection="0"/>
    <xf numFmtId="207" fontId="120" fillId="0" borderId="0" applyFont="0" applyFill="0" applyBorder="0" applyAlignment="0" applyProtection="0"/>
    <xf numFmtId="203" fontId="120" fillId="0" borderId="0" applyFont="0" applyFill="0" applyBorder="0" applyAlignment="0" applyProtection="0"/>
    <xf numFmtId="205" fontId="120" fillId="0" borderId="0" applyFont="0" applyFill="0" applyBorder="0" applyAlignment="0" applyProtection="0"/>
    <xf numFmtId="205" fontId="120" fillId="0" borderId="0" applyFont="0" applyFill="0" applyBorder="0" applyAlignment="0" applyProtection="0"/>
    <xf numFmtId="165" fontId="120" fillId="0" borderId="0" applyFont="0" applyFill="0" applyBorder="0" applyAlignment="0" applyProtection="0"/>
    <xf numFmtId="204" fontId="120" fillId="0" borderId="0" applyFont="0" applyFill="0" applyBorder="0" applyAlignment="0" applyProtection="0"/>
    <xf numFmtId="165" fontId="120" fillId="0" borderId="0" applyFont="0" applyFill="0" applyBorder="0" applyAlignment="0" applyProtection="0"/>
    <xf numFmtId="205" fontId="120" fillId="0" borderId="0" applyFont="0" applyFill="0" applyBorder="0" applyAlignment="0" applyProtection="0"/>
    <xf numFmtId="204" fontId="120" fillId="0" borderId="0" applyFont="0" applyFill="0" applyBorder="0" applyAlignment="0" applyProtection="0"/>
    <xf numFmtId="204" fontId="120" fillId="0" borderId="0" applyFont="0" applyFill="0" applyBorder="0" applyAlignment="0" applyProtection="0"/>
    <xf numFmtId="204" fontId="120" fillId="0" borderId="0" applyFont="0" applyFill="0" applyBorder="0" applyAlignment="0" applyProtection="0"/>
    <xf numFmtId="173" fontId="120" fillId="0" borderId="0" applyFont="0" applyFill="0" applyBorder="0" applyAlignment="0" applyProtection="0"/>
    <xf numFmtId="173" fontId="120" fillId="0" borderId="0" applyFont="0" applyFill="0" applyBorder="0" applyAlignment="0" applyProtection="0"/>
    <xf numFmtId="205" fontId="120" fillId="0" borderId="0" applyFont="0" applyFill="0" applyBorder="0" applyAlignment="0" applyProtection="0"/>
    <xf numFmtId="208" fontId="120" fillId="0" borderId="0" applyFont="0" applyFill="0" applyBorder="0" applyAlignment="0" applyProtection="0"/>
    <xf numFmtId="165" fontId="120" fillId="0" borderId="0" applyFont="0" applyFill="0" applyBorder="0" applyAlignment="0" applyProtection="0"/>
    <xf numFmtId="204" fontId="120" fillId="0" borderId="0" applyFont="0" applyFill="0" applyBorder="0" applyAlignment="0" applyProtection="0"/>
    <xf numFmtId="209" fontId="108" fillId="0" borderId="0" applyFont="0" applyFill="0" applyBorder="0" applyAlignment="0" applyProtection="0"/>
    <xf numFmtId="205" fontId="120" fillId="0" borderId="0" applyFont="0" applyFill="0" applyBorder="0" applyAlignment="0" applyProtection="0"/>
    <xf numFmtId="204" fontId="120" fillId="0" borderId="0" applyFont="0" applyFill="0" applyBorder="0" applyAlignment="0" applyProtection="0"/>
    <xf numFmtId="204" fontId="120" fillId="0" borderId="0" applyFont="0" applyFill="0" applyBorder="0" applyAlignment="0" applyProtection="0"/>
    <xf numFmtId="204" fontId="120" fillId="0" borderId="0" applyFont="0" applyFill="0" applyBorder="0" applyAlignment="0" applyProtection="0"/>
    <xf numFmtId="205" fontId="120" fillId="0" borderId="0" applyFont="0" applyFill="0" applyBorder="0" applyAlignment="0" applyProtection="0"/>
    <xf numFmtId="204" fontId="120" fillId="0" borderId="0" applyFont="0" applyFill="0" applyBorder="0" applyAlignment="0" applyProtection="0"/>
    <xf numFmtId="205" fontId="120" fillId="0" borderId="0" applyFont="0" applyFill="0" applyBorder="0" applyAlignment="0" applyProtection="0"/>
    <xf numFmtId="191" fontId="124" fillId="0" borderId="0" applyFont="0" applyFill="0" applyBorder="0" applyAlignment="0" applyProtection="0"/>
    <xf numFmtId="210" fontId="120" fillId="0" borderId="0" applyFont="0" applyFill="0" applyBorder="0" applyAlignment="0" applyProtection="0"/>
    <xf numFmtId="210" fontId="120" fillId="0" borderId="0" applyFont="0" applyFill="0" applyBorder="0" applyAlignment="0" applyProtection="0"/>
    <xf numFmtId="211" fontId="4" fillId="0" borderId="0" applyFont="0" applyFill="0" applyBorder="0" applyAlignment="0" applyProtection="0"/>
    <xf numFmtId="211" fontId="4" fillId="0" borderId="0" applyFont="0" applyFill="0" applyBorder="0" applyAlignment="0" applyProtection="0"/>
    <xf numFmtId="192" fontId="124" fillId="0" borderId="0" applyFont="0" applyFill="0" applyBorder="0" applyAlignment="0" applyProtection="0"/>
    <xf numFmtId="210" fontId="120" fillId="0" borderId="0" applyFont="0" applyFill="0" applyBorder="0" applyAlignment="0" applyProtection="0"/>
    <xf numFmtId="191" fontId="124" fillId="0" borderId="0" applyFont="0" applyFill="0" applyBorder="0" applyAlignment="0" applyProtection="0"/>
    <xf numFmtId="212" fontId="125" fillId="0" borderId="0" applyFont="0" applyFill="0" applyBorder="0" applyAlignment="0" applyProtection="0"/>
    <xf numFmtId="208" fontId="120" fillId="0" borderId="0" applyFont="0" applyFill="0" applyBorder="0" applyAlignment="0" applyProtection="0"/>
    <xf numFmtId="204" fontId="120" fillId="0" borderId="0" applyFont="0" applyFill="0" applyBorder="0" applyAlignment="0" applyProtection="0"/>
    <xf numFmtId="192" fontId="120" fillId="0" borderId="0" applyFont="0" applyFill="0" applyBorder="0" applyAlignment="0" applyProtection="0"/>
    <xf numFmtId="192" fontId="108" fillId="0" borderId="0" applyFont="0" applyFill="0" applyBorder="0" applyAlignment="0" applyProtection="0"/>
    <xf numFmtId="192" fontId="108" fillId="0" borderId="0" applyFont="0" applyFill="0" applyBorder="0" applyAlignment="0" applyProtection="0"/>
    <xf numFmtId="202" fontId="108" fillId="0" borderId="0" applyFont="0" applyFill="0" applyBorder="0" applyAlignment="0" applyProtection="0"/>
    <xf numFmtId="202" fontId="108" fillId="0" borderId="0" applyFont="0" applyFill="0" applyBorder="0" applyAlignment="0" applyProtection="0"/>
    <xf numFmtId="192" fontId="120" fillId="0" borderId="0" applyFont="0" applyFill="0" applyBorder="0" applyAlignment="0" applyProtection="0"/>
    <xf numFmtId="204" fontId="120" fillId="0" borderId="0" applyFont="0" applyFill="0" applyBorder="0" applyAlignment="0" applyProtection="0"/>
    <xf numFmtId="204" fontId="120" fillId="0" borderId="0" applyFont="0" applyFill="0" applyBorder="0" applyAlignment="0" applyProtection="0"/>
    <xf numFmtId="165" fontId="120" fillId="0" borderId="0" applyFont="0" applyFill="0" applyBorder="0" applyAlignment="0" applyProtection="0"/>
    <xf numFmtId="204" fontId="120" fillId="0" borderId="0" applyFont="0" applyFill="0" applyBorder="0" applyAlignment="0" applyProtection="0"/>
    <xf numFmtId="195" fontId="120" fillId="0" borderId="0" applyFont="0" applyFill="0" applyBorder="0" applyAlignment="0" applyProtection="0"/>
    <xf numFmtId="164" fontId="120" fillId="0" borderId="0" applyFont="0" applyFill="0" applyBorder="0" applyAlignment="0" applyProtection="0"/>
    <xf numFmtId="221" fontId="120" fillId="0" borderId="0" applyFont="0" applyFill="0" applyBorder="0" applyAlignment="0" applyProtection="0"/>
    <xf numFmtId="222" fontId="120" fillId="0" borderId="0" applyFont="0" applyFill="0" applyBorder="0" applyAlignment="0" applyProtection="0"/>
    <xf numFmtId="195" fontId="120" fillId="0" borderId="0" applyFont="0" applyFill="0" applyBorder="0" applyAlignment="0" applyProtection="0"/>
    <xf numFmtId="222" fontId="120" fillId="0" borderId="0" applyFont="0" applyFill="0" applyBorder="0" applyAlignment="0" applyProtection="0"/>
    <xf numFmtId="164" fontId="120" fillId="0" borderId="0" applyFont="0" applyFill="0" applyBorder="0" applyAlignment="0" applyProtection="0"/>
    <xf numFmtId="164" fontId="120" fillId="0" borderId="0" applyFont="0" applyFill="0" applyBorder="0" applyAlignment="0" applyProtection="0"/>
    <xf numFmtId="195" fontId="120" fillId="0" borderId="0" applyFont="0" applyFill="0" applyBorder="0" applyAlignment="0" applyProtection="0"/>
    <xf numFmtId="221" fontId="120" fillId="0" borderId="0" applyFont="0" applyFill="0" applyBorder="0" applyAlignment="0" applyProtection="0"/>
    <xf numFmtId="223" fontId="120" fillId="0" borderId="0" applyFont="0" applyFill="0" applyBorder="0" applyAlignment="0" applyProtection="0"/>
    <xf numFmtId="195" fontId="108" fillId="0" borderId="0" applyFont="0" applyFill="0" applyBorder="0" applyAlignment="0" applyProtection="0"/>
    <xf numFmtId="164" fontId="120" fillId="0" borderId="0" applyFont="0" applyFill="0" applyBorder="0" applyAlignment="0" applyProtection="0"/>
    <xf numFmtId="195" fontId="108" fillId="0" borderId="0" applyFont="0" applyFill="0" applyBorder="0" applyAlignment="0" applyProtection="0"/>
    <xf numFmtId="222" fontId="120" fillId="0" borderId="0" applyFont="0" applyFill="0" applyBorder="0" applyAlignment="0" applyProtection="0"/>
    <xf numFmtId="222" fontId="120" fillId="0" borderId="0" applyFont="0" applyFill="0" applyBorder="0" applyAlignment="0" applyProtection="0"/>
    <xf numFmtId="221" fontId="120" fillId="0" borderId="0" applyFont="0" applyFill="0" applyBorder="0" applyAlignment="0" applyProtection="0"/>
    <xf numFmtId="224" fontId="120" fillId="0" borderId="0" applyFont="0" applyFill="0" applyBorder="0" applyAlignment="0" applyProtection="0"/>
    <xf numFmtId="222" fontId="120" fillId="0" borderId="0" applyFont="0" applyFill="0" applyBorder="0" applyAlignment="0" applyProtection="0"/>
    <xf numFmtId="225" fontId="120" fillId="0" borderId="0" applyFont="0" applyFill="0" applyBorder="0" applyAlignment="0" applyProtection="0"/>
    <xf numFmtId="226" fontId="120" fillId="0" borderId="0" applyFont="0" applyFill="0" applyBorder="0" applyAlignment="0" applyProtection="0"/>
    <xf numFmtId="225" fontId="120" fillId="0" borderId="0" applyFont="0" applyFill="0" applyBorder="0" applyAlignment="0" applyProtection="0"/>
    <xf numFmtId="221" fontId="120" fillId="0" borderId="0" applyFont="0" applyFill="0" applyBorder="0" applyAlignment="0" applyProtection="0"/>
    <xf numFmtId="195" fontId="120" fillId="0" borderId="0" applyFont="0" applyFill="0" applyBorder="0" applyAlignment="0" applyProtection="0"/>
    <xf numFmtId="195" fontId="120" fillId="0" borderId="0" applyFont="0" applyFill="0" applyBorder="0" applyAlignment="0" applyProtection="0"/>
    <xf numFmtId="164" fontId="120" fillId="0" borderId="0" applyFont="0" applyFill="0" applyBorder="0" applyAlignment="0" applyProtection="0"/>
    <xf numFmtId="222" fontId="120" fillId="0" borderId="0" applyFont="0" applyFill="0" applyBorder="0" applyAlignment="0" applyProtection="0"/>
    <xf numFmtId="164" fontId="120" fillId="0" borderId="0" applyFont="0" applyFill="0" applyBorder="0" applyAlignment="0" applyProtection="0"/>
    <xf numFmtId="195" fontId="120" fillId="0" borderId="0" applyFont="0" applyFill="0" applyBorder="0" applyAlignment="0" applyProtection="0"/>
    <xf numFmtId="222" fontId="120" fillId="0" borderId="0" applyFont="0" applyFill="0" applyBorder="0" applyAlignment="0" applyProtection="0"/>
    <xf numFmtId="222" fontId="120" fillId="0" borderId="0" applyFont="0" applyFill="0" applyBorder="0" applyAlignment="0" applyProtection="0"/>
    <xf numFmtId="222" fontId="120" fillId="0" borderId="0" applyFont="0" applyFill="0" applyBorder="0" applyAlignment="0" applyProtection="0"/>
    <xf numFmtId="224" fontId="120" fillId="0" borderId="0" applyFont="0" applyFill="0" applyBorder="0" applyAlignment="0" applyProtection="0"/>
    <xf numFmtId="224" fontId="120" fillId="0" borderId="0" applyFont="0" applyFill="0" applyBorder="0" applyAlignment="0" applyProtection="0"/>
    <xf numFmtId="195" fontId="120" fillId="0" borderId="0" applyFont="0" applyFill="0" applyBorder="0" applyAlignment="0" applyProtection="0"/>
    <xf numFmtId="227" fontId="120" fillId="0" borderId="0" applyFont="0" applyFill="0" applyBorder="0" applyAlignment="0" applyProtection="0"/>
    <xf numFmtId="164" fontId="120" fillId="0" borderId="0" applyFont="0" applyFill="0" applyBorder="0" applyAlignment="0" applyProtection="0"/>
    <xf numFmtId="222" fontId="120" fillId="0" borderId="0" applyFont="0" applyFill="0" applyBorder="0" applyAlignment="0" applyProtection="0"/>
    <xf numFmtId="228" fontId="108" fillId="0" borderId="0" applyFont="0" applyFill="0" applyBorder="0" applyAlignment="0" applyProtection="0"/>
    <xf numFmtId="195" fontId="120" fillId="0" borderId="0" applyFont="0" applyFill="0" applyBorder="0" applyAlignment="0" applyProtection="0"/>
    <xf numFmtId="222" fontId="120" fillId="0" borderId="0" applyFont="0" applyFill="0" applyBorder="0" applyAlignment="0" applyProtection="0"/>
    <xf numFmtId="222" fontId="120" fillId="0" borderId="0" applyFont="0" applyFill="0" applyBorder="0" applyAlignment="0" applyProtection="0"/>
    <xf numFmtId="222" fontId="120" fillId="0" borderId="0" applyFont="0" applyFill="0" applyBorder="0" applyAlignment="0" applyProtection="0"/>
    <xf numFmtId="195" fontId="120" fillId="0" borderId="0" applyFont="0" applyFill="0" applyBorder="0" applyAlignment="0" applyProtection="0"/>
    <xf numFmtId="222" fontId="120" fillId="0" borderId="0" applyFont="0" applyFill="0" applyBorder="0" applyAlignment="0" applyProtection="0"/>
    <xf numFmtId="195" fontId="120" fillId="0" borderId="0" applyFont="0" applyFill="0" applyBorder="0" applyAlignment="0" applyProtection="0"/>
    <xf numFmtId="193" fontId="124" fillId="0" borderId="0" applyFont="0" applyFill="0" applyBorder="0" applyAlignment="0" applyProtection="0"/>
    <xf numFmtId="229" fontId="120" fillId="0" borderId="0" applyFont="0" applyFill="0" applyBorder="0" applyAlignment="0" applyProtection="0"/>
    <xf numFmtId="229" fontId="120" fillId="0" borderId="0" applyFont="0" applyFill="0" applyBorder="0" applyAlignment="0" applyProtection="0"/>
    <xf numFmtId="230" fontId="4" fillId="0" borderId="0" applyFont="0" applyFill="0" applyBorder="0" applyAlignment="0" applyProtection="0"/>
    <xf numFmtId="230" fontId="4" fillId="0" borderId="0" applyFont="0" applyFill="0" applyBorder="0" applyAlignment="0" applyProtection="0"/>
    <xf numFmtId="200" fontId="124" fillId="0" borderId="0" applyFont="0" applyFill="0" applyBorder="0" applyAlignment="0" applyProtection="0"/>
    <xf numFmtId="229" fontId="120" fillId="0" borderId="0" applyFont="0" applyFill="0" applyBorder="0" applyAlignment="0" applyProtection="0"/>
    <xf numFmtId="193" fontId="124" fillId="0" borderId="0" applyFont="0" applyFill="0" applyBorder="0" applyAlignment="0" applyProtection="0"/>
    <xf numFmtId="231" fontId="125" fillId="0" borderId="0" applyFont="0" applyFill="0" applyBorder="0" applyAlignment="0" applyProtection="0"/>
    <xf numFmtId="222" fontId="120" fillId="0" borderId="0" applyFont="0" applyFill="0" applyBorder="0" applyAlignment="0" applyProtection="0"/>
    <xf numFmtId="191" fontId="120" fillId="0" borderId="0" applyFont="0" applyFill="0" applyBorder="0" applyAlignment="0" applyProtection="0"/>
    <xf numFmtId="191" fontId="120" fillId="0" borderId="0" applyFont="0" applyFill="0" applyBorder="0" applyAlignment="0" applyProtection="0"/>
    <xf numFmtId="222" fontId="120" fillId="0" borderId="0" applyFont="0" applyFill="0" applyBorder="0" applyAlignment="0" applyProtection="0"/>
    <xf numFmtId="222" fontId="120" fillId="0" borderId="0" applyFont="0" applyFill="0" applyBorder="0" applyAlignment="0" applyProtection="0"/>
    <xf numFmtId="164" fontId="120" fillId="0" borderId="0" applyFont="0" applyFill="0" applyBorder="0" applyAlignment="0" applyProtection="0"/>
    <xf numFmtId="222" fontId="120" fillId="0" borderId="0" applyFont="0" applyFill="0" applyBorder="0" applyAlignment="0" applyProtection="0"/>
    <xf numFmtId="196" fontId="108" fillId="0" borderId="0" applyFont="0" applyFill="0" applyBorder="0" applyAlignment="0" applyProtection="0"/>
    <xf numFmtId="197" fontId="120" fillId="0" borderId="0" applyFont="0" applyFill="0" applyBorder="0" applyAlignment="0" applyProtection="0"/>
    <xf numFmtId="198" fontId="120" fillId="0" borderId="0" applyFont="0" applyFill="0" applyBorder="0" applyAlignment="0" applyProtection="0"/>
    <xf numFmtId="197" fontId="120" fillId="0" borderId="0" applyFont="0" applyFill="0" applyBorder="0" applyAlignment="0" applyProtection="0"/>
    <xf numFmtId="193" fontId="123" fillId="0" borderId="0" applyFont="0" applyFill="0" applyBorder="0" applyAlignment="0" applyProtection="0"/>
    <xf numFmtId="193" fontId="120" fillId="0" borderId="0" applyFont="0" applyFill="0" applyBorder="0" applyAlignment="0" applyProtection="0"/>
    <xf numFmtId="199" fontId="108" fillId="0" borderId="0" applyFont="0" applyFill="0" applyBorder="0" applyAlignment="0" applyProtection="0"/>
    <xf numFmtId="193" fontId="120" fillId="0" borderId="0" applyFont="0" applyFill="0" applyBorder="0" applyAlignment="0" applyProtection="0"/>
    <xf numFmtId="197" fontId="120" fillId="0" borderId="0" applyFont="0" applyFill="0" applyBorder="0" applyAlignment="0" applyProtection="0"/>
    <xf numFmtId="193" fontId="123" fillId="0" borderId="0" applyFont="0" applyFill="0" applyBorder="0" applyAlignment="0" applyProtection="0"/>
    <xf numFmtId="213" fontId="120" fillId="0" borderId="0" applyFont="0" applyFill="0" applyBorder="0" applyAlignment="0" applyProtection="0"/>
    <xf numFmtId="196" fontId="108" fillId="0" borderId="0" applyFont="0" applyFill="0" applyBorder="0" applyAlignment="0" applyProtection="0"/>
    <xf numFmtId="214" fontId="124" fillId="0" borderId="0" applyFont="0" applyFill="0" applyBorder="0" applyAlignment="0" applyProtection="0"/>
    <xf numFmtId="215" fontId="120" fillId="0" borderId="0" applyFont="0" applyFill="0" applyBorder="0" applyAlignment="0" applyProtection="0"/>
    <xf numFmtId="215" fontId="120" fillId="0" borderId="0" applyFont="0" applyFill="0" applyBorder="0" applyAlignment="0" applyProtection="0"/>
    <xf numFmtId="216" fontId="124" fillId="0" borderId="0" applyFont="0" applyFill="0" applyBorder="0" applyAlignment="0" applyProtection="0"/>
    <xf numFmtId="215" fontId="120" fillId="0" borderId="0" applyFont="0" applyFill="0" applyBorder="0" applyAlignment="0" applyProtection="0"/>
    <xf numFmtId="214" fontId="124" fillId="0" borderId="0" applyFont="0" applyFill="0" applyBorder="0" applyAlignment="0" applyProtection="0"/>
    <xf numFmtId="215" fontId="120" fillId="0" borderId="0" applyFont="0" applyFill="0" applyBorder="0" applyAlignment="0" applyProtection="0"/>
    <xf numFmtId="196" fontId="120" fillId="0" borderId="0" applyFont="0" applyFill="0" applyBorder="0" applyAlignment="0" applyProtection="0"/>
    <xf numFmtId="196" fontId="120" fillId="0" borderId="0" applyFont="0" applyFill="0" applyBorder="0" applyAlignment="0" applyProtection="0"/>
    <xf numFmtId="216" fontId="124" fillId="0" borderId="0" applyFont="0" applyFill="0" applyBorder="0" applyAlignment="0" applyProtection="0"/>
    <xf numFmtId="217" fontId="120" fillId="0" borderId="0" applyFont="0" applyFill="0" applyBorder="0" applyAlignment="0" applyProtection="0"/>
    <xf numFmtId="217" fontId="120" fillId="0" borderId="0" applyFont="0" applyFill="0" applyBorder="0" applyAlignment="0" applyProtection="0"/>
    <xf numFmtId="218" fontId="4" fillId="0" borderId="0" applyFont="0" applyFill="0" applyBorder="0" applyAlignment="0" applyProtection="0"/>
    <xf numFmtId="218" fontId="4" fillId="0" borderId="0" applyFont="0" applyFill="0" applyBorder="0" applyAlignment="0" applyProtection="0"/>
    <xf numFmtId="191" fontId="124" fillId="0" borderId="0" applyFont="0" applyFill="0" applyBorder="0" applyAlignment="0" applyProtection="0"/>
    <xf numFmtId="217" fontId="120" fillId="0" borderId="0" applyFont="0" applyFill="0" applyBorder="0" applyAlignment="0" applyProtection="0"/>
    <xf numFmtId="216" fontId="124" fillId="0" borderId="0" applyFont="0" applyFill="0" applyBorder="0" applyAlignment="0" applyProtection="0"/>
    <xf numFmtId="219" fontId="125" fillId="0" borderId="0" applyFont="0" applyFill="0" applyBorder="0" applyAlignment="0" applyProtection="0"/>
    <xf numFmtId="220" fontId="120" fillId="0" borderId="0" applyFont="0" applyFill="0" applyBorder="0" applyAlignment="0" applyProtection="0"/>
    <xf numFmtId="191" fontId="108" fillId="0" borderId="0" applyFont="0" applyFill="0" applyBorder="0" applyAlignment="0" applyProtection="0"/>
    <xf numFmtId="193" fontId="120" fillId="0" borderId="0" applyFont="0" applyFill="0" applyBorder="0" applyAlignment="0" applyProtection="0"/>
    <xf numFmtId="192" fontId="108" fillId="0" borderId="0" applyFont="0" applyFill="0" applyBorder="0" applyAlignment="0" applyProtection="0"/>
    <xf numFmtId="195" fontId="120" fillId="0" borderId="0" applyFont="0" applyFill="0" applyBorder="0" applyAlignment="0" applyProtection="0"/>
    <xf numFmtId="164" fontId="120" fillId="0" borderId="0" applyFont="0" applyFill="0" applyBorder="0" applyAlignment="0" applyProtection="0"/>
    <xf numFmtId="221" fontId="120" fillId="0" borderId="0" applyFont="0" applyFill="0" applyBorder="0" applyAlignment="0" applyProtection="0"/>
    <xf numFmtId="222" fontId="120" fillId="0" borderId="0" applyFont="0" applyFill="0" applyBorder="0" applyAlignment="0" applyProtection="0"/>
    <xf numFmtId="195" fontId="120" fillId="0" borderId="0" applyFont="0" applyFill="0" applyBorder="0" applyAlignment="0" applyProtection="0"/>
    <xf numFmtId="222" fontId="120" fillId="0" borderId="0" applyFont="0" applyFill="0" applyBorder="0" applyAlignment="0" applyProtection="0"/>
    <xf numFmtId="164" fontId="120" fillId="0" borderId="0" applyFont="0" applyFill="0" applyBorder="0" applyAlignment="0" applyProtection="0"/>
    <xf numFmtId="164" fontId="120" fillId="0" borderId="0" applyFont="0" applyFill="0" applyBorder="0" applyAlignment="0" applyProtection="0"/>
    <xf numFmtId="195" fontId="120" fillId="0" borderId="0" applyFont="0" applyFill="0" applyBorder="0" applyAlignment="0" applyProtection="0"/>
    <xf numFmtId="221" fontId="120" fillId="0" borderId="0" applyFont="0" applyFill="0" applyBorder="0" applyAlignment="0" applyProtection="0"/>
    <xf numFmtId="223" fontId="120" fillId="0" borderId="0" applyFont="0" applyFill="0" applyBorder="0" applyAlignment="0" applyProtection="0"/>
    <xf numFmtId="195" fontId="108" fillId="0" borderId="0" applyFont="0" applyFill="0" applyBorder="0" applyAlignment="0" applyProtection="0"/>
    <xf numFmtId="164" fontId="120" fillId="0" borderId="0" applyFont="0" applyFill="0" applyBorder="0" applyAlignment="0" applyProtection="0"/>
    <xf numFmtId="195" fontId="108" fillId="0" borderId="0" applyFont="0" applyFill="0" applyBorder="0" applyAlignment="0" applyProtection="0"/>
    <xf numFmtId="222" fontId="120" fillId="0" borderId="0" applyFont="0" applyFill="0" applyBorder="0" applyAlignment="0" applyProtection="0"/>
    <xf numFmtId="222" fontId="120" fillId="0" borderId="0" applyFont="0" applyFill="0" applyBorder="0" applyAlignment="0" applyProtection="0"/>
    <xf numFmtId="221" fontId="120" fillId="0" borderId="0" applyFont="0" applyFill="0" applyBorder="0" applyAlignment="0" applyProtection="0"/>
    <xf numFmtId="224" fontId="120" fillId="0" borderId="0" applyFont="0" applyFill="0" applyBorder="0" applyAlignment="0" applyProtection="0"/>
    <xf numFmtId="222" fontId="120" fillId="0" borderId="0" applyFont="0" applyFill="0" applyBorder="0" applyAlignment="0" applyProtection="0"/>
    <xf numFmtId="225" fontId="120" fillId="0" borderId="0" applyFont="0" applyFill="0" applyBorder="0" applyAlignment="0" applyProtection="0"/>
    <xf numFmtId="226" fontId="120" fillId="0" borderId="0" applyFont="0" applyFill="0" applyBorder="0" applyAlignment="0" applyProtection="0"/>
    <xf numFmtId="225" fontId="120" fillId="0" borderId="0" applyFont="0" applyFill="0" applyBorder="0" applyAlignment="0" applyProtection="0"/>
    <xf numFmtId="221" fontId="120" fillId="0" borderId="0" applyFont="0" applyFill="0" applyBorder="0" applyAlignment="0" applyProtection="0"/>
    <xf numFmtId="195" fontId="120" fillId="0" borderId="0" applyFont="0" applyFill="0" applyBorder="0" applyAlignment="0" applyProtection="0"/>
    <xf numFmtId="195" fontId="120" fillId="0" borderId="0" applyFont="0" applyFill="0" applyBorder="0" applyAlignment="0" applyProtection="0"/>
    <xf numFmtId="164" fontId="120" fillId="0" borderId="0" applyFont="0" applyFill="0" applyBorder="0" applyAlignment="0" applyProtection="0"/>
    <xf numFmtId="222" fontId="120" fillId="0" borderId="0" applyFont="0" applyFill="0" applyBorder="0" applyAlignment="0" applyProtection="0"/>
    <xf numFmtId="164" fontId="120" fillId="0" borderId="0" applyFont="0" applyFill="0" applyBorder="0" applyAlignment="0" applyProtection="0"/>
    <xf numFmtId="195" fontId="120" fillId="0" borderId="0" applyFont="0" applyFill="0" applyBorder="0" applyAlignment="0" applyProtection="0"/>
    <xf numFmtId="222" fontId="120" fillId="0" borderId="0" applyFont="0" applyFill="0" applyBorder="0" applyAlignment="0" applyProtection="0"/>
    <xf numFmtId="222" fontId="120" fillId="0" borderId="0" applyFont="0" applyFill="0" applyBorder="0" applyAlignment="0" applyProtection="0"/>
    <xf numFmtId="222" fontId="120" fillId="0" borderId="0" applyFont="0" applyFill="0" applyBorder="0" applyAlignment="0" applyProtection="0"/>
    <xf numFmtId="224" fontId="120" fillId="0" borderId="0" applyFont="0" applyFill="0" applyBorder="0" applyAlignment="0" applyProtection="0"/>
    <xf numFmtId="224" fontId="120" fillId="0" borderId="0" applyFont="0" applyFill="0" applyBorder="0" applyAlignment="0" applyProtection="0"/>
    <xf numFmtId="195" fontId="120" fillId="0" borderId="0" applyFont="0" applyFill="0" applyBorder="0" applyAlignment="0" applyProtection="0"/>
    <xf numFmtId="227" fontId="120" fillId="0" borderId="0" applyFont="0" applyFill="0" applyBorder="0" applyAlignment="0" applyProtection="0"/>
    <xf numFmtId="164" fontId="120" fillId="0" borderId="0" applyFont="0" applyFill="0" applyBorder="0" applyAlignment="0" applyProtection="0"/>
    <xf numFmtId="222" fontId="120" fillId="0" borderId="0" applyFont="0" applyFill="0" applyBorder="0" applyAlignment="0" applyProtection="0"/>
    <xf numFmtId="228" fontId="108" fillId="0" borderId="0" applyFont="0" applyFill="0" applyBorder="0" applyAlignment="0" applyProtection="0"/>
    <xf numFmtId="195" fontId="120" fillId="0" borderId="0" applyFont="0" applyFill="0" applyBorder="0" applyAlignment="0" applyProtection="0"/>
    <xf numFmtId="222" fontId="120" fillId="0" borderId="0" applyFont="0" applyFill="0" applyBorder="0" applyAlignment="0" applyProtection="0"/>
    <xf numFmtId="222" fontId="120" fillId="0" borderId="0" applyFont="0" applyFill="0" applyBorder="0" applyAlignment="0" applyProtection="0"/>
    <xf numFmtId="222" fontId="120" fillId="0" borderId="0" applyFont="0" applyFill="0" applyBorder="0" applyAlignment="0" applyProtection="0"/>
    <xf numFmtId="195" fontId="120" fillId="0" borderId="0" applyFont="0" applyFill="0" applyBorder="0" applyAlignment="0" applyProtection="0"/>
    <xf numFmtId="222" fontId="120" fillId="0" borderId="0" applyFont="0" applyFill="0" applyBorder="0" applyAlignment="0" applyProtection="0"/>
    <xf numFmtId="195" fontId="120" fillId="0" borderId="0" applyFont="0" applyFill="0" applyBorder="0" applyAlignment="0" applyProtection="0"/>
    <xf numFmtId="193" fontId="124" fillId="0" borderId="0" applyFont="0" applyFill="0" applyBorder="0" applyAlignment="0" applyProtection="0"/>
    <xf numFmtId="229" fontId="120" fillId="0" borderId="0" applyFont="0" applyFill="0" applyBorder="0" applyAlignment="0" applyProtection="0"/>
    <xf numFmtId="229" fontId="120" fillId="0" borderId="0" applyFont="0" applyFill="0" applyBorder="0" applyAlignment="0" applyProtection="0"/>
    <xf numFmtId="230" fontId="4" fillId="0" borderId="0" applyFont="0" applyFill="0" applyBorder="0" applyAlignment="0" applyProtection="0"/>
    <xf numFmtId="230" fontId="4" fillId="0" borderId="0" applyFont="0" applyFill="0" applyBorder="0" applyAlignment="0" applyProtection="0"/>
    <xf numFmtId="200" fontId="124" fillId="0" borderId="0" applyFont="0" applyFill="0" applyBorder="0" applyAlignment="0" applyProtection="0"/>
    <xf numFmtId="229" fontId="120" fillId="0" borderId="0" applyFont="0" applyFill="0" applyBorder="0" applyAlignment="0" applyProtection="0"/>
    <xf numFmtId="193" fontId="124" fillId="0" borderId="0" applyFont="0" applyFill="0" applyBorder="0" applyAlignment="0" applyProtection="0"/>
    <xf numFmtId="231" fontId="125" fillId="0" borderId="0" applyFont="0" applyFill="0" applyBorder="0" applyAlignment="0" applyProtection="0"/>
    <xf numFmtId="222" fontId="120" fillId="0" borderId="0" applyFont="0" applyFill="0" applyBorder="0" applyAlignment="0" applyProtection="0"/>
    <xf numFmtId="191" fontId="120" fillId="0" borderId="0" applyFont="0" applyFill="0" applyBorder="0" applyAlignment="0" applyProtection="0"/>
    <xf numFmtId="191" fontId="120" fillId="0" borderId="0" applyFont="0" applyFill="0" applyBorder="0" applyAlignment="0" applyProtection="0"/>
    <xf numFmtId="222" fontId="120" fillId="0" borderId="0" applyFont="0" applyFill="0" applyBorder="0" applyAlignment="0" applyProtection="0"/>
    <xf numFmtId="222" fontId="120" fillId="0" borderId="0" applyFont="0" applyFill="0" applyBorder="0" applyAlignment="0" applyProtection="0"/>
    <xf numFmtId="164" fontId="120" fillId="0" borderId="0" applyFont="0" applyFill="0" applyBorder="0" applyAlignment="0" applyProtection="0"/>
    <xf numFmtId="222" fontId="120" fillId="0" borderId="0" applyFont="0" applyFill="0" applyBorder="0" applyAlignment="0" applyProtection="0"/>
    <xf numFmtId="0" fontId="120" fillId="0" borderId="0" applyFont="0" applyFill="0" applyBorder="0" applyAlignment="0" applyProtection="0"/>
    <xf numFmtId="165" fontId="120" fillId="0" borderId="0" applyFont="0" applyFill="0" applyBorder="0" applyAlignment="0" applyProtection="0"/>
    <xf numFmtId="203" fontId="120" fillId="0" borderId="0" applyFont="0" applyFill="0" applyBorder="0" applyAlignment="0" applyProtection="0"/>
    <xf numFmtId="204" fontId="120" fillId="0" borderId="0" applyFont="0" applyFill="0" applyBorder="0" applyAlignment="0" applyProtection="0"/>
    <xf numFmtId="205" fontId="120" fillId="0" borderId="0" applyFont="0" applyFill="0" applyBorder="0" applyAlignment="0" applyProtection="0"/>
    <xf numFmtId="204" fontId="120" fillId="0" borderId="0" applyFont="0" applyFill="0" applyBorder="0" applyAlignment="0" applyProtection="0"/>
    <xf numFmtId="165" fontId="120" fillId="0" borderId="0" applyFont="0" applyFill="0" applyBorder="0" applyAlignment="0" applyProtection="0"/>
    <xf numFmtId="165" fontId="120" fillId="0" borderId="0" applyFont="0" applyFill="0" applyBorder="0" applyAlignment="0" applyProtection="0"/>
    <xf numFmtId="205" fontId="120" fillId="0" borderId="0" applyFont="0" applyFill="0" applyBorder="0" applyAlignment="0" applyProtection="0"/>
    <xf numFmtId="203" fontId="120" fillId="0" borderId="0" applyFont="0" applyFill="0" applyBorder="0" applyAlignment="0" applyProtection="0"/>
    <xf numFmtId="206" fontId="120" fillId="0" borderId="0" applyFont="0" applyFill="0" applyBorder="0" applyAlignment="0" applyProtection="0"/>
    <xf numFmtId="0" fontId="120" fillId="0" borderId="0" applyFont="0" applyFill="0" applyBorder="0" applyAlignment="0" applyProtection="0"/>
    <xf numFmtId="165" fontId="120" fillId="0" borderId="0" applyFont="0" applyFill="0" applyBorder="0" applyAlignment="0" applyProtection="0"/>
    <xf numFmtId="0" fontId="120" fillId="0" borderId="0" applyFont="0" applyFill="0" applyBorder="0" applyAlignment="0" applyProtection="0"/>
    <xf numFmtId="204" fontId="120" fillId="0" borderId="0" applyFont="0" applyFill="0" applyBorder="0" applyAlignment="0" applyProtection="0"/>
    <xf numFmtId="204" fontId="120" fillId="0" borderId="0" applyFont="0" applyFill="0" applyBorder="0" applyAlignment="0" applyProtection="0"/>
    <xf numFmtId="203" fontId="120" fillId="0" borderId="0" applyFont="0" applyFill="0" applyBorder="0" applyAlignment="0" applyProtection="0"/>
    <xf numFmtId="173" fontId="120" fillId="0" borderId="0" applyFont="0" applyFill="0" applyBorder="0" applyAlignment="0" applyProtection="0"/>
    <xf numFmtId="204" fontId="120" fillId="0" borderId="0" applyFont="0" applyFill="0" applyBorder="0" applyAlignment="0" applyProtection="0"/>
    <xf numFmtId="207" fontId="120" fillId="0" borderId="0" applyFont="0" applyFill="0" applyBorder="0" applyAlignment="0" applyProtection="0"/>
    <xf numFmtId="207" fontId="120" fillId="0" borderId="0" applyFont="0" applyFill="0" applyBorder="0" applyAlignment="0" applyProtection="0"/>
    <xf numFmtId="203" fontId="120" fillId="0" borderId="0" applyFont="0" applyFill="0" applyBorder="0" applyAlignment="0" applyProtection="0"/>
    <xf numFmtId="205" fontId="120" fillId="0" borderId="0" applyFont="0" applyFill="0" applyBorder="0" applyAlignment="0" applyProtection="0"/>
    <xf numFmtId="205" fontId="120" fillId="0" borderId="0" applyFont="0" applyFill="0" applyBorder="0" applyAlignment="0" applyProtection="0"/>
    <xf numFmtId="165" fontId="120" fillId="0" borderId="0" applyFont="0" applyFill="0" applyBorder="0" applyAlignment="0" applyProtection="0"/>
    <xf numFmtId="204" fontId="120" fillId="0" borderId="0" applyFont="0" applyFill="0" applyBorder="0" applyAlignment="0" applyProtection="0"/>
    <xf numFmtId="165" fontId="120" fillId="0" borderId="0" applyFont="0" applyFill="0" applyBorder="0" applyAlignment="0" applyProtection="0"/>
    <xf numFmtId="205" fontId="120" fillId="0" borderId="0" applyFont="0" applyFill="0" applyBorder="0" applyAlignment="0" applyProtection="0"/>
    <xf numFmtId="204" fontId="120" fillId="0" borderId="0" applyFont="0" applyFill="0" applyBorder="0" applyAlignment="0" applyProtection="0"/>
    <xf numFmtId="204" fontId="120" fillId="0" borderId="0" applyFont="0" applyFill="0" applyBorder="0" applyAlignment="0" applyProtection="0"/>
    <xf numFmtId="204" fontId="120" fillId="0" borderId="0" applyFont="0" applyFill="0" applyBorder="0" applyAlignment="0" applyProtection="0"/>
    <xf numFmtId="173" fontId="120" fillId="0" borderId="0" applyFont="0" applyFill="0" applyBorder="0" applyAlignment="0" applyProtection="0"/>
    <xf numFmtId="173" fontId="120" fillId="0" borderId="0" applyFont="0" applyFill="0" applyBorder="0" applyAlignment="0" applyProtection="0"/>
    <xf numFmtId="205" fontId="120" fillId="0" borderId="0" applyFont="0" applyFill="0" applyBorder="0" applyAlignment="0" applyProtection="0"/>
    <xf numFmtId="208" fontId="120" fillId="0" borderId="0" applyFont="0" applyFill="0" applyBorder="0" applyAlignment="0" applyProtection="0"/>
    <xf numFmtId="165" fontId="120" fillId="0" borderId="0" applyFont="0" applyFill="0" applyBorder="0" applyAlignment="0" applyProtection="0"/>
    <xf numFmtId="204" fontId="120" fillId="0" borderId="0" applyFont="0" applyFill="0" applyBorder="0" applyAlignment="0" applyProtection="0"/>
    <xf numFmtId="209" fontId="108" fillId="0" borderId="0" applyFont="0" applyFill="0" applyBorder="0" applyAlignment="0" applyProtection="0"/>
    <xf numFmtId="205" fontId="120" fillId="0" borderId="0" applyFont="0" applyFill="0" applyBorder="0" applyAlignment="0" applyProtection="0"/>
    <xf numFmtId="204" fontId="120" fillId="0" borderId="0" applyFont="0" applyFill="0" applyBorder="0" applyAlignment="0" applyProtection="0"/>
    <xf numFmtId="204" fontId="120" fillId="0" borderId="0" applyFont="0" applyFill="0" applyBorder="0" applyAlignment="0" applyProtection="0"/>
    <xf numFmtId="204" fontId="120" fillId="0" borderId="0" applyFont="0" applyFill="0" applyBorder="0" applyAlignment="0" applyProtection="0"/>
    <xf numFmtId="205" fontId="120" fillId="0" borderId="0" applyFont="0" applyFill="0" applyBorder="0" applyAlignment="0" applyProtection="0"/>
    <xf numFmtId="204" fontId="120" fillId="0" borderId="0" applyFont="0" applyFill="0" applyBorder="0" applyAlignment="0" applyProtection="0"/>
    <xf numFmtId="205" fontId="120" fillId="0" borderId="0" applyFont="0" applyFill="0" applyBorder="0" applyAlignment="0" applyProtection="0"/>
    <xf numFmtId="191" fontId="124" fillId="0" borderId="0" applyFont="0" applyFill="0" applyBorder="0" applyAlignment="0" applyProtection="0"/>
    <xf numFmtId="210" fontId="120" fillId="0" borderId="0" applyFont="0" applyFill="0" applyBorder="0" applyAlignment="0" applyProtection="0"/>
    <xf numFmtId="210" fontId="120" fillId="0" borderId="0" applyFont="0" applyFill="0" applyBorder="0" applyAlignment="0" applyProtection="0"/>
    <xf numFmtId="211" fontId="4" fillId="0" borderId="0" applyFont="0" applyFill="0" applyBorder="0" applyAlignment="0" applyProtection="0"/>
    <xf numFmtId="211" fontId="4" fillId="0" borderId="0" applyFont="0" applyFill="0" applyBorder="0" applyAlignment="0" applyProtection="0"/>
    <xf numFmtId="192" fontId="124" fillId="0" borderId="0" applyFont="0" applyFill="0" applyBorder="0" applyAlignment="0" applyProtection="0"/>
    <xf numFmtId="210" fontId="120" fillId="0" borderId="0" applyFont="0" applyFill="0" applyBorder="0" applyAlignment="0" applyProtection="0"/>
    <xf numFmtId="191" fontId="124" fillId="0" borderId="0" applyFont="0" applyFill="0" applyBorder="0" applyAlignment="0" applyProtection="0"/>
    <xf numFmtId="212" fontId="125" fillId="0" borderId="0" applyFont="0" applyFill="0" applyBorder="0" applyAlignment="0" applyProtection="0"/>
    <xf numFmtId="208" fontId="120" fillId="0" borderId="0" applyFont="0" applyFill="0" applyBorder="0" applyAlignment="0" applyProtection="0"/>
    <xf numFmtId="204" fontId="120" fillId="0" borderId="0" applyFont="0" applyFill="0" applyBorder="0" applyAlignment="0" applyProtection="0"/>
    <xf numFmtId="192" fontId="120" fillId="0" borderId="0" applyFont="0" applyFill="0" applyBorder="0" applyAlignment="0" applyProtection="0"/>
    <xf numFmtId="192" fontId="120" fillId="0" borderId="0" applyFont="0" applyFill="0" applyBorder="0" applyAlignment="0" applyProtection="0"/>
    <xf numFmtId="204" fontId="120" fillId="0" borderId="0" applyFont="0" applyFill="0" applyBorder="0" applyAlignment="0" applyProtection="0"/>
    <xf numFmtId="204" fontId="120" fillId="0" borderId="0" applyFont="0" applyFill="0" applyBorder="0" applyAlignment="0" applyProtection="0"/>
    <xf numFmtId="165" fontId="120" fillId="0" borderId="0" applyFont="0" applyFill="0" applyBorder="0" applyAlignment="0" applyProtection="0"/>
    <xf numFmtId="204" fontId="120" fillId="0" borderId="0" applyFont="0" applyFill="0" applyBorder="0" applyAlignment="0" applyProtection="0"/>
    <xf numFmtId="191" fontId="108" fillId="0" borderId="0" applyFont="0" applyFill="0" applyBorder="0" applyAlignment="0" applyProtection="0"/>
    <xf numFmtId="184" fontId="108" fillId="0" borderId="0" applyFont="0" applyFill="0" applyBorder="0" applyAlignment="0" applyProtection="0"/>
    <xf numFmtId="193" fontId="108" fillId="0" borderId="0" applyFont="0" applyFill="0" applyBorder="0" applyAlignment="0" applyProtection="0"/>
    <xf numFmtId="193" fontId="108" fillId="0" borderId="0" applyFont="0" applyFill="0" applyBorder="0" applyAlignment="0" applyProtection="0"/>
    <xf numFmtId="200" fontId="124" fillId="0" borderId="0" applyFont="0" applyFill="0" applyBorder="0" applyAlignment="0" applyProtection="0"/>
    <xf numFmtId="201" fontId="108" fillId="0" borderId="0" applyFont="0" applyFill="0" applyBorder="0" applyAlignment="0" applyProtection="0"/>
    <xf numFmtId="201" fontId="108" fillId="0" borderId="0" applyFont="0" applyFill="0" applyBorder="0" applyAlignment="0" applyProtection="0"/>
    <xf numFmtId="180" fontId="4" fillId="0" borderId="0" applyFont="0" applyFill="0" applyBorder="0" applyAlignment="0" applyProtection="0"/>
    <xf numFmtId="180" fontId="4" fillId="0" borderId="0" applyFont="0" applyFill="0" applyBorder="0" applyAlignment="0" applyProtection="0"/>
    <xf numFmtId="180" fontId="124" fillId="0" borderId="0" applyFont="0" applyFill="0" applyBorder="0" applyAlignment="0" applyProtection="0"/>
    <xf numFmtId="201" fontId="108" fillId="0" borderId="0" applyFont="0" applyFill="0" applyBorder="0" applyAlignment="0" applyProtection="0"/>
    <xf numFmtId="200" fontId="124" fillId="0" borderId="0" applyFont="0" applyFill="0" applyBorder="0" applyAlignment="0" applyProtection="0"/>
    <xf numFmtId="184" fontId="108" fillId="0" borderId="0" applyFont="0" applyFill="0" applyBorder="0" applyAlignment="0" applyProtection="0"/>
    <xf numFmtId="193" fontId="108" fillId="0" borderId="0" applyFont="0" applyFill="0" applyBorder="0" applyAlignment="0" applyProtection="0"/>
    <xf numFmtId="192" fontId="108" fillId="0" borderId="0" applyFont="0" applyFill="0" applyBorder="0" applyAlignment="0" applyProtection="0"/>
    <xf numFmtId="202" fontId="108" fillId="0" borderId="0" applyFont="0" applyFill="0" applyBorder="0" applyAlignment="0" applyProtection="0"/>
    <xf numFmtId="202" fontId="108" fillId="0" borderId="0" applyFont="0" applyFill="0" applyBorder="0" applyAlignment="0" applyProtection="0"/>
    <xf numFmtId="193" fontId="120" fillId="0" borderId="0" applyFont="0" applyFill="0" applyBorder="0" applyAlignment="0" applyProtection="0"/>
    <xf numFmtId="197" fontId="120" fillId="0" borderId="0" applyFont="0" applyFill="0" applyBorder="0" applyAlignment="0" applyProtection="0"/>
    <xf numFmtId="193" fontId="123" fillId="0" borderId="0" applyFon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213" fontId="120" fillId="0" borderId="0" applyFont="0" applyFill="0" applyBorder="0" applyAlignment="0" applyProtection="0"/>
    <xf numFmtId="196" fontId="108" fillId="0" borderId="0" applyFont="0" applyFill="0" applyBorder="0" applyAlignment="0" applyProtection="0"/>
    <xf numFmtId="214" fontId="124" fillId="0" borderId="0" applyFont="0" applyFill="0" applyBorder="0" applyAlignment="0" applyProtection="0"/>
    <xf numFmtId="215" fontId="120" fillId="0" borderId="0" applyFont="0" applyFill="0" applyBorder="0" applyAlignment="0" applyProtection="0"/>
    <xf numFmtId="215" fontId="120" fillId="0" borderId="0" applyFont="0" applyFill="0" applyBorder="0" applyAlignment="0" applyProtection="0"/>
    <xf numFmtId="216" fontId="124" fillId="0" borderId="0" applyFont="0" applyFill="0" applyBorder="0" applyAlignment="0" applyProtection="0"/>
    <xf numFmtId="215" fontId="120" fillId="0" borderId="0" applyFont="0" applyFill="0" applyBorder="0" applyAlignment="0" applyProtection="0"/>
    <xf numFmtId="214" fontId="124" fillId="0" borderId="0" applyFont="0" applyFill="0" applyBorder="0" applyAlignment="0" applyProtection="0"/>
    <xf numFmtId="215" fontId="120" fillId="0" borderId="0" applyFont="0" applyFill="0" applyBorder="0" applyAlignment="0" applyProtection="0"/>
    <xf numFmtId="196" fontId="120" fillId="0" borderId="0" applyFont="0" applyFill="0" applyBorder="0" applyAlignment="0" applyProtection="0"/>
    <xf numFmtId="196" fontId="120" fillId="0" borderId="0" applyFont="0" applyFill="0" applyBorder="0" applyAlignment="0" applyProtection="0"/>
    <xf numFmtId="0" fontId="126" fillId="0" borderId="0"/>
    <xf numFmtId="193" fontId="120" fillId="0" borderId="0" applyFont="0" applyFill="0" applyBorder="0" applyAlignment="0" applyProtection="0"/>
    <xf numFmtId="193" fontId="120" fillId="0" borderId="0" applyFont="0" applyFill="0" applyBorder="0" applyAlignment="0" applyProtection="0"/>
    <xf numFmtId="0" fontId="112" fillId="0" borderId="0"/>
    <xf numFmtId="216" fontId="124" fillId="0" borderId="0" applyFont="0" applyFill="0" applyBorder="0" applyAlignment="0" applyProtection="0"/>
    <xf numFmtId="217" fontId="120" fillId="0" borderId="0" applyFont="0" applyFill="0" applyBorder="0" applyAlignment="0" applyProtection="0"/>
    <xf numFmtId="217" fontId="120" fillId="0" borderId="0" applyFont="0" applyFill="0" applyBorder="0" applyAlignment="0" applyProtection="0"/>
    <xf numFmtId="218" fontId="4" fillId="0" borderId="0" applyFont="0" applyFill="0" applyBorder="0" applyAlignment="0" applyProtection="0"/>
    <xf numFmtId="218" fontId="4" fillId="0" borderId="0" applyFont="0" applyFill="0" applyBorder="0" applyAlignment="0" applyProtection="0"/>
    <xf numFmtId="191" fontId="124" fillId="0" borderId="0" applyFont="0" applyFill="0" applyBorder="0" applyAlignment="0" applyProtection="0"/>
    <xf numFmtId="217" fontId="120" fillId="0" borderId="0" applyFont="0" applyFill="0" applyBorder="0" applyAlignment="0" applyProtection="0"/>
    <xf numFmtId="216" fontId="124" fillId="0" borderId="0" applyFont="0" applyFill="0" applyBorder="0" applyAlignment="0" applyProtection="0"/>
    <xf numFmtId="219" fontId="125" fillId="0" borderId="0" applyFont="0" applyFill="0" applyBorder="0" applyAlignment="0" applyProtection="0"/>
    <xf numFmtId="220" fontId="120" fillId="0" borderId="0" applyFont="0" applyFill="0" applyBorder="0" applyAlignment="0" applyProtection="0"/>
    <xf numFmtId="193" fontId="120" fillId="0" borderId="0" applyFont="0" applyFill="0" applyBorder="0" applyAlignment="0" applyProtection="0"/>
    <xf numFmtId="193" fontId="120" fillId="0" borderId="0" applyFont="0" applyFill="0" applyBorder="0" applyAlignment="0" applyProtection="0"/>
    <xf numFmtId="191" fontId="108" fillId="0" borderId="0" applyFont="0" applyFill="0" applyBorder="0" applyAlignment="0" applyProtection="0"/>
    <xf numFmtId="195" fontId="120" fillId="0" borderId="0" applyFont="0" applyFill="0" applyBorder="0" applyAlignment="0" applyProtection="0"/>
    <xf numFmtId="164" fontId="120" fillId="0" borderId="0" applyFont="0" applyFill="0" applyBorder="0" applyAlignment="0" applyProtection="0"/>
    <xf numFmtId="221" fontId="120" fillId="0" borderId="0" applyFont="0" applyFill="0" applyBorder="0" applyAlignment="0" applyProtection="0"/>
    <xf numFmtId="222" fontId="120" fillId="0" borderId="0" applyFont="0" applyFill="0" applyBorder="0" applyAlignment="0" applyProtection="0"/>
    <xf numFmtId="195" fontId="120" fillId="0" borderId="0" applyFont="0" applyFill="0" applyBorder="0" applyAlignment="0" applyProtection="0"/>
    <xf numFmtId="222" fontId="120" fillId="0" borderId="0" applyFont="0" applyFill="0" applyBorder="0" applyAlignment="0" applyProtection="0"/>
    <xf numFmtId="164" fontId="120" fillId="0" borderId="0" applyFont="0" applyFill="0" applyBorder="0" applyAlignment="0" applyProtection="0"/>
    <xf numFmtId="164" fontId="120" fillId="0" borderId="0" applyFont="0" applyFill="0" applyBorder="0" applyAlignment="0" applyProtection="0"/>
    <xf numFmtId="195" fontId="120" fillId="0" borderId="0" applyFont="0" applyFill="0" applyBorder="0" applyAlignment="0" applyProtection="0"/>
    <xf numFmtId="221" fontId="120" fillId="0" borderId="0" applyFont="0" applyFill="0" applyBorder="0" applyAlignment="0" applyProtection="0"/>
    <xf numFmtId="223" fontId="120" fillId="0" borderId="0" applyFont="0" applyFill="0" applyBorder="0" applyAlignment="0" applyProtection="0"/>
    <xf numFmtId="195" fontId="108" fillId="0" borderId="0" applyFont="0" applyFill="0" applyBorder="0" applyAlignment="0" applyProtection="0"/>
    <xf numFmtId="164" fontId="120" fillId="0" borderId="0" applyFont="0" applyFill="0" applyBorder="0" applyAlignment="0" applyProtection="0"/>
    <xf numFmtId="195" fontId="108" fillId="0" borderId="0" applyFont="0" applyFill="0" applyBorder="0" applyAlignment="0" applyProtection="0"/>
    <xf numFmtId="222" fontId="120" fillId="0" borderId="0" applyFont="0" applyFill="0" applyBorder="0" applyAlignment="0" applyProtection="0"/>
    <xf numFmtId="222" fontId="120" fillId="0" borderId="0" applyFont="0" applyFill="0" applyBorder="0" applyAlignment="0" applyProtection="0"/>
    <xf numFmtId="221" fontId="120" fillId="0" borderId="0" applyFont="0" applyFill="0" applyBorder="0" applyAlignment="0" applyProtection="0"/>
    <xf numFmtId="224" fontId="120" fillId="0" borderId="0" applyFont="0" applyFill="0" applyBorder="0" applyAlignment="0" applyProtection="0"/>
    <xf numFmtId="222" fontId="120" fillId="0" borderId="0" applyFont="0" applyFill="0" applyBorder="0" applyAlignment="0" applyProtection="0"/>
    <xf numFmtId="225" fontId="120" fillId="0" borderId="0" applyFont="0" applyFill="0" applyBorder="0" applyAlignment="0" applyProtection="0"/>
    <xf numFmtId="226" fontId="120" fillId="0" borderId="0" applyFont="0" applyFill="0" applyBorder="0" applyAlignment="0" applyProtection="0"/>
    <xf numFmtId="225" fontId="120" fillId="0" borderId="0" applyFont="0" applyFill="0" applyBorder="0" applyAlignment="0" applyProtection="0"/>
    <xf numFmtId="221" fontId="120" fillId="0" borderId="0" applyFont="0" applyFill="0" applyBorder="0" applyAlignment="0" applyProtection="0"/>
    <xf numFmtId="195" fontId="120" fillId="0" borderId="0" applyFont="0" applyFill="0" applyBorder="0" applyAlignment="0" applyProtection="0"/>
    <xf numFmtId="195" fontId="120" fillId="0" borderId="0" applyFont="0" applyFill="0" applyBorder="0" applyAlignment="0" applyProtection="0"/>
    <xf numFmtId="164" fontId="120" fillId="0" borderId="0" applyFont="0" applyFill="0" applyBorder="0" applyAlignment="0" applyProtection="0"/>
    <xf numFmtId="222" fontId="120" fillId="0" borderId="0" applyFont="0" applyFill="0" applyBorder="0" applyAlignment="0" applyProtection="0"/>
    <xf numFmtId="164" fontId="120" fillId="0" borderId="0" applyFont="0" applyFill="0" applyBorder="0" applyAlignment="0" applyProtection="0"/>
    <xf numFmtId="195" fontId="120" fillId="0" borderId="0" applyFont="0" applyFill="0" applyBorder="0" applyAlignment="0" applyProtection="0"/>
    <xf numFmtId="222" fontId="120" fillId="0" borderId="0" applyFont="0" applyFill="0" applyBorder="0" applyAlignment="0" applyProtection="0"/>
    <xf numFmtId="222" fontId="120" fillId="0" borderId="0" applyFont="0" applyFill="0" applyBorder="0" applyAlignment="0" applyProtection="0"/>
    <xf numFmtId="222" fontId="120" fillId="0" borderId="0" applyFont="0" applyFill="0" applyBorder="0" applyAlignment="0" applyProtection="0"/>
    <xf numFmtId="224" fontId="120" fillId="0" borderId="0" applyFont="0" applyFill="0" applyBorder="0" applyAlignment="0" applyProtection="0"/>
    <xf numFmtId="224" fontId="120" fillId="0" borderId="0" applyFont="0" applyFill="0" applyBorder="0" applyAlignment="0" applyProtection="0"/>
    <xf numFmtId="195" fontId="120" fillId="0" borderId="0" applyFont="0" applyFill="0" applyBorder="0" applyAlignment="0" applyProtection="0"/>
    <xf numFmtId="227" fontId="120" fillId="0" borderId="0" applyFont="0" applyFill="0" applyBorder="0" applyAlignment="0" applyProtection="0"/>
    <xf numFmtId="164" fontId="120" fillId="0" borderId="0" applyFont="0" applyFill="0" applyBorder="0" applyAlignment="0" applyProtection="0"/>
    <xf numFmtId="222" fontId="120" fillId="0" borderId="0" applyFont="0" applyFill="0" applyBorder="0" applyAlignment="0" applyProtection="0"/>
    <xf numFmtId="228" fontId="108" fillId="0" borderId="0" applyFont="0" applyFill="0" applyBorder="0" applyAlignment="0" applyProtection="0"/>
    <xf numFmtId="195" fontId="120" fillId="0" borderId="0" applyFont="0" applyFill="0" applyBorder="0" applyAlignment="0" applyProtection="0"/>
    <xf numFmtId="222" fontId="120" fillId="0" borderId="0" applyFont="0" applyFill="0" applyBorder="0" applyAlignment="0" applyProtection="0"/>
    <xf numFmtId="222" fontId="120" fillId="0" borderId="0" applyFont="0" applyFill="0" applyBorder="0" applyAlignment="0" applyProtection="0"/>
    <xf numFmtId="222" fontId="120" fillId="0" borderId="0" applyFont="0" applyFill="0" applyBorder="0" applyAlignment="0" applyProtection="0"/>
    <xf numFmtId="195" fontId="120" fillId="0" borderId="0" applyFont="0" applyFill="0" applyBorder="0" applyAlignment="0" applyProtection="0"/>
    <xf numFmtId="222" fontId="120" fillId="0" borderId="0" applyFont="0" applyFill="0" applyBorder="0" applyAlignment="0" applyProtection="0"/>
    <xf numFmtId="195" fontId="120" fillId="0" borderId="0" applyFont="0" applyFill="0" applyBorder="0" applyAlignment="0" applyProtection="0"/>
    <xf numFmtId="193" fontId="124" fillId="0" borderId="0" applyFont="0" applyFill="0" applyBorder="0" applyAlignment="0" applyProtection="0"/>
    <xf numFmtId="229" fontId="120" fillId="0" borderId="0" applyFont="0" applyFill="0" applyBorder="0" applyAlignment="0" applyProtection="0"/>
    <xf numFmtId="229" fontId="120" fillId="0" borderId="0" applyFont="0" applyFill="0" applyBorder="0" applyAlignment="0" applyProtection="0"/>
    <xf numFmtId="230" fontId="4" fillId="0" borderId="0" applyFont="0" applyFill="0" applyBorder="0" applyAlignment="0" applyProtection="0"/>
    <xf numFmtId="230" fontId="4" fillId="0" borderId="0" applyFont="0" applyFill="0" applyBorder="0" applyAlignment="0" applyProtection="0"/>
    <xf numFmtId="200" fontId="124" fillId="0" borderId="0" applyFont="0" applyFill="0" applyBorder="0" applyAlignment="0" applyProtection="0"/>
    <xf numFmtId="229" fontId="120" fillId="0" borderId="0" applyFont="0" applyFill="0" applyBorder="0" applyAlignment="0" applyProtection="0"/>
    <xf numFmtId="193" fontId="124" fillId="0" borderId="0" applyFont="0" applyFill="0" applyBorder="0" applyAlignment="0" applyProtection="0"/>
    <xf numFmtId="231" fontId="125" fillId="0" borderId="0" applyFont="0" applyFill="0" applyBorder="0" applyAlignment="0" applyProtection="0"/>
    <xf numFmtId="222" fontId="120" fillId="0" borderId="0" applyFont="0" applyFill="0" applyBorder="0" applyAlignment="0" applyProtection="0"/>
    <xf numFmtId="191" fontId="120" fillId="0" borderId="0" applyFont="0" applyFill="0" applyBorder="0" applyAlignment="0" applyProtection="0"/>
    <xf numFmtId="191" fontId="120" fillId="0" borderId="0" applyFont="0" applyFill="0" applyBorder="0" applyAlignment="0" applyProtection="0"/>
    <xf numFmtId="222" fontId="120" fillId="0" borderId="0" applyFont="0" applyFill="0" applyBorder="0" applyAlignment="0" applyProtection="0"/>
    <xf numFmtId="222" fontId="120" fillId="0" borderId="0" applyFont="0" applyFill="0" applyBorder="0" applyAlignment="0" applyProtection="0"/>
    <xf numFmtId="164" fontId="120" fillId="0" borderId="0" applyFont="0" applyFill="0" applyBorder="0" applyAlignment="0" applyProtection="0"/>
    <xf numFmtId="222" fontId="120" fillId="0" borderId="0" applyFont="0" applyFill="0" applyBorder="0" applyAlignment="0" applyProtection="0"/>
    <xf numFmtId="0" fontId="120" fillId="0" borderId="0" applyFont="0" applyFill="0" applyBorder="0" applyAlignment="0" applyProtection="0"/>
    <xf numFmtId="165" fontId="120" fillId="0" borderId="0" applyFont="0" applyFill="0" applyBorder="0" applyAlignment="0" applyProtection="0"/>
    <xf numFmtId="203" fontId="120" fillId="0" borderId="0" applyFont="0" applyFill="0" applyBorder="0" applyAlignment="0" applyProtection="0"/>
    <xf numFmtId="204" fontId="120" fillId="0" borderId="0" applyFont="0" applyFill="0" applyBorder="0" applyAlignment="0" applyProtection="0"/>
    <xf numFmtId="205" fontId="120" fillId="0" borderId="0" applyFont="0" applyFill="0" applyBorder="0" applyAlignment="0" applyProtection="0"/>
    <xf numFmtId="204" fontId="120" fillId="0" borderId="0" applyFont="0" applyFill="0" applyBorder="0" applyAlignment="0" applyProtection="0"/>
    <xf numFmtId="165" fontId="120" fillId="0" borderId="0" applyFont="0" applyFill="0" applyBorder="0" applyAlignment="0" applyProtection="0"/>
    <xf numFmtId="165" fontId="120" fillId="0" borderId="0" applyFont="0" applyFill="0" applyBorder="0" applyAlignment="0" applyProtection="0"/>
    <xf numFmtId="205" fontId="120" fillId="0" borderId="0" applyFont="0" applyFill="0" applyBorder="0" applyAlignment="0" applyProtection="0"/>
    <xf numFmtId="203" fontId="120" fillId="0" borderId="0" applyFont="0" applyFill="0" applyBorder="0" applyAlignment="0" applyProtection="0"/>
    <xf numFmtId="206" fontId="120" fillId="0" borderId="0" applyFont="0" applyFill="0" applyBorder="0" applyAlignment="0" applyProtection="0"/>
    <xf numFmtId="0" fontId="120" fillId="0" borderId="0" applyFont="0" applyFill="0" applyBorder="0" applyAlignment="0" applyProtection="0"/>
    <xf numFmtId="165" fontId="120" fillId="0" borderId="0" applyFont="0" applyFill="0" applyBorder="0" applyAlignment="0" applyProtection="0"/>
    <xf numFmtId="0" fontId="120" fillId="0" borderId="0" applyFont="0" applyFill="0" applyBorder="0" applyAlignment="0" applyProtection="0"/>
    <xf numFmtId="204" fontId="120" fillId="0" borderId="0" applyFont="0" applyFill="0" applyBorder="0" applyAlignment="0" applyProtection="0"/>
    <xf numFmtId="204" fontId="120" fillId="0" borderId="0" applyFont="0" applyFill="0" applyBorder="0" applyAlignment="0" applyProtection="0"/>
    <xf numFmtId="203" fontId="120" fillId="0" borderId="0" applyFont="0" applyFill="0" applyBorder="0" applyAlignment="0" applyProtection="0"/>
    <xf numFmtId="173" fontId="120" fillId="0" borderId="0" applyFont="0" applyFill="0" applyBorder="0" applyAlignment="0" applyProtection="0"/>
    <xf numFmtId="204" fontId="120" fillId="0" borderId="0" applyFont="0" applyFill="0" applyBorder="0" applyAlignment="0" applyProtection="0"/>
    <xf numFmtId="207" fontId="120" fillId="0" borderId="0" applyFont="0" applyFill="0" applyBorder="0" applyAlignment="0" applyProtection="0"/>
    <xf numFmtId="207" fontId="120" fillId="0" borderId="0" applyFont="0" applyFill="0" applyBorder="0" applyAlignment="0" applyProtection="0"/>
    <xf numFmtId="203" fontId="120" fillId="0" borderId="0" applyFont="0" applyFill="0" applyBorder="0" applyAlignment="0" applyProtection="0"/>
    <xf numFmtId="205" fontId="120" fillId="0" borderId="0" applyFont="0" applyFill="0" applyBorder="0" applyAlignment="0" applyProtection="0"/>
    <xf numFmtId="205" fontId="120" fillId="0" borderId="0" applyFont="0" applyFill="0" applyBorder="0" applyAlignment="0" applyProtection="0"/>
    <xf numFmtId="165" fontId="120" fillId="0" borderId="0" applyFont="0" applyFill="0" applyBorder="0" applyAlignment="0" applyProtection="0"/>
    <xf numFmtId="204" fontId="120" fillId="0" borderId="0" applyFont="0" applyFill="0" applyBorder="0" applyAlignment="0" applyProtection="0"/>
    <xf numFmtId="165" fontId="120" fillId="0" borderId="0" applyFont="0" applyFill="0" applyBorder="0" applyAlignment="0" applyProtection="0"/>
    <xf numFmtId="205" fontId="120" fillId="0" borderId="0" applyFont="0" applyFill="0" applyBorder="0" applyAlignment="0" applyProtection="0"/>
    <xf numFmtId="204" fontId="120" fillId="0" borderId="0" applyFont="0" applyFill="0" applyBorder="0" applyAlignment="0" applyProtection="0"/>
    <xf numFmtId="204" fontId="120" fillId="0" borderId="0" applyFont="0" applyFill="0" applyBorder="0" applyAlignment="0" applyProtection="0"/>
    <xf numFmtId="204" fontId="120" fillId="0" borderId="0" applyFont="0" applyFill="0" applyBorder="0" applyAlignment="0" applyProtection="0"/>
    <xf numFmtId="173" fontId="120" fillId="0" borderId="0" applyFont="0" applyFill="0" applyBorder="0" applyAlignment="0" applyProtection="0"/>
    <xf numFmtId="173" fontId="120" fillId="0" borderId="0" applyFont="0" applyFill="0" applyBorder="0" applyAlignment="0" applyProtection="0"/>
    <xf numFmtId="205" fontId="120" fillId="0" borderId="0" applyFont="0" applyFill="0" applyBorder="0" applyAlignment="0" applyProtection="0"/>
    <xf numFmtId="208" fontId="120" fillId="0" borderId="0" applyFont="0" applyFill="0" applyBorder="0" applyAlignment="0" applyProtection="0"/>
    <xf numFmtId="165" fontId="120" fillId="0" borderId="0" applyFont="0" applyFill="0" applyBorder="0" applyAlignment="0" applyProtection="0"/>
    <xf numFmtId="204" fontId="120" fillId="0" borderId="0" applyFont="0" applyFill="0" applyBorder="0" applyAlignment="0" applyProtection="0"/>
    <xf numFmtId="209" fontId="108" fillId="0" borderId="0" applyFont="0" applyFill="0" applyBorder="0" applyAlignment="0" applyProtection="0"/>
    <xf numFmtId="205" fontId="120" fillId="0" borderId="0" applyFont="0" applyFill="0" applyBorder="0" applyAlignment="0" applyProtection="0"/>
    <xf numFmtId="204" fontId="120" fillId="0" borderId="0" applyFont="0" applyFill="0" applyBorder="0" applyAlignment="0" applyProtection="0"/>
    <xf numFmtId="204" fontId="120" fillId="0" borderId="0" applyFont="0" applyFill="0" applyBorder="0" applyAlignment="0" applyProtection="0"/>
    <xf numFmtId="204" fontId="120" fillId="0" borderId="0" applyFont="0" applyFill="0" applyBorder="0" applyAlignment="0" applyProtection="0"/>
    <xf numFmtId="205" fontId="120" fillId="0" borderId="0" applyFont="0" applyFill="0" applyBorder="0" applyAlignment="0" applyProtection="0"/>
    <xf numFmtId="204" fontId="120" fillId="0" borderId="0" applyFont="0" applyFill="0" applyBorder="0" applyAlignment="0" applyProtection="0"/>
    <xf numFmtId="205" fontId="120" fillId="0" borderId="0" applyFont="0" applyFill="0" applyBorder="0" applyAlignment="0" applyProtection="0"/>
    <xf numFmtId="191" fontId="124" fillId="0" borderId="0" applyFont="0" applyFill="0" applyBorder="0" applyAlignment="0" applyProtection="0"/>
    <xf numFmtId="210" fontId="120" fillId="0" borderId="0" applyFont="0" applyFill="0" applyBorder="0" applyAlignment="0" applyProtection="0"/>
    <xf numFmtId="210" fontId="120" fillId="0" borderId="0" applyFont="0" applyFill="0" applyBorder="0" applyAlignment="0" applyProtection="0"/>
    <xf numFmtId="211" fontId="4" fillId="0" borderId="0" applyFont="0" applyFill="0" applyBorder="0" applyAlignment="0" applyProtection="0"/>
    <xf numFmtId="211" fontId="4" fillId="0" borderId="0" applyFont="0" applyFill="0" applyBorder="0" applyAlignment="0" applyProtection="0"/>
    <xf numFmtId="192" fontId="124" fillId="0" borderId="0" applyFont="0" applyFill="0" applyBorder="0" applyAlignment="0" applyProtection="0"/>
    <xf numFmtId="210" fontId="120" fillId="0" borderId="0" applyFont="0" applyFill="0" applyBorder="0" applyAlignment="0" applyProtection="0"/>
    <xf numFmtId="191" fontId="124" fillId="0" borderId="0" applyFont="0" applyFill="0" applyBorder="0" applyAlignment="0" applyProtection="0"/>
    <xf numFmtId="212" fontId="125" fillId="0" borderId="0" applyFont="0" applyFill="0" applyBorder="0" applyAlignment="0" applyProtection="0"/>
    <xf numFmtId="208" fontId="120" fillId="0" borderId="0" applyFont="0" applyFill="0" applyBorder="0" applyAlignment="0" applyProtection="0"/>
    <xf numFmtId="204" fontId="120" fillId="0" borderId="0" applyFont="0" applyFill="0" applyBorder="0" applyAlignment="0" applyProtection="0"/>
    <xf numFmtId="192" fontId="120" fillId="0" borderId="0" applyFont="0" applyFill="0" applyBorder="0" applyAlignment="0" applyProtection="0"/>
    <xf numFmtId="192" fontId="120" fillId="0" borderId="0" applyFont="0" applyFill="0" applyBorder="0" applyAlignment="0" applyProtection="0"/>
    <xf numFmtId="204" fontId="120" fillId="0" borderId="0" applyFont="0" applyFill="0" applyBorder="0" applyAlignment="0" applyProtection="0"/>
    <xf numFmtId="204" fontId="120" fillId="0" borderId="0" applyFont="0" applyFill="0" applyBorder="0" applyAlignment="0" applyProtection="0"/>
    <xf numFmtId="165" fontId="120" fillId="0" borderId="0" applyFont="0" applyFill="0" applyBorder="0" applyAlignment="0" applyProtection="0"/>
    <xf numFmtId="204" fontId="120" fillId="0" borderId="0" applyFont="0" applyFill="0" applyBorder="0" applyAlignment="0" applyProtection="0"/>
    <xf numFmtId="184" fontId="108" fillId="0" borderId="0" applyFont="0" applyFill="0" applyBorder="0" applyAlignment="0" applyProtection="0"/>
    <xf numFmtId="193" fontId="108" fillId="0" borderId="0" applyFont="0" applyFill="0" applyBorder="0" applyAlignment="0" applyProtection="0"/>
    <xf numFmtId="193" fontId="108" fillId="0" borderId="0" applyFont="0" applyFill="0" applyBorder="0" applyAlignment="0" applyProtection="0"/>
    <xf numFmtId="200" fontId="124" fillId="0" borderId="0" applyFont="0" applyFill="0" applyBorder="0" applyAlignment="0" applyProtection="0"/>
    <xf numFmtId="201" fontId="108" fillId="0" borderId="0" applyFont="0" applyFill="0" applyBorder="0" applyAlignment="0" applyProtection="0"/>
    <xf numFmtId="201" fontId="108" fillId="0" borderId="0" applyFont="0" applyFill="0" applyBorder="0" applyAlignment="0" applyProtection="0"/>
    <xf numFmtId="180" fontId="4" fillId="0" borderId="0" applyFont="0" applyFill="0" applyBorder="0" applyAlignment="0" applyProtection="0"/>
    <xf numFmtId="180" fontId="4" fillId="0" borderId="0" applyFont="0" applyFill="0" applyBorder="0" applyAlignment="0" applyProtection="0"/>
    <xf numFmtId="180" fontId="124" fillId="0" borderId="0" applyFont="0" applyFill="0" applyBorder="0" applyAlignment="0" applyProtection="0"/>
    <xf numFmtId="201" fontId="108" fillId="0" borderId="0" applyFont="0" applyFill="0" applyBorder="0" applyAlignment="0" applyProtection="0"/>
    <xf numFmtId="200" fontId="124" fillId="0" borderId="0" applyFont="0" applyFill="0" applyBorder="0" applyAlignment="0" applyProtection="0"/>
    <xf numFmtId="184" fontId="108" fillId="0" borderId="0" applyFont="0" applyFill="0" applyBorder="0" applyAlignment="0" applyProtection="0"/>
    <xf numFmtId="193" fontId="108" fillId="0" borderId="0" applyFont="0" applyFill="0" applyBorder="0" applyAlignment="0" applyProtection="0"/>
    <xf numFmtId="192" fontId="108" fillId="0" borderId="0" applyFont="0" applyFill="0" applyBorder="0" applyAlignment="0" applyProtection="0"/>
    <xf numFmtId="192" fontId="108" fillId="0" borderId="0" applyFont="0" applyFill="0" applyBorder="0" applyAlignment="0" applyProtection="0"/>
    <xf numFmtId="202" fontId="108" fillId="0" borderId="0" applyFont="0" applyFill="0" applyBorder="0" applyAlignment="0" applyProtection="0"/>
    <xf numFmtId="202" fontId="108" fillId="0" borderId="0" applyFont="0" applyFill="0" applyBorder="0" applyAlignment="0" applyProtection="0"/>
    <xf numFmtId="193" fontId="120" fillId="0" borderId="0" applyFont="0" applyFill="0" applyBorder="0" applyAlignment="0" applyProtection="0"/>
    <xf numFmtId="0" fontId="111" fillId="0" borderId="0" applyNumberFormat="0" applyFill="0" applyBorder="0" applyAlignment="0" applyProtection="0"/>
    <xf numFmtId="193" fontId="120" fillId="0" borderId="0" applyFont="0" applyFill="0" applyBorder="0" applyAlignment="0" applyProtection="0"/>
    <xf numFmtId="193" fontId="120" fillId="0" borderId="0" applyFont="0" applyFill="0" applyBorder="0" applyAlignment="0" applyProtection="0"/>
    <xf numFmtId="0" fontId="112" fillId="0" borderId="0"/>
    <xf numFmtId="0" fontId="111" fillId="0" borderId="0" applyNumberFormat="0" applyFill="0" applyBorder="0" applyAlignment="0" applyProtection="0"/>
    <xf numFmtId="0" fontId="111" fillId="0" borderId="0" applyNumberFormat="0" applyFill="0" applyBorder="0" applyAlignment="0" applyProtection="0"/>
    <xf numFmtId="193" fontId="120" fillId="0" borderId="0" applyFont="0" applyFill="0" applyBorder="0" applyAlignment="0" applyProtection="0"/>
    <xf numFmtId="0" fontId="122" fillId="0" borderId="0">
      <alignment vertical="top"/>
    </xf>
    <xf numFmtId="0" fontId="122" fillId="0" borderId="0">
      <alignment vertical="top"/>
    </xf>
    <xf numFmtId="0" fontId="122" fillId="0" borderId="0">
      <alignment vertical="top"/>
    </xf>
    <xf numFmtId="0" fontId="111" fillId="0" borderId="0" applyNumberFormat="0" applyFill="0" applyBorder="0" applyAlignment="0" applyProtection="0"/>
    <xf numFmtId="0" fontId="112" fillId="0" borderId="0"/>
    <xf numFmtId="0" fontId="121" fillId="0" borderId="0"/>
    <xf numFmtId="0" fontId="121" fillId="0" borderId="0"/>
    <xf numFmtId="0" fontId="121" fillId="0" borderId="0"/>
    <xf numFmtId="0" fontId="121" fillId="0" borderId="0"/>
    <xf numFmtId="188" fontId="120" fillId="0" borderId="0" applyFont="0" applyFill="0" applyBorder="0" applyAlignment="0" applyProtection="0"/>
    <xf numFmtId="232" fontId="127" fillId="0" borderId="0" applyFont="0" applyFill="0" applyBorder="0" applyAlignment="0" applyProtection="0"/>
    <xf numFmtId="233" fontId="128" fillId="0" borderId="0" applyFont="0" applyFill="0" applyBorder="0" applyAlignment="0" applyProtection="0"/>
    <xf numFmtId="174" fontId="128" fillId="0" borderId="0" applyFont="0" applyFill="0" applyBorder="0" applyAlignment="0" applyProtection="0"/>
    <xf numFmtId="0" fontId="129" fillId="0" borderId="0"/>
    <xf numFmtId="0" fontId="130" fillId="0" borderId="0"/>
    <xf numFmtId="0" fontId="130" fillId="0" borderId="0"/>
    <xf numFmtId="0" fontId="40" fillId="0" borderId="0"/>
    <xf numFmtId="1" fontId="131" fillId="0" borderId="1" applyBorder="0" applyAlignment="0">
      <alignment horizontal="center"/>
    </xf>
    <xf numFmtId="3" fontId="109" fillId="0" borderId="1"/>
    <xf numFmtId="3" fontId="109" fillId="0" borderId="1"/>
    <xf numFmtId="232" fontId="127" fillId="0" borderId="0" applyFont="0" applyFill="0" applyBorder="0" applyAlignment="0" applyProtection="0"/>
    <xf numFmtId="0" fontId="132" fillId="0" borderId="4" applyFont="0" applyAlignment="0">
      <alignment horizontal="left"/>
    </xf>
    <xf numFmtId="232" fontId="127" fillId="0" borderId="0" applyFont="0" applyFill="0" applyBorder="0" applyAlignment="0" applyProtection="0"/>
    <xf numFmtId="232" fontId="127" fillId="0" borderId="0" applyFont="0" applyFill="0" applyBorder="0" applyAlignment="0" applyProtection="0"/>
    <xf numFmtId="232" fontId="127" fillId="0" borderId="0" applyFont="0" applyFill="0" applyBorder="0" applyAlignment="0" applyProtection="0"/>
    <xf numFmtId="0" fontId="133" fillId="5" borderId="0"/>
    <xf numFmtId="0" fontId="134" fillId="5" borderId="0"/>
    <xf numFmtId="0" fontId="91" fillId="0" borderId="31" applyAlignment="0"/>
    <xf numFmtId="0" fontId="91" fillId="0" borderId="31" applyAlignment="0"/>
    <xf numFmtId="0" fontId="91" fillId="0" borderId="31" applyAlignment="0"/>
    <xf numFmtId="0" fontId="91" fillId="0" borderId="31" applyAlignment="0"/>
    <xf numFmtId="0" fontId="134" fillId="6" borderId="0"/>
    <xf numFmtId="0" fontId="134" fillId="5" borderId="0"/>
    <xf numFmtId="0" fontId="132" fillId="0" borderId="4" applyFont="0" applyAlignment="0">
      <alignment horizontal="left"/>
    </xf>
    <xf numFmtId="0" fontId="91" fillId="0" borderId="31" applyAlignment="0"/>
    <xf numFmtId="0" fontId="91" fillId="0" borderId="31" applyAlignment="0"/>
    <xf numFmtId="0" fontId="91" fillId="0" borderId="31" applyAlignment="0"/>
    <xf numFmtId="0" fontId="91" fillId="0" borderId="31" applyAlignment="0"/>
    <xf numFmtId="0" fontId="91" fillId="0" borderId="31" applyAlignment="0"/>
    <xf numFmtId="0" fontId="91" fillId="0" borderId="31" applyAlignment="0"/>
    <xf numFmtId="0" fontId="134" fillId="5" borderId="0"/>
    <xf numFmtId="0" fontId="134" fillId="5" borderId="0"/>
    <xf numFmtId="0" fontId="134" fillId="5" borderId="0"/>
    <xf numFmtId="0" fontId="134" fillId="5" borderId="0"/>
    <xf numFmtId="0" fontId="132" fillId="0" borderId="4" applyFont="0" applyAlignment="0">
      <alignment horizontal="left"/>
    </xf>
    <xf numFmtId="0" fontId="91" fillId="0" borderId="31" applyAlignment="0"/>
    <xf numFmtId="0" fontId="133" fillId="5" borderId="0"/>
    <xf numFmtId="0" fontId="91" fillId="0" borderId="32" applyFill="0" applyAlignment="0"/>
    <xf numFmtId="0" fontId="134" fillId="6" borderId="0"/>
    <xf numFmtId="0" fontId="91" fillId="0" borderId="32" applyFill="0" applyAlignment="0"/>
    <xf numFmtId="0" fontId="134" fillId="5" borderId="0"/>
    <xf numFmtId="0" fontId="134" fillId="5" borderId="0"/>
    <xf numFmtId="0" fontId="91" fillId="0" borderId="31" applyAlignment="0"/>
    <xf numFmtId="0" fontId="91" fillId="0" borderId="31" applyAlignment="0"/>
    <xf numFmtId="0" fontId="133" fillId="5" borderId="0"/>
    <xf numFmtId="232" fontId="127" fillId="0" borderId="0" applyFont="0" applyFill="0" applyBorder="0" applyAlignment="0" applyProtection="0"/>
    <xf numFmtId="0" fontId="91" fillId="0" borderId="31" applyAlignment="0"/>
    <xf numFmtId="0" fontId="91" fillId="0" borderId="31" applyAlignment="0"/>
    <xf numFmtId="0" fontId="91" fillId="0" borderId="31" applyAlignment="0"/>
    <xf numFmtId="0" fontId="91" fillId="0" borderId="31" applyAlignment="0"/>
    <xf numFmtId="232" fontId="127" fillId="0" borderId="0" applyFont="0" applyFill="0" applyBorder="0" applyAlignment="0" applyProtection="0"/>
    <xf numFmtId="232" fontId="127" fillId="0" borderId="0" applyFont="0" applyFill="0" applyBorder="0" applyAlignment="0" applyProtection="0"/>
    <xf numFmtId="0" fontId="7" fillId="5" borderId="0"/>
    <xf numFmtId="0" fontId="7" fillId="5" borderId="0"/>
    <xf numFmtId="0" fontId="134" fillId="5" borderId="0"/>
    <xf numFmtId="0" fontId="133" fillId="5" borderId="0"/>
    <xf numFmtId="0" fontId="134" fillId="5" borderId="0"/>
    <xf numFmtId="0" fontId="132" fillId="0" borderId="4" applyFont="0" applyAlignment="0">
      <alignment horizontal="left"/>
    </xf>
    <xf numFmtId="0" fontId="133" fillId="5" borderId="0"/>
    <xf numFmtId="0" fontId="132" fillId="0" borderId="4" applyFont="0" applyAlignment="0">
      <alignment horizontal="left"/>
    </xf>
    <xf numFmtId="0" fontId="91" fillId="0" borderId="31" applyAlignment="0"/>
    <xf numFmtId="0" fontId="91" fillId="0" borderId="31" applyAlignment="0"/>
    <xf numFmtId="0" fontId="135" fillId="0" borderId="0" applyFont="0" applyFill="0" applyBorder="0" applyAlignment="0">
      <alignment horizontal="left"/>
    </xf>
    <xf numFmtId="0" fontId="134" fillId="5" borderId="0"/>
    <xf numFmtId="0" fontId="132" fillId="0" borderId="4" applyFont="0" applyAlignment="0">
      <alignment horizontal="left"/>
    </xf>
    <xf numFmtId="0" fontId="134" fillId="5" borderId="0"/>
    <xf numFmtId="0" fontId="133" fillId="5" borderId="0"/>
    <xf numFmtId="0" fontId="134" fillId="5" borderId="0"/>
    <xf numFmtId="0" fontId="7" fillId="0" borderId="32" applyAlignment="0"/>
    <xf numFmtId="0" fontId="7" fillId="0" borderId="32" applyAlignment="0"/>
    <xf numFmtId="0" fontId="7" fillId="0" borderId="32" applyAlignment="0"/>
    <xf numFmtId="0" fontId="7" fillId="0" borderId="32" applyAlignment="0"/>
    <xf numFmtId="0" fontId="7" fillId="0" borderId="32" applyAlignment="0"/>
    <xf numFmtId="0" fontId="7" fillId="0" borderId="32" applyAlignment="0"/>
    <xf numFmtId="0" fontId="132" fillId="0" borderId="4" applyFont="0" applyAlignment="0">
      <alignment horizontal="left"/>
    </xf>
    <xf numFmtId="0" fontId="91" fillId="0" borderId="31" applyAlignment="0"/>
    <xf numFmtId="0" fontId="91" fillId="0" borderId="31" applyAlignment="0"/>
    <xf numFmtId="0" fontId="133" fillId="5" borderId="0"/>
    <xf numFmtId="0" fontId="133" fillId="5" borderId="0"/>
    <xf numFmtId="0" fontId="134" fillId="5" borderId="0"/>
    <xf numFmtId="0" fontId="134" fillId="5" borderId="0"/>
    <xf numFmtId="0" fontId="132" fillId="0" borderId="4" applyFont="0" applyAlignment="0">
      <alignment horizontal="left"/>
    </xf>
    <xf numFmtId="0" fontId="91" fillId="0" borderId="31" applyAlignment="0"/>
    <xf numFmtId="0" fontId="136" fillId="0" borderId="1" applyNumberFormat="0" applyFont="0" applyBorder="0">
      <alignment horizontal="left" indent="2"/>
    </xf>
    <xf numFmtId="0" fontId="135" fillId="0" borderId="0" applyFont="0" applyFill="0" applyBorder="0" applyAlignment="0">
      <alignment horizontal="left"/>
    </xf>
    <xf numFmtId="0" fontId="136" fillId="0" borderId="1" applyNumberFormat="0" applyFont="0" applyBorder="0">
      <alignment horizontal="left" indent="2"/>
    </xf>
    <xf numFmtId="0" fontId="136" fillId="0" borderId="1" applyNumberFormat="0" applyFont="0" applyBorder="0">
      <alignment horizontal="left" indent="2"/>
    </xf>
    <xf numFmtId="0" fontId="134" fillId="5" borderId="0"/>
    <xf numFmtId="0" fontId="134" fillId="5" borderId="0"/>
    <xf numFmtId="0" fontId="137" fillId="0" borderId="0"/>
    <xf numFmtId="0" fontId="138" fillId="7" borderId="33" applyFont="0" applyFill="0" applyAlignment="0">
      <alignment vertical="center" wrapText="1"/>
    </xf>
    <xf numFmtId="9" fontId="139" fillId="0" borderId="0" applyBorder="0" applyAlignment="0" applyProtection="0"/>
    <xf numFmtId="0" fontId="140" fillId="5" borderId="0"/>
    <xf numFmtId="0" fontId="133" fillId="5" borderId="0"/>
    <xf numFmtId="0" fontId="140" fillId="6" borderId="0"/>
    <xf numFmtId="0" fontId="7" fillId="0" borderId="31" applyNumberFormat="0" applyFill="0"/>
    <xf numFmtId="0" fontId="133" fillId="5" borderId="0"/>
    <xf numFmtId="0" fontId="7" fillId="0" borderId="31" applyNumberFormat="0" applyFill="0"/>
    <xf numFmtId="0" fontId="7" fillId="0" borderId="31" applyNumberFormat="0" applyFill="0"/>
    <xf numFmtId="0" fontId="7" fillId="0" borderId="31" applyNumberFormat="0" applyFill="0"/>
    <xf numFmtId="0" fontId="140" fillId="5" borderId="0"/>
    <xf numFmtId="0" fontId="7" fillId="0" borderId="31" applyNumberFormat="0" applyFill="0"/>
    <xf numFmtId="0" fontId="133" fillId="5" borderId="0"/>
    <xf numFmtId="0" fontId="7" fillId="5" borderId="0"/>
    <xf numFmtId="0" fontId="7" fillId="5" borderId="0"/>
    <xf numFmtId="0" fontId="133" fillId="5" borderId="0"/>
    <xf numFmtId="0" fontId="133" fillId="5" borderId="0"/>
    <xf numFmtId="0" fontId="140" fillId="5" borderId="0"/>
    <xf numFmtId="0" fontId="133" fillId="5" borderId="0"/>
    <xf numFmtId="0" fontId="7" fillId="0" borderId="31" applyNumberFormat="0" applyAlignment="0"/>
    <xf numFmtId="0" fontId="7" fillId="0" borderId="31" applyNumberFormat="0" applyAlignment="0"/>
    <xf numFmtId="0" fontId="7" fillId="0" borderId="31" applyNumberFormat="0" applyAlignment="0"/>
    <xf numFmtId="0" fontId="7" fillId="0" borderId="31" applyNumberFormat="0" applyAlignment="0"/>
    <xf numFmtId="0" fontId="7" fillId="0" borderId="31" applyNumberFormat="0" applyAlignment="0"/>
    <xf numFmtId="0" fontId="7" fillId="0" borderId="31" applyNumberFormat="0" applyAlignment="0"/>
    <xf numFmtId="0" fontId="133" fillId="5" borderId="0"/>
    <xf numFmtId="0" fontId="133" fillId="5" borderId="0"/>
    <xf numFmtId="0" fontId="7" fillId="0" borderId="31" applyNumberFormat="0" applyFill="0"/>
    <xf numFmtId="0" fontId="7" fillId="0" borderId="31" applyNumberFormat="0" applyFill="0"/>
    <xf numFmtId="0" fontId="7" fillId="0" borderId="31" applyNumberFormat="0" applyFill="0"/>
    <xf numFmtId="0" fontId="7" fillId="0" borderId="31" applyNumberFormat="0" applyFill="0"/>
    <xf numFmtId="0" fontId="7" fillId="0" borderId="31" applyNumberFormat="0" applyFill="0"/>
    <xf numFmtId="0" fontId="140" fillId="5" borderId="0"/>
    <xf numFmtId="0" fontId="140" fillId="5" borderId="0"/>
    <xf numFmtId="0" fontId="140" fillId="5" borderId="0"/>
    <xf numFmtId="0" fontId="136" fillId="0" borderId="1" applyNumberFormat="0" applyFont="0" applyBorder="0" applyAlignment="0">
      <alignment horizontal="center"/>
    </xf>
    <xf numFmtId="0" fontId="136" fillId="0" borderId="1" applyNumberFormat="0" applyFont="0" applyBorder="0" applyAlignment="0">
      <alignment horizontal="center"/>
    </xf>
    <xf numFmtId="0" fontId="136" fillId="0" borderId="1" applyNumberFormat="0" applyFont="0" applyBorder="0" applyAlignment="0">
      <alignment horizontal="center"/>
    </xf>
    <xf numFmtId="0" fontId="7" fillId="0" borderId="0"/>
    <xf numFmtId="0" fontId="7" fillId="0" borderId="0"/>
    <xf numFmtId="0" fontId="141" fillId="8" borderId="0" applyNumberFormat="0" applyBorder="0" applyAlignment="0" applyProtection="0"/>
    <xf numFmtId="0" fontId="141" fillId="9" borderId="0" applyNumberFormat="0" applyBorder="0" applyAlignment="0" applyProtection="0"/>
    <xf numFmtId="0" fontId="141" fillId="10" borderId="0" applyNumberFormat="0" applyBorder="0" applyAlignment="0" applyProtection="0"/>
    <xf numFmtId="0" fontId="141" fillId="11" borderId="0" applyNumberFormat="0" applyBorder="0" applyAlignment="0" applyProtection="0"/>
    <xf numFmtId="0" fontId="141" fillId="12" borderId="0" applyNumberFormat="0" applyBorder="0" applyAlignment="0" applyProtection="0"/>
    <xf numFmtId="0" fontId="141" fillId="13" borderId="0" applyNumberFormat="0" applyBorder="0" applyAlignment="0" applyProtection="0"/>
    <xf numFmtId="0" fontId="142" fillId="8" borderId="0" applyNumberFormat="0" applyBorder="0" applyAlignment="0" applyProtection="0"/>
    <xf numFmtId="0" fontId="142" fillId="9" borderId="0" applyNumberFormat="0" applyBorder="0" applyAlignment="0" applyProtection="0"/>
    <xf numFmtId="0" fontId="142" fillId="10" borderId="0" applyNumberFormat="0" applyBorder="0" applyAlignment="0" applyProtection="0"/>
    <xf numFmtId="0" fontId="142" fillId="11" borderId="0" applyNumberFormat="0" applyBorder="0" applyAlignment="0" applyProtection="0"/>
    <xf numFmtId="0" fontId="142" fillId="12" borderId="0" applyNumberFormat="0" applyBorder="0" applyAlignment="0" applyProtection="0"/>
    <xf numFmtId="0" fontId="142" fillId="13" borderId="0" applyNumberFormat="0" applyBorder="0" applyAlignment="0" applyProtection="0"/>
    <xf numFmtId="0" fontId="4" fillId="0" borderId="0"/>
    <xf numFmtId="0" fontId="4" fillId="0" borderId="0"/>
    <xf numFmtId="0" fontId="143" fillId="5" borderId="0"/>
    <xf numFmtId="0" fontId="133" fillId="5" borderId="0"/>
    <xf numFmtId="0" fontId="143" fillId="6" borderId="0"/>
    <xf numFmtId="0" fontId="133" fillId="5" borderId="0"/>
    <xf numFmtId="0" fontId="133" fillId="5" borderId="0"/>
    <xf numFmtId="0" fontId="7" fillId="5" borderId="0"/>
    <xf numFmtId="0" fontId="7" fillId="5" borderId="0"/>
    <xf numFmtId="0" fontId="133" fillId="5" borderId="0"/>
    <xf numFmtId="0" fontId="133" fillId="5" borderId="0"/>
    <xf numFmtId="0" fontId="143" fillId="5" borderId="0"/>
    <xf numFmtId="0" fontId="133" fillId="5" borderId="0"/>
    <xf numFmtId="0" fontId="133" fillId="5" borderId="0"/>
    <xf numFmtId="0" fontId="133" fillId="5" borderId="0"/>
    <xf numFmtId="0" fontId="143" fillId="5" borderId="0"/>
    <xf numFmtId="0" fontId="143" fillId="5" borderId="0"/>
    <xf numFmtId="0" fontId="144" fillId="0" borderId="0">
      <alignment wrapText="1"/>
    </xf>
    <xf numFmtId="0" fontId="133" fillId="0" borderId="0">
      <alignment wrapText="1"/>
    </xf>
    <xf numFmtId="0" fontId="144" fillId="0" borderId="0">
      <alignment wrapText="1"/>
    </xf>
    <xf numFmtId="0" fontId="133" fillId="0" borderId="0">
      <alignment wrapText="1"/>
    </xf>
    <xf numFmtId="0" fontId="133" fillId="0" borderId="0">
      <alignment wrapText="1"/>
    </xf>
    <xf numFmtId="0" fontId="7" fillId="0" borderId="0">
      <alignment wrapText="1"/>
    </xf>
    <xf numFmtId="0" fontId="7" fillId="0" borderId="0">
      <alignment wrapText="1"/>
    </xf>
    <xf numFmtId="0" fontId="133" fillId="0" borderId="0">
      <alignment wrapText="1"/>
    </xf>
    <xf numFmtId="0" fontId="133" fillId="0" borderId="0">
      <alignment wrapText="1"/>
    </xf>
    <xf numFmtId="0" fontId="144" fillId="0" borderId="0">
      <alignment wrapText="1"/>
    </xf>
    <xf numFmtId="0" fontId="133" fillId="0" borderId="0">
      <alignment wrapText="1"/>
    </xf>
    <xf numFmtId="0" fontId="133" fillId="0" borderId="0">
      <alignment wrapText="1"/>
    </xf>
    <xf numFmtId="0" fontId="133" fillId="0" borderId="0">
      <alignment wrapText="1"/>
    </xf>
    <xf numFmtId="0" fontId="144" fillId="0" borderId="0">
      <alignment wrapText="1"/>
    </xf>
    <xf numFmtId="0" fontId="141" fillId="14" borderId="0" applyNumberFormat="0" applyBorder="0" applyAlignment="0" applyProtection="0"/>
    <xf numFmtId="0" fontId="141" fillId="15" borderId="0" applyNumberFormat="0" applyBorder="0" applyAlignment="0" applyProtection="0"/>
    <xf numFmtId="0" fontId="141" fillId="16" borderId="0" applyNumberFormat="0" applyBorder="0" applyAlignment="0" applyProtection="0"/>
    <xf numFmtId="0" fontId="141" fillId="11" borderId="0" applyNumberFormat="0" applyBorder="0" applyAlignment="0" applyProtection="0"/>
    <xf numFmtId="0" fontId="141" fillId="14" borderId="0" applyNumberFormat="0" applyBorder="0" applyAlignment="0" applyProtection="0"/>
    <xf numFmtId="0" fontId="141" fillId="17" borderId="0" applyNumberFormat="0" applyBorder="0" applyAlignment="0" applyProtection="0"/>
    <xf numFmtId="0" fontId="142" fillId="14" borderId="0" applyNumberFormat="0" applyBorder="0" applyAlignment="0" applyProtection="0"/>
    <xf numFmtId="0" fontId="142" fillId="15" borderId="0" applyNumberFormat="0" applyBorder="0" applyAlignment="0" applyProtection="0"/>
    <xf numFmtId="0" fontId="142" fillId="16" borderId="0" applyNumberFormat="0" applyBorder="0" applyAlignment="0" applyProtection="0"/>
    <xf numFmtId="0" fontId="142" fillId="11" borderId="0" applyNumberFormat="0" applyBorder="0" applyAlignment="0" applyProtection="0"/>
    <xf numFmtId="0" fontId="142" fillId="14" borderId="0" applyNumberFormat="0" applyBorder="0" applyAlignment="0" applyProtection="0"/>
    <xf numFmtId="0" fontId="142" fillId="17" borderId="0" applyNumberFormat="0" applyBorder="0" applyAlignment="0" applyProtection="0"/>
    <xf numFmtId="0" fontId="111" fillId="0" borderId="0"/>
    <xf numFmtId="0" fontId="111" fillId="0" borderId="0"/>
    <xf numFmtId="0" fontId="111" fillId="0" borderId="0"/>
    <xf numFmtId="0" fontId="7" fillId="0" borderId="0"/>
    <xf numFmtId="0" fontId="7" fillId="0" borderId="0"/>
    <xf numFmtId="0" fontId="111" fillId="0" borderId="0"/>
    <xf numFmtId="0" fontId="145" fillId="18" borderId="0" applyNumberFormat="0" applyBorder="0" applyAlignment="0" applyProtection="0"/>
    <xf numFmtId="0" fontId="145" fillId="15" borderId="0" applyNumberFormat="0" applyBorder="0" applyAlignment="0" applyProtection="0"/>
    <xf numFmtId="0" fontId="145" fillId="16" borderId="0" applyNumberFormat="0" applyBorder="0" applyAlignment="0" applyProtection="0"/>
    <xf numFmtId="0" fontId="145" fillId="19" borderId="0" applyNumberFormat="0" applyBorder="0" applyAlignment="0" applyProtection="0"/>
    <xf numFmtId="0" fontId="145" fillId="20" borderId="0" applyNumberFormat="0" applyBorder="0" applyAlignment="0" applyProtection="0"/>
    <xf numFmtId="0" fontId="145" fillId="21" borderId="0" applyNumberFormat="0" applyBorder="0" applyAlignment="0" applyProtection="0"/>
    <xf numFmtId="0" fontId="146" fillId="18" borderId="0" applyNumberFormat="0" applyBorder="0" applyAlignment="0" applyProtection="0"/>
    <xf numFmtId="0" fontId="146" fillId="15" borderId="0" applyNumberFormat="0" applyBorder="0" applyAlignment="0" applyProtection="0"/>
    <xf numFmtId="0" fontId="146" fillId="16" borderId="0" applyNumberFormat="0" applyBorder="0" applyAlignment="0" applyProtection="0"/>
    <xf numFmtId="0" fontId="146" fillId="19" borderId="0" applyNumberFormat="0" applyBorder="0" applyAlignment="0" applyProtection="0"/>
    <xf numFmtId="0" fontId="146" fillId="20" borderId="0" applyNumberFormat="0" applyBorder="0" applyAlignment="0" applyProtection="0"/>
    <xf numFmtId="0" fontId="146" fillId="21" borderId="0" applyNumberFormat="0" applyBorder="0" applyAlignment="0" applyProtection="0"/>
    <xf numFmtId="0" fontId="147" fillId="0" borderId="0"/>
    <xf numFmtId="0" fontId="145" fillId="22" borderId="0" applyNumberFormat="0" applyBorder="0" applyAlignment="0" applyProtection="0"/>
    <xf numFmtId="0" fontId="145" fillId="23" borderId="0" applyNumberFormat="0" applyBorder="0" applyAlignment="0" applyProtection="0"/>
    <xf numFmtId="0" fontId="145" fillId="24" borderId="0" applyNumberFormat="0" applyBorder="0" applyAlignment="0" applyProtection="0"/>
    <xf numFmtId="0" fontId="145" fillId="19" borderId="0" applyNumberFormat="0" applyBorder="0" applyAlignment="0" applyProtection="0"/>
    <xf numFmtId="0" fontId="145" fillId="20" borderId="0" applyNumberFormat="0" applyBorder="0" applyAlignment="0" applyProtection="0"/>
    <xf numFmtId="0" fontId="145" fillId="25" borderId="0" applyNumberFormat="0" applyBorder="0" applyAlignment="0" applyProtection="0"/>
    <xf numFmtId="234" fontId="4" fillId="0" borderId="0" applyFont="0" applyFill="0" applyBorder="0" applyAlignment="0" applyProtection="0"/>
    <xf numFmtId="0" fontId="148" fillId="0" borderId="0" applyFont="0" applyFill="0" applyBorder="0" applyAlignment="0" applyProtection="0"/>
    <xf numFmtId="232" fontId="149" fillId="0" borderId="0" applyFont="0" applyFill="0" applyBorder="0" applyAlignment="0" applyProtection="0"/>
    <xf numFmtId="235" fontId="4" fillId="0" borderId="0" applyFont="0" applyFill="0" applyBorder="0" applyAlignment="0" applyProtection="0"/>
    <xf numFmtId="0" fontId="148" fillId="0" borderId="0" applyFont="0" applyFill="0" applyBorder="0" applyAlignment="0" applyProtection="0"/>
    <xf numFmtId="236" fontId="149" fillId="0" borderId="0" applyFont="0" applyFill="0" applyBorder="0" applyAlignment="0" applyProtection="0"/>
    <xf numFmtId="0" fontId="104" fillId="0" borderId="0">
      <alignment horizontal="center" wrapText="1"/>
      <protection locked="0"/>
    </xf>
    <xf numFmtId="0" fontId="104" fillId="0" borderId="0">
      <alignment horizontal="center" wrapText="1"/>
      <protection locked="0"/>
    </xf>
    <xf numFmtId="0" fontId="150" fillId="0" borderId="0" applyNumberFormat="0" applyBorder="0" applyAlignment="0">
      <alignment horizontal="center"/>
    </xf>
    <xf numFmtId="221" fontId="151" fillId="0" borderId="0" applyFont="0" applyFill="0" applyBorder="0" applyAlignment="0" applyProtection="0"/>
    <xf numFmtId="0" fontId="148" fillId="0" borderId="0" applyFont="0" applyFill="0" applyBorder="0" applyAlignment="0" applyProtection="0"/>
    <xf numFmtId="221" fontId="151" fillId="0" borderId="0" applyFont="0" applyFill="0" applyBorder="0" applyAlignment="0" applyProtection="0"/>
    <xf numFmtId="203" fontId="151" fillId="0" borderId="0" applyFont="0" applyFill="0" applyBorder="0" applyAlignment="0" applyProtection="0"/>
    <xf numFmtId="0" fontId="148" fillId="0" borderId="0" applyFont="0" applyFill="0" applyBorder="0" applyAlignment="0" applyProtection="0"/>
    <xf numFmtId="203" fontId="151" fillId="0" borderId="0" applyFont="0" applyFill="0" applyBorder="0" applyAlignment="0" applyProtection="0"/>
    <xf numFmtId="184" fontId="108" fillId="0" borderId="0" applyFont="0" applyFill="0" applyBorder="0" applyAlignment="0" applyProtection="0"/>
    <xf numFmtId="0" fontId="4" fillId="0" borderId="0"/>
    <xf numFmtId="0" fontId="152" fillId="9" borderId="0" applyNumberFormat="0" applyBorder="0" applyAlignment="0" applyProtection="0"/>
    <xf numFmtId="0" fontId="153" fillId="0" borderId="0" applyNumberFormat="0" applyFill="0" applyBorder="0" applyAlignment="0" applyProtection="0"/>
    <xf numFmtId="0" fontId="148" fillId="0" borderId="0"/>
    <xf numFmtId="0" fontId="125" fillId="0" borderId="0"/>
    <xf numFmtId="0" fontId="40" fillId="0" borderId="0"/>
    <xf numFmtId="0" fontId="148" fillId="0" borderId="0"/>
    <xf numFmtId="0" fontId="154" fillId="0" borderId="0"/>
    <xf numFmtId="0" fontId="155" fillId="0" borderId="0"/>
    <xf numFmtId="237" fontId="156" fillId="0" borderId="0" applyFill="0" applyBorder="0" applyAlignment="0"/>
    <xf numFmtId="0" fontId="4" fillId="0" borderId="0" applyFill="0" applyBorder="0" applyAlignment="0"/>
    <xf numFmtId="238" fontId="157" fillId="0" borderId="0" applyFill="0" applyBorder="0" applyAlignment="0"/>
    <xf numFmtId="177" fontId="157" fillId="0" borderId="0" applyFill="0" applyBorder="0" applyAlignment="0"/>
    <xf numFmtId="239" fontId="157" fillId="0" borderId="0" applyFill="0" applyBorder="0" applyAlignment="0"/>
    <xf numFmtId="240" fontId="156" fillId="0" borderId="0" applyFill="0" applyBorder="0" applyAlignment="0"/>
    <xf numFmtId="240" fontId="4" fillId="0" borderId="0" applyFill="0" applyBorder="0" applyAlignment="0"/>
    <xf numFmtId="200" fontId="157" fillId="0" borderId="0" applyFill="0" applyBorder="0" applyAlignment="0"/>
    <xf numFmtId="241" fontId="157" fillId="0" borderId="0" applyFill="0" applyBorder="0" applyAlignment="0"/>
    <xf numFmtId="238" fontId="157" fillId="0" borderId="0" applyFill="0" applyBorder="0" applyAlignment="0"/>
    <xf numFmtId="0" fontId="158" fillId="26" borderId="34" applyNumberFormat="0" applyAlignment="0" applyProtection="0"/>
    <xf numFmtId="0" fontId="159" fillId="0" borderId="0"/>
    <xf numFmtId="242" fontId="120" fillId="0" borderId="0" applyFont="0" applyFill="0" applyBorder="0" applyAlignment="0" applyProtection="0"/>
    <xf numFmtId="0" fontId="160" fillId="27" borderId="35" applyNumberFormat="0" applyAlignment="0" applyProtection="0"/>
    <xf numFmtId="166" fontId="161" fillId="0" borderId="0" applyFont="0" applyFill="0" applyBorder="0" applyAlignment="0" applyProtection="0"/>
    <xf numFmtId="4" fontId="162" fillId="0" borderId="0" applyAlignment="0"/>
    <xf numFmtId="0" fontId="156" fillId="0" borderId="0"/>
    <xf numFmtId="1" fontId="163" fillId="0" borderId="8" applyBorder="0"/>
    <xf numFmtId="205" fontId="164" fillId="0" borderId="0" applyFont="0" applyFill="0" applyBorder="0" applyAlignment="0" applyProtection="0"/>
    <xf numFmtId="243" fontId="165" fillId="0" borderId="0"/>
    <xf numFmtId="243" fontId="165" fillId="0" borderId="0"/>
    <xf numFmtId="243" fontId="165" fillId="0" borderId="0"/>
    <xf numFmtId="243" fontId="165" fillId="0" borderId="0"/>
    <xf numFmtId="243" fontId="165" fillId="0" borderId="0"/>
    <xf numFmtId="243" fontId="165" fillId="0" borderId="0"/>
    <xf numFmtId="243" fontId="165" fillId="0" borderId="0"/>
    <xf numFmtId="243" fontId="165" fillId="0" borderId="0"/>
    <xf numFmtId="41" fontId="147" fillId="0" borderId="0" applyFont="0" applyFill="0" applyBorder="0" applyAlignment="0" applyProtection="0"/>
    <xf numFmtId="244" fontId="91" fillId="0" borderId="0" applyFill="0" applyBorder="0" applyAlignment="0" applyProtection="0"/>
    <xf numFmtId="244" fontId="91" fillId="0" borderId="0" applyFill="0" applyBorder="0" applyAlignment="0" applyProtection="0"/>
    <xf numFmtId="244" fontId="91" fillId="0" borderId="0" applyFill="0" applyBorder="0" applyAlignment="0" applyProtection="0"/>
    <xf numFmtId="41" fontId="142" fillId="0" borderId="0" applyFont="0" applyFill="0" applyBorder="0" applyAlignment="0" applyProtection="0"/>
    <xf numFmtId="41" fontId="142" fillId="0" borderId="0" applyFont="0" applyFill="0" applyBorder="0" applyAlignment="0" applyProtection="0"/>
    <xf numFmtId="41" fontId="142" fillId="0" borderId="0" applyFont="0" applyFill="0" applyBorder="0" applyAlignment="0" applyProtection="0"/>
    <xf numFmtId="164" fontId="161" fillId="0" borderId="0" applyFont="0" applyFill="0" applyBorder="0" applyAlignment="0" applyProtection="0"/>
    <xf numFmtId="200" fontId="157" fillId="0" borderId="0" applyFont="0" applyFill="0" applyBorder="0" applyAlignment="0" applyProtection="0"/>
    <xf numFmtId="43" fontId="142" fillId="0" borderId="0" applyFont="0" applyFill="0" applyBorder="0" applyAlignment="0" applyProtection="0"/>
    <xf numFmtId="43" fontId="147" fillId="0" borderId="0" applyFont="0" applyFill="0" applyBorder="0" applyAlignment="0" applyProtection="0"/>
    <xf numFmtId="166" fontId="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5" fontId="142" fillId="0" borderId="0" applyFont="0" applyFill="0" applyBorder="0" applyAlignment="0" applyProtection="0"/>
    <xf numFmtId="43" fontId="6" fillId="0" borderId="0" applyFont="0" applyFill="0" applyBorder="0" applyAlignment="0" applyProtection="0"/>
    <xf numFmtId="171" fontId="6" fillId="0" borderId="0" applyFont="0" applyFill="0" applyBorder="0" applyAlignment="0" applyProtection="0"/>
    <xf numFmtId="170" fontId="142" fillId="0" borderId="0" applyFont="0" applyFill="0" applyBorder="0" applyAlignment="0" applyProtection="0"/>
    <xf numFmtId="0" fontId="14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204" fontId="4" fillId="0" borderId="0" applyFont="0" applyFill="0" applyBorder="0" applyAlignment="0" applyProtection="0"/>
    <xf numFmtId="204" fontId="4" fillId="0" borderId="0" applyFont="0" applyFill="0" applyBorder="0" applyAlignment="0" applyProtection="0"/>
    <xf numFmtId="43" fontId="14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47" fillId="0" borderId="0" applyFont="0" applyFill="0" applyBorder="0" applyAlignment="0" applyProtection="0"/>
    <xf numFmtId="43" fontId="4" fillId="0" borderId="0" applyFont="0" applyFill="0" applyBorder="0" applyAlignment="0" applyProtection="0"/>
    <xf numFmtId="165" fontId="6" fillId="0" borderId="0" applyFont="0" applyFill="0" applyBorder="0" applyAlignment="0" applyProtection="0"/>
    <xf numFmtId="43" fontId="4" fillId="0" borderId="0" applyFont="0" applyFill="0" applyBorder="0" applyAlignment="0" applyProtection="0"/>
    <xf numFmtId="245" fontId="6" fillId="0" borderId="0" applyFont="0" applyFill="0" applyBorder="0" applyAlignment="0" applyProtection="0"/>
    <xf numFmtId="171" fontId="6" fillId="0" borderId="0" applyFont="0" applyFill="0" applyBorder="0" applyAlignment="0" applyProtection="0"/>
    <xf numFmtId="0" fontId="142" fillId="0" borderId="0" applyFont="0" applyFill="0" applyBorder="0" applyAlignment="0" applyProtection="0"/>
    <xf numFmtId="246" fontId="5" fillId="0" borderId="0" applyFont="0" applyFill="0" applyBorder="0" applyAlignment="0" applyProtection="0"/>
    <xf numFmtId="169" fontId="102" fillId="0" borderId="0" applyFont="0" applyFill="0" applyBorder="0" applyAlignment="0" applyProtection="0"/>
    <xf numFmtId="165" fontId="102" fillId="0" borderId="0" applyFont="0" applyFill="0" applyBorder="0" applyAlignment="0" applyProtection="0"/>
    <xf numFmtId="165" fontId="102" fillId="0" borderId="0" applyFont="0" applyFill="0" applyBorder="0" applyAlignment="0" applyProtection="0"/>
    <xf numFmtId="43" fontId="166" fillId="0" borderId="0" applyFont="0" applyFill="0" applyBorder="0" applyAlignment="0" applyProtection="0"/>
    <xf numFmtId="167" fontId="6" fillId="0" borderId="0" applyFont="0" applyFill="0" applyBorder="0" applyAlignment="0" applyProtection="0"/>
    <xf numFmtId="43" fontId="167" fillId="0" borderId="0" applyFont="0" applyFill="0" applyBorder="0" applyAlignment="0" applyProtection="0"/>
    <xf numFmtId="43" fontId="156" fillId="0" borderId="0" applyFont="0" applyFill="0" applyBorder="0" applyAlignment="0" applyProtection="0"/>
    <xf numFmtId="43" fontId="147" fillId="0" borderId="0" applyFont="0" applyFill="0" applyBorder="0" applyAlignment="0" applyProtection="0"/>
    <xf numFmtId="175" fontId="168" fillId="0" borderId="0" applyFont="0" applyFill="0" applyBorder="0" applyAlignment="0" applyProtection="0"/>
    <xf numFmtId="247" fontId="121" fillId="0" borderId="0"/>
    <xf numFmtId="248" fontId="40" fillId="0" borderId="0"/>
    <xf numFmtId="3" fontId="4" fillId="0" borderId="0" applyFont="0" applyFill="0" applyBorder="0" applyAlignment="0" applyProtection="0"/>
    <xf numFmtId="0" fontId="169" fillId="0" borderId="0"/>
    <xf numFmtId="0" fontId="157" fillId="0" borderId="0"/>
    <xf numFmtId="3" fontId="91" fillId="0" borderId="0" applyFill="0" applyBorder="0" applyAlignment="0" applyProtection="0"/>
    <xf numFmtId="0" fontId="169" fillId="0" borderId="0"/>
    <xf numFmtId="0" fontId="157" fillId="0" borderId="0"/>
    <xf numFmtId="0" fontId="170" fillId="0" borderId="0">
      <alignment horizontal="center"/>
    </xf>
    <xf numFmtId="0" fontId="171" fillId="0" borderId="0" applyNumberFormat="0" applyAlignment="0">
      <alignment horizontal="left"/>
    </xf>
    <xf numFmtId="249" fontId="125" fillId="0" borderId="0" applyFont="0" applyFill="0" applyBorder="0" applyAlignment="0" applyProtection="0"/>
    <xf numFmtId="238" fontId="157" fillId="0" borderId="0" applyFont="0" applyFill="0" applyBorder="0" applyAlignment="0" applyProtection="0"/>
    <xf numFmtId="250" fontId="108" fillId="0" borderId="0" applyFont="0" applyFill="0" applyBorder="0" applyAlignment="0" applyProtection="0"/>
    <xf numFmtId="251" fontId="4" fillId="0" borderId="0" applyFont="0" applyFill="0" applyBorder="0" applyAlignment="0" applyProtection="0"/>
    <xf numFmtId="251" fontId="4" fillId="0" borderId="0" applyFont="0" applyFill="0" applyBorder="0" applyAlignment="0" applyProtection="0"/>
    <xf numFmtId="251" fontId="4" fillId="0" borderId="0" applyFont="0" applyFill="0" applyBorder="0" applyAlignment="0" applyProtection="0"/>
    <xf numFmtId="251" fontId="4" fillId="0" borderId="0" applyFont="0" applyFill="0" applyBorder="0" applyAlignment="0" applyProtection="0"/>
    <xf numFmtId="252" fontId="4" fillId="0" borderId="0" applyFont="0" applyFill="0" applyBorder="0" applyAlignment="0" applyProtection="0"/>
    <xf numFmtId="252" fontId="4" fillId="0" borderId="0" applyFont="0" applyFill="0" applyBorder="0" applyAlignment="0" applyProtection="0"/>
    <xf numFmtId="252" fontId="4" fillId="0" borderId="0" applyFont="0" applyFill="0" applyBorder="0" applyAlignment="0" applyProtection="0"/>
    <xf numFmtId="253" fontId="7" fillId="0" borderId="0" applyFont="0" applyFill="0" applyBorder="0" applyAlignment="0" applyProtection="0"/>
    <xf numFmtId="254" fontId="121" fillId="0" borderId="0"/>
    <xf numFmtId="255" fontId="4" fillId="0" borderId="0"/>
    <xf numFmtId="237" fontId="7" fillId="0" borderId="36"/>
    <xf numFmtId="237" fontId="7" fillId="0" borderId="36"/>
    <xf numFmtId="0" fontId="4" fillId="0" borderId="0" applyFont="0" applyFill="0" applyBorder="0" applyAlignment="0" applyProtection="0"/>
    <xf numFmtId="14" fontId="122" fillId="0" borderId="0" applyFill="0" applyBorder="0" applyAlignment="0"/>
    <xf numFmtId="14" fontId="122" fillId="0" borderId="0" applyFill="0" applyBorder="0" applyAlignment="0"/>
    <xf numFmtId="0" fontId="4" fillId="0" borderId="0" applyFont="0" applyFill="0" applyBorder="0" applyAlignment="0" applyProtection="0"/>
    <xf numFmtId="41" fontId="54" fillId="0" borderId="0" applyFont="0" applyFill="0" applyBorder="0" applyAlignment="0" applyProtection="0"/>
    <xf numFmtId="0" fontId="172" fillId="26" borderId="37" applyNumberFormat="0" applyAlignment="0" applyProtection="0"/>
    <xf numFmtId="0" fontId="173" fillId="13" borderId="34" applyNumberFormat="0" applyAlignment="0" applyProtection="0"/>
    <xf numFmtId="3" fontId="174" fillId="0" borderId="7">
      <alignment horizontal="left" vertical="top" wrapText="1"/>
    </xf>
    <xf numFmtId="0" fontId="175" fillId="0" borderId="38" applyNumberFormat="0" applyFill="0" applyAlignment="0" applyProtection="0"/>
    <xf numFmtId="0" fontId="176" fillId="0" borderId="39" applyNumberFormat="0" applyFill="0" applyAlignment="0" applyProtection="0"/>
    <xf numFmtId="0" fontId="177" fillId="0" borderId="40" applyNumberFormat="0" applyFill="0" applyAlignment="0" applyProtection="0"/>
    <xf numFmtId="0" fontId="177" fillId="0" borderId="0" applyNumberFormat="0" applyFill="0" applyBorder="0" applyAlignment="0" applyProtection="0"/>
    <xf numFmtId="256" fontId="91" fillId="0" borderId="0" applyFill="0" applyBorder="0" applyProtection="0">
      <alignment vertical="center"/>
    </xf>
    <xf numFmtId="257" fontId="7" fillId="0" borderId="0" applyFont="0" applyFill="0" applyBorder="0" applyProtection="0">
      <alignment vertical="center"/>
    </xf>
    <xf numFmtId="257" fontId="7" fillId="0" borderId="0" applyFont="0" applyFill="0" applyBorder="0" applyProtection="0">
      <alignment vertical="center"/>
    </xf>
    <xf numFmtId="257" fontId="7" fillId="0" borderId="0" applyFont="0" applyFill="0" applyBorder="0" applyProtection="0">
      <alignment vertical="center"/>
    </xf>
    <xf numFmtId="258" fontId="4" fillId="0" borderId="41">
      <alignment vertical="center"/>
    </xf>
    <xf numFmtId="258" fontId="4" fillId="0" borderId="41">
      <alignment vertical="center"/>
    </xf>
    <xf numFmtId="0" fontId="4" fillId="0" borderId="0" applyFont="0" applyFill="0" applyBorder="0" applyAlignment="0" applyProtection="0"/>
    <xf numFmtId="0" fontId="4" fillId="0" borderId="0" applyFont="0" applyFill="0" applyBorder="0" applyAlignment="0" applyProtection="0"/>
    <xf numFmtId="259" fontId="7" fillId="0" borderId="0"/>
    <xf numFmtId="260" fontId="111" fillId="0" borderId="1"/>
    <xf numFmtId="260" fontId="111" fillId="0" borderId="1"/>
    <xf numFmtId="0" fontId="178" fillId="0" borderId="0">
      <protection locked="0"/>
    </xf>
    <xf numFmtId="261" fontId="121" fillId="0" borderId="0"/>
    <xf numFmtId="262" fontId="4" fillId="0" borderId="0"/>
    <xf numFmtId="263" fontId="111" fillId="0" borderId="0"/>
    <xf numFmtId="263" fontId="111" fillId="0" borderId="0"/>
    <xf numFmtId="0" fontId="164" fillId="0" borderId="0">
      <alignment vertical="top" wrapText="1"/>
    </xf>
    <xf numFmtId="191" fontId="179" fillId="0" borderId="0" applyFont="0" applyFill="0" applyBorder="0" applyAlignment="0" applyProtection="0"/>
    <xf numFmtId="192" fontId="179" fillId="0" borderId="0" applyFont="0" applyFill="0" applyBorder="0" applyAlignment="0" applyProtection="0"/>
    <xf numFmtId="191" fontId="179" fillId="0" borderId="0" applyFont="0" applyFill="0" applyBorder="0" applyAlignment="0" applyProtection="0"/>
    <xf numFmtId="41" fontId="179" fillId="0" borderId="0" applyFont="0" applyFill="0" applyBorder="0" applyAlignment="0" applyProtection="0"/>
    <xf numFmtId="264" fontId="4" fillId="0" borderId="0" applyFont="0" applyFill="0" applyBorder="0" applyAlignment="0" applyProtection="0"/>
    <xf numFmtId="264" fontId="4" fillId="0" borderId="0" applyFont="0" applyFill="0" applyBorder="0" applyAlignment="0" applyProtection="0"/>
    <xf numFmtId="264" fontId="4" fillId="0" borderId="0" applyFont="0" applyFill="0" applyBorder="0" applyAlignment="0" applyProtection="0"/>
    <xf numFmtId="264" fontId="4" fillId="0" borderId="0" applyFont="0" applyFill="0" applyBorder="0" applyAlignment="0" applyProtection="0"/>
    <xf numFmtId="264" fontId="4" fillId="0" borderId="0" applyFont="0" applyFill="0" applyBorder="0" applyAlignment="0" applyProtection="0"/>
    <xf numFmtId="264" fontId="4" fillId="0" borderId="0" applyFont="0" applyFill="0" applyBorder="0" applyAlignment="0" applyProtection="0"/>
    <xf numFmtId="264" fontId="4" fillId="0" borderId="0" applyFont="0" applyFill="0" applyBorder="0" applyAlignment="0" applyProtection="0"/>
    <xf numFmtId="264" fontId="4" fillId="0" borderId="0" applyFont="0" applyFill="0" applyBorder="0" applyAlignment="0" applyProtection="0"/>
    <xf numFmtId="191" fontId="179" fillId="0" borderId="0" applyFont="0" applyFill="0" applyBorder="0" applyAlignment="0" applyProtection="0"/>
    <xf numFmtId="191" fontId="179" fillId="0" borderId="0" applyFont="0" applyFill="0" applyBorder="0" applyAlignment="0" applyProtection="0"/>
    <xf numFmtId="264" fontId="4" fillId="0" borderId="0" applyFont="0" applyFill="0" applyBorder="0" applyAlignment="0" applyProtection="0"/>
    <xf numFmtId="264" fontId="4" fillId="0" borderId="0" applyFont="0" applyFill="0" applyBorder="0" applyAlignment="0" applyProtection="0"/>
    <xf numFmtId="264" fontId="4" fillId="0" borderId="0" applyFont="0" applyFill="0" applyBorder="0" applyAlignment="0" applyProtection="0"/>
    <xf numFmtId="264" fontId="4" fillId="0" borderId="0" applyFont="0" applyFill="0" applyBorder="0" applyAlignment="0" applyProtection="0"/>
    <xf numFmtId="265" fontId="7" fillId="0" borderId="0" applyFont="0" applyFill="0" applyBorder="0" applyAlignment="0" applyProtection="0"/>
    <xf numFmtId="265" fontId="7" fillId="0" borderId="0" applyFont="0" applyFill="0" applyBorder="0" applyAlignment="0" applyProtection="0"/>
    <xf numFmtId="265" fontId="7" fillId="0" borderId="0" applyFont="0" applyFill="0" applyBorder="0" applyAlignment="0" applyProtection="0"/>
    <xf numFmtId="265" fontId="7" fillId="0" borderId="0" applyFont="0" applyFill="0" applyBorder="0" applyAlignment="0" applyProtection="0"/>
    <xf numFmtId="266" fontId="7" fillId="0" borderId="0" applyFont="0" applyFill="0" applyBorder="0" applyAlignment="0" applyProtection="0"/>
    <xf numFmtId="266" fontId="7" fillId="0" borderId="0" applyFont="0" applyFill="0" applyBorder="0" applyAlignment="0" applyProtection="0"/>
    <xf numFmtId="266" fontId="7" fillId="0" borderId="0" applyFont="0" applyFill="0" applyBorder="0" applyAlignment="0" applyProtection="0"/>
    <xf numFmtId="266" fontId="7" fillId="0" borderId="0" applyFont="0" applyFill="0" applyBorder="0" applyAlignment="0" applyProtection="0"/>
    <xf numFmtId="164" fontId="179" fillId="0" borderId="0" applyFont="0" applyFill="0" applyBorder="0" applyAlignment="0" applyProtection="0"/>
    <xf numFmtId="164" fontId="179" fillId="0" borderId="0" applyFont="0" applyFill="0" applyBorder="0" applyAlignment="0" applyProtection="0"/>
    <xf numFmtId="41" fontId="179" fillId="0" borderId="0" applyFont="0" applyFill="0" applyBorder="0" applyAlignment="0" applyProtection="0"/>
    <xf numFmtId="41" fontId="179" fillId="0" borderId="0" applyFont="0" applyFill="0" applyBorder="0" applyAlignment="0" applyProtection="0"/>
    <xf numFmtId="164" fontId="179" fillId="0" borderId="0" applyFont="0" applyFill="0" applyBorder="0" applyAlignment="0" applyProtection="0"/>
    <xf numFmtId="164" fontId="179" fillId="0" borderId="0" applyFont="0" applyFill="0" applyBorder="0" applyAlignment="0" applyProtection="0"/>
    <xf numFmtId="164" fontId="179" fillId="0" borderId="0" applyFont="0" applyFill="0" applyBorder="0" applyAlignment="0" applyProtection="0"/>
    <xf numFmtId="164" fontId="179" fillId="0" borderId="0" applyFont="0" applyFill="0" applyBorder="0" applyAlignment="0" applyProtection="0"/>
    <xf numFmtId="164" fontId="179" fillId="0" borderId="0" applyFont="0" applyFill="0" applyBorder="0" applyAlignment="0" applyProtection="0"/>
    <xf numFmtId="164" fontId="179" fillId="0" borderId="0" applyFont="0" applyFill="0" applyBorder="0" applyAlignment="0" applyProtection="0"/>
    <xf numFmtId="164" fontId="179" fillId="0" borderId="0" applyFont="0" applyFill="0" applyBorder="0" applyAlignment="0" applyProtection="0"/>
    <xf numFmtId="164" fontId="179" fillId="0" borderId="0" applyFont="0" applyFill="0" applyBorder="0" applyAlignment="0" applyProtection="0"/>
    <xf numFmtId="164" fontId="179" fillId="0" borderId="0" applyFont="0" applyFill="0" applyBorder="0" applyAlignment="0" applyProtection="0"/>
    <xf numFmtId="164" fontId="179" fillId="0" borderId="0" applyFont="0" applyFill="0" applyBorder="0" applyAlignment="0" applyProtection="0"/>
    <xf numFmtId="164" fontId="179" fillId="0" borderId="0" applyFont="0" applyFill="0" applyBorder="0" applyAlignment="0" applyProtection="0"/>
    <xf numFmtId="191" fontId="179" fillId="0" borderId="0" applyFont="0" applyFill="0" applyBorder="0" applyAlignment="0" applyProtection="0"/>
    <xf numFmtId="164" fontId="179" fillId="0" borderId="0" applyFont="0" applyFill="0" applyBorder="0" applyAlignment="0" applyProtection="0"/>
    <xf numFmtId="191" fontId="179" fillId="0" borderId="0" applyFont="0" applyFill="0" applyBorder="0" applyAlignment="0" applyProtection="0"/>
    <xf numFmtId="41" fontId="179" fillId="0" borderId="0" applyFont="0" applyFill="0" applyBorder="0" applyAlignment="0" applyProtection="0"/>
    <xf numFmtId="41" fontId="179" fillId="0" borderId="0" applyFont="0" applyFill="0" applyBorder="0" applyAlignment="0" applyProtection="0"/>
    <xf numFmtId="164" fontId="179" fillId="0" borderId="0" applyFont="0" applyFill="0" applyBorder="0" applyAlignment="0" applyProtection="0"/>
    <xf numFmtId="164" fontId="179" fillId="0" borderId="0" applyFont="0" applyFill="0" applyBorder="0" applyAlignment="0" applyProtection="0"/>
    <xf numFmtId="164" fontId="179" fillId="0" borderId="0" applyFont="0" applyFill="0" applyBorder="0" applyAlignment="0" applyProtection="0"/>
    <xf numFmtId="192" fontId="179" fillId="0" borderId="0" applyFont="0" applyFill="0" applyBorder="0" applyAlignment="0" applyProtection="0"/>
    <xf numFmtId="43" fontId="179" fillId="0" borderId="0" applyFont="0" applyFill="0" applyBorder="0" applyAlignment="0" applyProtection="0"/>
    <xf numFmtId="267" fontId="4" fillId="0" borderId="0" applyFont="0" applyFill="0" applyBorder="0" applyAlignment="0" applyProtection="0"/>
    <xf numFmtId="267" fontId="4" fillId="0" borderId="0" applyFont="0" applyFill="0" applyBorder="0" applyAlignment="0" applyProtection="0"/>
    <xf numFmtId="267" fontId="4" fillId="0" borderId="0" applyFont="0" applyFill="0" applyBorder="0" applyAlignment="0" applyProtection="0"/>
    <xf numFmtId="267" fontId="4" fillId="0" borderId="0" applyFont="0" applyFill="0" applyBorder="0" applyAlignment="0" applyProtection="0"/>
    <xf numFmtId="267" fontId="4" fillId="0" borderId="0" applyFont="0" applyFill="0" applyBorder="0" applyAlignment="0" applyProtection="0"/>
    <xf numFmtId="267" fontId="4" fillId="0" borderId="0" applyFont="0" applyFill="0" applyBorder="0" applyAlignment="0" applyProtection="0"/>
    <xf numFmtId="267" fontId="4" fillId="0" borderId="0" applyFont="0" applyFill="0" applyBorder="0" applyAlignment="0" applyProtection="0"/>
    <xf numFmtId="267" fontId="4" fillId="0" borderId="0" applyFont="0" applyFill="0" applyBorder="0" applyAlignment="0" applyProtection="0"/>
    <xf numFmtId="192" fontId="179" fillId="0" borderId="0" applyFont="0" applyFill="0" applyBorder="0" applyAlignment="0" applyProtection="0"/>
    <xf numFmtId="192" fontId="179" fillId="0" borderId="0" applyFont="0" applyFill="0" applyBorder="0" applyAlignment="0" applyProtection="0"/>
    <xf numFmtId="267" fontId="4" fillId="0" borderId="0" applyFont="0" applyFill="0" applyBorder="0" applyAlignment="0" applyProtection="0"/>
    <xf numFmtId="267" fontId="4" fillId="0" borderId="0" applyFont="0" applyFill="0" applyBorder="0" applyAlignment="0" applyProtection="0"/>
    <xf numFmtId="267" fontId="4" fillId="0" borderId="0" applyFont="0" applyFill="0" applyBorder="0" applyAlignment="0" applyProtection="0"/>
    <xf numFmtId="267" fontId="4" fillId="0" borderId="0" applyFont="0" applyFill="0" applyBorder="0" applyAlignment="0" applyProtection="0"/>
    <xf numFmtId="268" fontId="7" fillId="0" borderId="0" applyFont="0" applyFill="0" applyBorder="0" applyAlignment="0" applyProtection="0"/>
    <xf numFmtId="268" fontId="7" fillId="0" borderId="0" applyFont="0" applyFill="0" applyBorder="0" applyAlignment="0" applyProtection="0"/>
    <xf numFmtId="268" fontId="7" fillId="0" borderId="0" applyFont="0" applyFill="0" applyBorder="0" applyAlignment="0" applyProtection="0"/>
    <xf numFmtId="268" fontId="7" fillId="0" borderId="0" applyFont="0" applyFill="0" applyBorder="0" applyAlignment="0" applyProtection="0"/>
    <xf numFmtId="269" fontId="7" fillId="0" borderId="0" applyFont="0" applyFill="0" applyBorder="0" applyAlignment="0" applyProtection="0"/>
    <xf numFmtId="269" fontId="7" fillId="0" borderId="0" applyFont="0" applyFill="0" applyBorder="0" applyAlignment="0" applyProtection="0"/>
    <xf numFmtId="269" fontId="7" fillId="0" borderId="0" applyFont="0" applyFill="0" applyBorder="0" applyAlignment="0" applyProtection="0"/>
    <xf numFmtId="269" fontId="7" fillId="0" borderId="0" applyFont="0" applyFill="0" applyBorder="0" applyAlignment="0" applyProtection="0"/>
    <xf numFmtId="165" fontId="179" fillId="0" borderId="0" applyFont="0" applyFill="0" applyBorder="0" applyAlignment="0" applyProtection="0"/>
    <xf numFmtId="165" fontId="179" fillId="0" borderId="0" applyFont="0" applyFill="0" applyBorder="0" applyAlignment="0" applyProtection="0"/>
    <xf numFmtId="43" fontId="179" fillId="0" borderId="0" applyFont="0" applyFill="0" applyBorder="0" applyAlignment="0" applyProtection="0"/>
    <xf numFmtId="43" fontId="179" fillId="0" borderId="0" applyFont="0" applyFill="0" applyBorder="0" applyAlignment="0" applyProtection="0"/>
    <xf numFmtId="165" fontId="179" fillId="0" borderId="0" applyFont="0" applyFill="0" applyBorder="0" applyAlignment="0" applyProtection="0"/>
    <xf numFmtId="165" fontId="179" fillId="0" borderId="0" applyFont="0" applyFill="0" applyBorder="0" applyAlignment="0" applyProtection="0"/>
    <xf numFmtId="165" fontId="179" fillId="0" borderId="0" applyFont="0" applyFill="0" applyBorder="0" applyAlignment="0" applyProtection="0"/>
    <xf numFmtId="165" fontId="179" fillId="0" borderId="0" applyFont="0" applyFill="0" applyBorder="0" applyAlignment="0" applyProtection="0"/>
    <xf numFmtId="165" fontId="179" fillId="0" borderId="0" applyFont="0" applyFill="0" applyBorder="0" applyAlignment="0" applyProtection="0"/>
    <xf numFmtId="165" fontId="179" fillId="0" borderId="0" applyFont="0" applyFill="0" applyBorder="0" applyAlignment="0" applyProtection="0"/>
    <xf numFmtId="165" fontId="179" fillId="0" borderId="0" applyFont="0" applyFill="0" applyBorder="0" applyAlignment="0" applyProtection="0"/>
    <xf numFmtId="165" fontId="179" fillId="0" borderId="0" applyFont="0" applyFill="0" applyBorder="0" applyAlignment="0" applyProtection="0"/>
    <xf numFmtId="165" fontId="179" fillId="0" borderId="0" applyFont="0" applyFill="0" applyBorder="0" applyAlignment="0" applyProtection="0"/>
    <xf numFmtId="165" fontId="179" fillId="0" borderId="0" applyFont="0" applyFill="0" applyBorder="0" applyAlignment="0" applyProtection="0"/>
    <xf numFmtId="165" fontId="179" fillId="0" borderId="0" applyFont="0" applyFill="0" applyBorder="0" applyAlignment="0" applyProtection="0"/>
    <xf numFmtId="192" fontId="179" fillId="0" borderId="0" applyFont="0" applyFill="0" applyBorder="0" applyAlignment="0" applyProtection="0"/>
    <xf numFmtId="165" fontId="179" fillId="0" borderId="0" applyFont="0" applyFill="0" applyBorder="0" applyAlignment="0" applyProtection="0"/>
    <xf numFmtId="192" fontId="179" fillId="0" borderId="0" applyFont="0" applyFill="0" applyBorder="0" applyAlignment="0" applyProtection="0"/>
    <xf numFmtId="43" fontId="179" fillId="0" borderId="0" applyFont="0" applyFill="0" applyBorder="0" applyAlignment="0" applyProtection="0"/>
    <xf numFmtId="43" fontId="179" fillId="0" borderId="0" applyFont="0" applyFill="0" applyBorder="0" applyAlignment="0" applyProtection="0"/>
    <xf numFmtId="165" fontId="179" fillId="0" borderId="0" applyFont="0" applyFill="0" applyBorder="0" applyAlignment="0" applyProtection="0"/>
    <xf numFmtId="165" fontId="179" fillId="0" borderId="0" applyFont="0" applyFill="0" applyBorder="0" applyAlignment="0" applyProtection="0"/>
    <xf numFmtId="165" fontId="179" fillId="0" borderId="0" applyFont="0" applyFill="0" applyBorder="0" applyAlignment="0" applyProtection="0"/>
    <xf numFmtId="3" fontId="7" fillId="0" borderId="0" applyFont="0" applyBorder="0" applyAlignment="0"/>
    <xf numFmtId="0" fontId="180" fillId="0" borderId="0">
      <protection locked="0"/>
    </xf>
    <xf numFmtId="0" fontId="180" fillId="0" borderId="0">
      <protection locked="0"/>
    </xf>
    <xf numFmtId="200" fontId="157" fillId="0" borderId="0" applyFill="0" applyBorder="0" applyAlignment="0"/>
    <xf numFmtId="238" fontId="157" fillId="0" borderId="0" applyFill="0" applyBorder="0" applyAlignment="0"/>
    <xf numFmtId="200" fontId="157" fillId="0" borderId="0" applyFill="0" applyBorder="0" applyAlignment="0"/>
    <xf numFmtId="241" fontId="157" fillId="0" borderId="0" applyFill="0" applyBorder="0" applyAlignment="0"/>
    <xf numFmtId="238" fontId="157" fillId="0" borderId="0" applyFill="0" applyBorder="0" applyAlignment="0"/>
    <xf numFmtId="0" fontId="181" fillId="0" borderId="0" applyNumberFormat="0" applyAlignment="0">
      <alignment horizontal="left"/>
    </xf>
    <xf numFmtId="169" fontId="182" fillId="0" borderId="0">
      <protection locked="0"/>
    </xf>
    <xf numFmtId="169" fontId="182" fillId="0" borderId="0">
      <protection locked="0"/>
    </xf>
    <xf numFmtId="270" fontId="7" fillId="0" borderId="0" applyFont="0" applyFill="0" applyBorder="0" applyAlignment="0" applyProtection="0"/>
    <xf numFmtId="271" fontId="4" fillId="0" borderId="0" applyFont="0" applyFill="0" applyBorder="0" applyAlignment="0" applyProtection="0"/>
    <xf numFmtId="0" fontId="183" fillId="0" borderId="0"/>
    <xf numFmtId="0" fontId="184" fillId="0" borderId="0" applyNumberFormat="0" applyFill="0" applyBorder="0" applyAlignment="0" applyProtection="0"/>
    <xf numFmtId="3" fontId="7" fillId="0" borderId="0" applyFont="0" applyBorder="0" applyAlignment="0"/>
    <xf numFmtId="0" fontId="178" fillId="0" borderId="0">
      <protection locked="0"/>
    </xf>
    <xf numFmtId="0" fontId="178" fillId="0" borderId="0">
      <protection locked="0"/>
    </xf>
    <xf numFmtId="0" fontId="178" fillId="0" borderId="0">
      <protection locked="0"/>
    </xf>
    <xf numFmtId="0" fontId="178" fillId="0" borderId="0">
      <protection locked="0"/>
    </xf>
    <xf numFmtId="0" fontId="178" fillId="0" borderId="0">
      <protection locked="0"/>
    </xf>
    <xf numFmtId="0" fontId="178" fillId="0" borderId="0">
      <protection locked="0"/>
    </xf>
    <xf numFmtId="0" fontId="178" fillId="0" borderId="0">
      <protection locked="0"/>
    </xf>
    <xf numFmtId="0" fontId="178" fillId="0" borderId="0">
      <protection locked="0"/>
    </xf>
    <xf numFmtId="4" fontId="178" fillId="0" borderId="0">
      <protection locked="0"/>
    </xf>
    <xf numFmtId="0" fontId="178" fillId="0" borderId="0">
      <protection locked="0"/>
    </xf>
    <xf numFmtId="272" fontId="7" fillId="0" borderId="0">
      <protection locked="0"/>
    </xf>
    <xf numFmtId="272" fontId="7" fillId="0" borderId="0">
      <protection locked="0"/>
    </xf>
    <xf numFmtId="2" fontId="4" fillId="0" borderId="0" applyFont="0" applyFill="0" applyBorder="0" applyAlignment="0" applyProtection="0"/>
    <xf numFmtId="0" fontId="185" fillId="0" borderId="0" applyNumberFormat="0" applyFill="0" applyBorder="0" applyAlignment="0" applyProtection="0"/>
    <xf numFmtId="0" fontId="186" fillId="0" borderId="0" applyNumberFormat="0" applyFill="0" applyBorder="0" applyProtection="0">
      <alignment vertical="center"/>
    </xf>
    <xf numFmtId="0" fontId="187" fillId="0" borderId="0" applyNumberFormat="0" applyFill="0" applyBorder="0" applyAlignment="0" applyProtection="0"/>
    <xf numFmtId="0" fontId="188" fillId="0" borderId="0" applyNumberFormat="0" applyFill="0" applyBorder="0" applyProtection="0">
      <alignment vertical="center"/>
    </xf>
    <xf numFmtId="0" fontId="189" fillId="0" borderId="0" applyNumberFormat="0" applyFill="0" applyBorder="0" applyAlignment="0" applyProtection="0"/>
    <xf numFmtId="0" fontId="190" fillId="0" borderId="0" applyNumberFormat="0" applyFill="0" applyBorder="0" applyAlignment="0" applyProtection="0"/>
    <xf numFmtId="273" fontId="110" fillId="0" borderId="42" applyNumberFormat="0" applyFill="0" applyBorder="0" applyAlignment="0" applyProtection="0"/>
    <xf numFmtId="0" fontId="191" fillId="0" borderId="0" applyNumberFormat="0" applyFill="0" applyBorder="0" applyAlignment="0" applyProtection="0"/>
    <xf numFmtId="0" fontId="192" fillId="28" borderId="43" applyNumberFormat="0" applyAlignment="0">
      <protection locked="0"/>
    </xf>
    <xf numFmtId="0" fontId="4" fillId="29" borderId="44" applyNumberFormat="0" applyFont="0" applyAlignment="0" applyProtection="0"/>
    <xf numFmtId="0" fontId="4" fillId="29" borderId="44" applyNumberFormat="0" applyFont="0" applyAlignment="0" applyProtection="0"/>
    <xf numFmtId="0" fontId="193" fillId="0" borderId="0">
      <alignment vertical="top" wrapText="1"/>
    </xf>
    <xf numFmtId="0" fontId="194" fillId="10" borderId="0" applyNumberFormat="0" applyBorder="0" applyAlignment="0" applyProtection="0"/>
    <xf numFmtId="38" fontId="195" fillId="2" borderId="0" applyNumberFormat="0" applyBorder="0" applyAlignment="0" applyProtection="0"/>
    <xf numFmtId="274" fontId="103" fillId="5" borderId="0" applyBorder="0" applyProtection="0"/>
    <xf numFmtId="0" fontId="196" fillId="0" borderId="25" applyNumberFormat="0" applyFill="0" applyBorder="0" applyAlignment="0" applyProtection="0">
      <alignment horizontal="center" vertical="center"/>
    </xf>
    <xf numFmtId="0" fontId="197" fillId="0" borderId="0" applyNumberFormat="0" applyFont="0" applyBorder="0" applyAlignment="0">
      <alignment horizontal="left" vertical="center"/>
    </xf>
    <xf numFmtId="275" fontId="125" fillId="0" borderId="0" applyFont="0" applyFill="0" applyBorder="0" applyAlignment="0" applyProtection="0"/>
    <xf numFmtId="0" fontId="198" fillId="30" borderId="0"/>
    <xf numFmtId="0" fontId="199" fillId="0" borderId="0">
      <alignment horizontal="left"/>
    </xf>
    <xf numFmtId="0" fontId="200" fillId="0" borderId="45" applyNumberFormat="0" applyAlignment="0" applyProtection="0">
      <alignment horizontal="left" vertical="center"/>
    </xf>
    <xf numFmtId="0" fontId="200" fillId="0" borderId="18">
      <alignment horizontal="left" vertical="center"/>
    </xf>
    <xf numFmtId="0" fontId="201" fillId="0" borderId="0" applyNumberFormat="0" applyFill="0" applyBorder="0" applyAlignment="0" applyProtection="0"/>
    <xf numFmtId="0" fontId="200" fillId="0" borderId="0" applyNumberFormat="0" applyFill="0" applyBorder="0" applyAlignment="0" applyProtection="0"/>
    <xf numFmtId="0" fontId="202" fillId="0" borderId="40" applyNumberFormat="0" applyFill="0" applyAlignment="0" applyProtection="0"/>
    <xf numFmtId="0" fontId="202" fillId="0" borderId="0" applyNumberFormat="0" applyFill="0" applyBorder="0" applyAlignment="0" applyProtection="0"/>
    <xf numFmtId="0" fontId="201" fillId="0" borderId="0" applyProtection="0"/>
    <xf numFmtId="0" fontId="200" fillId="0" borderId="0" applyProtection="0"/>
    <xf numFmtId="0" fontId="203" fillId="0" borderId="46">
      <alignment horizontal="center"/>
    </xf>
    <xf numFmtId="0" fontId="203" fillId="0" borderId="0">
      <alignment horizontal="center"/>
    </xf>
    <xf numFmtId="5" fontId="204" fillId="31" borderId="1" applyNumberFormat="0" applyAlignment="0">
      <alignment horizontal="left" vertical="top"/>
    </xf>
    <xf numFmtId="0" fontId="205" fillId="0" borderId="0"/>
    <xf numFmtId="49" fontId="206" fillId="0" borderId="1">
      <alignment vertical="center"/>
    </xf>
    <xf numFmtId="0" fontId="40" fillId="0" borderId="0"/>
    <xf numFmtId="191" fontId="7" fillId="0" borderId="0" applyFont="0" applyFill="0" applyBorder="0" applyAlignment="0" applyProtection="0"/>
    <xf numFmtId="38" fontId="121" fillId="0" borderId="0" applyFont="0" applyFill="0" applyBorder="0" applyAlignment="0" applyProtection="0"/>
    <xf numFmtId="38" fontId="121" fillId="0" borderId="0" applyFont="0" applyFill="0" applyBorder="0" applyAlignment="0" applyProtection="0"/>
    <xf numFmtId="195" fontId="120" fillId="0" borderId="0" applyFont="0" applyFill="0" applyBorder="0" applyAlignment="0" applyProtection="0"/>
    <xf numFmtId="276" fontId="207" fillId="0" borderId="0" applyFont="0" applyFill="0" applyBorder="0" applyAlignment="0" applyProtection="0"/>
    <xf numFmtId="10" fontId="195" fillId="2" borderId="1" applyNumberFormat="0" applyBorder="0" applyAlignment="0" applyProtection="0"/>
    <xf numFmtId="0" fontId="208" fillId="13" borderId="34" applyNumberFormat="0" applyAlignment="0" applyProtection="0"/>
    <xf numFmtId="2" fontId="124" fillId="0" borderId="14" applyBorder="0"/>
    <xf numFmtId="0" fontId="209" fillId="0" borderId="0" applyNumberFormat="0" applyFill="0" applyBorder="0" applyAlignment="0" applyProtection="0">
      <alignment vertical="top"/>
      <protection locked="0"/>
    </xf>
    <xf numFmtId="0" fontId="210" fillId="0" borderId="0" applyNumberFormat="0" applyFill="0" applyBorder="0" applyAlignment="0" applyProtection="0">
      <alignment vertical="top"/>
      <protection locked="0"/>
    </xf>
    <xf numFmtId="0" fontId="211" fillId="0" borderId="0" applyNumberFormat="0" applyFill="0" applyBorder="0" applyAlignment="0" applyProtection="0">
      <alignment vertical="top"/>
      <protection locked="0"/>
    </xf>
    <xf numFmtId="0" fontId="209" fillId="0" borderId="0" applyNumberFormat="0" applyFill="0" applyBorder="0" applyAlignment="0" applyProtection="0">
      <alignment vertical="top"/>
      <protection locked="0"/>
    </xf>
    <xf numFmtId="191" fontId="7" fillId="0" borderId="0" applyFont="0" applyFill="0" applyBorder="0" applyAlignment="0" applyProtection="0"/>
    <xf numFmtId="0" fontId="7" fillId="0" borderId="0"/>
    <xf numFmtId="2" fontId="212" fillId="0" borderId="15" applyBorder="0"/>
    <xf numFmtId="0" fontId="104" fillId="0" borderId="47">
      <alignment horizontal="centerContinuous"/>
    </xf>
    <xf numFmtId="0" fontId="104" fillId="0" borderId="47">
      <alignment horizontal="centerContinuous"/>
    </xf>
    <xf numFmtId="0" fontId="213" fillId="27" borderId="35" applyNumberFormat="0" applyAlignment="0" applyProtection="0"/>
    <xf numFmtId="0" fontId="214" fillId="0" borderId="48">
      <alignment horizontal="center" vertical="center" wrapText="1"/>
    </xf>
    <xf numFmtId="0" fontId="164" fillId="2" borderId="0" applyNumberFormat="0" applyFont="0" applyBorder="0" applyAlignment="0"/>
    <xf numFmtId="0" fontId="164" fillId="2" borderId="0" applyNumberFormat="0" applyFont="0" applyBorder="0" applyAlignment="0"/>
    <xf numFmtId="0" fontId="121" fillId="0" borderId="0"/>
    <xf numFmtId="0" fontId="142" fillId="0" borderId="0"/>
    <xf numFmtId="0" fontId="215" fillId="0" borderId="0"/>
    <xf numFmtId="0" fontId="142" fillId="0" borderId="0"/>
    <xf numFmtId="0" fontId="40" fillId="0" borderId="0" applyNumberFormat="0" applyFont="0" applyFill="0" applyBorder="0" applyProtection="0">
      <alignment horizontal="left" vertical="center"/>
    </xf>
    <xf numFmtId="0" fontId="121" fillId="0" borderId="0"/>
    <xf numFmtId="200" fontId="157" fillId="0" borderId="0" applyFill="0" applyBorder="0" applyAlignment="0"/>
    <xf numFmtId="238" fontId="157" fillId="0" borderId="0" applyFill="0" applyBorder="0" applyAlignment="0"/>
    <xf numFmtId="200" fontId="157" fillId="0" borderId="0" applyFill="0" applyBorder="0" applyAlignment="0"/>
    <xf numFmtId="241" fontId="157" fillId="0" borderId="0" applyFill="0" applyBorder="0" applyAlignment="0"/>
    <xf numFmtId="238" fontId="157" fillId="0" borderId="0" applyFill="0" applyBorder="0" applyAlignment="0"/>
    <xf numFmtId="0" fontId="216" fillId="0" borderId="49" applyNumberFormat="0" applyFill="0" applyAlignment="0" applyProtection="0"/>
    <xf numFmtId="237" fontId="217" fillId="0" borderId="27" applyNumberFormat="0" applyFont="0" applyFill="0" applyBorder="0">
      <alignment horizontal="center"/>
    </xf>
    <xf numFmtId="38" fontId="121" fillId="0" borderId="0" applyFont="0" applyFill="0" applyBorder="0" applyAlignment="0" applyProtection="0"/>
    <xf numFmtId="4" fontId="157" fillId="0" borderId="0" applyFont="0" applyFill="0" applyBorder="0" applyAlignment="0" applyProtection="0"/>
    <xf numFmtId="220" fontId="40" fillId="0" borderId="0" applyFont="0" applyFill="0" applyBorder="0" applyAlignment="0" applyProtection="0"/>
    <xf numFmtId="40" fontId="121" fillId="0" borderId="0" applyFont="0" applyFill="0" applyBorder="0" applyAlignment="0" applyProtection="0"/>
    <xf numFmtId="191" fontId="156" fillId="0" borderId="0" applyFont="0" applyFill="0" applyBorder="0" applyAlignment="0" applyProtection="0"/>
    <xf numFmtId="192" fontId="156" fillId="0" borderId="0" applyFont="0" applyFill="0" applyBorder="0" applyAlignment="0" applyProtection="0"/>
    <xf numFmtId="0" fontId="218" fillId="0" borderId="46"/>
    <xf numFmtId="277" fontId="111" fillId="0" borderId="27"/>
    <xf numFmtId="278" fontId="121" fillId="0" borderId="0" applyFont="0" applyFill="0" applyBorder="0" applyAlignment="0" applyProtection="0"/>
    <xf numFmtId="279" fontId="121" fillId="0" borderId="0" applyFont="0" applyFill="0" applyBorder="0" applyAlignment="0" applyProtection="0"/>
    <xf numFmtId="192" fontId="182" fillId="0" borderId="0">
      <protection locked="0"/>
    </xf>
    <xf numFmtId="280" fontId="156" fillId="0" borderId="0" applyFont="0" applyFill="0" applyBorder="0" applyAlignment="0" applyProtection="0"/>
    <xf numFmtId="281" fontId="156" fillId="0" borderId="0" applyFont="0" applyFill="0" applyBorder="0" applyAlignment="0" applyProtection="0"/>
    <xf numFmtId="0" fontId="215" fillId="0" borderId="0" applyNumberFormat="0" applyFont="0" applyFill="0" applyAlignment="0"/>
    <xf numFmtId="0" fontId="215" fillId="0" borderId="0" applyNumberFormat="0" applyFont="0" applyFill="0" applyAlignment="0"/>
    <xf numFmtId="0" fontId="91" fillId="0" borderId="0" applyNumberFormat="0" applyFill="0" applyAlignment="0"/>
    <xf numFmtId="0" fontId="91" fillId="0" borderId="0" applyNumberFormat="0" applyFill="0" applyAlignment="0"/>
    <xf numFmtId="0" fontId="215" fillId="0" borderId="0" applyNumberFormat="0" applyFont="0" applyFill="0" applyAlignment="0"/>
    <xf numFmtId="0" fontId="219" fillId="32" borderId="0" applyNumberFormat="0" applyBorder="0" applyAlignment="0" applyProtection="0"/>
    <xf numFmtId="0" fontId="125" fillId="0" borderId="1"/>
    <xf numFmtId="0" fontId="125" fillId="0" borderId="1"/>
    <xf numFmtId="0" fontId="40" fillId="0" borderId="0"/>
    <xf numFmtId="0" fontId="40" fillId="0" borderId="0"/>
    <xf numFmtId="0" fontId="111" fillId="0" borderId="4" applyNumberFormat="0" applyAlignment="0">
      <alignment horizontal="center"/>
    </xf>
    <xf numFmtId="0" fontId="111" fillId="0" borderId="4" applyNumberFormat="0" applyAlignment="0">
      <alignment horizontal="center"/>
    </xf>
    <xf numFmtId="0" fontId="146" fillId="22" borderId="0" applyNumberFormat="0" applyBorder="0" applyAlignment="0" applyProtection="0"/>
    <xf numFmtId="0" fontId="146" fillId="23" borderId="0" applyNumberFormat="0" applyBorder="0" applyAlignment="0" applyProtection="0"/>
    <xf numFmtId="0" fontId="146" fillId="24" borderId="0" applyNumberFormat="0" applyBorder="0" applyAlignment="0" applyProtection="0"/>
    <xf numFmtId="0" fontId="146" fillId="19" borderId="0" applyNumberFormat="0" applyBorder="0" applyAlignment="0" applyProtection="0"/>
    <xf numFmtId="0" fontId="146" fillId="20" borderId="0" applyNumberFormat="0" applyBorder="0" applyAlignment="0" applyProtection="0"/>
    <xf numFmtId="0" fontId="146" fillId="25" borderId="0" applyNumberFormat="0" applyBorder="0" applyAlignment="0" applyProtection="0"/>
    <xf numFmtId="37" fontId="220" fillId="0" borderId="0"/>
    <xf numFmtId="0" fontId="221" fillId="0" borderId="1" applyNumberFormat="0" applyFont="0" applyFill="0" applyBorder="0" applyAlignment="0">
      <alignment horizontal="center"/>
    </xf>
    <xf numFmtId="0" fontId="222" fillId="0" borderId="0"/>
    <xf numFmtId="0" fontId="156" fillId="0" borderId="0"/>
    <xf numFmtId="282" fontId="7" fillId="0" borderId="0"/>
    <xf numFmtId="282" fontId="7" fillId="0" borderId="0"/>
    <xf numFmtId="282" fontId="7" fillId="0" borderId="0"/>
    <xf numFmtId="282" fontId="7" fillId="0" borderId="0"/>
    <xf numFmtId="283" fontId="123" fillId="0" borderId="0"/>
    <xf numFmtId="283" fontId="123" fillId="0" borderId="0"/>
    <xf numFmtId="283" fontId="123" fillId="0" borderId="0"/>
    <xf numFmtId="284" fontId="7" fillId="0" borderId="0"/>
    <xf numFmtId="0" fontId="223" fillId="0" borderId="0"/>
    <xf numFmtId="0" fontId="38" fillId="0" borderId="0"/>
    <xf numFmtId="0" fontId="54" fillId="0" borderId="0"/>
    <xf numFmtId="0" fontId="38" fillId="0" borderId="0"/>
    <xf numFmtId="0" fontId="6" fillId="0" borderId="0"/>
    <xf numFmtId="0" fontId="4" fillId="0" borderId="0"/>
    <xf numFmtId="0" fontId="2" fillId="0" borderId="0"/>
    <xf numFmtId="0" fontId="147" fillId="0" borderId="0"/>
    <xf numFmtId="0" fontId="7" fillId="0" borderId="0"/>
    <xf numFmtId="0" fontId="6" fillId="0" borderId="0"/>
    <xf numFmtId="0" fontId="125" fillId="0" borderId="0"/>
    <xf numFmtId="0" fontId="156" fillId="0" borderId="0"/>
    <xf numFmtId="0" fontId="147" fillId="0" borderId="0"/>
    <xf numFmtId="0" fontId="224" fillId="0" borderId="0"/>
    <xf numFmtId="0" fontId="224" fillId="0" borderId="0"/>
    <xf numFmtId="0" fontId="54" fillId="0" borderId="0"/>
    <xf numFmtId="0" fontId="6" fillId="0" borderId="0"/>
    <xf numFmtId="0" fontId="6" fillId="0" borderId="0"/>
    <xf numFmtId="0" fontId="6" fillId="0" borderId="0"/>
    <xf numFmtId="0" fontId="2" fillId="0" borderId="0"/>
    <xf numFmtId="0" fontId="225" fillId="0" borderId="0"/>
    <xf numFmtId="0" fontId="9" fillId="0" borderId="0"/>
    <xf numFmtId="0" fontId="7" fillId="0" borderId="0"/>
    <xf numFmtId="0" fontId="224" fillId="0" borderId="0"/>
    <xf numFmtId="0" fontId="156" fillId="0" borderId="0"/>
    <xf numFmtId="0" fontId="2" fillId="0" borderId="0"/>
    <xf numFmtId="0" fontId="226" fillId="0" borderId="0"/>
    <xf numFmtId="0" fontId="147" fillId="0" borderId="0"/>
    <xf numFmtId="0" fontId="226" fillId="0" borderId="0" applyProtection="0"/>
    <xf numFmtId="0" fontId="226" fillId="0" borderId="0" applyProtection="0"/>
    <xf numFmtId="0" fontId="226" fillId="0" borderId="0" applyProtection="0"/>
    <xf numFmtId="0" fontId="226" fillId="0" borderId="0" applyProtection="0"/>
    <xf numFmtId="0" fontId="226" fillId="0" borderId="0" applyProtection="0"/>
    <xf numFmtId="0" fontId="227" fillId="0" borderId="0"/>
    <xf numFmtId="0" fontId="4" fillId="0" borderId="0"/>
    <xf numFmtId="0" fontId="7" fillId="0" borderId="0"/>
    <xf numFmtId="0" fontId="6" fillId="0" borderId="0"/>
    <xf numFmtId="0" fontId="5" fillId="0" borderId="0"/>
    <xf numFmtId="0" fontId="142" fillId="0" borderId="0"/>
    <xf numFmtId="0" fontId="142" fillId="0" borderId="0"/>
    <xf numFmtId="0" fontId="226" fillId="0" borderId="0"/>
    <xf numFmtId="0" fontId="6" fillId="0" borderId="0"/>
    <xf numFmtId="0" fontId="167" fillId="0" borderId="0"/>
    <xf numFmtId="0" fontId="4" fillId="0" borderId="0"/>
    <xf numFmtId="0" fontId="4" fillId="0" borderId="0"/>
    <xf numFmtId="0" fontId="5" fillId="0" borderId="0"/>
    <xf numFmtId="0" fontId="228" fillId="0" borderId="0"/>
    <xf numFmtId="0" fontId="5" fillId="0" borderId="0"/>
    <xf numFmtId="0" fontId="2" fillId="0" borderId="0"/>
    <xf numFmtId="0" fontId="147" fillId="0" borderId="0"/>
    <xf numFmtId="0" fontId="229" fillId="0" borderId="0" applyNumberFormat="0" applyFill="0" applyBorder="0" applyProtection="0">
      <alignment vertical="top"/>
    </xf>
    <xf numFmtId="0" fontId="7" fillId="0" borderId="0"/>
    <xf numFmtId="0" fontId="142" fillId="0" borderId="0"/>
    <xf numFmtId="0" fontId="2" fillId="0" borderId="0"/>
    <xf numFmtId="0" fontId="2" fillId="0" borderId="0"/>
    <xf numFmtId="0" fontId="2" fillId="0" borderId="0"/>
    <xf numFmtId="0" fontId="4" fillId="0" borderId="0"/>
    <xf numFmtId="0" fontId="7" fillId="0" borderId="0"/>
    <xf numFmtId="0" fontId="131" fillId="0" borderId="0" applyFont="0"/>
    <xf numFmtId="0" fontId="230" fillId="0" borderId="0">
      <alignment horizontal="left" vertical="top"/>
    </xf>
    <xf numFmtId="0" fontId="157" fillId="2" borderId="0"/>
    <xf numFmtId="0" fontId="179" fillId="0" borderId="0"/>
    <xf numFmtId="0" fontId="4" fillId="29" borderId="44" applyNumberFormat="0" applyFont="0" applyAlignment="0" applyProtection="0"/>
    <xf numFmtId="285" fontId="126" fillId="0" borderId="0" applyFont="0" applyFill="0" applyBorder="0" applyProtection="0">
      <alignment vertical="top" wrapText="1"/>
    </xf>
    <xf numFmtId="0" fontId="231" fillId="0" borderId="49" applyNumberFormat="0" applyFill="0" applyAlignment="0" applyProtection="0"/>
    <xf numFmtId="0" fontId="111" fillId="0" borderId="0"/>
    <xf numFmtId="192" fontId="129" fillId="0" borderId="0" applyFont="0" applyFill="0" applyBorder="0" applyAlignment="0" applyProtection="0"/>
    <xf numFmtId="191" fontId="129" fillId="0" borderId="0" applyFont="0" applyFill="0" applyBorder="0" applyAlignment="0" applyProtection="0"/>
    <xf numFmtId="0" fontId="232" fillId="0" borderId="0" applyNumberFormat="0" applyFill="0" applyBorder="0" applyAlignment="0" applyProtection="0"/>
    <xf numFmtId="0" fontId="232" fillId="0" borderId="0" applyNumberFormat="0" applyFill="0" applyBorder="0" applyAlignment="0" applyProtection="0"/>
    <xf numFmtId="0" fontId="232" fillId="0" borderId="0" applyNumberFormat="0" applyFill="0" applyBorder="0" applyAlignment="0" applyProtection="0"/>
    <xf numFmtId="0" fontId="125"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4" fillId="0" borderId="0" applyFont="0" applyFill="0" applyBorder="0" applyAlignment="0" applyProtection="0"/>
    <xf numFmtId="0" fontId="40" fillId="0" borderId="0"/>
    <xf numFmtId="0" fontId="233" fillId="26" borderId="37" applyNumberFormat="0" applyAlignment="0" applyProtection="0"/>
    <xf numFmtId="166" fontId="234" fillId="0" borderId="4" applyFont="0" applyBorder="0" applyAlignment="0"/>
    <xf numFmtId="0" fontId="37" fillId="2" borderId="0"/>
    <xf numFmtId="164" fontId="4" fillId="0" borderId="0" applyFont="0" applyFill="0" applyBorder="0" applyAlignment="0" applyProtection="0"/>
    <xf numFmtId="164" fontId="4" fillId="0" borderId="0" applyFont="0" applyFill="0" applyBorder="0" applyAlignment="0" applyProtection="0"/>
    <xf numFmtId="14" fontId="104" fillId="0" borderId="0">
      <alignment horizontal="center" wrapText="1"/>
      <protection locked="0"/>
    </xf>
    <xf numFmtId="14" fontId="104" fillId="0" borderId="0">
      <alignment horizontal="center" wrapText="1"/>
      <protection locked="0"/>
    </xf>
    <xf numFmtId="240" fontId="156" fillId="0" borderId="0" applyFont="0" applyFill="0" applyBorder="0" applyAlignment="0" applyProtection="0"/>
    <xf numFmtId="240" fontId="4" fillId="0" borderId="0" applyFont="0" applyFill="0" applyBorder="0" applyAlignment="0" applyProtection="0"/>
    <xf numFmtId="252" fontId="156" fillId="0" borderId="0" applyFont="0" applyFill="0" applyBorder="0" applyAlignment="0" applyProtection="0"/>
    <xf numFmtId="252" fontId="4" fillId="0" borderId="0" applyFont="0" applyFill="0" applyBorder="0" applyAlignment="0" applyProtection="0"/>
    <xf numFmtId="10" fontId="156" fillId="0" borderId="0" applyFont="0" applyFill="0" applyBorder="0" applyAlignment="0" applyProtection="0"/>
    <xf numFmtId="10" fontId="4" fillId="0" borderId="0" applyFont="0" applyFill="0" applyBorder="0" applyAlignment="0" applyProtection="0"/>
    <xf numFmtId="9" fontId="4" fillId="0" borderId="0" applyFont="0" applyFill="0" applyBorder="0" applyAlignment="0" applyProtection="0"/>
    <xf numFmtId="9" fontId="102" fillId="0" borderId="0" applyFont="0" applyFill="0" applyBorder="0" applyAlignment="0" applyProtection="0"/>
    <xf numFmtId="9" fontId="3" fillId="0" borderId="0" applyFont="0" applyFill="0" applyBorder="0" applyAlignment="0" applyProtection="0"/>
    <xf numFmtId="9" fontId="147" fillId="0" borderId="0" applyFont="0" applyFill="0" applyBorder="0" applyAlignment="0" applyProtection="0"/>
    <xf numFmtId="9" fontId="121" fillId="0" borderId="50" applyNumberFormat="0" applyBorder="0"/>
    <xf numFmtId="0" fontId="4" fillId="0" borderId="0"/>
    <xf numFmtId="166" fontId="182" fillId="0" borderId="0">
      <protection locked="0"/>
    </xf>
    <xf numFmtId="200" fontId="157" fillId="0" borderId="0" applyFill="0" applyBorder="0" applyAlignment="0"/>
    <xf numFmtId="238" fontId="157" fillId="0" borderId="0" applyFill="0" applyBorder="0" applyAlignment="0"/>
    <xf numFmtId="200" fontId="157" fillId="0" borderId="0" applyFill="0" applyBorder="0" applyAlignment="0"/>
    <xf numFmtId="241" fontId="157" fillId="0" borderId="0" applyFill="0" applyBorder="0" applyAlignment="0"/>
    <xf numFmtId="238" fontId="157" fillId="0" borderId="0" applyFill="0" applyBorder="0" applyAlignment="0"/>
    <xf numFmtId="0" fontId="235" fillId="0" borderId="0"/>
    <xf numFmtId="0" fontId="121" fillId="0" borderId="0" applyNumberFormat="0" applyFont="0" applyFill="0" applyBorder="0" applyAlignment="0" applyProtection="0">
      <alignment horizontal="left"/>
    </xf>
    <xf numFmtId="0" fontId="121" fillId="0" borderId="0" applyNumberFormat="0" applyFont="0" applyFill="0" applyBorder="0" applyAlignment="0" applyProtection="0">
      <alignment horizontal="left"/>
    </xf>
    <xf numFmtId="0" fontId="236" fillId="0" borderId="46">
      <alignment horizontal="center"/>
    </xf>
    <xf numFmtId="0" fontId="237" fillId="33" borderId="0" applyNumberFormat="0" applyFont="0" applyBorder="0" applyAlignment="0">
      <alignment horizontal="center"/>
    </xf>
    <xf numFmtId="14" fontId="238" fillId="0" borderId="0" applyNumberFormat="0" applyFill="0" applyBorder="0" applyAlignment="0" applyProtection="0">
      <alignment horizontal="left"/>
    </xf>
    <xf numFmtId="0" fontId="210" fillId="0" borderId="0" applyNumberFormat="0" applyFill="0" applyBorder="0" applyAlignment="0" applyProtection="0">
      <alignment vertical="top"/>
      <protection locked="0"/>
    </xf>
    <xf numFmtId="0" fontId="111" fillId="0" borderId="0"/>
    <xf numFmtId="195" fontId="120" fillId="0" borderId="0" applyFon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4" fontId="239" fillId="34" borderId="51" applyNumberFormat="0" applyProtection="0">
      <alignment vertical="center"/>
    </xf>
    <xf numFmtId="4" fontId="240" fillId="34" borderId="51" applyNumberFormat="0" applyProtection="0">
      <alignment vertical="center"/>
    </xf>
    <xf numFmtId="4" fontId="241" fillId="34" borderId="51" applyNumberFormat="0" applyProtection="0">
      <alignment horizontal="left" vertical="center" indent="1"/>
    </xf>
    <xf numFmtId="4" fontId="241" fillId="35" borderId="0" applyNumberFormat="0" applyProtection="0">
      <alignment horizontal="left" vertical="center" indent="1"/>
    </xf>
    <xf numFmtId="4" fontId="241" fillId="36" borderId="51" applyNumberFormat="0" applyProtection="0">
      <alignment horizontal="right" vertical="center"/>
    </xf>
    <xf numFmtId="4" fontId="241" fillId="37" borderId="51" applyNumberFormat="0" applyProtection="0">
      <alignment horizontal="right" vertical="center"/>
    </xf>
    <xf numFmtId="4" fontId="241" fillId="38" borderId="51" applyNumberFormat="0" applyProtection="0">
      <alignment horizontal="right" vertical="center"/>
    </xf>
    <xf numFmtId="4" fontId="241" fillId="39" borderId="51" applyNumberFormat="0" applyProtection="0">
      <alignment horizontal="right" vertical="center"/>
    </xf>
    <xf numFmtId="4" fontId="241" fillId="40" borderId="51" applyNumberFormat="0" applyProtection="0">
      <alignment horizontal="right" vertical="center"/>
    </xf>
    <xf numFmtId="4" fontId="241" fillId="41" borderId="51" applyNumberFormat="0" applyProtection="0">
      <alignment horizontal="right" vertical="center"/>
    </xf>
    <xf numFmtId="4" fontId="241" fillId="42" borderId="51" applyNumberFormat="0" applyProtection="0">
      <alignment horizontal="right" vertical="center"/>
    </xf>
    <xf numFmtId="4" fontId="241" fillId="43" borderId="51" applyNumberFormat="0" applyProtection="0">
      <alignment horizontal="right" vertical="center"/>
    </xf>
    <xf numFmtId="4" fontId="241" fillId="44" borderId="51" applyNumberFormat="0" applyProtection="0">
      <alignment horizontal="right" vertical="center"/>
    </xf>
    <xf numFmtId="4" fontId="239" fillId="45" borderId="52" applyNumberFormat="0" applyProtection="0">
      <alignment horizontal="left" vertical="center" indent="1"/>
    </xf>
    <xf numFmtId="4" fontId="239" fillId="46" borderId="0" applyNumberFormat="0" applyProtection="0">
      <alignment horizontal="left" vertical="center" indent="1"/>
    </xf>
    <xf numFmtId="4" fontId="239" fillId="35" borderId="0" applyNumberFormat="0" applyProtection="0">
      <alignment horizontal="left" vertical="center" indent="1"/>
    </xf>
    <xf numFmtId="4" fontId="241" fillId="46" borderId="51" applyNumberFormat="0" applyProtection="0">
      <alignment horizontal="right" vertical="center"/>
    </xf>
    <xf numFmtId="4" fontId="122" fillId="46" borderId="0" applyNumberFormat="0" applyProtection="0">
      <alignment horizontal="left" vertical="center" indent="1"/>
    </xf>
    <xf numFmtId="4" fontId="122" fillId="46" borderId="0" applyNumberFormat="0" applyProtection="0">
      <alignment horizontal="left" vertical="center" indent="1"/>
    </xf>
    <xf numFmtId="4" fontId="122" fillId="35" borderId="0" applyNumberFormat="0" applyProtection="0">
      <alignment horizontal="left" vertical="center" indent="1"/>
    </xf>
    <xf numFmtId="4" fontId="122" fillId="35" borderId="0" applyNumberFormat="0" applyProtection="0">
      <alignment horizontal="left" vertical="center" indent="1"/>
    </xf>
    <xf numFmtId="4" fontId="241" fillId="47" borderId="51" applyNumberFormat="0" applyProtection="0">
      <alignment vertical="center"/>
    </xf>
    <xf numFmtId="4" fontId="242" fillId="47" borderId="51" applyNumberFormat="0" applyProtection="0">
      <alignment vertical="center"/>
    </xf>
    <xf numFmtId="4" fontId="239" fillId="46" borderId="53" applyNumberFormat="0" applyProtection="0">
      <alignment horizontal="left" vertical="center" indent="1"/>
    </xf>
    <xf numFmtId="4" fontId="241" fillId="47" borderId="51" applyNumberFormat="0" applyProtection="0">
      <alignment horizontal="right" vertical="center"/>
    </xf>
    <xf numFmtId="4" fontId="242" fillId="47" borderId="51" applyNumberFormat="0" applyProtection="0">
      <alignment horizontal="right" vertical="center"/>
    </xf>
    <xf numFmtId="4" fontId="239" fillId="46" borderId="51" applyNumberFormat="0" applyProtection="0">
      <alignment horizontal="left" vertical="center" indent="1"/>
    </xf>
    <xf numFmtId="4" fontId="243" fillId="31" borderId="53" applyNumberFormat="0" applyProtection="0">
      <alignment horizontal="left" vertical="center" indent="1"/>
    </xf>
    <xf numFmtId="4" fontId="244" fillId="47" borderId="51" applyNumberFormat="0" applyProtection="0">
      <alignment horizontal="right" vertical="center"/>
    </xf>
    <xf numFmtId="286" fontId="245" fillId="0" borderId="0" applyFont="0" applyFill="0" applyBorder="0" applyAlignment="0" applyProtection="0"/>
    <xf numFmtId="0" fontId="237" fillId="1" borderId="18" applyNumberFormat="0" applyFont="0" applyAlignment="0">
      <alignment horizontal="center"/>
    </xf>
    <xf numFmtId="4" fontId="4" fillId="0" borderId="7" applyBorder="0"/>
    <xf numFmtId="2" fontId="4" fillId="0" borderId="7"/>
    <xf numFmtId="287" fontId="4" fillId="0" borderId="0"/>
    <xf numFmtId="3" fontId="108" fillId="0" borderId="0"/>
    <xf numFmtId="0" fontId="246" fillId="0" borderId="0" applyNumberFormat="0" applyFill="0" applyBorder="0" applyAlignment="0">
      <alignment horizontal="center"/>
    </xf>
    <xf numFmtId="0" fontId="247" fillId="0" borderId="54" applyNumberFormat="0" applyFill="0" applyBorder="0" applyAlignment="0" applyProtection="0"/>
    <xf numFmtId="1" fontId="4" fillId="0" borderId="0"/>
    <xf numFmtId="1" fontId="4" fillId="0" borderId="0"/>
    <xf numFmtId="166" fontId="248" fillId="0" borderId="0" applyNumberFormat="0" applyBorder="0" applyAlignment="0">
      <alignment horizontal="centerContinuous"/>
    </xf>
    <xf numFmtId="0" fontId="7" fillId="0" borderId="7">
      <alignment horizontal="center"/>
    </xf>
    <xf numFmtId="0" fontId="122" fillId="0" borderId="0">
      <alignment vertical="top"/>
    </xf>
    <xf numFmtId="166" fontId="161" fillId="0" borderId="0" applyFont="0" applyFill="0" applyBorder="0" applyAlignment="0" applyProtection="0"/>
    <xf numFmtId="166" fontId="161" fillId="0" borderId="0" applyFont="0" applyFill="0" applyBorder="0" applyAlignment="0" applyProtection="0"/>
    <xf numFmtId="222" fontId="120" fillId="0" borderId="0" applyFont="0" applyFill="0" applyBorder="0" applyAlignment="0" applyProtection="0"/>
    <xf numFmtId="224" fontId="120" fillId="0" borderId="0" applyFont="0" applyFill="0" applyBorder="0" applyAlignment="0" applyProtection="0"/>
    <xf numFmtId="224" fontId="120" fillId="0" borderId="0" applyFont="0" applyFill="0" applyBorder="0" applyAlignment="0" applyProtection="0"/>
    <xf numFmtId="195" fontId="120" fillId="0" borderId="0" applyFont="0" applyFill="0" applyBorder="0" applyAlignment="0" applyProtection="0"/>
    <xf numFmtId="227" fontId="120" fillId="0" borderId="0" applyFont="0" applyFill="0" applyBorder="0" applyAlignment="0" applyProtection="0"/>
    <xf numFmtId="164" fontId="120" fillId="0" borderId="0" applyFont="0" applyFill="0" applyBorder="0" applyAlignment="0" applyProtection="0"/>
    <xf numFmtId="222" fontId="120" fillId="0" borderId="0" applyFont="0" applyFill="0" applyBorder="0" applyAlignment="0" applyProtection="0"/>
    <xf numFmtId="228" fontId="108" fillId="0" borderId="0" applyFont="0" applyFill="0" applyBorder="0" applyAlignment="0" applyProtection="0"/>
    <xf numFmtId="195" fontId="120" fillId="0" borderId="0" applyFont="0" applyFill="0" applyBorder="0" applyAlignment="0" applyProtection="0"/>
    <xf numFmtId="222" fontId="120" fillId="0" borderId="0" applyFont="0" applyFill="0" applyBorder="0" applyAlignment="0" applyProtection="0"/>
    <xf numFmtId="191" fontId="7" fillId="0" borderId="0" applyFont="0" applyFill="0" applyBorder="0" applyAlignment="0" applyProtection="0"/>
    <xf numFmtId="191" fontId="7" fillId="0" borderId="0" applyFont="0" applyFill="0" applyBorder="0" applyAlignment="0" applyProtection="0"/>
    <xf numFmtId="222" fontId="120" fillId="0" borderId="0" applyFont="0" applyFill="0" applyBorder="0" applyAlignment="0" applyProtection="0"/>
    <xf numFmtId="222" fontId="120" fillId="0" borderId="0" applyFont="0" applyFill="0" applyBorder="0" applyAlignment="0" applyProtection="0"/>
    <xf numFmtId="195" fontId="120" fillId="0" borderId="0" applyFont="0" applyFill="0" applyBorder="0" applyAlignment="0" applyProtection="0"/>
    <xf numFmtId="222" fontId="120" fillId="0" borderId="0" applyFont="0" applyFill="0" applyBorder="0" applyAlignment="0" applyProtection="0"/>
    <xf numFmtId="195" fontId="120" fillId="0" borderId="0" applyFont="0" applyFill="0" applyBorder="0" applyAlignment="0" applyProtection="0"/>
    <xf numFmtId="193" fontId="124" fillId="0" borderId="0" applyFont="0" applyFill="0" applyBorder="0" applyAlignment="0" applyProtection="0"/>
    <xf numFmtId="229" fontId="120" fillId="0" borderId="0" applyFont="0" applyFill="0" applyBorder="0" applyAlignment="0" applyProtection="0"/>
    <xf numFmtId="229" fontId="120" fillId="0" borderId="0" applyFont="0" applyFill="0" applyBorder="0" applyAlignment="0" applyProtection="0"/>
    <xf numFmtId="230" fontId="4" fillId="0" borderId="0" applyFont="0" applyFill="0" applyBorder="0" applyAlignment="0" applyProtection="0"/>
    <xf numFmtId="230" fontId="4" fillId="0" borderId="0" applyFont="0" applyFill="0" applyBorder="0" applyAlignment="0" applyProtection="0"/>
    <xf numFmtId="200" fontId="124" fillId="0" borderId="0" applyFont="0" applyFill="0" applyBorder="0" applyAlignment="0" applyProtection="0"/>
    <xf numFmtId="191" fontId="7" fillId="0" borderId="0" applyFont="0" applyFill="0" applyBorder="0" applyAlignment="0" applyProtection="0"/>
    <xf numFmtId="191" fontId="7" fillId="0" borderId="0" applyFont="0" applyFill="0" applyBorder="0" applyAlignment="0" applyProtection="0"/>
    <xf numFmtId="229" fontId="120" fillId="0" borderId="0" applyFont="0" applyFill="0" applyBorder="0" applyAlignment="0" applyProtection="0"/>
    <xf numFmtId="193" fontId="124" fillId="0" borderId="0" applyFont="0" applyFill="0" applyBorder="0" applyAlignment="0" applyProtection="0"/>
    <xf numFmtId="231" fontId="125" fillId="0" borderId="0" applyFont="0" applyFill="0" applyBorder="0" applyAlignment="0" applyProtection="0"/>
    <xf numFmtId="222" fontId="120" fillId="0" borderId="0" applyFont="0" applyFill="0" applyBorder="0" applyAlignment="0" applyProtection="0"/>
    <xf numFmtId="191" fontId="120" fillId="0" borderId="0" applyFont="0" applyFill="0" applyBorder="0" applyAlignment="0" applyProtection="0"/>
    <xf numFmtId="191" fontId="120" fillId="0" borderId="0" applyFont="0" applyFill="0" applyBorder="0" applyAlignment="0" applyProtection="0"/>
    <xf numFmtId="222" fontId="120" fillId="0" borderId="0" applyFont="0" applyFill="0" applyBorder="0" applyAlignment="0" applyProtection="0"/>
    <xf numFmtId="222" fontId="120" fillId="0" borderId="0" applyFont="0" applyFill="0" applyBorder="0" applyAlignment="0" applyProtection="0"/>
    <xf numFmtId="164" fontId="120" fillId="0" borderId="0" applyFont="0" applyFill="0" applyBorder="0" applyAlignment="0" applyProtection="0"/>
    <xf numFmtId="222" fontId="120" fillId="0" borderId="0" applyFont="0" applyFill="0" applyBorder="0" applyAlignment="0" applyProtection="0"/>
    <xf numFmtId="191" fontId="7" fillId="0" borderId="0" applyFont="0" applyFill="0" applyBorder="0" applyAlignment="0" applyProtection="0"/>
    <xf numFmtId="191" fontId="7" fillId="0" borderId="0" applyFont="0" applyFill="0" applyBorder="0" applyAlignment="0" applyProtection="0"/>
    <xf numFmtId="188" fontId="120" fillId="0" borderId="0" applyFont="0" applyFill="0" applyBorder="0" applyAlignment="0" applyProtection="0"/>
    <xf numFmtId="196" fontId="108" fillId="0" borderId="0" applyFont="0" applyFill="0" applyBorder="0" applyAlignment="0" applyProtection="0"/>
    <xf numFmtId="197" fontId="120" fillId="0" borderId="0" applyFont="0" applyFill="0" applyBorder="0" applyAlignment="0" applyProtection="0"/>
    <xf numFmtId="198" fontId="120" fillId="0" borderId="0" applyFont="0" applyFill="0" applyBorder="0" applyAlignment="0" applyProtection="0"/>
    <xf numFmtId="197" fontId="120" fillId="0" borderId="0" applyFont="0" applyFill="0" applyBorder="0" applyAlignment="0" applyProtection="0"/>
    <xf numFmtId="193" fontId="123" fillId="0" borderId="0" applyFont="0" applyFill="0" applyBorder="0" applyAlignment="0" applyProtection="0"/>
    <xf numFmtId="193" fontId="120" fillId="0" borderId="0" applyFont="0" applyFill="0" applyBorder="0" applyAlignment="0" applyProtection="0"/>
    <xf numFmtId="199" fontId="108" fillId="0" borderId="0" applyFont="0" applyFill="0" applyBorder="0" applyAlignment="0" applyProtection="0"/>
    <xf numFmtId="193" fontId="120" fillId="0" borderId="0" applyFont="0" applyFill="0" applyBorder="0" applyAlignment="0" applyProtection="0"/>
    <xf numFmtId="197" fontId="120" fillId="0" borderId="0" applyFont="0" applyFill="0" applyBorder="0" applyAlignment="0" applyProtection="0"/>
    <xf numFmtId="166" fontId="161" fillId="0" borderId="0" applyFont="0" applyFill="0" applyBorder="0" applyAlignment="0" applyProtection="0"/>
    <xf numFmtId="166" fontId="161" fillId="0" borderId="0" applyFont="0" applyFill="0" applyBorder="0" applyAlignment="0" applyProtection="0"/>
    <xf numFmtId="193" fontId="123" fillId="0" borderId="0" applyFont="0" applyFill="0" applyBorder="0" applyAlignment="0" applyProtection="0"/>
    <xf numFmtId="213" fontId="120" fillId="0" borderId="0" applyFont="0" applyFill="0" applyBorder="0" applyAlignment="0" applyProtection="0"/>
    <xf numFmtId="196" fontId="108" fillId="0" borderId="0" applyFont="0" applyFill="0" applyBorder="0" applyAlignment="0" applyProtection="0"/>
    <xf numFmtId="214" fontId="124" fillId="0" borderId="0" applyFont="0" applyFill="0" applyBorder="0" applyAlignment="0" applyProtection="0"/>
    <xf numFmtId="215" fontId="120" fillId="0" borderId="0" applyFont="0" applyFill="0" applyBorder="0" applyAlignment="0" applyProtection="0"/>
    <xf numFmtId="215" fontId="120" fillId="0" borderId="0" applyFont="0" applyFill="0" applyBorder="0" applyAlignment="0" applyProtection="0"/>
    <xf numFmtId="216" fontId="124" fillId="0" borderId="0" applyFont="0" applyFill="0" applyBorder="0" applyAlignment="0" applyProtection="0"/>
    <xf numFmtId="215" fontId="120" fillId="0" borderId="0" applyFont="0" applyFill="0" applyBorder="0" applyAlignment="0" applyProtection="0"/>
    <xf numFmtId="214" fontId="124" fillId="0" borderId="0" applyFont="0" applyFill="0" applyBorder="0" applyAlignment="0" applyProtection="0"/>
    <xf numFmtId="215" fontId="120" fillId="0" borderId="0" applyFont="0" applyFill="0" applyBorder="0" applyAlignment="0" applyProtection="0"/>
    <xf numFmtId="166" fontId="161" fillId="0" borderId="0" applyFont="0" applyFill="0" applyBorder="0" applyAlignment="0" applyProtection="0"/>
    <xf numFmtId="166" fontId="161" fillId="0" borderId="0" applyFont="0" applyFill="0" applyBorder="0" applyAlignment="0" applyProtection="0"/>
    <xf numFmtId="196" fontId="120" fillId="0" borderId="0" applyFont="0" applyFill="0" applyBorder="0" applyAlignment="0" applyProtection="0"/>
    <xf numFmtId="196" fontId="120" fillId="0" borderId="0" applyFont="0" applyFill="0" applyBorder="0" applyAlignment="0" applyProtection="0"/>
    <xf numFmtId="216" fontId="124" fillId="0" borderId="0" applyFont="0" applyFill="0" applyBorder="0" applyAlignment="0" applyProtection="0"/>
    <xf numFmtId="217" fontId="120" fillId="0" borderId="0" applyFont="0" applyFill="0" applyBorder="0" applyAlignment="0" applyProtection="0"/>
    <xf numFmtId="217" fontId="120" fillId="0" borderId="0" applyFont="0" applyFill="0" applyBorder="0" applyAlignment="0" applyProtection="0"/>
    <xf numFmtId="218" fontId="4" fillId="0" borderId="0" applyFont="0" applyFill="0" applyBorder="0" applyAlignment="0" applyProtection="0"/>
    <xf numFmtId="218" fontId="4" fillId="0" borderId="0" applyFont="0" applyFill="0" applyBorder="0" applyAlignment="0" applyProtection="0"/>
    <xf numFmtId="191" fontId="124" fillId="0" borderId="0" applyFont="0" applyFill="0" applyBorder="0" applyAlignment="0" applyProtection="0"/>
    <xf numFmtId="217" fontId="120" fillId="0" borderId="0" applyFont="0" applyFill="0" applyBorder="0" applyAlignment="0" applyProtection="0"/>
    <xf numFmtId="216" fontId="124" fillId="0" borderId="0" applyFont="0" applyFill="0" applyBorder="0" applyAlignment="0" applyProtection="0"/>
    <xf numFmtId="219" fontId="125" fillId="0" borderId="0" applyFont="0" applyFill="0" applyBorder="0" applyAlignment="0" applyProtection="0"/>
    <xf numFmtId="164" fontId="120" fillId="0" borderId="0" applyFont="0" applyFill="0" applyBorder="0" applyAlignment="0" applyProtection="0"/>
    <xf numFmtId="220" fontId="120" fillId="0" borderId="0" applyFont="0" applyFill="0" applyBorder="0" applyAlignment="0" applyProtection="0"/>
    <xf numFmtId="193" fontId="120" fillId="0" borderId="0" applyFont="0" applyFill="0" applyBorder="0" applyAlignment="0" applyProtection="0"/>
    <xf numFmtId="0" fontId="111" fillId="0" borderId="0"/>
    <xf numFmtId="288" fontId="125" fillId="0" borderId="0" applyFont="0" applyFill="0" applyBorder="0" applyAlignment="0" applyProtection="0"/>
    <xf numFmtId="164" fontId="120" fillId="0" borderId="0" applyFont="0" applyFill="0" applyBorder="0" applyAlignment="0" applyProtection="0"/>
    <xf numFmtId="164" fontId="120" fillId="0" borderId="0" applyFont="0" applyFill="0" applyBorder="0" applyAlignment="0" applyProtection="0"/>
    <xf numFmtId="195" fontId="120" fillId="0" borderId="0" applyFont="0" applyFill="0" applyBorder="0" applyAlignment="0" applyProtection="0"/>
    <xf numFmtId="195" fontId="120" fillId="0" borderId="0" applyFont="0" applyFill="0" applyBorder="0" applyAlignment="0" applyProtection="0"/>
    <xf numFmtId="166" fontId="161" fillId="0" borderId="0" applyFont="0" applyFill="0" applyBorder="0" applyAlignment="0" applyProtection="0"/>
    <xf numFmtId="164" fontId="120" fillId="0" borderId="0" applyFont="0" applyFill="0" applyBorder="0" applyAlignment="0" applyProtection="0"/>
    <xf numFmtId="164" fontId="120" fillId="0" borderId="0" applyFont="0" applyFill="0" applyBorder="0" applyAlignment="0" applyProtection="0"/>
    <xf numFmtId="164" fontId="120" fillId="0" borderId="0" applyFont="0" applyFill="0" applyBorder="0" applyAlignment="0" applyProtection="0"/>
    <xf numFmtId="164" fontId="120" fillId="0" borderId="0" applyFont="0" applyFill="0" applyBorder="0" applyAlignment="0" applyProtection="0"/>
    <xf numFmtId="193" fontId="120" fillId="0" borderId="0" applyFont="0" applyFill="0" applyBorder="0" applyAlignment="0" applyProtection="0"/>
    <xf numFmtId="215" fontId="120" fillId="0" borderId="0" applyFont="0" applyFill="0" applyBorder="0" applyAlignment="0" applyProtection="0"/>
    <xf numFmtId="196" fontId="108" fillId="0" borderId="0" applyFont="0" applyFill="0" applyBorder="0" applyAlignment="0" applyProtection="0"/>
    <xf numFmtId="196" fontId="120" fillId="0" borderId="0" applyFont="0" applyFill="0" applyBorder="0" applyAlignment="0" applyProtection="0"/>
    <xf numFmtId="0" fontId="111" fillId="0" borderId="0"/>
    <xf numFmtId="288" fontId="125" fillId="0" borderId="0" applyFont="0" applyFill="0" applyBorder="0" applyAlignment="0" applyProtection="0"/>
    <xf numFmtId="195" fontId="120" fillId="0" borderId="0" applyFont="0" applyFill="0" applyBorder="0" applyAlignment="0" applyProtection="0"/>
    <xf numFmtId="164" fontId="120" fillId="0" borderId="0" applyFont="0" applyFill="0" applyBorder="0" applyAlignment="0" applyProtection="0"/>
    <xf numFmtId="195" fontId="120" fillId="0" borderId="0" applyFont="0" applyFill="0" applyBorder="0" applyAlignment="0" applyProtection="0"/>
    <xf numFmtId="222" fontId="120" fillId="0" borderId="0" applyFont="0" applyFill="0" applyBorder="0" applyAlignment="0" applyProtection="0"/>
    <xf numFmtId="222" fontId="120" fillId="0" borderId="0" applyFont="0" applyFill="0" applyBorder="0" applyAlignment="0" applyProtection="0"/>
    <xf numFmtId="222" fontId="120" fillId="0" borderId="0" applyFont="0" applyFill="0" applyBorder="0" applyAlignment="0" applyProtection="0"/>
    <xf numFmtId="224" fontId="120" fillId="0" borderId="0" applyFont="0" applyFill="0" applyBorder="0" applyAlignment="0" applyProtection="0"/>
    <xf numFmtId="195" fontId="120" fillId="0" borderId="0" applyFont="0" applyFill="0" applyBorder="0" applyAlignment="0" applyProtection="0"/>
    <xf numFmtId="227" fontId="120" fillId="0" borderId="0" applyFont="0" applyFill="0" applyBorder="0" applyAlignment="0" applyProtection="0"/>
    <xf numFmtId="164" fontId="120" fillId="0" borderId="0" applyFont="0" applyFill="0" applyBorder="0" applyAlignment="0" applyProtection="0"/>
    <xf numFmtId="222" fontId="120" fillId="0" borderId="0" applyFont="0" applyFill="0" applyBorder="0" applyAlignment="0" applyProtection="0"/>
    <xf numFmtId="194" fontId="120" fillId="0" borderId="0" applyFont="0" applyFill="0" applyBorder="0" applyAlignment="0" applyProtection="0"/>
    <xf numFmtId="228" fontId="108" fillId="0" borderId="0" applyFont="0" applyFill="0" applyBorder="0" applyAlignment="0" applyProtection="0"/>
    <xf numFmtId="195" fontId="120" fillId="0" borderId="0" applyFont="0" applyFill="0" applyBorder="0" applyAlignment="0" applyProtection="0"/>
    <xf numFmtId="222" fontId="120" fillId="0" borderId="0" applyFont="0" applyFill="0" applyBorder="0" applyAlignment="0" applyProtection="0"/>
    <xf numFmtId="222" fontId="120" fillId="0" borderId="0" applyFont="0" applyFill="0" applyBorder="0" applyAlignment="0" applyProtection="0"/>
    <xf numFmtId="222" fontId="120" fillId="0" borderId="0" applyFont="0" applyFill="0" applyBorder="0" applyAlignment="0" applyProtection="0"/>
    <xf numFmtId="195" fontId="120" fillId="0" borderId="0" applyFont="0" applyFill="0" applyBorder="0" applyAlignment="0" applyProtection="0"/>
    <xf numFmtId="222" fontId="120" fillId="0" borderId="0" applyFont="0" applyFill="0" applyBorder="0" applyAlignment="0" applyProtection="0"/>
    <xf numFmtId="195" fontId="120" fillId="0" borderId="0" applyFont="0" applyFill="0" applyBorder="0" applyAlignment="0" applyProtection="0"/>
    <xf numFmtId="193" fontId="124" fillId="0" borderId="0" applyFont="0" applyFill="0" applyBorder="0" applyAlignment="0" applyProtection="0"/>
    <xf numFmtId="229" fontId="120" fillId="0" borderId="0" applyFont="0" applyFill="0" applyBorder="0" applyAlignment="0" applyProtection="0"/>
    <xf numFmtId="194" fontId="120" fillId="0" borderId="0" applyFont="0" applyFill="0" applyBorder="0" applyAlignment="0" applyProtection="0"/>
    <xf numFmtId="229" fontId="120" fillId="0" borderId="0" applyFont="0" applyFill="0" applyBorder="0" applyAlignment="0" applyProtection="0"/>
    <xf numFmtId="230" fontId="4" fillId="0" borderId="0" applyFont="0" applyFill="0" applyBorder="0" applyAlignment="0" applyProtection="0"/>
    <xf numFmtId="230" fontId="4" fillId="0" borderId="0" applyFont="0" applyFill="0" applyBorder="0" applyAlignment="0" applyProtection="0"/>
    <xf numFmtId="200" fontId="124" fillId="0" borderId="0" applyFont="0" applyFill="0" applyBorder="0" applyAlignment="0" applyProtection="0"/>
    <xf numFmtId="229" fontId="120" fillId="0" borderId="0" applyFont="0" applyFill="0" applyBorder="0" applyAlignment="0" applyProtection="0"/>
    <xf numFmtId="193" fontId="124" fillId="0" borderId="0" applyFont="0" applyFill="0" applyBorder="0" applyAlignment="0" applyProtection="0"/>
    <xf numFmtId="231" fontId="125" fillId="0" borderId="0" applyFont="0" applyFill="0" applyBorder="0" applyAlignment="0" applyProtection="0"/>
    <xf numFmtId="222" fontId="120" fillId="0" borderId="0" applyFont="0" applyFill="0" applyBorder="0" applyAlignment="0" applyProtection="0"/>
    <xf numFmtId="191" fontId="120" fillId="0" borderId="0" applyFont="0" applyFill="0" applyBorder="0" applyAlignment="0" applyProtection="0"/>
    <xf numFmtId="191" fontId="120" fillId="0" borderId="0" applyFont="0" applyFill="0" applyBorder="0" applyAlignment="0" applyProtection="0"/>
    <xf numFmtId="222" fontId="120" fillId="0" borderId="0" applyFont="0" applyFill="0" applyBorder="0" applyAlignment="0" applyProtection="0"/>
    <xf numFmtId="194" fontId="120" fillId="0" borderId="0" applyFont="0" applyFill="0" applyBorder="0" applyAlignment="0" applyProtection="0"/>
    <xf numFmtId="222" fontId="120" fillId="0" borderId="0" applyFont="0" applyFill="0" applyBorder="0" applyAlignment="0" applyProtection="0"/>
    <xf numFmtId="164" fontId="120" fillId="0" borderId="0" applyFont="0" applyFill="0" applyBorder="0" applyAlignment="0" applyProtection="0"/>
    <xf numFmtId="222" fontId="120" fillId="0" borderId="0" applyFont="0" applyFill="0" applyBorder="0" applyAlignment="0" applyProtection="0"/>
    <xf numFmtId="166" fontId="161" fillId="0" borderId="0" applyFont="0" applyFill="0" applyBorder="0" applyAlignment="0" applyProtection="0"/>
    <xf numFmtId="166" fontId="161" fillId="0" borderId="0" applyFont="0" applyFill="0" applyBorder="0" applyAlignment="0" applyProtection="0"/>
    <xf numFmtId="191" fontId="7" fillId="0" borderId="0" applyFont="0" applyFill="0" applyBorder="0" applyAlignment="0" applyProtection="0"/>
    <xf numFmtId="191" fontId="7" fillId="0" borderId="0" applyFont="0" applyFill="0" applyBorder="0" applyAlignment="0" applyProtection="0"/>
    <xf numFmtId="191" fontId="7" fillId="0" borderId="0" applyFont="0" applyFill="0" applyBorder="0" applyAlignment="0" applyProtection="0"/>
    <xf numFmtId="191" fontId="7" fillId="0" borderId="0" applyFont="0" applyFill="0" applyBorder="0" applyAlignment="0" applyProtection="0"/>
    <xf numFmtId="191" fontId="7" fillId="0" borderId="0" applyFont="0" applyFill="0" applyBorder="0" applyAlignment="0" applyProtection="0"/>
    <xf numFmtId="191" fontId="7" fillId="0" borderId="0" applyFont="0" applyFill="0" applyBorder="0" applyAlignment="0" applyProtection="0"/>
    <xf numFmtId="166" fontId="161" fillId="0" borderId="0" applyFont="0" applyFill="0" applyBorder="0" applyAlignment="0" applyProtection="0"/>
    <xf numFmtId="166" fontId="161" fillId="0" borderId="0" applyFont="0" applyFill="0" applyBorder="0" applyAlignment="0" applyProtection="0"/>
    <xf numFmtId="166" fontId="161" fillId="0" borderId="0" applyFont="0" applyFill="0" applyBorder="0" applyAlignment="0" applyProtection="0"/>
    <xf numFmtId="166" fontId="161" fillId="0" borderId="0" applyFont="0" applyFill="0" applyBorder="0" applyAlignment="0" applyProtection="0"/>
    <xf numFmtId="195" fontId="120" fillId="0" borderId="0" applyFont="0" applyFill="0" applyBorder="0" applyAlignment="0" applyProtection="0"/>
    <xf numFmtId="164" fontId="120" fillId="0" borderId="0" applyFont="0" applyFill="0" applyBorder="0" applyAlignment="0" applyProtection="0"/>
    <xf numFmtId="164" fontId="120" fillId="0" borderId="0" applyFont="0" applyFill="0" applyBorder="0" applyAlignment="0" applyProtection="0"/>
    <xf numFmtId="221" fontId="120" fillId="0" borderId="0" applyFont="0" applyFill="0" applyBorder="0" applyAlignment="0" applyProtection="0"/>
    <xf numFmtId="222" fontId="120" fillId="0" borderId="0" applyFont="0" applyFill="0" applyBorder="0" applyAlignment="0" applyProtection="0"/>
    <xf numFmtId="195" fontId="120" fillId="0" borderId="0" applyFont="0" applyFill="0" applyBorder="0" applyAlignment="0" applyProtection="0"/>
    <xf numFmtId="222" fontId="120" fillId="0" borderId="0" applyFont="0" applyFill="0" applyBorder="0" applyAlignment="0" applyProtection="0"/>
    <xf numFmtId="164" fontId="120" fillId="0" borderId="0" applyFont="0" applyFill="0" applyBorder="0" applyAlignment="0" applyProtection="0"/>
    <xf numFmtId="164" fontId="120" fillId="0" borderId="0" applyFont="0" applyFill="0" applyBorder="0" applyAlignment="0" applyProtection="0"/>
    <xf numFmtId="195" fontId="120" fillId="0" borderId="0" applyFont="0" applyFill="0" applyBorder="0" applyAlignment="0" applyProtection="0"/>
    <xf numFmtId="221" fontId="120" fillId="0" borderId="0" applyFont="0" applyFill="0" applyBorder="0" applyAlignment="0" applyProtection="0"/>
    <xf numFmtId="223" fontId="120" fillId="0" borderId="0" applyFont="0" applyFill="0" applyBorder="0" applyAlignment="0" applyProtection="0"/>
    <xf numFmtId="164" fontId="120" fillId="0" borderId="0" applyFont="0" applyFill="0" applyBorder="0" applyAlignment="0" applyProtection="0"/>
    <xf numFmtId="195" fontId="108" fillId="0" borderId="0" applyFont="0" applyFill="0" applyBorder="0" applyAlignment="0" applyProtection="0"/>
    <xf numFmtId="164" fontId="120" fillId="0" borderId="0" applyFont="0" applyFill="0" applyBorder="0" applyAlignment="0" applyProtection="0"/>
    <xf numFmtId="195" fontId="108" fillId="0" borderId="0" applyFont="0" applyFill="0" applyBorder="0" applyAlignment="0" applyProtection="0"/>
    <xf numFmtId="222" fontId="120" fillId="0" borderId="0" applyFont="0" applyFill="0" applyBorder="0" applyAlignment="0" applyProtection="0"/>
    <xf numFmtId="222" fontId="120" fillId="0" borderId="0" applyFont="0" applyFill="0" applyBorder="0" applyAlignment="0" applyProtection="0"/>
    <xf numFmtId="221" fontId="120" fillId="0" borderId="0" applyFont="0" applyFill="0" applyBorder="0" applyAlignment="0" applyProtection="0"/>
    <xf numFmtId="224" fontId="120" fillId="0" borderId="0" applyFont="0" applyFill="0" applyBorder="0" applyAlignment="0" applyProtection="0"/>
    <xf numFmtId="222" fontId="120" fillId="0" borderId="0" applyFont="0" applyFill="0" applyBorder="0" applyAlignment="0" applyProtection="0"/>
    <xf numFmtId="225" fontId="120" fillId="0" borderId="0" applyFont="0" applyFill="0" applyBorder="0" applyAlignment="0" applyProtection="0"/>
    <xf numFmtId="226" fontId="120" fillId="0" borderId="0" applyFont="0" applyFill="0" applyBorder="0" applyAlignment="0" applyProtection="0"/>
    <xf numFmtId="164" fontId="120" fillId="0" borderId="0" applyFont="0" applyFill="0" applyBorder="0" applyAlignment="0" applyProtection="0"/>
    <xf numFmtId="225" fontId="120" fillId="0" borderId="0" applyFont="0" applyFill="0" applyBorder="0" applyAlignment="0" applyProtection="0"/>
    <xf numFmtId="221" fontId="120" fillId="0" borderId="0" applyFont="0" applyFill="0" applyBorder="0" applyAlignment="0" applyProtection="0"/>
    <xf numFmtId="195" fontId="120" fillId="0" borderId="0" applyFont="0" applyFill="0" applyBorder="0" applyAlignment="0" applyProtection="0"/>
    <xf numFmtId="195" fontId="120" fillId="0" borderId="0" applyFont="0" applyFill="0" applyBorder="0" applyAlignment="0" applyProtection="0"/>
    <xf numFmtId="164" fontId="120" fillId="0" borderId="0" applyFont="0" applyFill="0" applyBorder="0" applyAlignment="0" applyProtection="0"/>
    <xf numFmtId="222" fontId="120" fillId="0" borderId="0" applyFont="0" applyFill="0" applyBorder="0" applyAlignment="0" applyProtection="0"/>
    <xf numFmtId="164" fontId="120" fillId="0" borderId="0" applyFont="0" applyFill="0" applyBorder="0" applyAlignment="0" applyProtection="0"/>
    <xf numFmtId="195" fontId="120" fillId="0" borderId="0" applyFont="0" applyFill="0" applyBorder="0" applyAlignment="0" applyProtection="0"/>
    <xf numFmtId="222" fontId="120" fillId="0" borderId="0" applyFont="0" applyFill="0" applyBorder="0" applyAlignment="0" applyProtection="0"/>
    <xf numFmtId="222" fontId="120" fillId="0" borderId="0" applyFont="0" applyFill="0" applyBorder="0" applyAlignment="0" applyProtection="0"/>
    <xf numFmtId="14" fontId="249" fillId="0" borderId="0"/>
    <xf numFmtId="0" fontId="250" fillId="0" borderId="0"/>
    <xf numFmtId="0" fontId="218" fillId="0" borderId="0"/>
    <xf numFmtId="40" fontId="251" fillId="0" borderId="0" applyBorder="0">
      <alignment horizontal="right"/>
    </xf>
    <xf numFmtId="0" fontId="252" fillId="0" borderId="0"/>
    <xf numFmtId="289" fontId="125" fillId="0" borderId="14">
      <alignment horizontal="right" vertical="center"/>
    </xf>
    <xf numFmtId="289" fontId="125" fillId="0" borderId="14">
      <alignment horizontal="right" vertical="center"/>
    </xf>
    <xf numFmtId="289" fontId="125" fillId="0" borderId="14">
      <alignment horizontal="right" vertical="center"/>
    </xf>
    <xf numFmtId="289" fontId="125" fillId="0" borderId="14">
      <alignment horizontal="right" vertical="center"/>
    </xf>
    <xf numFmtId="289" fontId="125" fillId="0" borderId="14">
      <alignment horizontal="right" vertical="center"/>
    </xf>
    <xf numFmtId="188" fontId="253" fillId="0" borderId="14">
      <alignment horizontal="right" vertical="center"/>
    </xf>
    <xf numFmtId="209" fontId="147" fillId="0" borderId="14">
      <alignment horizontal="right" vertical="center"/>
    </xf>
    <xf numFmtId="209" fontId="147" fillId="0" borderId="14">
      <alignment horizontal="right" vertical="center"/>
    </xf>
    <xf numFmtId="289" fontId="125" fillId="0" borderId="14">
      <alignment horizontal="right" vertical="center"/>
    </xf>
    <xf numFmtId="289" fontId="125" fillId="0" borderId="14">
      <alignment horizontal="right" vertical="center"/>
    </xf>
    <xf numFmtId="289" fontId="125" fillId="0" borderId="14">
      <alignment horizontal="right" vertical="center"/>
    </xf>
    <xf numFmtId="289" fontId="125" fillId="0" borderId="14">
      <alignment horizontal="right" vertical="center"/>
    </xf>
    <xf numFmtId="289" fontId="125" fillId="0" borderId="14">
      <alignment horizontal="right" vertical="center"/>
    </xf>
    <xf numFmtId="289" fontId="125" fillId="0" borderId="14">
      <alignment horizontal="right" vertical="center"/>
    </xf>
    <xf numFmtId="289" fontId="125" fillId="0" borderId="14">
      <alignment horizontal="right" vertical="center"/>
    </xf>
    <xf numFmtId="289" fontId="125" fillId="0" borderId="14">
      <alignment horizontal="right" vertical="center"/>
    </xf>
    <xf numFmtId="290" fontId="125" fillId="0" borderId="55">
      <alignment horizontal="right" vertical="center"/>
    </xf>
    <xf numFmtId="290" fontId="125" fillId="0" borderId="55">
      <alignment horizontal="right" vertical="center"/>
    </xf>
    <xf numFmtId="289" fontId="125" fillId="0" borderId="14">
      <alignment horizontal="right" vertical="center"/>
    </xf>
    <xf numFmtId="289" fontId="125" fillId="0" borderId="14">
      <alignment horizontal="right" vertical="center"/>
    </xf>
    <xf numFmtId="289" fontId="125" fillId="0" borderId="14">
      <alignment horizontal="right" vertical="center"/>
    </xf>
    <xf numFmtId="209" fontId="147" fillId="0" borderId="14">
      <alignment horizontal="right" vertical="center"/>
    </xf>
    <xf numFmtId="209" fontId="147" fillId="0" borderId="14">
      <alignment horizontal="right" vertical="center"/>
    </xf>
    <xf numFmtId="209" fontId="147" fillId="0" borderId="14">
      <alignment horizontal="right" vertical="center"/>
    </xf>
    <xf numFmtId="209" fontId="147" fillId="0" borderId="14">
      <alignment horizontal="right" vertical="center"/>
    </xf>
    <xf numFmtId="209" fontId="147" fillId="0" borderId="14">
      <alignment horizontal="right" vertical="center"/>
    </xf>
    <xf numFmtId="209" fontId="147" fillId="0" borderId="14">
      <alignment horizontal="right" vertical="center"/>
    </xf>
    <xf numFmtId="209" fontId="147" fillId="0" borderId="14">
      <alignment horizontal="right" vertical="center"/>
    </xf>
    <xf numFmtId="289" fontId="125" fillId="0" borderId="14">
      <alignment horizontal="right" vertical="center"/>
    </xf>
    <xf numFmtId="290" fontId="125" fillId="0" borderId="55">
      <alignment horizontal="right" vertical="center"/>
    </xf>
    <xf numFmtId="290" fontId="125" fillId="0" borderId="55">
      <alignment horizontal="right" vertical="center"/>
    </xf>
    <xf numFmtId="189" fontId="111" fillId="0" borderId="14">
      <alignment horizontal="right" vertical="center"/>
    </xf>
    <xf numFmtId="209" fontId="147" fillId="0" borderId="14">
      <alignment horizontal="right" vertical="center"/>
    </xf>
    <xf numFmtId="209" fontId="147" fillId="0" borderId="14">
      <alignment horizontal="right" vertical="center"/>
    </xf>
    <xf numFmtId="209" fontId="147" fillId="0" borderId="14">
      <alignment horizontal="right" vertical="center"/>
    </xf>
    <xf numFmtId="189" fontId="111" fillId="0" borderId="14">
      <alignment horizontal="right" vertical="center"/>
    </xf>
    <xf numFmtId="211" fontId="7" fillId="0" borderId="14">
      <alignment horizontal="right" vertical="center"/>
    </xf>
    <xf numFmtId="211" fontId="7" fillId="0" borderId="14">
      <alignment horizontal="right" vertical="center"/>
    </xf>
    <xf numFmtId="291" fontId="7" fillId="0" borderId="14">
      <alignment horizontal="right" vertical="center"/>
    </xf>
    <xf numFmtId="291" fontId="7" fillId="0" borderId="14">
      <alignment horizontal="right" vertical="center"/>
    </xf>
    <xf numFmtId="292" fontId="120" fillId="0" borderId="14">
      <alignment horizontal="right" vertical="center"/>
    </xf>
    <xf numFmtId="293" fontId="7" fillId="0" borderId="14">
      <alignment horizontal="right" vertical="center"/>
    </xf>
    <xf numFmtId="293" fontId="7" fillId="0" borderId="14">
      <alignment horizontal="right" vertical="center"/>
    </xf>
    <xf numFmtId="293" fontId="7" fillId="0" borderId="14">
      <alignment horizontal="right" vertical="center"/>
    </xf>
    <xf numFmtId="293" fontId="7" fillId="0" borderId="14">
      <alignment horizontal="right" vertical="center"/>
    </xf>
    <xf numFmtId="291" fontId="7" fillId="0" borderId="14">
      <alignment horizontal="right" vertical="center"/>
    </xf>
    <xf numFmtId="291" fontId="7" fillId="0" borderId="14">
      <alignment horizontal="right" vertical="center"/>
    </xf>
    <xf numFmtId="189" fontId="111" fillId="0" borderId="14">
      <alignment horizontal="right" vertical="center"/>
    </xf>
    <xf numFmtId="211" fontId="7" fillId="0" borderId="14">
      <alignment horizontal="right" vertical="center"/>
    </xf>
    <xf numFmtId="211" fontId="7" fillId="0" borderId="14">
      <alignment horizontal="right" vertical="center"/>
    </xf>
    <xf numFmtId="189" fontId="111" fillId="0" borderId="14">
      <alignment horizontal="right" vertical="center"/>
    </xf>
    <xf numFmtId="209" fontId="147" fillId="0" borderId="14">
      <alignment horizontal="right" vertical="center"/>
    </xf>
    <xf numFmtId="209" fontId="147" fillId="0" borderId="14">
      <alignment horizontal="right" vertical="center"/>
    </xf>
    <xf numFmtId="294" fontId="108" fillId="0" borderId="14">
      <alignment horizontal="right" vertical="center"/>
    </xf>
    <xf numFmtId="189" fontId="111" fillId="0" borderId="14">
      <alignment horizontal="right" vertical="center"/>
    </xf>
    <xf numFmtId="290" fontId="125" fillId="0" borderId="55">
      <alignment horizontal="right" vertical="center"/>
    </xf>
    <xf numFmtId="290" fontId="125" fillId="0" borderId="55">
      <alignment horizontal="right" vertical="center"/>
    </xf>
    <xf numFmtId="289" fontId="125" fillId="0" borderId="14">
      <alignment horizontal="right" vertical="center"/>
    </xf>
    <xf numFmtId="289" fontId="125" fillId="0" borderId="14">
      <alignment horizontal="right" vertical="center"/>
    </xf>
    <xf numFmtId="289" fontId="125" fillId="0" borderId="14">
      <alignment horizontal="right" vertical="center"/>
    </xf>
    <xf numFmtId="289" fontId="125" fillId="0" borderId="14">
      <alignment horizontal="right" vertical="center"/>
    </xf>
    <xf numFmtId="289" fontId="125" fillId="0" borderId="14">
      <alignment horizontal="right" vertical="center"/>
    </xf>
    <xf numFmtId="289" fontId="125" fillId="0" borderId="14">
      <alignment horizontal="right" vertical="center"/>
    </xf>
    <xf numFmtId="289" fontId="125" fillId="0" borderId="14">
      <alignment horizontal="right" vertical="center"/>
    </xf>
    <xf numFmtId="290" fontId="125" fillId="0" borderId="55">
      <alignment horizontal="right" vertical="center"/>
    </xf>
    <xf numFmtId="290" fontId="125" fillId="0" borderId="55">
      <alignment horizontal="right" vertical="center"/>
    </xf>
    <xf numFmtId="291" fontId="7" fillId="0" borderId="14">
      <alignment horizontal="right" vertical="center"/>
    </xf>
    <xf numFmtId="291" fontId="7" fillId="0" borderId="14">
      <alignment horizontal="right" vertical="center"/>
    </xf>
    <xf numFmtId="292" fontId="120" fillId="0" borderId="14">
      <alignment horizontal="right" vertical="center"/>
    </xf>
    <xf numFmtId="291" fontId="7" fillId="0" borderId="14">
      <alignment horizontal="right" vertical="center"/>
    </xf>
    <xf numFmtId="291" fontId="7" fillId="0" borderId="14">
      <alignment horizontal="right" vertical="center"/>
    </xf>
    <xf numFmtId="293" fontId="7" fillId="0" borderId="14">
      <alignment horizontal="right" vertical="center"/>
    </xf>
    <xf numFmtId="293" fontId="7" fillId="0" borderId="14">
      <alignment horizontal="right" vertical="center"/>
    </xf>
    <xf numFmtId="289" fontId="125" fillId="0" borderId="14">
      <alignment horizontal="right" vertical="center"/>
    </xf>
    <xf numFmtId="289" fontId="125" fillId="0" borderId="14">
      <alignment horizontal="right" vertical="center"/>
    </xf>
    <xf numFmtId="289" fontId="125" fillId="0" borderId="14">
      <alignment horizontal="right" vertical="center"/>
    </xf>
    <xf numFmtId="289" fontId="125" fillId="0" borderId="14">
      <alignment horizontal="right" vertical="center"/>
    </xf>
    <xf numFmtId="289" fontId="125" fillId="0" borderId="14">
      <alignment horizontal="right" vertical="center"/>
    </xf>
    <xf numFmtId="289" fontId="125" fillId="0" borderId="14">
      <alignment horizontal="right" vertical="center"/>
    </xf>
    <xf numFmtId="291" fontId="7" fillId="0" borderId="14">
      <alignment horizontal="right" vertical="center"/>
    </xf>
    <xf numFmtId="291" fontId="7" fillId="0" borderId="14">
      <alignment horizontal="right" vertical="center"/>
    </xf>
    <xf numFmtId="295" fontId="254" fillId="5" borderId="56" applyFont="0" applyFill="0" applyBorder="0"/>
    <xf numFmtId="291" fontId="7" fillId="0" borderId="14">
      <alignment horizontal="right" vertical="center"/>
    </xf>
    <xf numFmtId="291" fontId="7" fillId="0" borderId="14">
      <alignment horizontal="right" vertical="center"/>
    </xf>
    <xf numFmtId="290" fontId="125" fillId="0" borderId="55">
      <alignment horizontal="right" vertical="center"/>
    </xf>
    <xf numFmtId="290" fontId="125" fillId="0" borderId="55">
      <alignment horizontal="right" vertical="center"/>
    </xf>
    <xf numFmtId="289" fontId="125" fillId="0" borderId="14">
      <alignment horizontal="right" vertical="center"/>
    </xf>
    <xf numFmtId="289" fontId="125" fillId="0" borderId="14">
      <alignment horizontal="right" vertical="center"/>
    </xf>
    <xf numFmtId="289" fontId="125" fillId="0" borderId="14">
      <alignment horizontal="right" vertical="center"/>
    </xf>
    <xf numFmtId="289" fontId="125" fillId="0" borderId="14">
      <alignment horizontal="right" vertical="center"/>
    </xf>
    <xf numFmtId="228" fontId="125" fillId="0" borderId="14">
      <alignment horizontal="right" vertical="center"/>
    </xf>
    <xf numFmtId="295" fontId="254" fillId="5" borderId="56" applyFont="0" applyFill="0" applyBorder="0"/>
    <xf numFmtId="296" fontId="4" fillId="0" borderId="14">
      <alignment horizontal="right" vertical="center"/>
    </xf>
    <xf numFmtId="296" fontId="4" fillId="0" borderId="14">
      <alignment horizontal="right" vertical="center"/>
    </xf>
    <xf numFmtId="289" fontId="125" fillId="0" borderId="14">
      <alignment horizontal="right" vertical="center"/>
    </xf>
    <xf numFmtId="289" fontId="125" fillId="0" borderId="14">
      <alignment horizontal="right" vertical="center"/>
    </xf>
    <xf numFmtId="289" fontId="125" fillId="0" borderId="14">
      <alignment horizontal="right" vertical="center"/>
    </xf>
    <xf numFmtId="289" fontId="125" fillId="0" borderId="14">
      <alignment horizontal="right" vertical="center"/>
    </xf>
    <xf numFmtId="228" fontId="125" fillId="0" borderId="14">
      <alignment horizontal="right" vertical="center"/>
    </xf>
    <xf numFmtId="211" fontId="7" fillId="0" borderId="14">
      <alignment horizontal="right" vertical="center"/>
    </xf>
    <xf numFmtId="211" fontId="7" fillId="0" borderId="14">
      <alignment horizontal="right" vertical="center"/>
    </xf>
    <xf numFmtId="290" fontId="125" fillId="0" borderId="55">
      <alignment horizontal="right" vertical="center"/>
    </xf>
    <xf numFmtId="290" fontId="125" fillId="0" borderId="55">
      <alignment horizontal="right" vertical="center"/>
    </xf>
    <xf numFmtId="291" fontId="7" fillId="0" borderId="14">
      <alignment horizontal="right" vertical="center"/>
    </xf>
    <xf numFmtId="291" fontId="7" fillId="0" borderId="14">
      <alignment horizontal="right" vertical="center"/>
    </xf>
    <xf numFmtId="292" fontId="120" fillId="0" borderId="14">
      <alignment horizontal="right" vertical="center"/>
    </xf>
    <xf numFmtId="291" fontId="7" fillId="0" borderId="14">
      <alignment horizontal="right" vertical="center"/>
    </xf>
    <xf numFmtId="291" fontId="7" fillId="0" borderId="14">
      <alignment horizontal="right" vertical="center"/>
    </xf>
    <xf numFmtId="289" fontId="125" fillId="0" borderId="14">
      <alignment horizontal="right" vertical="center"/>
    </xf>
    <xf numFmtId="211" fontId="7" fillId="0" borderId="14">
      <alignment horizontal="right" vertical="center"/>
    </xf>
    <xf numFmtId="211" fontId="7" fillId="0" borderId="14">
      <alignment horizontal="right" vertical="center"/>
    </xf>
    <xf numFmtId="211" fontId="7" fillId="0" borderId="14">
      <alignment horizontal="right" vertical="center"/>
    </xf>
    <xf numFmtId="211" fontId="7" fillId="0" borderId="14">
      <alignment horizontal="right" vertical="center"/>
    </xf>
    <xf numFmtId="297" fontId="108" fillId="0" borderId="14">
      <alignment horizontal="right" vertical="center"/>
    </xf>
    <xf numFmtId="290" fontId="125" fillId="0" borderId="55">
      <alignment horizontal="right" vertical="center"/>
    </xf>
    <xf numFmtId="290" fontId="125" fillId="0" borderId="55">
      <alignment horizontal="right" vertical="center"/>
    </xf>
    <xf numFmtId="298" fontId="7" fillId="0" borderId="14">
      <alignment horizontal="right" vertical="center"/>
    </xf>
    <xf numFmtId="298" fontId="7" fillId="0" borderId="14">
      <alignment horizontal="right" vertical="center"/>
    </xf>
    <xf numFmtId="209" fontId="147" fillId="0" borderId="14">
      <alignment horizontal="right" vertical="center"/>
    </xf>
    <xf numFmtId="209" fontId="147" fillId="0" borderId="14">
      <alignment horizontal="right" vertical="center"/>
    </xf>
    <xf numFmtId="209" fontId="147" fillId="0" borderId="14">
      <alignment horizontal="right" vertical="center"/>
    </xf>
    <xf numFmtId="209" fontId="147" fillId="0" borderId="14">
      <alignment horizontal="right" vertical="center"/>
    </xf>
    <xf numFmtId="209" fontId="147" fillId="0" borderId="14">
      <alignment horizontal="right" vertical="center"/>
    </xf>
    <xf numFmtId="209" fontId="147" fillId="0" borderId="14">
      <alignment horizontal="right" vertical="center"/>
    </xf>
    <xf numFmtId="209" fontId="147" fillId="0" borderId="14">
      <alignment horizontal="right" vertical="center"/>
    </xf>
    <xf numFmtId="209" fontId="147" fillId="0" borderId="14">
      <alignment horizontal="right" vertical="center"/>
    </xf>
    <xf numFmtId="209" fontId="147" fillId="0" borderId="14">
      <alignment horizontal="right" vertical="center"/>
    </xf>
    <xf numFmtId="209" fontId="147" fillId="0" borderId="14">
      <alignment horizontal="right" vertical="center"/>
    </xf>
    <xf numFmtId="291" fontId="7" fillId="0" borderId="14">
      <alignment horizontal="right" vertical="center"/>
    </xf>
    <xf numFmtId="291" fontId="7" fillId="0" borderId="14">
      <alignment horizontal="right" vertical="center"/>
    </xf>
    <xf numFmtId="293" fontId="7" fillId="0" borderId="14">
      <alignment horizontal="right" vertical="center"/>
    </xf>
    <xf numFmtId="293" fontId="7" fillId="0" borderId="14">
      <alignment horizontal="right" vertical="center"/>
    </xf>
    <xf numFmtId="214" fontId="7" fillId="0" borderId="14">
      <alignment horizontal="right" vertical="center"/>
    </xf>
    <xf numFmtId="214" fontId="7" fillId="0" borderId="14">
      <alignment horizontal="right" vertical="center"/>
    </xf>
    <xf numFmtId="209" fontId="147" fillId="0" borderId="14">
      <alignment horizontal="right" vertical="center"/>
    </xf>
    <xf numFmtId="209" fontId="147" fillId="0" borderId="14">
      <alignment horizontal="right" vertical="center"/>
    </xf>
    <xf numFmtId="209" fontId="147" fillId="0" borderId="14">
      <alignment horizontal="right" vertical="center"/>
    </xf>
    <xf numFmtId="209" fontId="147" fillId="0" borderId="14">
      <alignment horizontal="right" vertical="center"/>
    </xf>
    <xf numFmtId="209" fontId="147" fillId="0" borderId="14">
      <alignment horizontal="right" vertical="center"/>
    </xf>
    <xf numFmtId="209" fontId="147" fillId="0" borderId="14">
      <alignment horizontal="right" vertical="center"/>
    </xf>
    <xf numFmtId="209" fontId="147" fillId="0" borderId="14">
      <alignment horizontal="right" vertical="center"/>
    </xf>
    <xf numFmtId="209" fontId="147" fillId="0" borderId="14">
      <alignment horizontal="right" vertical="center"/>
    </xf>
    <xf numFmtId="209" fontId="147" fillId="0" borderId="14">
      <alignment horizontal="right" vertical="center"/>
    </xf>
    <xf numFmtId="209" fontId="147" fillId="0" borderId="14">
      <alignment horizontal="right" vertical="center"/>
    </xf>
    <xf numFmtId="209" fontId="147" fillId="0" borderId="14">
      <alignment horizontal="right" vertical="center"/>
    </xf>
    <xf numFmtId="209" fontId="147" fillId="0" borderId="14">
      <alignment horizontal="right" vertical="center"/>
    </xf>
    <xf numFmtId="209" fontId="147" fillId="0" borderId="14">
      <alignment horizontal="right" vertical="center"/>
    </xf>
    <xf numFmtId="209" fontId="147" fillId="0" borderId="14">
      <alignment horizontal="right" vertical="center"/>
    </xf>
    <xf numFmtId="295" fontId="254" fillId="5" borderId="56" applyFont="0" applyFill="0" applyBorder="0"/>
    <xf numFmtId="291" fontId="7" fillId="0" borderId="14">
      <alignment horizontal="right" vertical="center"/>
    </xf>
    <xf numFmtId="291" fontId="7" fillId="0" borderId="14">
      <alignment horizontal="right" vertical="center"/>
    </xf>
    <xf numFmtId="289" fontId="125" fillId="0" borderId="14">
      <alignment horizontal="right" vertical="center"/>
    </xf>
    <xf numFmtId="289" fontId="125" fillId="0" borderId="14">
      <alignment horizontal="right" vertical="center"/>
    </xf>
    <xf numFmtId="289" fontId="125" fillId="0" borderId="14">
      <alignment horizontal="right" vertical="center"/>
    </xf>
    <xf numFmtId="289" fontId="125" fillId="0" borderId="14">
      <alignment horizontal="right" vertical="center"/>
    </xf>
    <xf numFmtId="289" fontId="125" fillId="0" borderId="14">
      <alignment horizontal="right" vertical="center"/>
    </xf>
    <xf numFmtId="289" fontId="125" fillId="0" borderId="14">
      <alignment horizontal="right" vertical="center"/>
    </xf>
    <xf numFmtId="289" fontId="125" fillId="0" borderId="14">
      <alignment horizontal="right" vertical="center"/>
    </xf>
    <xf numFmtId="289" fontId="125" fillId="0" borderId="14">
      <alignment horizontal="right" vertical="center"/>
    </xf>
    <xf numFmtId="289" fontId="125" fillId="0" borderId="14">
      <alignment horizontal="right" vertical="center"/>
    </xf>
    <xf numFmtId="289" fontId="125" fillId="0" borderId="14">
      <alignment horizontal="right" vertical="center"/>
    </xf>
    <xf numFmtId="289" fontId="125" fillId="0" borderId="14">
      <alignment horizontal="right" vertical="center"/>
    </xf>
    <xf numFmtId="289" fontId="125" fillId="0" borderId="14">
      <alignment horizontal="right" vertical="center"/>
    </xf>
    <xf numFmtId="289" fontId="125" fillId="0" borderId="14">
      <alignment horizontal="right" vertical="center"/>
    </xf>
    <xf numFmtId="289" fontId="125" fillId="0" borderId="14">
      <alignment horizontal="right" vertical="center"/>
    </xf>
    <xf numFmtId="289" fontId="125" fillId="0" borderId="14">
      <alignment horizontal="right" vertical="center"/>
    </xf>
    <xf numFmtId="289" fontId="125" fillId="0" borderId="14">
      <alignment horizontal="right" vertical="center"/>
    </xf>
    <xf numFmtId="289" fontId="125" fillId="0" borderId="14">
      <alignment horizontal="right" vertical="center"/>
    </xf>
    <xf numFmtId="289" fontId="125" fillId="0" borderId="14">
      <alignment horizontal="right" vertical="center"/>
    </xf>
    <xf numFmtId="289" fontId="125" fillId="0" borderId="14">
      <alignment horizontal="right" vertical="center"/>
    </xf>
    <xf numFmtId="289" fontId="125" fillId="0" borderId="14">
      <alignment horizontal="right" vertical="center"/>
    </xf>
    <xf numFmtId="289" fontId="125" fillId="0" borderId="14">
      <alignment horizontal="right" vertical="center"/>
    </xf>
    <xf numFmtId="289" fontId="125" fillId="0" borderId="14">
      <alignment horizontal="right" vertical="center"/>
    </xf>
    <xf numFmtId="289" fontId="125" fillId="0" borderId="14">
      <alignment horizontal="right" vertical="center"/>
    </xf>
    <xf numFmtId="289" fontId="125" fillId="0" borderId="14">
      <alignment horizontal="right" vertical="center"/>
    </xf>
    <xf numFmtId="291" fontId="7" fillId="0" borderId="14">
      <alignment horizontal="right" vertical="center"/>
    </xf>
    <xf numFmtId="291" fontId="7" fillId="0" borderId="14">
      <alignment horizontal="right" vertical="center"/>
    </xf>
    <xf numFmtId="209" fontId="147" fillId="0" borderId="14">
      <alignment horizontal="right" vertical="center"/>
    </xf>
    <xf numFmtId="209" fontId="147" fillId="0" borderId="14">
      <alignment horizontal="right" vertical="center"/>
    </xf>
    <xf numFmtId="209" fontId="147" fillId="0" borderId="14">
      <alignment horizontal="right" vertical="center"/>
    </xf>
    <xf numFmtId="209" fontId="147" fillId="0" borderId="14">
      <alignment horizontal="right" vertical="center"/>
    </xf>
    <xf numFmtId="209" fontId="147" fillId="0" borderId="14">
      <alignment horizontal="right" vertical="center"/>
    </xf>
    <xf numFmtId="209" fontId="147" fillId="0" borderId="14">
      <alignment horizontal="right" vertical="center"/>
    </xf>
    <xf numFmtId="209" fontId="147" fillId="0" borderId="14">
      <alignment horizontal="right" vertical="center"/>
    </xf>
    <xf numFmtId="209" fontId="147" fillId="0" borderId="14">
      <alignment horizontal="right" vertical="center"/>
    </xf>
    <xf numFmtId="209" fontId="147" fillId="0" borderId="14">
      <alignment horizontal="right" vertical="center"/>
    </xf>
    <xf numFmtId="209" fontId="147" fillId="0" borderId="14">
      <alignment horizontal="right" vertical="center"/>
    </xf>
    <xf numFmtId="209" fontId="147" fillId="0" borderId="14">
      <alignment horizontal="right" vertical="center"/>
    </xf>
    <xf numFmtId="209" fontId="147" fillId="0" borderId="14">
      <alignment horizontal="right" vertical="center"/>
    </xf>
    <xf numFmtId="209" fontId="147" fillId="0" borderId="14">
      <alignment horizontal="right" vertical="center"/>
    </xf>
    <xf numFmtId="209" fontId="147" fillId="0" borderId="14">
      <alignment horizontal="right" vertical="center"/>
    </xf>
    <xf numFmtId="299" fontId="147" fillId="0" borderId="14">
      <alignment horizontal="right" vertical="center"/>
    </xf>
    <xf numFmtId="291" fontId="7" fillId="0" borderId="14">
      <alignment horizontal="right" vertical="center"/>
    </xf>
    <xf numFmtId="291" fontId="7" fillId="0" borderId="14">
      <alignment horizontal="right" vertical="center"/>
    </xf>
    <xf numFmtId="295" fontId="254" fillId="5" borderId="56" applyFont="0" applyFill="0" applyBorder="0"/>
    <xf numFmtId="295" fontId="254" fillId="5" borderId="56" applyFont="0" applyFill="0" applyBorder="0"/>
    <xf numFmtId="212" fontId="125" fillId="0" borderId="14">
      <alignment horizontal="right" vertical="center"/>
    </xf>
    <xf numFmtId="189" fontId="111" fillId="0" borderId="14">
      <alignment horizontal="right" vertical="center"/>
    </xf>
    <xf numFmtId="209" fontId="147" fillId="0" borderId="14">
      <alignment horizontal="right" vertical="center"/>
    </xf>
    <xf numFmtId="209" fontId="147" fillId="0" borderId="14">
      <alignment horizontal="right" vertical="center"/>
    </xf>
    <xf numFmtId="291" fontId="7" fillId="0" borderId="14">
      <alignment horizontal="right" vertical="center"/>
    </xf>
    <xf numFmtId="291" fontId="7" fillId="0" borderId="14">
      <alignment horizontal="right" vertical="center"/>
    </xf>
    <xf numFmtId="289" fontId="125" fillId="0" borderId="14">
      <alignment horizontal="right" vertical="center"/>
    </xf>
    <xf numFmtId="289" fontId="125" fillId="0" borderId="14">
      <alignment horizontal="right" vertical="center"/>
    </xf>
    <xf numFmtId="209" fontId="147" fillId="0" borderId="14">
      <alignment horizontal="right" vertical="center"/>
    </xf>
    <xf numFmtId="209" fontId="147" fillId="0" borderId="14">
      <alignment horizontal="right" vertical="center"/>
    </xf>
    <xf numFmtId="209" fontId="147" fillId="0" borderId="14">
      <alignment horizontal="right" vertical="center"/>
    </xf>
    <xf numFmtId="209" fontId="147" fillId="0" borderId="14">
      <alignment horizontal="right" vertical="center"/>
    </xf>
    <xf numFmtId="209" fontId="147" fillId="0" borderId="14">
      <alignment horizontal="right" vertical="center"/>
    </xf>
    <xf numFmtId="289" fontId="125" fillId="0" borderId="14">
      <alignment horizontal="right" vertical="center"/>
    </xf>
    <xf numFmtId="295" fontId="254" fillId="5" borderId="56" applyFont="0" applyFill="0" applyBorder="0"/>
    <xf numFmtId="280" fontId="7" fillId="0" borderId="14">
      <alignment horizontal="right" vertical="center"/>
    </xf>
    <xf numFmtId="280" fontId="7" fillId="0" borderId="14">
      <alignment horizontal="right" vertical="center"/>
    </xf>
    <xf numFmtId="280" fontId="7" fillId="0" borderId="14">
      <alignment horizontal="right" vertical="center"/>
    </xf>
    <xf numFmtId="280" fontId="7" fillId="0" borderId="14">
      <alignment horizontal="right" vertical="center"/>
    </xf>
    <xf numFmtId="280" fontId="7" fillId="0" borderId="14">
      <alignment horizontal="right" vertical="center"/>
    </xf>
    <xf numFmtId="280" fontId="7" fillId="0" borderId="14">
      <alignment horizontal="right" vertical="center"/>
    </xf>
    <xf numFmtId="280" fontId="7" fillId="0" borderId="14">
      <alignment horizontal="right" vertical="center"/>
    </xf>
    <xf numFmtId="289" fontId="125" fillId="0" borderId="14">
      <alignment horizontal="right" vertical="center"/>
    </xf>
    <xf numFmtId="280" fontId="7" fillId="0" borderId="14">
      <alignment horizontal="right" vertical="center"/>
    </xf>
    <xf numFmtId="280" fontId="7" fillId="0" borderId="14">
      <alignment horizontal="right" vertical="center"/>
    </xf>
    <xf numFmtId="300" fontId="7" fillId="0" borderId="55">
      <alignment horizontal="right" vertical="center"/>
    </xf>
    <xf numFmtId="300" fontId="7" fillId="0" borderId="55">
      <alignment horizontal="right" vertical="center"/>
    </xf>
    <xf numFmtId="300" fontId="7" fillId="0" borderId="55">
      <alignment horizontal="right" vertical="center"/>
    </xf>
    <xf numFmtId="300" fontId="7" fillId="0" borderId="55">
      <alignment horizontal="right" vertical="center"/>
    </xf>
    <xf numFmtId="300" fontId="7" fillId="0" borderId="55">
      <alignment horizontal="right" vertical="center"/>
    </xf>
    <xf numFmtId="188" fontId="253" fillId="0" borderId="14">
      <alignment horizontal="right" vertical="center"/>
    </xf>
    <xf numFmtId="289" fontId="125" fillId="0" borderId="14">
      <alignment horizontal="right" vertical="center"/>
    </xf>
    <xf numFmtId="214" fontId="7" fillId="0" borderId="14">
      <alignment horizontal="right" vertical="center"/>
    </xf>
    <xf numFmtId="214" fontId="7" fillId="0" borderId="14">
      <alignment horizontal="right" vertical="center"/>
    </xf>
    <xf numFmtId="189" fontId="111" fillId="0" borderId="14">
      <alignment horizontal="right" vertical="center"/>
    </xf>
    <xf numFmtId="289" fontId="125" fillId="0" borderId="14">
      <alignment horizontal="right" vertical="center"/>
    </xf>
    <xf numFmtId="289" fontId="125" fillId="0" borderId="14">
      <alignment horizontal="right" vertical="center"/>
    </xf>
    <xf numFmtId="289" fontId="125" fillId="0" borderId="14">
      <alignment horizontal="right" vertical="center"/>
    </xf>
    <xf numFmtId="189" fontId="111" fillId="0" borderId="14">
      <alignment horizontal="right" vertical="center"/>
    </xf>
    <xf numFmtId="289" fontId="125" fillId="0" borderId="14">
      <alignment horizontal="right" vertical="center"/>
    </xf>
    <xf numFmtId="291" fontId="7" fillId="0" borderId="14">
      <alignment horizontal="right" vertical="center"/>
    </xf>
    <xf numFmtId="291" fontId="7" fillId="0" borderId="14">
      <alignment horizontal="right" vertical="center"/>
    </xf>
    <xf numFmtId="289" fontId="125" fillId="0" borderId="14">
      <alignment horizontal="right" vertical="center"/>
    </xf>
    <xf numFmtId="290" fontId="125" fillId="0" borderId="55">
      <alignment horizontal="right" vertical="center"/>
    </xf>
    <xf numFmtId="290" fontId="125" fillId="0" borderId="55">
      <alignment horizontal="right" vertical="center"/>
    </xf>
    <xf numFmtId="290" fontId="125" fillId="0" borderId="55">
      <alignment horizontal="right" vertical="center"/>
    </xf>
    <xf numFmtId="290" fontId="125" fillId="0" borderId="55">
      <alignment horizontal="right" vertical="center"/>
    </xf>
    <xf numFmtId="290" fontId="125" fillId="0" borderId="55">
      <alignment horizontal="right" vertical="center"/>
    </xf>
    <xf numFmtId="290" fontId="125" fillId="0" borderId="55">
      <alignment horizontal="right" vertical="center"/>
    </xf>
    <xf numFmtId="290" fontId="125" fillId="0" borderId="55">
      <alignment horizontal="right" vertical="center"/>
    </xf>
    <xf numFmtId="290" fontId="125" fillId="0" borderId="55">
      <alignment horizontal="right" vertical="center"/>
    </xf>
    <xf numFmtId="290" fontId="125" fillId="0" borderId="55">
      <alignment horizontal="right" vertical="center"/>
    </xf>
    <xf numFmtId="290" fontId="125" fillId="0" borderId="55">
      <alignment horizontal="right" vertical="center"/>
    </xf>
    <xf numFmtId="289" fontId="125" fillId="0" borderId="14">
      <alignment horizontal="right" vertical="center"/>
    </xf>
    <xf numFmtId="212" fontId="125" fillId="0" borderId="14">
      <alignment horizontal="right" vertical="center"/>
    </xf>
    <xf numFmtId="301" fontId="255" fillId="0" borderId="14">
      <alignment horizontal="right" vertical="center"/>
    </xf>
    <xf numFmtId="49" fontId="91" fillId="0" borderId="0" applyFill="0" applyBorder="0" applyProtection="0">
      <alignment horizontal="center" vertical="center" wrapText="1" shrinkToFit="1"/>
    </xf>
    <xf numFmtId="49" fontId="122" fillId="0" borderId="0" applyFill="0" applyBorder="0" applyAlignment="0"/>
    <xf numFmtId="49" fontId="122" fillId="0" borderId="0" applyFill="0" applyBorder="0" applyAlignment="0"/>
    <xf numFmtId="302" fontId="156" fillId="0" borderId="0" applyFill="0" applyBorder="0" applyAlignment="0"/>
    <xf numFmtId="302" fontId="4" fillId="0" borderId="0" applyFill="0" applyBorder="0" applyAlignment="0"/>
    <xf numFmtId="303" fontId="156" fillId="0" borderId="0" applyFill="0" applyBorder="0" applyAlignment="0"/>
    <xf numFmtId="303" fontId="4" fillId="0" borderId="0" applyFill="0" applyBorder="0" applyAlignment="0"/>
    <xf numFmtId="49" fontId="91" fillId="0" borderId="0" applyFill="0" applyBorder="0" applyProtection="0">
      <alignment horizontal="center" vertical="center" wrapText="1" shrinkToFit="1"/>
    </xf>
    <xf numFmtId="196" fontId="125" fillId="0" borderId="14">
      <alignment horizontal="center"/>
    </xf>
    <xf numFmtId="304" fontId="256" fillId="0" borderId="0" applyNumberFormat="0" applyFont="0" applyFill="0" applyBorder="0" applyAlignment="0">
      <alignment horizontal="centerContinuous"/>
    </xf>
    <xf numFmtId="305" fontId="257" fillId="0" borderId="0">
      <alignment horizontal="center"/>
      <protection locked="0"/>
    </xf>
    <xf numFmtId="0" fontId="7" fillId="0" borderId="57"/>
    <xf numFmtId="0" fontId="7" fillId="0" borderId="57"/>
    <xf numFmtId="0" fontId="125"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232" fillId="0" borderId="0" applyNumberFormat="0" applyFill="0" applyBorder="0" applyAlignment="0" applyProtection="0"/>
    <xf numFmtId="0" fontId="232" fillId="0" borderId="0" applyNumberFormat="0" applyFill="0" applyBorder="0" applyAlignment="0" applyProtection="0"/>
    <xf numFmtId="0" fontId="161" fillId="0" borderId="4" applyNumberFormat="0" applyBorder="0" applyAlignment="0"/>
    <xf numFmtId="0" fontId="258" fillId="0" borderId="27" applyNumberFormat="0" applyBorder="0" applyAlignment="0">
      <alignment horizontal="center"/>
    </xf>
    <xf numFmtId="3" fontId="259" fillId="0" borderId="25" applyNumberFormat="0" applyBorder="0" applyAlignment="0"/>
    <xf numFmtId="0" fontId="260" fillId="0" borderId="4">
      <alignment horizontal="center" vertical="center" wrapText="1"/>
    </xf>
    <xf numFmtId="0" fontId="261" fillId="0" borderId="0" applyNumberFormat="0" applyFill="0" applyBorder="0" applyAlignment="0" applyProtection="0"/>
    <xf numFmtId="40" fontId="103" fillId="0" borderId="0"/>
    <xf numFmtId="0" fontId="262" fillId="26" borderId="34" applyNumberFormat="0" applyAlignment="0" applyProtection="0"/>
    <xf numFmtId="3" fontId="263" fillId="0" borderId="0" applyNumberFormat="0" applyFill="0" applyBorder="0" applyAlignment="0" applyProtection="0">
      <alignment horizontal="center" wrapText="1"/>
    </xf>
    <xf numFmtId="0" fontId="264" fillId="0" borderId="15" applyBorder="0" applyAlignment="0">
      <alignment horizontal="center" vertical="center"/>
    </xf>
    <xf numFmtId="0" fontId="265" fillId="0" borderId="0" applyNumberFormat="0" applyFill="0" applyBorder="0" applyAlignment="0" applyProtection="0">
      <alignment horizontal="centerContinuous"/>
    </xf>
    <xf numFmtId="0" fontId="196" fillId="0" borderId="58" applyNumberFormat="0" applyFill="0" applyBorder="0" applyAlignment="0" applyProtection="0">
      <alignment horizontal="center" vertical="center" wrapText="1"/>
    </xf>
    <xf numFmtId="0" fontId="261" fillId="0" borderId="0" applyNumberFormat="0" applyFill="0" applyBorder="0" applyAlignment="0" applyProtection="0"/>
    <xf numFmtId="0" fontId="266" fillId="0" borderId="59" applyNumberFormat="0" applyFill="0" applyAlignment="0" applyProtection="0"/>
    <xf numFmtId="0" fontId="267" fillId="0" borderId="60" applyNumberFormat="0" applyBorder="0" applyAlignment="0">
      <alignment vertical="center"/>
    </xf>
    <xf numFmtId="0" fontId="268" fillId="10" borderId="0" applyNumberFormat="0" applyBorder="0" applyAlignment="0" applyProtection="0"/>
    <xf numFmtId="0" fontId="4" fillId="0" borderId="33" applyNumberFormat="0" applyFont="0" applyFill="0" applyAlignment="0" applyProtection="0"/>
    <xf numFmtId="0" fontId="269" fillId="0" borderId="61" applyNumberFormat="0" applyAlignment="0">
      <alignment horizontal="center"/>
    </xf>
    <xf numFmtId="0" fontId="270" fillId="32" borderId="0" applyNumberFormat="0" applyBorder="0" applyAlignment="0" applyProtection="0"/>
    <xf numFmtId="0" fontId="271" fillId="0" borderId="62">
      <alignment horizontal="center"/>
    </xf>
    <xf numFmtId="3" fontId="272" fillId="0" borderId="0" applyFill="0">
      <alignment vertical="center"/>
    </xf>
    <xf numFmtId="191" fontId="4" fillId="0" borderId="0" applyFont="0" applyFill="0" applyBorder="0" applyAlignment="0" applyProtection="0"/>
    <xf numFmtId="202" fontId="4" fillId="0" borderId="0" applyFont="0" applyFill="0" applyBorder="0" applyAlignment="0" applyProtection="0"/>
    <xf numFmtId="166" fontId="273" fillId="0" borderId="63" applyNumberFormat="0" applyFont="0" applyAlignment="0">
      <alignment horizontal="centerContinuous"/>
    </xf>
    <xf numFmtId="268" fontId="207" fillId="0" borderId="0" applyFont="0" applyFill="0" applyBorder="0" applyAlignment="0" applyProtection="0"/>
    <xf numFmtId="306" fontId="269" fillId="0" borderId="0" applyFont="0" applyFill="0" applyBorder="0" applyAlignment="0" applyProtection="0"/>
    <xf numFmtId="307" fontId="161" fillId="0" borderId="0" applyFont="0" applyFill="0" applyBorder="0" applyAlignment="0" applyProtection="0"/>
    <xf numFmtId="0" fontId="274" fillId="0" borderId="0" applyNumberFormat="0" applyFill="0" applyBorder="0" applyAlignment="0" applyProtection="0"/>
    <xf numFmtId="0" fontId="275" fillId="0" borderId="0" applyNumberFormat="0" applyFill="0" applyBorder="0" applyAlignment="0" applyProtection="0"/>
    <xf numFmtId="0" fontId="200" fillId="0" borderId="64">
      <alignment horizontal="center"/>
    </xf>
    <xf numFmtId="303" fontId="125" fillId="0" borderId="0"/>
    <xf numFmtId="212" fontId="125" fillId="0" borderId="1"/>
    <xf numFmtId="0" fontId="276" fillId="0" borderId="0"/>
    <xf numFmtId="0" fontId="123" fillId="0" borderId="0"/>
    <xf numFmtId="0" fontId="277" fillId="0" borderId="0"/>
    <xf numFmtId="3" fontId="125" fillId="0" borderId="0" applyNumberFormat="0" applyBorder="0" applyAlignment="0" applyProtection="0">
      <alignment horizontal="centerContinuous"/>
      <protection locked="0"/>
    </xf>
    <xf numFmtId="3" fontId="125" fillId="0" borderId="0" applyNumberFormat="0" applyBorder="0" applyAlignment="0" applyProtection="0">
      <alignment horizontal="centerContinuous"/>
      <protection locked="0"/>
    </xf>
    <xf numFmtId="3" fontId="278" fillId="0" borderId="0">
      <protection locked="0"/>
    </xf>
    <xf numFmtId="0" fontId="123" fillId="0" borderId="0"/>
    <xf numFmtId="0" fontId="279" fillId="0" borderId="65" applyFill="0" applyBorder="0" applyAlignment="0">
      <alignment horizontal="center"/>
    </xf>
    <xf numFmtId="5" fontId="280" fillId="48" borderId="15">
      <alignment vertical="top"/>
    </xf>
    <xf numFmtId="0" fontId="281" fillId="49" borderId="1">
      <alignment horizontal="left" vertical="center"/>
    </xf>
    <xf numFmtId="6" fontId="282" fillId="50" borderId="15"/>
    <xf numFmtId="5" fontId="204" fillId="0" borderId="15">
      <alignment horizontal="left" vertical="top"/>
    </xf>
    <xf numFmtId="0" fontId="283" fillId="51" borderId="0">
      <alignment horizontal="left" vertical="center"/>
    </xf>
    <xf numFmtId="5" fontId="111" fillId="0" borderId="7">
      <alignment horizontal="left" vertical="top"/>
    </xf>
    <xf numFmtId="228" fontId="111" fillId="0" borderId="7">
      <alignment horizontal="left" vertical="top"/>
    </xf>
    <xf numFmtId="0" fontId="284" fillId="0" borderId="7">
      <alignment horizontal="left" vertical="center"/>
    </xf>
    <xf numFmtId="0" fontId="4" fillId="0" borderId="0" applyFont="0" applyFill="0" applyBorder="0" applyAlignment="0" applyProtection="0"/>
    <xf numFmtId="0" fontId="4" fillId="0" borderId="0" applyFont="0" applyFill="0" applyBorder="0" applyAlignment="0" applyProtection="0"/>
    <xf numFmtId="308" fontId="4" fillId="0" borderId="0" applyFont="0" applyFill="0" applyBorder="0" applyAlignment="0" applyProtection="0"/>
    <xf numFmtId="309" fontId="4" fillId="0" borderId="0" applyFont="0" applyFill="0" applyBorder="0" applyAlignment="0" applyProtection="0"/>
    <xf numFmtId="42" fontId="179" fillId="0" borderId="0" applyFont="0" applyFill="0" applyBorder="0" applyAlignment="0" applyProtection="0"/>
    <xf numFmtId="44" fontId="179" fillId="0" borderId="0" applyFont="0" applyFill="0" applyBorder="0" applyAlignment="0" applyProtection="0"/>
    <xf numFmtId="0" fontId="285" fillId="0" borderId="0" applyNumberFormat="0" applyFill="0" applyBorder="0" applyAlignment="0" applyProtection="0"/>
    <xf numFmtId="0" fontId="286" fillId="0" borderId="0" applyNumberFormat="0" applyFont="0" applyFill="0" applyBorder="0" applyProtection="0">
      <alignment horizontal="center" vertical="center" wrapText="1"/>
    </xf>
    <xf numFmtId="0" fontId="4" fillId="0" borderId="0" applyFont="0" applyFill="0" applyBorder="0" applyAlignment="0" applyProtection="0"/>
    <xf numFmtId="0" fontId="4" fillId="0" borderId="0" applyFont="0" applyFill="0" applyBorder="0" applyAlignment="0" applyProtection="0"/>
    <xf numFmtId="0" fontId="287" fillId="9" borderId="0" applyNumberFormat="0" applyBorder="0" applyAlignment="0" applyProtection="0"/>
    <xf numFmtId="0" fontId="288" fillId="0" borderId="0" applyNumberFormat="0" applyFill="0" applyBorder="0" applyAlignment="0" applyProtection="0"/>
    <xf numFmtId="0" fontId="147" fillId="0" borderId="66" applyFont="0" applyBorder="0" applyAlignment="0">
      <alignment horizontal="center"/>
    </xf>
    <xf numFmtId="0" fontId="147" fillId="0" borderId="66" applyFont="0" applyBorder="0" applyAlignment="0">
      <alignment horizontal="center"/>
    </xf>
    <xf numFmtId="191" fontId="7" fillId="0" borderId="0" applyFont="0" applyFill="0" applyBorder="0" applyAlignment="0" applyProtection="0"/>
    <xf numFmtId="188" fontId="115" fillId="0" borderId="0" applyFont="0" applyFill="0" applyBorder="0" applyAlignment="0" applyProtection="0"/>
    <xf numFmtId="189" fontId="115" fillId="0" borderId="0" applyFont="0" applyFill="0" applyBorder="0" applyAlignment="0" applyProtection="0"/>
    <xf numFmtId="0" fontId="115" fillId="0" borderId="0"/>
    <xf numFmtId="0" fontId="289" fillId="0" borderId="0" applyFont="0" applyFill="0" applyBorder="0" applyAlignment="0" applyProtection="0"/>
    <xf numFmtId="0" fontId="289" fillId="0" borderId="0" applyFont="0" applyFill="0" applyBorder="0" applyAlignment="0" applyProtection="0"/>
    <xf numFmtId="0" fontId="5" fillId="0" borderId="0">
      <alignment vertical="center"/>
    </xf>
    <xf numFmtId="40" fontId="290" fillId="0" borderId="0" applyFont="0" applyFill="0" applyBorder="0" applyAlignment="0" applyProtection="0"/>
    <xf numFmtId="38" fontId="290" fillId="0" borderId="0" applyFont="0" applyFill="0" applyBorder="0" applyAlignment="0" applyProtection="0"/>
    <xf numFmtId="0" fontId="290" fillId="0" borderId="0" applyFont="0" applyFill="0" applyBorder="0" applyAlignment="0" applyProtection="0"/>
    <xf numFmtId="0" fontId="290" fillId="0" borderId="0" applyFont="0" applyFill="0" applyBorder="0" applyAlignment="0" applyProtection="0"/>
    <xf numFmtId="9" fontId="291" fillId="0" borderId="0" applyBorder="0" applyAlignment="0" applyProtection="0"/>
    <xf numFmtId="0" fontId="292" fillId="0" borderId="0"/>
    <xf numFmtId="0" fontId="293" fillId="0" borderId="3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223" fillId="0" borderId="0" applyFont="0" applyFill="0" applyBorder="0" applyAlignment="0" applyProtection="0"/>
    <xf numFmtId="0" fontId="223" fillId="0" borderId="0" applyFont="0" applyFill="0" applyBorder="0" applyAlignment="0" applyProtection="0"/>
    <xf numFmtId="193" fontId="4" fillId="0" borderId="0" applyFont="0" applyFill="0" applyBorder="0" applyAlignment="0" applyProtection="0"/>
    <xf numFmtId="200" fontId="4" fillId="0" borderId="0" applyFont="0" applyFill="0" applyBorder="0" applyAlignment="0" applyProtection="0"/>
    <xf numFmtId="0" fontId="223" fillId="0" borderId="0"/>
    <xf numFmtId="0" fontId="294" fillId="0" borderId="0"/>
    <xf numFmtId="0" fontId="215" fillId="0" borderId="0"/>
    <xf numFmtId="191" fontId="226" fillId="0" borderId="0" applyFont="0" applyFill="0" applyBorder="0" applyAlignment="0" applyProtection="0"/>
    <xf numFmtId="192" fontId="226" fillId="0" borderId="0" applyFont="0" applyFill="0" applyBorder="0" applyAlignment="0" applyProtection="0"/>
    <xf numFmtId="310" fontId="123" fillId="0" borderId="0" applyFont="0" applyFill="0" applyBorder="0" applyAlignment="0" applyProtection="0"/>
    <xf numFmtId="287" fontId="123" fillId="0" borderId="0" applyFont="0" applyFill="0" applyBorder="0" applyAlignment="0" applyProtection="0"/>
    <xf numFmtId="0" fontId="4" fillId="0" borderId="0"/>
    <xf numFmtId="193" fontId="226" fillId="0" borderId="0" applyFont="0" applyFill="0" applyBorder="0" applyAlignment="0" applyProtection="0"/>
    <xf numFmtId="6" fontId="117" fillId="0" borderId="0" applyFont="0" applyFill="0" applyBorder="0" applyAlignment="0" applyProtection="0"/>
    <xf numFmtId="200" fontId="226" fillId="0" borderId="0" applyFont="0" applyFill="0" applyBorder="0" applyAlignment="0" applyProtection="0"/>
    <xf numFmtId="169" fontId="4" fillId="0" borderId="0" applyFont="0" applyFill="0" applyBorder="0" applyAlignment="0" applyProtection="0"/>
    <xf numFmtId="193" fontId="123" fillId="0" borderId="0" applyFont="0" applyFill="0" applyBorder="0" applyAlignment="0" applyProtection="0"/>
    <xf numFmtId="9" fontId="142" fillId="0" borderId="0" applyFont="0" applyFill="0" applyBorder="0" applyAlignment="0" applyProtection="0"/>
    <xf numFmtId="0" fontId="1" fillId="0" borderId="0"/>
    <xf numFmtId="0" fontId="8" fillId="0" borderId="0"/>
    <xf numFmtId="0" fontId="1" fillId="0" borderId="0"/>
  </cellStyleXfs>
  <cellXfs count="749">
    <xf numFmtId="0" fontId="0" fillId="0" borderId="0" xfId="0"/>
    <xf numFmtId="0" fontId="23" fillId="0" borderId="0" xfId="0" applyFont="1" applyAlignment="1">
      <alignment horizontal="center" vertical="center"/>
    </xf>
    <xf numFmtId="0" fontId="13" fillId="0" borderId="0" xfId="0" applyFont="1"/>
    <xf numFmtId="0" fontId="23" fillId="0" borderId="0" xfId="0" applyFont="1"/>
    <xf numFmtId="0" fontId="25" fillId="0" borderId="0" xfId="0" applyFont="1"/>
    <xf numFmtId="0" fontId="30" fillId="0" borderId="3" xfId="0" applyFont="1" applyFill="1" applyBorder="1" applyAlignment="1">
      <alignment vertical="center" wrapText="1"/>
    </xf>
    <xf numFmtId="0" fontId="23" fillId="0" borderId="4" xfId="0" applyFont="1" applyFill="1" applyBorder="1" applyAlignment="1">
      <alignment horizontal="left" vertical="center" wrapText="1"/>
    </xf>
    <xf numFmtId="0" fontId="30" fillId="3" borderId="3" xfId="0" applyFont="1" applyFill="1" applyBorder="1" applyAlignment="1">
      <alignment horizontal="left" vertical="center" wrapText="1"/>
    </xf>
    <xf numFmtId="0" fontId="25" fillId="0" borderId="0" xfId="0" applyFont="1" applyAlignment="1">
      <alignment horizontal="center"/>
    </xf>
    <xf numFmtId="0" fontId="25" fillId="0" borderId="0" xfId="0" applyFont="1" applyBorder="1"/>
    <xf numFmtId="0" fontId="28" fillId="0" borderId="10" xfId="0" applyFont="1" applyBorder="1" applyAlignment="1">
      <alignment horizontal="right"/>
    </xf>
    <xf numFmtId="167" fontId="25" fillId="0" borderId="0" xfId="3" applyNumberFormat="1" applyFont="1" applyBorder="1"/>
    <xf numFmtId="172" fontId="23" fillId="2" borderId="0" xfId="0" applyNumberFormat="1" applyFont="1" applyFill="1" applyBorder="1"/>
    <xf numFmtId="0" fontId="23" fillId="0" borderId="0" xfId="0" applyFont="1" applyBorder="1"/>
    <xf numFmtId="172" fontId="23" fillId="0" borderId="0" xfId="0" applyNumberFormat="1" applyFont="1" applyBorder="1"/>
    <xf numFmtId="173" fontId="23" fillId="0" borderId="0" xfId="0" applyNumberFormat="1" applyFont="1" applyBorder="1"/>
    <xf numFmtId="0" fontId="30" fillId="0" borderId="0" xfId="0" applyFont="1"/>
    <xf numFmtId="0" fontId="30" fillId="3" borderId="5" xfId="0" applyFont="1" applyFill="1" applyBorder="1"/>
    <xf numFmtId="0" fontId="30" fillId="3" borderId="5" xfId="0" applyFont="1" applyFill="1" applyBorder="1" applyAlignment="1">
      <alignment horizontal="center"/>
    </xf>
    <xf numFmtId="3" fontId="30" fillId="3" borderId="5" xfId="0" applyNumberFormat="1" applyFont="1" applyFill="1" applyBorder="1" applyAlignment="1">
      <alignment horizontal="center"/>
    </xf>
    <xf numFmtId="172" fontId="30" fillId="3" borderId="0" xfId="0" applyNumberFormat="1" applyFont="1" applyFill="1" applyBorder="1"/>
    <xf numFmtId="0" fontId="22" fillId="3" borderId="0" xfId="0" applyFont="1" applyFill="1" applyBorder="1"/>
    <xf numFmtId="0" fontId="22" fillId="3" borderId="0" xfId="0" applyFont="1" applyFill="1"/>
    <xf numFmtId="0" fontId="30" fillId="3" borderId="3" xfId="0" applyFont="1" applyFill="1" applyBorder="1" applyAlignment="1">
      <alignment horizontal="center" vertical="center"/>
    </xf>
    <xf numFmtId="0" fontId="30" fillId="3" borderId="3" xfId="0" applyFont="1" applyFill="1" applyBorder="1" applyAlignment="1">
      <alignment horizontal="center"/>
    </xf>
    <xf numFmtId="3" fontId="30" fillId="3" borderId="3" xfId="0" applyNumberFormat="1" applyFont="1" applyFill="1" applyBorder="1" applyAlignment="1">
      <alignment horizontal="center"/>
    </xf>
    <xf numFmtId="172" fontId="22" fillId="3" borderId="0" xfId="0" applyNumberFormat="1" applyFont="1" applyFill="1"/>
    <xf numFmtId="0" fontId="30" fillId="3" borderId="3" xfId="0" applyFont="1" applyFill="1" applyBorder="1"/>
    <xf numFmtId="172" fontId="21" fillId="3" borderId="0" xfId="0" applyNumberFormat="1" applyFont="1" applyFill="1" applyBorder="1"/>
    <xf numFmtId="175" fontId="21" fillId="3" borderId="0" xfId="0" applyNumberFormat="1" applyFont="1" applyFill="1" applyBorder="1"/>
    <xf numFmtId="0" fontId="21" fillId="3" borderId="0" xfId="0" applyFont="1" applyFill="1"/>
    <xf numFmtId="0" fontId="23" fillId="0" borderId="3" xfId="0" quotePrefix="1" applyFont="1" applyFill="1" applyBorder="1" applyAlignment="1">
      <alignment horizontal="center" vertical="center"/>
    </xf>
    <xf numFmtId="0" fontId="23" fillId="0" borderId="3" xfId="0" quotePrefix="1" applyFont="1" applyFill="1" applyBorder="1"/>
    <xf numFmtId="0" fontId="23" fillId="0" borderId="3" xfId="0" applyFont="1" applyFill="1" applyBorder="1" applyAlignment="1">
      <alignment horizontal="center"/>
    </xf>
    <xf numFmtId="172" fontId="21" fillId="0" borderId="0" xfId="0" applyNumberFormat="1" applyFont="1" applyFill="1" applyBorder="1"/>
    <xf numFmtId="175" fontId="21" fillId="0" borderId="0" xfId="0" applyNumberFormat="1" applyFont="1" applyFill="1" applyBorder="1"/>
    <xf numFmtId="0" fontId="22" fillId="0" borderId="0" xfId="0" applyFont="1" applyFill="1"/>
    <xf numFmtId="0" fontId="23" fillId="0" borderId="3" xfId="0" quotePrefix="1" applyFont="1" applyFill="1" applyBorder="1" applyAlignment="1">
      <alignment horizontal="left" vertical="center" wrapText="1"/>
    </xf>
    <xf numFmtId="0" fontId="22" fillId="0" borderId="0" xfId="0" applyFont="1" applyFill="1" applyBorder="1"/>
    <xf numFmtId="0" fontId="23" fillId="0" borderId="3" xfId="0" quotePrefix="1" applyFont="1" applyBorder="1" applyAlignment="1">
      <alignment horizontal="left" vertical="center" wrapText="1"/>
    </xf>
    <xf numFmtId="0" fontId="23" fillId="0" borderId="3" xfId="0" applyFont="1" applyBorder="1" applyAlignment="1">
      <alignment horizontal="center" vertical="center"/>
    </xf>
    <xf numFmtId="0" fontId="22" fillId="0" borderId="0" xfId="0" applyFont="1" applyBorder="1" applyAlignment="1">
      <alignment vertical="center"/>
    </xf>
    <xf numFmtId="0" fontId="22" fillId="0" borderId="0" xfId="0" applyFont="1" applyAlignment="1">
      <alignment vertical="center"/>
    </xf>
    <xf numFmtId="0" fontId="30" fillId="0" borderId="3" xfId="0" applyFont="1" applyFill="1" applyBorder="1" applyAlignment="1">
      <alignment horizontal="center" vertical="center"/>
    </xf>
    <xf numFmtId="0" fontId="30" fillId="0" borderId="3" xfId="0" applyFont="1" applyFill="1" applyBorder="1"/>
    <xf numFmtId="0" fontId="30" fillId="0" borderId="3" xfId="0" applyFont="1" applyFill="1" applyBorder="1" applyAlignment="1">
      <alignment horizontal="center"/>
    </xf>
    <xf numFmtId="0" fontId="21" fillId="0" borderId="0" xfId="0" applyFont="1" applyFill="1" applyBorder="1"/>
    <xf numFmtId="0" fontId="21" fillId="0" borderId="0" xfId="0" applyFont="1" applyFill="1"/>
    <xf numFmtId="0" fontId="23" fillId="0" borderId="3" xfId="0" applyFont="1" applyFill="1" applyBorder="1" applyAlignment="1">
      <alignment horizontal="center" vertical="center"/>
    </xf>
    <xf numFmtId="0" fontId="30" fillId="0" borderId="3" xfId="0" applyFont="1" applyBorder="1" applyAlignment="1">
      <alignment horizontal="center" vertical="center"/>
    </xf>
    <xf numFmtId="0" fontId="30" fillId="0" borderId="3" xfId="0" applyFont="1" applyBorder="1"/>
    <xf numFmtId="3" fontId="30" fillId="0" borderId="3" xfId="0" applyNumberFormat="1" applyFont="1" applyBorder="1" applyAlignment="1">
      <alignment horizontal="center"/>
    </xf>
    <xf numFmtId="172" fontId="21" fillId="0" borderId="0" xfId="0" applyNumberFormat="1" applyFont="1" applyBorder="1"/>
    <xf numFmtId="0" fontId="21" fillId="0" borderId="0" xfId="0" applyFont="1" applyBorder="1"/>
    <xf numFmtId="0" fontId="21" fillId="0" borderId="0" xfId="0" applyFont="1"/>
    <xf numFmtId="0" fontId="23" fillId="0" borderId="3" xfId="0" quotePrefix="1" applyFont="1" applyBorder="1"/>
    <xf numFmtId="0" fontId="23" fillId="0" borderId="3" xfId="0" applyFont="1" applyBorder="1" applyAlignment="1">
      <alignment horizontal="center"/>
    </xf>
    <xf numFmtId="0" fontId="22" fillId="0" borderId="0" xfId="0" applyFont="1" applyBorder="1"/>
    <xf numFmtId="0" fontId="22" fillId="0" borderId="0" xfId="0" applyFont="1"/>
    <xf numFmtId="0" fontId="30" fillId="0" borderId="3" xfId="0" applyFont="1" applyBorder="1" applyAlignment="1">
      <alignment horizontal="center"/>
    </xf>
    <xf numFmtId="167" fontId="30" fillId="3" borderId="3" xfId="3" applyNumberFormat="1" applyFont="1" applyFill="1" applyBorder="1" applyAlignment="1">
      <alignment horizontal="center"/>
    </xf>
    <xf numFmtId="0" fontId="21" fillId="3" borderId="0" xfId="0" applyFont="1" applyFill="1" applyBorder="1"/>
    <xf numFmtId="0" fontId="23" fillId="2" borderId="3" xfId="0" quotePrefix="1" applyFont="1" applyFill="1" applyBorder="1" applyAlignment="1">
      <alignment horizontal="left" vertical="center" wrapText="1"/>
    </xf>
    <xf numFmtId="172" fontId="23" fillId="0" borderId="0" xfId="17" applyNumberFormat="1" applyFont="1" applyBorder="1"/>
    <xf numFmtId="0" fontId="23" fillId="0" borderId="3" xfId="0" applyFont="1" applyBorder="1"/>
    <xf numFmtId="172" fontId="22" fillId="0" borderId="3" xfId="17" applyNumberFormat="1" applyFont="1" applyBorder="1" applyAlignment="1">
      <alignment horizontal="center"/>
    </xf>
    <xf numFmtId="0" fontId="30" fillId="3" borderId="3" xfId="0" applyFont="1" applyFill="1" applyBorder="1" applyAlignment="1">
      <alignment vertical="center"/>
    </xf>
    <xf numFmtId="172" fontId="21" fillId="3" borderId="3" xfId="0" applyNumberFormat="1" applyFont="1" applyFill="1" applyBorder="1" applyAlignment="1">
      <alignment horizontal="center" vertical="center"/>
    </xf>
    <xf numFmtId="0" fontId="30" fillId="3" borderId="0" xfId="0" applyFont="1" applyFill="1" applyBorder="1"/>
    <xf numFmtId="0" fontId="30" fillId="3" borderId="0" xfId="0" applyFont="1" applyFill="1"/>
    <xf numFmtId="0" fontId="30" fillId="0" borderId="3" xfId="0" applyFont="1" applyBorder="1" applyAlignment="1">
      <alignment horizontal="center" vertical="center" wrapText="1"/>
    </xf>
    <xf numFmtId="0" fontId="30" fillId="0" borderId="3" xfId="0" applyFont="1" applyBorder="1" applyAlignment="1">
      <alignment horizontal="left" vertical="center" wrapText="1"/>
    </xf>
    <xf numFmtId="172" fontId="23" fillId="0" borderId="3" xfId="17" applyNumberFormat="1" applyFont="1" applyBorder="1" applyAlignment="1">
      <alignment horizontal="center"/>
    </xf>
    <xf numFmtId="0" fontId="23" fillId="0" borderId="3" xfId="0" applyFont="1" applyBorder="1" applyAlignment="1">
      <alignment horizontal="center" vertical="center" wrapText="1"/>
    </xf>
    <xf numFmtId="0" fontId="23" fillId="0" borderId="3" xfId="0" applyFont="1" applyBorder="1" applyAlignment="1">
      <alignment horizontal="left" vertical="center" wrapText="1"/>
    </xf>
    <xf numFmtId="0" fontId="13" fillId="0" borderId="3" xfId="0" applyFont="1" applyBorder="1" applyAlignment="1">
      <alignment vertical="center"/>
    </xf>
    <xf numFmtId="0" fontId="30" fillId="3" borderId="3" xfId="0" applyFont="1" applyFill="1" applyBorder="1" applyAlignment="1">
      <alignment horizontal="center" vertical="center" wrapText="1"/>
    </xf>
    <xf numFmtId="172" fontId="30" fillId="3" borderId="3" xfId="17" applyNumberFormat="1" applyFont="1" applyFill="1" applyBorder="1" applyAlignment="1">
      <alignment horizontal="center"/>
    </xf>
    <xf numFmtId="0" fontId="25" fillId="0" borderId="3" xfId="0" applyFont="1" applyBorder="1" applyAlignment="1">
      <alignment horizontal="center"/>
    </xf>
    <xf numFmtId="172" fontId="25" fillId="0" borderId="0" xfId="0" applyNumberFormat="1" applyFont="1" applyBorder="1"/>
    <xf numFmtId="0" fontId="23" fillId="0" borderId="6" xfId="0" applyFont="1" applyBorder="1" applyAlignment="1">
      <alignment horizontal="left" vertical="center" wrapText="1"/>
    </xf>
    <xf numFmtId="0" fontId="25" fillId="0" borderId="6" xfId="0" applyFont="1" applyBorder="1" applyAlignment="1">
      <alignment vertical="center"/>
    </xf>
    <xf numFmtId="0" fontId="23" fillId="0" borderId="3" xfId="0" applyFont="1" applyFill="1" applyBorder="1" applyAlignment="1">
      <alignment horizontal="center" vertical="center" wrapText="1"/>
    </xf>
    <xf numFmtId="172" fontId="23" fillId="0" borderId="3" xfId="17" applyNumberFormat="1" applyFont="1" applyFill="1" applyBorder="1" applyAlignment="1">
      <alignment horizontal="center"/>
    </xf>
    <xf numFmtId="172" fontId="23" fillId="0" borderId="0" xfId="0" applyNumberFormat="1" applyFont="1" applyFill="1" applyBorder="1"/>
    <xf numFmtId="0" fontId="23" fillId="0" borderId="0" xfId="0" applyFont="1" applyFill="1" applyBorder="1"/>
    <xf numFmtId="0" fontId="23" fillId="0" borderId="0" xfId="0" applyFont="1" applyFill="1"/>
    <xf numFmtId="0" fontId="28" fillId="0" borderId="3" xfId="0" applyFont="1" applyBorder="1" applyAlignment="1">
      <alignment horizontal="center" vertical="center"/>
    </xf>
    <xf numFmtId="0" fontId="27" fillId="0" borderId="3" xfId="0" applyFont="1" applyBorder="1" applyAlignment="1">
      <alignment horizontal="left" vertical="center" wrapText="1"/>
    </xf>
    <xf numFmtId="0" fontId="28" fillId="0" borderId="3" xfId="0" applyFont="1" applyBorder="1" applyAlignment="1">
      <alignment horizontal="center"/>
    </xf>
    <xf numFmtId="0" fontId="28" fillId="0" borderId="0" xfId="0" applyFont="1" applyBorder="1"/>
    <xf numFmtId="0" fontId="28" fillId="0" borderId="0" xfId="0" applyFont="1"/>
    <xf numFmtId="0" fontId="25" fillId="0" borderId="3" xfId="0" applyFont="1" applyBorder="1" applyAlignment="1">
      <alignment horizontal="center" vertical="center"/>
    </xf>
    <xf numFmtId="0" fontId="25" fillId="0" borderId="6" xfId="0" applyFont="1" applyBorder="1" applyAlignment="1">
      <alignment horizontal="center" vertical="center"/>
    </xf>
    <xf numFmtId="0" fontId="25" fillId="0" borderId="6" xfId="0" applyFont="1" applyBorder="1" applyAlignment="1">
      <alignment horizontal="center"/>
    </xf>
    <xf numFmtId="43" fontId="22" fillId="0" borderId="3" xfId="3" applyFont="1" applyFill="1" applyBorder="1"/>
    <xf numFmtId="176" fontId="30" fillId="3" borderId="0" xfId="0" applyNumberFormat="1" applyFont="1" applyFill="1" applyBorder="1"/>
    <xf numFmtId="0" fontId="23" fillId="0" borderId="20" xfId="0" applyFont="1" applyBorder="1" applyAlignment="1">
      <alignment horizontal="left" vertical="center" wrapText="1"/>
    </xf>
    <xf numFmtId="0" fontId="33" fillId="0" borderId="2" xfId="0" applyFont="1" applyBorder="1" applyAlignment="1">
      <alignment vertical="center" wrapText="1"/>
    </xf>
    <xf numFmtId="43" fontId="21" fillId="3" borderId="3" xfId="3" applyFont="1" applyFill="1" applyBorder="1" applyAlignment="1">
      <alignment horizontal="center" vertical="center"/>
    </xf>
    <xf numFmtId="43" fontId="21" fillId="0" borderId="3" xfId="3" applyFont="1" applyBorder="1" applyAlignment="1">
      <alignment horizontal="center" vertical="center"/>
    </xf>
    <xf numFmtId="43" fontId="21" fillId="3" borderId="5" xfId="3" applyFont="1" applyFill="1" applyBorder="1" applyAlignment="1">
      <alignment horizontal="center" vertical="center"/>
    </xf>
    <xf numFmtId="43" fontId="21" fillId="3" borderId="5" xfId="3" applyFont="1" applyFill="1" applyBorder="1"/>
    <xf numFmtId="43" fontId="21" fillId="3" borderId="3" xfId="3" applyFont="1" applyFill="1" applyBorder="1"/>
    <xf numFmtId="43" fontId="21" fillId="3" borderId="3" xfId="3" applyFont="1" applyFill="1" applyBorder="1" applyAlignment="1">
      <alignment horizontal="center"/>
    </xf>
    <xf numFmtId="43" fontId="22" fillId="0" borderId="3" xfId="3" applyFont="1" applyFill="1" applyBorder="1" applyAlignment="1">
      <alignment horizontal="center" vertical="center"/>
    </xf>
    <xf numFmtId="43" fontId="22" fillId="0" borderId="3" xfId="3" applyFont="1" applyBorder="1" applyAlignment="1">
      <alignment horizontal="center" vertical="center"/>
    </xf>
    <xf numFmtId="43" fontId="22" fillId="0" borderId="3" xfId="3" applyFont="1" applyBorder="1" applyAlignment="1">
      <alignment vertical="center"/>
    </xf>
    <xf numFmtId="43" fontId="21" fillId="0" borderId="3" xfId="3" applyFont="1" applyFill="1" applyBorder="1" applyAlignment="1">
      <alignment horizontal="center" vertical="center"/>
    </xf>
    <xf numFmtId="43" fontId="21" fillId="0" borderId="3" xfId="3" applyFont="1" applyFill="1" applyBorder="1"/>
    <xf numFmtId="43" fontId="21" fillId="0" borderId="3" xfId="3" applyFont="1" applyBorder="1"/>
    <xf numFmtId="43" fontId="22" fillId="0" borderId="3" xfId="3" applyFont="1" applyBorder="1"/>
    <xf numFmtId="43" fontId="22" fillId="2" borderId="3" xfId="3" applyFont="1" applyFill="1" applyBorder="1" applyAlignment="1">
      <alignment horizontal="center" vertical="center"/>
    </xf>
    <xf numFmtId="43" fontId="21" fillId="2" borderId="3" xfId="3" applyFont="1" applyFill="1" applyBorder="1"/>
    <xf numFmtId="43" fontId="22" fillId="3" borderId="3" xfId="3" applyFont="1" applyFill="1" applyBorder="1" applyAlignment="1">
      <alignment horizontal="center" vertical="center"/>
    </xf>
    <xf numFmtId="43" fontId="22" fillId="3" borderId="3" xfId="3" applyFont="1" applyFill="1" applyBorder="1" applyAlignment="1">
      <alignment horizontal="center" vertical="center" wrapText="1"/>
    </xf>
    <xf numFmtId="43" fontId="22" fillId="0" borderId="3" xfId="3" applyFont="1" applyBorder="1" applyAlignment="1">
      <alignment horizontal="center" vertical="center" wrapText="1"/>
    </xf>
    <xf numFmtId="43" fontId="22" fillId="0" borderId="20" xfId="3" applyFont="1" applyBorder="1"/>
    <xf numFmtId="43" fontId="21" fillId="0" borderId="2" xfId="3" applyFont="1" applyBorder="1" applyAlignment="1">
      <alignment vertical="center"/>
    </xf>
    <xf numFmtId="43" fontId="22" fillId="0" borderId="3" xfId="3" applyFont="1" applyBorder="1" applyAlignment="1">
      <alignment horizontal="center"/>
    </xf>
    <xf numFmtId="43" fontId="22" fillId="3" borderId="6" xfId="3" applyFont="1" applyFill="1" applyBorder="1" applyAlignment="1">
      <alignment horizontal="center" vertical="center"/>
    </xf>
    <xf numFmtId="43" fontId="22" fillId="0" borderId="6" xfId="3" applyFont="1" applyBorder="1" applyAlignment="1">
      <alignment vertical="center"/>
    </xf>
    <xf numFmtId="43" fontId="22" fillId="0" borderId="6" xfId="3" applyFont="1" applyBorder="1"/>
    <xf numFmtId="43" fontId="22" fillId="0" borderId="3" xfId="3" applyFont="1" applyFill="1" applyBorder="1" applyAlignment="1">
      <alignment horizontal="center"/>
    </xf>
    <xf numFmtId="43" fontId="26" fillId="0" borderId="3" xfId="3" applyFont="1" applyBorder="1" applyAlignment="1">
      <alignment horizontal="center"/>
    </xf>
    <xf numFmtId="43" fontId="22" fillId="0" borderId="6" xfId="3" applyFont="1" applyBorder="1" applyAlignment="1">
      <alignment horizontal="center" vertical="center"/>
    </xf>
    <xf numFmtId="43" fontId="22" fillId="0" borderId="6" xfId="3" applyFont="1" applyBorder="1" applyAlignment="1">
      <alignment horizontal="center"/>
    </xf>
    <xf numFmtId="43" fontId="22" fillId="0" borderId="13" xfId="3" applyFont="1" applyFill="1" applyBorder="1"/>
    <xf numFmtId="0" fontId="23" fillId="3" borderId="13" xfId="0" applyFont="1" applyFill="1" applyBorder="1" applyAlignment="1">
      <alignment wrapText="1"/>
    </xf>
    <xf numFmtId="0" fontId="23" fillId="3" borderId="5" xfId="0" applyFont="1" applyFill="1" applyBorder="1" applyAlignment="1">
      <alignment wrapText="1"/>
    </xf>
    <xf numFmtId="43" fontId="22" fillId="3" borderId="3" xfId="3" applyFont="1" applyFill="1" applyBorder="1" applyAlignment="1">
      <alignment vertical="center"/>
    </xf>
    <xf numFmtId="0" fontId="35" fillId="0" borderId="0" xfId="0" applyFont="1" applyAlignment="1">
      <alignment horizontal="right" vertical="center" wrapText="1"/>
    </xf>
    <xf numFmtId="0" fontId="36" fillId="3" borderId="0" xfId="0" applyFont="1" applyFill="1" applyAlignment="1">
      <alignment horizontal="center"/>
    </xf>
    <xf numFmtId="0" fontId="5" fillId="3" borderId="0" xfId="1" applyFont="1" applyFill="1"/>
    <xf numFmtId="0" fontId="8" fillId="0" borderId="0" xfId="0" applyFont="1" applyAlignment="1">
      <alignment horizontal="center"/>
    </xf>
    <xf numFmtId="0" fontId="37" fillId="0" borderId="0" xfId="3" applyNumberFormat="1" applyFont="1" applyAlignment="1">
      <alignment horizontal="center"/>
    </xf>
    <xf numFmtId="0" fontId="4" fillId="0" borderId="0" xfId="1"/>
    <xf numFmtId="0" fontId="38" fillId="0" borderId="0" xfId="2" applyFont="1" applyFill="1" applyAlignment="1">
      <alignment horizontal="center"/>
    </xf>
    <xf numFmtId="0" fontId="39" fillId="0" borderId="0" xfId="2" applyFont="1" applyFill="1"/>
    <xf numFmtId="0" fontId="40" fillId="0" borderId="0" xfId="1" applyFont="1" applyFill="1"/>
    <xf numFmtId="167" fontId="44" fillId="3" borderId="3" xfId="3" applyNumberFormat="1" applyFont="1" applyFill="1" applyBorder="1" applyAlignment="1">
      <alignment horizontal="center" vertical="center" wrapText="1"/>
    </xf>
    <xf numFmtId="0" fontId="52" fillId="0" borderId="0" xfId="0" applyFont="1" applyBorder="1" applyAlignment="1">
      <alignment horizontal="right" vertical="center" wrapText="1"/>
    </xf>
    <xf numFmtId="0" fontId="53" fillId="0" borderId="0" xfId="0" applyFont="1" applyAlignment="1">
      <alignment horizontal="right" vertical="center" wrapText="1"/>
    </xf>
    <xf numFmtId="0" fontId="53" fillId="0" borderId="0" xfId="0" applyFont="1" applyAlignment="1">
      <alignment horizontal="center" vertical="center" wrapText="1"/>
    </xf>
    <xf numFmtId="0" fontId="54" fillId="0" borderId="0" xfId="2" applyFont="1" applyFill="1" applyAlignment="1">
      <alignment horizontal="center"/>
    </xf>
    <xf numFmtId="0" fontId="54" fillId="0" borderId="0" xfId="1" applyFont="1" applyFill="1" applyAlignment="1">
      <alignment horizontal="center"/>
    </xf>
    <xf numFmtId="0" fontId="5" fillId="2" borderId="0" xfId="1" applyFont="1" applyFill="1"/>
    <xf numFmtId="0" fontId="55" fillId="2" borderId="0" xfId="0" applyFont="1" applyFill="1" applyAlignment="1">
      <alignment horizontal="center"/>
    </xf>
    <xf numFmtId="0" fontId="56" fillId="0" borderId="0" xfId="0" applyFont="1" applyAlignment="1">
      <alignment horizontal="center"/>
    </xf>
    <xf numFmtId="0" fontId="51" fillId="0" borderId="0" xfId="0" applyFont="1" applyAlignment="1">
      <alignment horizontal="center"/>
    </xf>
    <xf numFmtId="0" fontId="0" fillId="0" borderId="0" xfId="0" applyAlignment="1">
      <alignment horizontal="center"/>
    </xf>
    <xf numFmtId="0" fontId="51" fillId="0" borderId="0" xfId="0" applyFont="1"/>
    <xf numFmtId="0" fontId="0" fillId="2" borderId="0" xfId="0" applyFill="1"/>
    <xf numFmtId="177" fontId="0" fillId="2" borderId="0" xfId="0" applyNumberFormat="1" applyFill="1"/>
    <xf numFmtId="166" fontId="0" fillId="2" borderId="0" xfId="0" applyNumberFormat="1" applyFill="1"/>
    <xf numFmtId="167" fontId="0" fillId="2" borderId="0" xfId="0" applyNumberFormat="1" applyFill="1"/>
    <xf numFmtId="10" fontId="0" fillId="2" borderId="0" xfId="10" applyNumberFormat="1" applyFont="1" applyFill="1"/>
    <xf numFmtId="43" fontId="57" fillId="2" borderId="0" xfId="3" applyFont="1" applyFill="1"/>
    <xf numFmtId="166" fontId="41" fillId="0" borderId="10" xfId="0" applyNumberFormat="1" applyFont="1" applyBorder="1" applyAlignment="1">
      <alignment horizontal="right" vertical="center"/>
    </xf>
    <xf numFmtId="10" fontId="41" fillId="0" borderId="0" xfId="10" applyNumberFormat="1" applyFont="1" applyBorder="1" applyAlignment="1">
      <alignment horizontal="right" vertical="center"/>
    </xf>
    <xf numFmtId="0" fontId="41" fillId="0" borderId="0" xfId="0" applyFont="1" applyBorder="1" applyAlignment="1">
      <alignment horizontal="right" vertical="center"/>
    </xf>
    <xf numFmtId="0" fontId="0" fillId="2" borderId="0" xfId="0" applyFont="1" applyFill="1"/>
    <xf numFmtId="0" fontId="46" fillId="2" borderId="15" xfId="0" applyFont="1" applyFill="1" applyBorder="1" applyAlignment="1">
      <alignment horizontal="center" vertical="center" wrapText="1"/>
    </xf>
    <xf numFmtId="0" fontId="46" fillId="2" borderId="8" xfId="0" applyFont="1" applyFill="1" applyBorder="1" applyAlignment="1">
      <alignment horizontal="center" vertical="center" wrapText="1"/>
    </xf>
    <xf numFmtId="0" fontId="59" fillId="2" borderId="1" xfId="0" applyFont="1" applyFill="1" applyBorder="1" applyAlignment="1">
      <alignment horizontal="center" vertical="center" wrapText="1"/>
    </xf>
    <xf numFmtId="0" fontId="46" fillId="2" borderId="1" xfId="0" applyFont="1" applyFill="1" applyBorder="1" applyAlignment="1">
      <alignment horizontal="center" vertical="center" wrapText="1"/>
    </xf>
    <xf numFmtId="0" fontId="46" fillId="2" borderId="5" xfId="0" applyFont="1" applyFill="1" applyBorder="1" applyAlignment="1">
      <alignment horizontal="center" vertical="center" wrapText="1"/>
    </xf>
    <xf numFmtId="0" fontId="44" fillId="2" borderId="5" xfId="0" applyFont="1" applyFill="1" applyBorder="1" applyAlignment="1">
      <alignment vertical="center" wrapText="1"/>
    </xf>
    <xf numFmtId="166" fontId="42" fillId="2" borderId="5" xfId="3" applyNumberFormat="1" applyFont="1" applyFill="1" applyBorder="1" applyAlignment="1">
      <alignment horizontal="center" vertical="center" wrapText="1"/>
    </xf>
    <xf numFmtId="166" fontId="61" fillId="2" borderId="5" xfId="3" applyNumberFormat="1" applyFont="1" applyFill="1" applyBorder="1" applyAlignment="1">
      <alignment horizontal="center" vertical="center" wrapText="1"/>
    </xf>
    <xf numFmtId="49" fontId="44" fillId="2" borderId="3" xfId="5" applyNumberFormat="1" applyFont="1" applyFill="1" applyBorder="1" applyAlignment="1">
      <alignment horizontal="center" vertical="center" wrapText="1"/>
    </xf>
    <xf numFmtId="181" fontId="44" fillId="2" borderId="3" xfId="5" applyNumberFormat="1" applyFont="1" applyFill="1" applyBorder="1" applyAlignment="1">
      <alignment horizontal="left" vertical="center" wrapText="1"/>
    </xf>
    <xf numFmtId="166" fontId="42" fillId="2" borderId="3" xfId="3" applyNumberFormat="1" applyFont="1" applyFill="1" applyBorder="1" applyAlignment="1">
      <alignment horizontal="center" vertical="center" wrapText="1"/>
    </xf>
    <xf numFmtId="0" fontId="62" fillId="2" borderId="0" xfId="0" applyFont="1" applyFill="1"/>
    <xf numFmtId="49" fontId="44" fillId="2" borderId="3" xfId="5" quotePrefix="1" applyNumberFormat="1" applyFont="1" applyFill="1" applyBorder="1" applyAlignment="1">
      <alignment horizontal="center" vertical="center" wrapText="1"/>
    </xf>
    <xf numFmtId="181" fontId="44" fillId="2" borderId="3" xfId="5" applyNumberFormat="1" applyFont="1" applyFill="1" applyBorder="1" applyAlignment="1">
      <alignment vertical="center" wrapText="1"/>
    </xf>
    <xf numFmtId="166" fontId="62" fillId="2" borderId="0" xfId="0" applyNumberFormat="1" applyFont="1" applyFill="1"/>
    <xf numFmtId="49" fontId="46" fillId="2" borderId="3" xfId="5" quotePrefix="1" applyNumberFormat="1" applyFont="1" applyFill="1" applyBorder="1" applyAlignment="1">
      <alignment horizontal="center" vertical="center" wrapText="1"/>
    </xf>
    <xf numFmtId="181" fontId="46" fillId="2" borderId="3" xfId="5" applyNumberFormat="1" applyFont="1" applyFill="1" applyBorder="1" applyAlignment="1">
      <alignment vertical="center" wrapText="1"/>
    </xf>
    <xf numFmtId="166" fontId="43" fillId="2" borderId="3" xfId="3" applyNumberFormat="1" applyFont="1" applyFill="1" applyBorder="1" applyAlignment="1">
      <alignment horizontal="center" vertical="center" wrapText="1"/>
    </xf>
    <xf numFmtId="43" fontId="43" fillId="2" borderId="3" xfId="3" applyFont="1" applyFill="1" applyBorder="1" applyAlignment="1">
      <alignment horizontal="center" vertical="center" wrapText="1"/>
    </xf>
    <xf numFmtId="49" fontId="47" fillId="2" borderId="3" xfId="5" quotePrefix="1" applyNumberFormat="1" applyFont="1" applyFill="1" applyBorder="1" applyAlignment="1">
      <alignment horizontal="center" vertical="center" wrapText="1"/>
    </xf>
    <xf numFmtId="181" fontId="47" fillId="2" borderId="3" xfId="5" applyNumberFormat="1" applyFont="1" applyFill="1" applyBorder="1" applyAlignment="1">
      <alignment vertical="center" wrapText="1"/>
    </xf>
    <xf numFmtId="43" fontId="42" fillId="2" borderId="3" xfId="3" applyFont="1" applyFill="1" applyBorder="1" applyAlignment="1">
      <alignment horizontal="center" vertical="center" wrapText="1"/>
    </xf>
    <xf numFmtId="166" fontId="43" fillId="3" borderId="3" xfId="3" applyNumberFormat="1" applyFont="1" applyFill="1" applyBorder="1" applyAlignment="1">
      <alignment horizontal="center" vertical="center" wrapText="1"/>
    </xf>
    <xf numFmtId="43" fontId="43" fillId="3" borderId="3" xfId="3" applyFont="1" applyFill="1" applyBorder="1"/>
    <xf numFmtId="166" fontId="61" fillId="2" borderId="3" xfId="3" applyNumberFormat="1" applyFont="1" applyFill="1" applyBorder="1" applyAlignment="1">
      <alignment horizontal="center" vertical="center" wrapText="1"/>
    </xf>
    <xf numFmtId="166" fontId="63" fillId="2" borderId="3" xfId="3" applyNumberFormat="1" applyFont="1" applyFill="1" applyBorder="1" applyAlignment="1">
      <alignment horizontal="center" vertical="center" wrapText="1"/>
    </xf>
    <xf numFmtId="167" fontId="43" fillId="3" borderId="3" xfId="3" applyNumberFormat="1" applyFont="1" applyFill="1" applyBorder="1"/>
    <xf numFmtId="166" fontId="61" fillId="4" borderId="3" xfId="3" applyNumberFormat="1" applyFont="1" applyFill="1" applyBorder="1" applyAlignment="1">
      <alignment horizontal="center" vertical="center" wrapText="1"/>
    </xf>
    <xf numFmtId="166" fontId="42" fillId="4" borderId="3" xfId="3" applyNumberFormat="1" applyFont="1" applyFill="1" applyBorder="1" applyAlignment="1">
      <alignment horizontal="center" vertical="center" wrapText="1"/>
    </xf>
    <xf numFmtId="49" fontId="46" fillId="2" borderId="3" xfId="5" applyNumberFormat="1" applyFont="1" applyFill="1" applyBorder="1" applyAlignment="1">
      <alignment horizontal="center" vertical="center" wrapText="1"/>
    </xf>
    <xf numFmtId="166" fontId="0" fillId="2" borderId="0" xfId="0" applyNumberFormat="1" applyFont="1" applyFill="1"/>
    <xf numFmtId="43" fontId="0" fillId="2" borderId="0" xfId="0" applyNumberFormat="1" applyFont="1" applyFill="1"/>
    <xf numFmtId="0" fontId="44" fillId="2" borderId="3" xfId="0" quotePrefix="1" applyFont="1" applyFill="1" applyBorder="1" applyAlignment="1">
      <alignment horizontal="center" vertical="center" wrapText="1"/>
    </xf>
    <xf numFmtId="0" fontId="44" fillId="2" borderId="3" xfId="0" applyFont="1" applyFill="1" applyBorder="1" applyAlignment="1">
      <alignment vertical="center" wrapText="1"/>
    </xf>
    <xf numFmtId="0" fontId="46" fillId="2" borderId="3" xfId="0" applyFont="1" applyFill="1" applyBorder="1" applyAlignment="1">
      <alignment horizontal="center" vertical="center" wrapText="1"/>
    </xf>
    <xf numFmtId="0" fontId="47" fillId="2" borderId="3" xfId="0" applyFont="1" applyFill="1" applyBorder="1" applyAlignment="1">
      <alignment vertical="center" wrapText="1"/>
    </xf>
    <xf numFmtId="0" fontId="44" fillId="2" borderId="3" xfId="0" applyFont="1" applyFill="1" applyBorder="1" applyAlignment="1">
      <alignment horizontal="left" wrapText="1"/>
    </xf>
    <xf numFmtId="181" fontId="46" fillId="2" borderId="3" xfId="5" applyNumberFormat="1" applyFont="1" applyFill="1" applyBorder="1" applyAlignment="1">
      <alignment horizontal="left" vertical="center" wrapText="1"/>
    </xf>
    <xf numFmtId="49" fontId="46" fillId="2" borderId="22" xfId="5" quotePrefix="1" applyNumberFormat="1" applyFont="1" applyFill="1" applyBorder="1" applyAlignment="1">
      <alignment horizontal="center" vertical="center" wrapText="1"/>
    </xf>
    <xf numFmtId="181" fontId="46" fillId="2" borderId="22" xfId="5" applyNumberFormat="1" applyFont="1" applyFill="1" applyBorder="1" applyAlignment="1">
      <alignment horizontal="left" vertical="center" wrapText="1"/>
    </xf>
    <xf numFmtId="166" fontId="43" fillId="2" borderId="22" xfId="3" applyNumberFormat="1" applyFont="1" applyFill="1" applyBorder="1" applyAlignment="1">
      <alignment horizontal="center" vertical="center" wrapText="1"/>
    </xf>
    <xf numFmtId="43" fontId="43" fillId="2" borderId="22" xfId="3" applyFont="1" applyFill="1" applyBorder="1" applyAlignment="1">
      <alignment horizontal="center" vertical="center" wrapText="1"/>
    </xf>
    <xf numFmtId="0" fontId="64" fillId="2" borderId="2" xfId="0" quotePrefix="1" applyFont="1" applyFill="1" applyBorder="1" applyAlignment="1">
      <alignment horizontal="center" vertical="center" wrapText="1"/>
    </xf>
    <xf numFmtId="0" fontId="64" fillId="2" borderId="2" xfId="0" applyFont="1" applyFill="1" applyBorder="1" applyAlignment="1">
      <alignment vertical="center" wrapText="1"/>
    </xf>
    <xf numFmtId="167" fontId="64" fillId="2" borderId="2" xfId="3" applyNumberFormat="1" applyFont="1" applyFill="1" applyBorder="1" applyAlignment="1">
      <alignment horizontal="center" vertical="center" wrapText="1"/>
    </xf>
    <xf numFmtId="0" fontId="64" fillId="2" borderId="3" xfId="0" quotePrefix="1" applyFont="1" applyFill="1" applyBorder="1" applyAlignment="1">
      <alignment horizontal="center" vertical="center" wrapText="1"/>
    </xf>
    <xf numFmtId="0" fontId="64" fillId="2" borderId="3" xfId="0" applyFont="1" applyFill="1" applyBorder="1" applyAlignment="1">
      <alignment vertical="center" wrapText="1"/>
    </xf>
    <xf numFmtId="167" fontId="64" fillId="2" borderId="3" xfId="3" applyNumberFormat="1" applyFont="1" applyFill="1" applyBorder="1" applyAlignment="1">
      <alignment horizontal="center" vertical="center" wrapText="1"/>
    </xf>
    <xf numFmtId="0" fontId="64" fillId="2" borderId="22" xfId="0" applyFont="1" applyFill="1" applyBorder="1" applyAlignment="1">
      <alignment horizontal="center"/>
    </xf>
    <xf numFmtId="0" fontId="64" fillId="2" borderId="22" xfId="0" applyFont="1" applyFill="1" applyBorder="1" applyAlignment="1">
      <alignment vertical="center" wrapText="1"/>
    </xf>
    <xf numFmtId="0" fontId="65" fillId="2" borderId="22" xfId="0" applyFont="1" applyFill="1" applyBorder="1"/>
    <xf numFmtId="0" fontId="65" fillId="2" borderId="7" xfId="0" applyFont="1" applyFill="1" applyBorder="1"/>
    <xf numFmtId="0" fontId="66" fillId="2" borderId="0" xfId="0" applyFont="1" applyFill="1" applyAlignment="1">
      <alignment horizontal="center" vertical="center" wrapText="1"/>
    </xf>
    <xf numFmtId="0" fontId="34" fillId="2" borderId="0" xfId="0" applyFont="1" applyFill="1" applyAlignment="1">
      <alignment horizontal="center" vertical="center" wrapText="1"/>
    </xf>
    <xf numFmtId="179" fontId="0" fillId="2" borderId="0" xfId="0" applyNumberFormat="1" applyFill="1"/>
    <xf numFmtId="0" fontId="67" fillId="3" borderId="0" xfId="0" applyFont="1" applyFill="1" applyAlignment="1">
      <alignment horizontal="center"/>
    </xf>
    <xf numFmtId="0" fontId="68" fillId="0" borderId="0" xfId="0" applyFont="1" applyBorder="1" applyAlignment="1">
      <alignment horizontal="center" vertical="center"/>
    </xf>
    <xf numFmtId="0" fontId="58" fillId="0" borderId="10" xfId="0" applyFont="1" applyBorder="1" applyAlignment="1">
      <alignment horizontal="right"/>
    </xf>
    <xf numFmtId="0" fontId="69" fillId="0" borderId="0" xfId="0" applyFont="1"/>
    <xf numFmtId="0" fontId="70" fillId="3" borderId="1" xfId="0" applyFont="1" applyFill="1" applyBorder="1" applyAlignment="1">
      <alignment horizontal="center" vertical="center" wrapText="1"/>
    </xf>
    <xf numFmtId="0" fontId="72" fillId="0" borderId="1" xfId="0" applyFont="1" applyBorder="1" applyAlignment="1">
      <alignment horizontal="center" vertical="center" wrapText="1"/>
    </xf>
    <xf numFmtId="0" fontId="10" fillId="0" borderId="0" xfId="0" applyFont="1"/>
    <xf numFmtId="0" fontId="73" fillId="0" borderId="5" xfId="0" applyFont="1" applyBorder="1" applyAlignment="1">
      <alignment horizontal="center" vertical="center" wrapText="1"/>
    </xf>
    <xf numFmtId="0" fontId="73" fillId="0" borderId="5" xfId="0" applyFont="1" applyBorder="1" applyAlignment="1">
      <alignment vertical="center" wrapText="1"/>
    </xf>
    <xf numFmtId="167" fontId="74" fillId="0" borderId="5" xfId="3" applyNumberFormat="1" applyFont="1" applyBorder="1" applyAlignment="1">
      <alignment horizontal="center" vertical="center" wrapText="1"/>
    </xf>
    <xf numFmtId="167" fontId="10" fillId="0" borderId="0" xfId="0" applyNumberFormat="1" applyFont="1"/>
    <xf numFmtId="0" fontId="72" fillId="0" borderId="3" xfId="0" applyFont="1" applyBorder="1" applyAlignment="1">
      <alignment horizontal="center" vertical="center" wrapText="1"/>
    </xf>
    <xf numFmtId="0" fontId="72" fillId="0" borderId="3" xfId="0" applyFont="1" applyBorder="1" applyAlignment="1">
      <alignment vertical="center" wrapText="1"/>
    </xf>
    <xf numFmtId="167" fontId="75" fillId="0" borderId="3" xfId="3" applyNumberFormat="1" applyFont="1" applyFill="1" applyBorder="1" applyAlignment="1">
      <alignment horizontal="center" vertical="center" wrapText="1"/>
    </xf>
    <xf numFmtId="167" fontId="75" fillId="0" borderId="3" xfId="3" applyNumberFormat="1" applyFont="1" applyBorder="1" applyAlignment="1">
      <alignment horizontal="center" vertical="center" wrapText="1"/>
    </xf>
    <xf numFmtId="0" fontId="72" fillId="0" borderId="3" xfId="0" quotePrefix="1" applyFont="1" applyBorder="1" applyAlignment="1">
      <alignment horizontal="center" vertical="center" wrapText="1"/>
    </xf>
    <xf numFmtId="167" fontId="76" fillId="0" borderId="3" xfId="3" applyNumberFormat="1" applyFont="1" applyBorder="1" applyAlignment="1">
      <alignment horizontal="center" vertical="center" wrapText="1"/>
    </xf>
    <xf numFmtId="167" fontId="12" fillId="0" borderId="3" xfId="3" applyNumberFormat="1" applyFont="1" applyBorder="1"/>
    <xf numFmtId="0" fontId="73" fillId="0" borderId="3" xfId="0" applyFont="1" applyBorder="1" applyAlignment="1">
      <alignment horizontal="center" vertical="center" wrapText="1"/>
    </xf>
    <xf numFmtId="0" fontId="73" fillId="0" borderId="3" xfId="0" applyFont="1" applyBorder="1" applyAlignment="1">
      <alignment vertical="center" wrapText="1"/>
    </xf>
    <xf numFmtId="167" fontId="74" fillId="0" borderId="3" xfId="3" applyNumberFormat="1" applyFont="1" applyBorder="1" applyAlignment="1">
      <alignment horizontal="center" vertical="center" wrapText="1"/>
    </xf>
    <xf numFmtId="43" fontId="77" fillId="0" borderId="4" xfId="3" applyFont="1" applyBorder="1" applyAlignment="1">
      <alignment horizontal="center" vertical="center" wrapText="1"/>
    </xf>
    <xf numFmtId="167" fontId="63" fillId="0" borderId="3" xfId="3" applyNumberFormat="1" applyFont="1" applyBorder="1" applyAlignment="1">
      <alignment horizontal="center" vertical="center" wrapText="1"/>
    </xf>
    <xf numFmtId="167" fontId="0" fillId="0" borderId="0" xfId="0" applyNumberFormat="1"/>
    <xf numFmtId="167" fontId="61" fillId="0" borderId="3" xfId="3" applyNumberFormat="1" applyFont="1" applyFill="1" applyBorder="1" applyAlignment="1">
      <alignment horizontal="center" vertical="center" wrapText="1"/>
    </xf>
    <xf numFmtId="167" fontId="63" fillId="3" borderId="3" xfId="3" applyNumberFormat="1" applyFont="1" applyFill="1" applyBorder="1" applyAlignment="1">
      <alignment horizontal="center" vertical="center" wrapText="1"/>
    </xf>
    <xf numFmtId="43" fontId="78" fillId="3" borderId="3" xfId="3" applyFont="1" applyFill="1" applyBorder="1" applyAlignment="1">
      <alignment horizontal="center" vertical="center" wrapText="1"/>
    </xf>
    <xf numFmtId="167" fontId="11" fillId="0" borderId="3" xfId="3" applyNumberFormat="1" applyFont="1" applyBorder="1"/>
    <xf numFmtId="167" fontId="74" fillId="0" borderId="3" xfId="3" applyNumberFormat="1" applyFont="1" applyFill="1" applyBorder="1" applyAlignment="1">
      <alignment horizontal="center" vertical="center" wrapText="1"/>
    </xf>
    <xf numFmtId="43" fontId="79" fillId="0" borderId="3" xfId="3" applyFont="1" applyBorder="1"/>
    <xf numFmtId="167" fontId="80" fillId="0" borderId="3" xfId="3" applyNumberFormat="1" applyFont="1" applyFill="1" applyBorder="1" applyAlignment="1">
      <alignment horizontal="center" vertical="center" wrapText="1"/>
    </xf>
    <xf numFmtId="166" fontId="79" fillId="0" borderId="3" xfId="3" applyNumberFormat="1" applyFont="1" applyBorder="1"/>
    <xf numFmtId="167" fontId="80" fillId="0" borderId="3" xfId="3" applyNumberFormat="1" applyFont="1" applyBorder="1" applyAlignment="1">
      <alignment horizontal="center" vertical="center" wrapText="1"/>
    </xf>
    <xf numFmtId="43" fontId="63" fillId="0" borderId="3" xfId="3" applyFont="1" applyBorder="1" applyAlignment="1">
      <alignment horizontal="center" vertical="center" wrapText="1"/>
    </xf>
    <xf numFmtId="166" fontId="75" fillId="0" borderId="3" xfId="3" applyNumberFormat="1" applyFont="1" applyBorder="1" applyAlignment="1">
      <alignment horizontal="center" vertical="center" wrapText="1"/>
    </xf>
    <xf numFmtId="166" fontId="0" fillId="0" borderId="0" xfId="0" applyNumberFormat="1"/>
    <xf numFmtId="43" fontId="76" fillId="0" borderId="3" xfId="3" applyFont="1" applyBorder="1" applyAlignment="1">
      <alignment horizontal="center" vertical="center" wrapText="1"/>
    </xf>
    <xf numFmtId="167" fontId="12" fillId="0" borderId="3" xfId="3" quotePrefix="1" applyNumberFormat="1" applyFont="1" applyBorder="1"/>
    <xf numFmtId="167" fontId="21" fillId="0" borderId="3" xfId="3" quotePrefix="1" applyNumberFormat="1" applyFont="1" applyBorder="1"/>
    <xf numFmtId="169" fontId="74" fillId="0" borderId="3" xfId="3" applyNumberFormat="1" applyFont="1" applyBorder="1" applyAlignment="1">
      <alignment horizontal="center" vertical="center" wrapText="1"/>
    </xf>
    <xf numFmtId="167" fontId="81" fillId="3" borderId="3" xfId="3" applyNumberFormat="1" applyFont="1" applyFill="1" applyBorder="1" applyAlignment="1">
      <alignment horizontal="center" vertical="center" wrapText="1"/>
    </xf>
    <xf numFmtId="167" fontId="43" fillId="3" borderId="3" xfId="3" applyNumberFormat="1" applyFont="1" applyFill="1" applyBorder="1" applyAlignment="1">
      <alignment horizontal="center" vertical="center" wrapText="1"/>
    </xf>
    <xf numFmtId="43" fontId="63" fillId="0" borderId="24" xfId="3" applyFont="1" applyBorder="1" applyAlignment="1">
      <alignment horizontal="center" vertical="center" wrapText="1"/>
    </xf>
    <xf numFmtId="167" fontId="42" fillId="0" borderId="3" xfId="3" applyNumberFormat="1" applyFont="1" applyBorder="1" applyAlignment="1">
      <alignment horizontal="center" vertical="center" wrapText="1"/>
    </xf>
    <xf numFmtId="0" fontId="73" fillId="0" borderId="22" xfId="0" applyFont="1" applyBorder="1" applyAlignment="1">
      <alignment horizontal="center" vertical="center" wrapText="1"/>
    </xf>
    <xf numFmtId="0" fontId="73" fillId="0" borderId="22" xfId="0" applyFont="1" applyBorder="1" applyAlignment="1">
      <alignment vertical="center" wrapText="1"/>
    </xf>
    <xf numFmtId="167" fontId="74" fillId="0" borderId="22" xfId="3" applyNumberFormat="1" applyFont="1" applyBorder="1" applyAlignment="1">
      <alignment horizontal="center" vertical="center" wrapText="1"/>
    </xf>
    <xf numFmtId="0" fontId="12" fillId="0" borderId="22" xfId="0" applyFont="1" applyBorder="1"/>
    <xf numFmtId="43" fontId="0" fillId="0" borderId="0" xfId="3" applyFont="1"/>
    <xf numFmtId="165" fontId="0" fillId="0" borderId="0" xfId="0" applyNumberFormat="1"/>
    <xf numFmtId="0" fontId="84" fillId="0" borderId="0" xfId="0" applyFont="1"/>
    <xf numFmtId="0" fontId="85" fillId="3" borderId="0" xfId="0" applyFont="1" applyFill="1" applyAlignment="1">
      <alignment horizontal="center"/>
    </xf>
    <xf numFmtId="0" fontId="84" fillId="0" borderId="0" xfId="0" applyFont="1" applyAlignment="1">
      <alignment horizontal="center"/>
    </xf>
    <xf numFmtId="0" fontId="0" fillId="3" borderId="0" xfId="0" applyFill="1"/>
    <xf numFmtId="0" fontId="0" fillId="3" borderId="0" xfId="0" applyFont="1" applyFill="1"/>
    <xf numFmtId="0" fontId="44" fillId="3" borderId="8" xfId="0" applyFont="1" applyFill="1" applyBorder="1" applyAlignment="1">
      <alignment horizontal="center" vertical="center" wrapText="1"/>
    </xf>
    <xf numFmtId="0" fontId="45" fillId="3" borderId="8" xfId="0" applyFont="1" applyFill="1" applyBorder="1" applyAlignment="1">
      <alignment horizontal="center" vertical="center" wrapText="1"/>
    </xf>
    <xf numFmtId="0" fontId="0" fillId="3" borderId="3" xfId="0" applyFont="1" applyFill="1" applyBorder="1"/>
    <xf numFmtId="167" fontId="0" fillId="3" borderId="0" xfId="0" applyNumberFormat="1" applyFont="1" applyFill="1"/>
    <xf numFmtId="0" fontId="72" fillId="3" borderId="1" xfId="0" applyFont="1" applyFill="1" applyBorder="1" applyAlignment="1">
      <alignment horizontal="center" vertical="center" wrapText="1"/>
    </xf>
    <xf numFmtId="0" fontId="35" fillId="3" borderId="1" xfId="0" applyFont="1" applyFill="1" applyBorder="1" applyAlignment="1">
      <alignment horizontal="center"/>
    </xf>
    <xf numFmtId="167" fontId="35" fillId="3" borderId="0" xfId="0" applyNumberFormat="1" applyFont="1" applyFill="1"/>
    <xf numFmtId="0" fontId="35" fillId="3" borderId="0" xfId="0" applyFont="1" applyFill="1"/>
    <xf numFmtId="49" fontId="87" fillId="3" borderId="25" xfId="5" applyNumberFormat="1" applyFont="1" applyFill="1" applyBorder="1" applyAlignment="1">
      <alignment horizontal="center" vertical="center" wrapText="1"/>
    </xf>
    <xf numFmtId="181" fontId="88" fillId="3" borderId="25" xfId="5" applyNumberFormat="1" applyFont="1" applyFill="1" applyBorder="1" applyAlignment="1">
      <alignment horizontal="left" vertical="center" wrapText="1"/>
    </xf>
    <xf numFmtId="167" fontId="42" fillId="3" borderId="5" xfId="3" applyNumberFormat="1" applyFont="1" applyFill="1" applyBorder="1" applyAlignment="1">
      <alignment horizontal="center" vertical="center" wrapText="1"/>
    </xf>
    <xf numFmtId="167" fontId="42" fillId="3" borderId="25" xfId="3" applyNumberFormat="1" applyFont="1" applyFill="1" applyBorder="1" applyAlignment="1">
      <alignment horizontal="center" vertical="center" wrapText="1"/>
    </xf>
    <xf numFmtId="167" fontId="42" fillId="3" borderId="2" xfId="3" applyNumberFormat="1" applyFont="1" applyFill="1" applyBorder="1" applyAlignment="1">
      <alignment horizontal="center" vertical="center" wrapText="1"/>
    </xf>
    <xf numFmtId="169" fontId="11" fillId="3" borderId="2" xfId="3" applyNumberFormat="1" applyFont="1" applyFill="1" applyBorder="1"/>
    <xf numFmtId="182" fontId="11" fillId="3" borderId="2" xfId="10" applyNumberFormat="1" applyFont="1" applyFill="1" applyBorder="1"/>
    <xf numFmtId="167" fontId="10" fillId="3" borderId="0" xfId="0" applyNumberFormat="1" applyFont="1" applyFill="1"/>
    <xf numFmtId="0" fontId="10" fillId="3" borderId="0" xfId="0" applyFont="1" applyFill="1"/>
    <xf numFmtId="49" fontId="89" fillId="3" borderId="4" xfId="5" quotePrefix="1" applyNumberFormat="1" applyFont="1" applyFill="1" applyBorder="1" applyAlignment="1">
      <alignment horizontal="center" vertical="center" wrapText="1"/>
    </xf>
    <xf numFmtId="181" fontId="90" fillId="3" borderId="4" xfId="5" applyNumberFormat="1" applyFont="1" applyFill="1" applyBorder="1" applyAlignment="1">
      <alignment vertical="center" wrapText="1"/>
    </xf>
    <xf numFmtId="167" fontId="74" fillId="3" borderId="3" xfId="3" applyNumberFormat="1" applyFont="1" applyFill="1" applyBorder="1" applyAlignment="1">
      <alignment horizontal="center" vertical="center" wrapText="1"/>
    </xf>
    <xf numFmtId="43" fontId="74" fillId="3" borderId="4" xfId="3" applyFont="1" applyFill="1" applyBorder="1" applyAlignment="1">
      <alignment horizontal="center" vertical="center" wrapText="1"/>
    </xf>
    <xf numFmtId="167" fontId="74" fillId="3" borderId="4" xfId="3" applyNumberFormat="1" applyFont="1" applyFill="1" applyBorder="1" applyAlignment="1">
      <alignment horizontal="center" vertical="center" wrapText="1"/>
    </xf>
    <xf numFmtId="49" fontId="91" fillId="3" borderId="4" xfId="5" quotePrefix="1" applyNumberFormat="1" applyFont="1" applyFill="1" applyBorder="1" applyAlignment="1">
      <alignment horizontal="center" vertical="center" wrapText="1"/>
    </xf>
    <xf numFmtId="181" fontId="48" fillId="3" borderId="4" xfId="5" applyNumberFormat="1" applyFont="1" applyFill="1" applyBorder="1" applyAlignment="1">
      <alignment vertical="center" wrapText="1"/>
    </xf>
    <xf numFmtId="167" fontId="76" fillId="3" borderId="3" xfId="3" applyNumberFormat="1" applyFont="1" applyFill="1" applyBorder="1" applyAlignment="1">
      <alignment horizontal="center" vertical="center" wrapText="1"/>
    </xf>
    <xf numFmtId="43" fontId="76" fillId="3" borderId="4" xfId="3" applyFont="1" applyFill="1" applyBorder="1" applyAlignment="1">
      <alignment horizontal="center" vertical="center" wrapText="1"/>
    </xf>
    <xf numFmtId="167" fontId="76" fillId="3" borderId="4" xfId="3" applyNumberFormat="1" applyFont="1" applyFill="1" applyBorder="1" applyAlignment="1">
      <alignment horizontal="center" vertical="center" wrapText="1"/>
    </xf>
    <xf numFmtId="169" fontId="12" fillId="3" borderId="2" xfId="3" applyNumberFormat="1" applyFont="1" applyFill="1" applyBorder="1"/>
    <xf numFmtId="182" fontId="12" fillId="3" borderId="2" xfId="10" applyNumberFormat="1" applyFont="1" applyFill="1" applyBorder="1"/>
    <xf numFmtId="49" fontId="92" fillId="3" borderId="4" xfId="5" quotePrefix="1" applyNumberFormat="1" applyFont="1" applyFill="1" applyBorder="1" applyAlignment="1">
      <alignment horizontal="center" vertical="center" wrapText="1"/>
    </xf>
    <xf numFmtId="181" fontId="93" fillId="3" borderId="4" xfId="5" applyNumberFormat="1" applyFont="1" applyFill="1" applyBorder="1" applyAlignment="1">
      <alignment vertical="center" wrapText="1"/>
    </xf>
    <xf numFmtId="43" fontId="94" fillId="3" borderId="3" xfId="3" applyFont="1" applyFill="1" applyBorder="1"/>
    <xf numFmtId="167" fontId="61" fillId="3" borderId="3" xfId="3" applyNumberFormat="1" applyFont="1" applyFill="1" applyBorder="1" applyAlignment="1">
      <alignment horizontal="center" vertical="center" wrapText="1"/>
    </xf>
    <xf numFmtId="167" fontId="95" fillId="3" borderId="0" xfId="0" applyNumberFormat="1" applyFont="1" applyFill="1"/>
    <xf numFmtId="166" fontId="74" fillId="3" borderId="4" xfId="3" applyNumberFormat="1" applyFont="1" applyFill="1" applyBorder="1" applyAlignment="1">
      <alignment horizontal="center" vertical="center" wrapText="1"/>
    </xf>
    <xf numFmtId="167" fontId="96" fillId="3" borderId="3" xfId="3" applyNumberFormat="1" applyFont="1" applyFill="1" applyBorder="1" applyAlignment="1">
      <alignment horizontal="center" vertical="center" wrapText="1"/>
    </xf>
    <xf numFmtId="167" fontId="42" fillId="3" borderId="3" xfId="3" applyNumberFormat="1" applyFont="1" applyFill="1" applyBorder="1" applyAlignment="1">
      <alignment horizontal="center" vertical="center" wrapText="1"/>
    </xf>
    <xf numFmtId="49" fontId="91" fillId="3" borderId="4" xfId="5" applyNumberFormat="1" applyFont="1" applyFill="1" applyBorder="1" applyAlignment="1">
      <alignment horizontal="center" vertical="center" wrapText="1"/>
    </xf>
    <xf numFmtId="167" fontId="97" fillId="3" borderId="4" xfId="3" applyNumberFormat="1" applyFont="1" applyFill="1" applyBorder="1" applyAlignment="1">
      <alignment horizontal="center" vertical="center" wrapText="1"/>
    </xf>
    <xf numFmtId="0" fontId="98" fillId="3" borderId="4" xfId="0" quotePrefix="1" applyFont="1" applyFill="1" applyBorder="1" applyAlignment="1">
      <alignment horizontal="center" vertical="center" wrapText="1"/>
    </xf>
    <xf numFmtId="0" fontId="50" fillId="3" borderId="4" xfId="0" applyFont="1" applyFill="1" applyBorder="1" applyAlignment="1">
      <alignment vertical="center" wrapText="1"/>
    </xf>
    <xf numFmtId="0" fontId="99" fillId="3" borderId="4" xfId="0" applyFont="1" applyFill="1" applyBorder="1" applyAlignment="1">
      <alignment horizontal="center" vertical="center" wrapText="1"/>
    </xf>
    <xf numFmtId="0" fontId="49" fillId="3" borderId="4" xfId="0" applyFont="1" applyFill="1" applyBorder="1" applyAlignment="1">
      <alignment vertical="center" wrapText="1"/>
    </xf>
    <xf numFmtId="0" fontId="50" fillId="3" borderId="4" xfId="0" applyFont="1" applyFill="1" applyBorder="1" applyAlignment="1">
      <alignment horizontal="left" wrapText="1"/>
    </xf>
    <xf numFmtId="181" fontId="48" fillId="3" borderId="4" xfId="5" applyNumberFormat="1" applyFont="1" applyFill="1" applyBorder="1" applyAlignment="1">
      <alignment horizontal="left" vertical="center" wrapText="1"/>
    </xf>
    <xf numFmtId="181" fontId="90" fillId="3" borderId="4" xfId="5" applyNumberFormat="1" applyFont="1" applyFill="1" applyBorder="1" applyAlignment="1">
      <alignment horizontal="left" vertical="center" wrapText="1"/>
    </xf>
    <xf numFmtId="167" fontId="100" fillId="3" borderId="3" xfId="3" applyNumberFormat="1" applyFont="1" applyFill="1" applyBorder="1" applyAlignment="1">
      <alignment horizontal="center" vertical="center" wrapText="1"/>
    </xf>
    <xf numFmtId="0" fontId="101" fillId="3" borderId="4" xfId="0" applyFont="1" applyFill="1" applyBorder="1" applyAlignment="1">
      <alignment vertical="center" wrapText="1"/>
    </xf>
    <xf numFmtId="49" fontId="89" fillId="3" borderId="26" xfId="5" quotePrefix="1" applyNumberFormat="1" applyFont="1" applyFill="1" applyBorder="1" applyAlignment="1">
      <alignment horizontal="center" vertical="center" wrapText="1"/>
    </xf>
    <xf numFmtId="181" fontId="90" fillId="3" borderId="26" xfId="5" applyNumberFormat="1" applyFont="1" applyFill="1" applyBorder="1" applyAlignment="1">
      <alignment vertical="center" wrapText="1"/>
    </xf>
    <xf numFmtId="167" fontId="74" fillId="3" borderId="26" xfId="3" applyNumberFormat="1" applyFont="1" applyFill="1" applyBorder="1" applyAlignment="1">
      <alignment horizontal="center" vertical="center" wrapText="1"/>
    </xf>
    <xf numFmtId="167" fontId="73" fillId="3" borderId="26" xfId="3" applyNumberFormat="1" applyFont="1" applyFill="1" applyBorder="1" applyAlignment="1">
      <alignment horizontal="center" vertical="center" wrapText="1"/>
    </xf>
    <xf numFmtId="167" fontId="74" fillId="3" borderId="22" xfId="3" applyNumberFormat="1" applyFont="1" applyFill="1" applyBorder="1" applyAlignment="1">
      <alignment horizontal="center" vertical="center" wrapText="1"/>
    </xf>
    <xf numFmtId="0" fontId="10" fillId="3" borderId="22" xfId="0" applyFont="1" applyFill="1" applyBorder="1"/>
    <xf numFmtId="43" fontId="0" fillId="3" borderId="0" xfId="3" applyFont="1" applyFill="1"/>
    <xf numFmtId="167" fontId="0" fillId="3" borderId="0" xfId="0" applyNumberFormat="1" applyFill="1"/>
    <xf numFmtId="0" fontId="82" fillId="3" borderId="0" xfId="0" applyFont="1" applyFill="1" applyAlignment="1">
      <alignment horizontal="center" vertical="center" wrapText="1"/>
    </xf>
    <xf numFmtId="165" fontId="0" fillId="3" borderId="0" xfId="0" applyNumberFormat="1" applyFill="1"/>
    <xf numFmtId="0" fontId="83" fillId="3" borderId="0" xfId="0" applyFont="1" applyFill="1" applyAlignment="1">
      <alignment horizontal="center" vertical="center" wrapText="1"/>
    </xf>
    <xf numFmtId="0" fontId="27" fillId="0" borderId="0" xfId="0" applyFont="1" applyFill="1" applyAlignment="1">
      <alignment horizontal="right" vertical="center"/>
    </xf>
    <xf numFmtId="0" fontId="23" fillId="0" borderId="8" xfId="0" applyFont="1" applyFill="1" applyBorder="1" applyAlignment="1">
      <alignment horizontal="center" vertical="center" wrapText="1"/>
    </xf>
    <xf numFmtId="0" fontId="30" fillId="0" borderId="27" xfId="0" applyFont="1" applyFill="1" applyBorder="1" applyAlignment="1">
      <alignment horizontal="center" vertical="center" wrapText="1"/>
    </xf>
    <xf numFmtId="0" fontId="30" fillId="0" borderId="27" xfId="0" applyFont="1" applyFill="1" applyBorder="1" applyAlignment="1">
      <alignment vertical="center" wrapText="1"/>
    </xf>
    <xf numFmtId="0" fontId="30" fillId="0" borderId="0" xfId="0" applyFont="1" applyFill="1"/>
    <xf numFmtId="0" fontId="30" fillId="0" borderId="4" xfId="0" applyFont="1" applyFill="1" applyBorder="1" applyAlignment="1">
      <alignment horizontal="center" vertical="center" wrapText="1"/>
    </xf>
    <xf numFmtId="0" fontId="30" fillId="0" borderId="4" xfId="0" applyFont="1" applyFill="1" applyBorder="1" applyAlignment="1">
      <alignment vertical="center" wrapText="1"/>
    </xf>
    <xf numFmtId="0" fontId="23" fillId="0" borderId="4" xfId="0" applyFont="1" applyFill="1" applyBorder="1" applyAlignment="1">
      <alignment horizontal="center" vertical="center" wrapText="1"/>
    </xf>
    <xf numFmtId="0" fontId="27" fillId="0" borderId="4" xfId="0" applyFont="1" applyFill="1" applyBorder="1" applyAlignment="1">
      <alignment vertical="center" wrapText="1"/>
    </xf>
    <xf numFmtId="0" fontId="23" fillId="0" borderId="4" xfId="0" applyFont="1" applyFill="1" applyBorder="1" applyAlignment="1">
      <alignment vertical="center" wrapText="1"/>
    </xf>
    <xf numFmtId="0" fontId="27" fillId="0" borderId="4" xfId="0" applyFont="1" applyFill="1" applyBorder="1" applyAlignment="1">
      <alignment horizontal="center" vertical="center" wrapText="1"/>
    </xf>
    <xf numFmtId="170" fontId="30" fillId="0" borderId="0" xfId="3" applyNumberFormat="1" applyFont="1" applyFill="1"/>
    <xf numFmtId="0" fontId="23" fillId="0" borderId="4" xfId="1" applyFont="1" applyFill="1" applyBorder="1" applyAlignment="1">
      <alignment wrapText="1"/>
    </xf>
    <xf numFmtId="0" fontId="23" fillId="0" borderId="4" xfId="0" quotePrefix="1" applyFont="1" applyFill="1" applyBorder="1" applyAlignment="1">
      <alignment horizontal="center" vertical="center" wrapText="1"/>
    </xf>
    <xf numFmtId="0" fontId="23" fillId="0" borderId="4" xfId="0" applyFont="1" applyFill="1" applyBorder="1"/>
    <xf numFmtId="0" fontId="23" fillId="0" borderId="4" xfId="1" applyNumberFormat="1" applyFont="1" applyFill="1" applyBorder="1" applyAlignment="1">
      <alignment horizontal="justify" vertical="center" wrapText="1"/>
    </xf>
    <xf numFmtId="0" fontId="30" fillId="0" borderId="26" xfId="0" applyFont="1" applyFill="1" applyBorder="1" applyAlignment="1">
      <alignment horizontal="center" vertical="center" wrapText="1"/>
    </xf>
    <xf numFmtId="0" fontId="30" fillId="0" borderId="26" xfId="0" applyFont="1" applyFill="1" applyBorder="1" applyAlignment="1">
      <alignment vertical="center" wrapText="1"/>
    </xf>
    <xf numFmtId="0" fontId="23" fillId="0" borderId="8" xfId="0" applyFont="1" applyFill="1" applyBorder="1" applyAlignment="1">
      <alignment vertical="center" wrapText="1"/>
    </xf>
    <xf numFmtId="0" fontId="27" fillId="0" borderId="0" xfId="0" applyFont="1" applyFill="1" applyAlignment="1">
      <alignment vertical="center"/>
    </xf>
    <xf numFmtId="0" fontId="23" fillId="0" borderId="0" xfId="0" applyFont="1" applyFill="1" applyAlignment="1">
      <alignment vertical="center"/>
    </xf>
    <xf numFmtId="43" fontId="23" fillId="0" borderId="0" xfId="3" applyNumberFormat="1" applyFont="1" applyFill="1"/>
    <xf numFmtId="43" fontId="23" fillId="0" borderId="0" xfId="3" applyFont="1" applyFill="1" applyBorder="1" applyAlignment="1">
      <alignment horizontal="right" vertical="center" wrapText="1"/>
    </xf>
    <xf numFmtId="43" fontId="23" fillId="0" borderId="0" xfId="3" applyFont="1" applyFill="1"/>
    <xf numFmtId="43" fontId="27" fillId="0" borderId="0" xfId="3" applyFont="1" applyFill="1" applyBorder="1" applyAlignment="1">
      <alignment horizontal="right" vertical="center"/>
    </xf>
    <xf numFmtId="43" fontId="23" fillId="0" borderId="1" xfId="3" applyFont="1" applyFill="1" applyBorder="1" applyAlignment="1">
      <alignment horizontal="center" vertical="center" wrapText="1"/>
    </xf>
    <xf numFmtId="43" fontId="23" fillId="0" borderId="8" xfId="3" applyFont="1" applyFill="1" applyBorder="1" applyAlignment="1">
      <alignment horizontal="center" vertical="center" wrapText="1"/>
    </xf>
    <xf numFmtId="43" fontId="30" fillId="0" borderId="27" xfId="3" applyFont="1" applyFill="1" applyBorder="1" applyAlignment="1">
      <alignment horizontal="center" vertical="center" wrapText="1"/>
    </xf>
    <xf numFmtId="43" fontId="30" fillId="0" borderId="0" xfId="3" applyFont="1" applyFill="1"/>
    <xf numFmtId="43" fontId="30" fillId="0" borderId="4" xfId="3" applyFont="1" applyFill="1" applyBorder="1" applyAlignment="1">
      <alignment horizontal="center" vertical="center" wrapText="1"/>
    </xf>
    <xf numFmtId="43" fontId="23" fillId="0" borderId="4" xfId="3" applyFont="1" applyFill="1" applyBorder="1"/>
    <xf numFmtId="43" fontId="23" fillId="0" borderId="4" xfId="3" applyFont="1" applyFill="1" applyBorder="1" applyAlignment="1">
      <alignment horizontal="center" vertical="center" wrapText="1"/>
    </xf>
    <xf numFmtId="43" fontId="30" fillId="0" borderId="4" xfId="3" applyFont="1" applyFill="1" applyBorder="1"/>
    <xf numFmtId="43" fontId="30" fillId="0" borderId="26" xfId="3" applyFont="1" applyFill="1" applyBorder="1" applyAlignment="1">
      <alignment horizontal="center" vertical="center" wrapText="1"/>
    </xf>
    <xf numFmtId="43" fontId="23" fillId="0" borderId="8" xfId="3" applyFont="1" applyFill="1" applyBorder="1"/>
    <xf numFmtId="170" fontId="23" fillId="0" borderId="0" xfId="3" applyNumberFormat="1" applyFont="1" applyFill="1"/>
    <xf numFmtId="170" fontId="30" fillId="52" borderId="0" xfId="3" applyNumberFormat="1" applyFont="1" applyFill="1"/>
    <xf numFmtId="43" fontId="0" fillId="0" borderId="0" xfId="0" applyNumberFormat="1"/>
    <xf numFmtId="43" fontId="30" fillId="0" borderId="4" xfId="3" applyFont="1" applyFill="1" applyBorder="1" applyAlignment="1">
      <alignment vertical="center"/>
    </xf>
    <xf numFmtId="43" fontId="30" fillId="0" borderId="0" xfId="3" applyFont="1" applyFill="1" applyAlignment="1">
      <alignment vertical="center"/>
    </xf>
    <xf numFmtId="0" fontId="12" fillId="0" borderId="0" xfId="19" applyFont="1" applyFill="1" applyAlignment="1">
      <alignment horizontal="right" vertical="center" wrapText="1"/>
    </xf>
    <xf numFmtId="0" fontId="20" fillId="0" borderId="0" xfId="19" applyFont="1" applyFill="1"/>
    <xf numFmtId="170" fontId="20" fillId="0" borderId="0" xfId="3" applyNumberFormat="1" applyFont="1" applyFill="1"/>
    <xf numFmtId="0" fontId="14" fillId="0" borderId="0" xfId="19" applyFont="1" applyFill="1" applyAlignment="1">
      <alignment horizontal="center" vertical="center"/>
    </xf>
    <xf numFmtId="170" fontId="14" fillId="0" borderId="0" xfId="3" applyNumberFormat="1" applyFont="1" applyFill="1" applyAlignment="1">
      <alignment horizontal="center" vertical="center"/>
    </xf>
    <xf numFmtId="43" fontId="14" fillId="0" borderId="0" xfId="3" applyNumberFormat="1" applyFont="1" applyFill="1" applyAlignment="1">
      <alignment horizontal="center" vertical="center"/>
    </xf>
    <xf numFmtId="0" fontId="29" fillId="0" borderId="0" xfId="19" applyFont="1" applyFill="1" applyAlignment="1">
      <alignment horizontal="right" vertical="center"/>
    </xf>
    <xf numFmtId="0" fontId="15" fillId="0" borderId="0" xfId="19" applyFont="1" applyFill="1"/>
    <xf numFmtId="0" fontId="29" fillId="0" borderId="10" xfId="19" applyFont="1" applyFill="1" applyBorder="1" applyAlignment="1">
      <alignment vertical="center"/>
    </xf>
    <xf numFmtId="170" fontId="15" fillId="0" borderId="0" xfId="3" applyNumberFormat="1" applyFont="1" applyFill="1"/>
    <xf numFmtId="0" fontId="20" fillId="0" borderId="1" xfId="19" applyFont="1" applyFill="1" applyBorder="1" applyAlignment="1">
      <alignment horizontal="center" vertical="center" wrapText="1"/>
    </xf>
    <xf numFmtId="170" fontId="20" fillId="0" borderId="1" xfId="3" applyNumberFormat="1" applyFont="1" applyFill="1" applyBorder="1" applyAlignment="1">
      <alignment horizontal="center" vertical="center" wrapText="1"/>
    </xf>
    <xf numFmtId="43" fontId="20" fillId="0" borderId="1" xfId="3" applyNumberFormat="1" applyFont="1" applyFill="1" applyBorder="1" applyAlignment="1">
      <alignment horizontal="center" vertical="center" wrapText="1"/>
    </xf>
    <xf numFmtId="0" fontId="20" fillId="0" borderId="1" xfId="19" applyNumberFormat="1" applyFont="1" applyFill="1" applyBorder="1" applyAlignment="1">
      <alignment horizontal="center" vertical="center" wrapText="1"/>
    </xf>
    <xf numFmtId="0" fontId="18" fillId="0" borderId="27" xfId="19" applyFont="1" applyFill="1" applyBorder="1" applyAlignment="1">
      <alignment horizontal="center" vertical="center" wrapText="1"/>
    </xf>
    <xf numFmtId="0" fontId="18" fillId="0" borderId="27" xfId="19" applyFont="1" applyFill="1" applyBorder="1" applyAlignment="1">
      <alignment vertical="center" wrapText="1"/>
    </xf>
    <xf numFmtId="167" fontId="18" fillId="0" borderId="27" xfId="20" applyNumberFormat="1" applyFont="1" applyFill="1" applyBorder="1" applyAlignment="1">
      <alignment horizontal="center" vertical="center" wrapText="1"/>
    </xf>
    <xf numFmtId="175" fontId="16" fillId="0" borderId="0" xfId="19" applyNumberFormat="1" applyFont="1" applyFill="1"/>
    <xf numFmtId="0" fontId="16" fillId="0" borderId="0" xfId="19" applyFont="1" applyFill="1"/>
    <xf numFmtId="0" fontId="18" fillId="0" borderId="4" xfId="19" applyFont="1" applyFill="1" applyBorder="1" applyAlignment="1">
      <alignment horizontal="center" vertical="center" wrapText="1"/>
    </xf>
    <xf numFmtId="0" fontId="18" fillId="0" borderId="4" xfId="19" applyFont="1" applyFill="1" applyBorder="1" applyAlignment="1">
      <alignment vertical="center" wrapText="1"/>
    </xf>
    <xf numFmtId="167" fontId="18" fillId="0" borderId="4" xfId="20" applyNumberFormat="1" applyFont="1" applyFill="1" applyBorder="1" applyAlignment="1">
      <alignment horizontal="center" vertical="center" wrapText="1"/>
    </xf>
    <xf numFmtId="0" fontId="20" fillId="0" borderId="4" xfId="19" applyFont="1" applyFill="1" applyBorder="1" applyAlignment="1">
      <alignment horizontal="center" vertical="center" wrapText="1"/>
    </xf>
    <xf numFmtId="0" fontId="19" fillId="0" borderId="4" xfId="19" applyFont="1" applyFill="1" applyBorder="1" applyAlignment="1">
      <alignment vertical="center" wrapText="1"/>
    </xf>
    <xf numFmtId="167" fontId="20" fillId="0" borderId="4" xfId="20" applyNumberFormat="1" applyFont="1" applyFill="1" applyBorder="1" applyAlignment="1">
      <alignment horizontal="center" vertical="center" wrapText="1"/>
    </xf>
    <xf numFmtId="0" fontId="20" fillId="0" borderId="4" xfId="19" applyFont="1" applyFill="1" applyBorder="1" applyAlignment="1">
      <alignment vertical="center" wrapText="1"/>
    </xf>
    <xf numFmtId="171" fontId="15" fillId="0" borderId="0" xfId="19" applyNumberFormat="1" applyFont="1" applyFill="1"/>
    <xf numFmtId="167" fontId="16" fillId="0" borderId="0" xfId="19" applyNumberFormat="1" applyFont="1" applyFill="1"/>
    <xf numFmtId="0" fontId="19" fillId="0" borderId="4" xfId="19" applyFont="1" applyFill="1" applyBorder="1" applyAlignment="1">
      <alignment horizontal="center" vertical="center" wrapText="1"/>
    </xf>
    <xf numFmtId="167" fontId="15" fillId="0" borderId="0" xfId="19" applyNumberFormat="1" applyFont="1" applyFill="1"/>
    <xf numFmtId="170" fontId="15" fillId="0" borderId="0" xfId="19" applyNumberFormat="1" applyFont="1" applyFill="1"/>
    <xf numFmtId="0" fontId="19" fillId="0" borderId="4" xfId="19" quotePrefix="1" applyFont="1" applyFill="1" applyBorder="1" applyAlignment="1">
      <alignment horizontal="center" vertical="center" wrapText="1"/>
    </xf>
    <xf numFmtId="0" fontId="19" fillId="0" borderId="4" xfId="19" applyFont="1" applyFill="1" applyBorder="1" applyAlignment="1">
      <alignment horizontal="left" vertical="center" wrapText="1"/>
    </xf>
    <xf numFmtId="175" fontId="15" fillId="0" borderId="0" xfId="19" applyNumberFormat="1" applyFont="1" applyFill="1"/>
    <xf numFmtId="43" fontId="15" fillId="0" borderId="0" xfId="19" applyNumberFormat="1" applyFont="1" applyFill="1"/>
    <xf numFmtId="0" fontId="20" fillId="0" borderId="26" xfId="19" applyFont="1" applyFill="1" applyBorder="1" applyAlignment="1">
      <alignment horizontal="center" vertical="center" wrapText="1"/>
    </xf>
    <xf numFmtId="0" fontId="20" fillId="0" borderId="26" xfId="19" applyFont="1" applyFill="1" applyBorder="1" applyAlignment="1">
      <alignment vertical="center" wrapText="1"/>
    </xf>
    <xf numFmtId="167" fontId="20" fillId="0" borderId="26" xfId="20" applyNumberFormat="1" applyFont="1" applyFill="1" applyBorder="1" applyAlignment="1">
      <alignment horizontal="center" vertical="center" wrapText="1"/>
    </xf>
    <xf numFmtId="0" fontId="295" fillId="0" borderId="0" xfId="19" applyFont="1" applyFill="1" applyAlignment="1">
      <alignment vertical="center"/>
    </xf>
    <xf numFmtId="43" fontId="15" fillId="0" borderId="0" xfId="3" applyNumberFormat="1" applyFont="1" applyFill="1"/>
    <xf numFmtId="170" fontId="295" fillId="0" borderId="0" xfId="3" applyNumberFormat="1" applyFont="1" applyFill="1" applyAlignment="1">
      <alignment horizontal="center" vertical="center" wrapText="1"/>
    </xf>
    <xf numFmtId="43" fontId="295" fillId="0" borderId="0" xfId="3" applyNumberFormat="1" applyFont="1" applyFill="1" applyAlignment="1">
      <alignment horizontal="center" vertical="center" wrapText="1"/>
    </xf>
    <xf numFmtId="170" fontId="16" fillId="0" borderId="0" xfId="3" applyNumberFormat="1" applyFont="1" applyFill="1" applyAlignment="1">
      <alignment horizontal="center" vertical="center" wrapText="1"/>
    </xf>
    <xf numFmtId="43" fontId="16" fillId="0" borderId="0" xfId="3" applyNumberFormat="1" applyFont="1" applyFill="1" applyAlignment="1">
      <alignment horizontal="center" vertical="center" wrapText="1"/>
    </xf>
    <xf numFmtId="0" fontId="15" fillId="0" borderId="0" xfId="19" applyFont="1" applyFill="1" applyAlignment="1">
      <alignment vertical="center"/>
    </xf>
    <xf numFmtId="43" fontId="20" fillId="0" borderId="0" xfId="3" applyNumberFormat="1" applyFont="1" applyFill="1"/>
    <xf numFmtId="0" fontId="20" fillId="0" borderId="1" xfId="3" applyNumberFormat="1" applyFont="1" applyFill="1" applyBorder="1" applyAlignment="1">
      <alignment horizontal="center" vertical="center" wrapText="1"/>
    </xf>
    <xf numFmtId="311" fontId="18" fillId="0" borderId="27" xfId="3" applyNumberFormat="1" applyFont="1" applyFill="1" applyBorder="1" applyAlignment="1">
      <alignment horizontal="center" vertical="center" wrapText="1"/>
    </xf>
    <xf numFmtId="311" fontId="18" fillId="0" borderId="4" xfId="3" applyNumberFormat="1" applyFont="1" applyFill="1" applyBorder="1" applyAlignment="1">
      <alignment horizontal="center" vertical="center" wrapText="1"/>
    </xf>
    <xf numFmtId="311" fontId="20" fillId="0" borderId="4" xfId="3" applyNumberFormat="1" applyFont="1" applyFill="1" applyBorder="1" applyAlignment="1">
      <alignment horizontal="center" vertical="center" wrapText="1"/>
    </xf>
    <xf numFmtId="311" fontId="20" fillId="0" borderId="26" xfId="3" applyNumberFormat="1" applyFont="1" applyFill="1" applyBorder="1" applyAlignment="1">
      <alignment horizontal="center" vertical="center" wrapText="1"/>
    </xf>
    <xf numFmtId="0" fontId="23" fillId="0" borderId="8" xfId="3" applyNumberFormat="1" applyFont="1" applyFill="1" applyBorder="1" applyAlignment="1">
      <alignment horizontal="center" vertical="center" wrapText="1"/>
    </xf>
    <xf numFmtId="0" fontId="23" fillId="0" borderId="7" xfId="3" applyNumberFormat="1" applyFont="1" applyFill="1" applyBorder="1" applyAlignment="1">
      <alignment horizontal="center" vertical="center"/>
    </xf>
    <xf numFmtId="0" fontId="23" fillId="0" borderId="0" xfId="3" applyNumberFormat="1" applyFont="1" applyFill="1" applyAlignment="1">
      <alignment horizontal="center" vertical="center"/>
    </xf>
    <xf numFmtId="43" fontId="296" fillId="0" borderId="0" xfId="18" applyFont="1" applyFill="1" applyAlignment="1">
      <alignment horizontal="center"/>
    </xf>
    <xf numFmtId="166" fontId="24" fillId="0" borderId="0" xfId="18" applyNumberFormat="1" applyFont="1" applyFill="1"/>
    <xf numFmtId="177" fontId="297" fillId="0" borderId="0" xfId="18" applyNumberFormat="1" applyFont="1" applyFill="1" applyAlignment="1">
      <alignment horizontal="center"/>
    </xf>
    <xf numFmtId="170" fontId="22" fillId="0" borderId="0" xfId="18" applyNumberFormat="1" applyFont="1" applyFill="1"/>
    <xf numFmtId="177" fontId="297" fillId="0" borderId="0" xfId="3" applyNumberFormat="1" applyFont="1" applyFill="1" applyAlignment="1">
      <alignment horizontal="center"/>
    </xf>
    <xf numFmtId="170" fontId="298" fillId="0" borderId="0" xfId="18" applyNumberFormat="1" applyFont="1" applyFill="1" applyAlignment="1">
      <alignment horizontal="center"/>
    </xf>
    <xf numFmtId="170" fontId="297" fillId="0" borderId="0" xfId="18" applyNumberFormat="1" applyFont="1" applyFill="1"/>
    <xf numFmtId="43" fontId="297" fillId="0" borderId="0" xfId="18" applyFont="1" applyFill="1"/>
    <xf numFmtId="170" fontId="22" fillId="0" borderId="1" xfId="18" applyNumberFormat="1" applyFont="1" applyFill="1" applyBorder="1" applyAlignment="1">
      <alignment horizontal="center"/>
    </xf>
    <xf numFmtId="166" fontId="22" fillId="0" borderId="1" xfId="18" applyNumberFormat="1" applyFont="1" applyFill="1" applyBorder="1"/>
    <xf numFmtId="170" fontId="297" fillId="0" borderId="0" xfId="18" applyNumberFormat="1" applyFont="1" applyFill="1" applyAlignment="1">
      <alignment horizontal="left"/>
    </xf>
    <xf numFmtId="43" fontId="297" fillId="0" borderId="0" xfId="18" applyFont="1" applyFill="1" applyAlignment="1">
      <alignment horizontal="left"/>
    </xf>
    <xf numFmtId="170" fontId="297" fillId="0" borderId="0" xfId="18" applyNumberFormat="1" applyFont="1" applyFill="1" applyAlignment="1">
      <alignment horizontal="center" vertical="center"/>
    </xf>
    <xf numFmtId="43" fontId="297" fillId="0" borderId="0" xfId="18" applyFont="1" applyFill="1" applyAlignment="1">
      <alignment horizontal="center" vertical="center"/>
    </xf>
    <xf numFmtId="170" fontId="299" fillId="0" borderId="0" xfId="18" applyNumberFormat="1" applyFont="1" applyFill="1" applyAlignment="1">
      <alignment horizontal="center" vertical="center"/>
    </xf>
    <xf numFmtId="43" fontId="299" fillId="0" borderId="0" xfId="18" applyFont="1" applyFill="1" applyAlignment="1">
      <alignment horizontal="center" vertical="center"/>
    </xf>
    <xf numFmtId="166" fontId="22" fillId="0" borderId="15" xfId="18" applyNumberFormat="1" applyFont="1" applyFill="1" applyBorder="1" applyAlignment="1">
      <alignment horizontal="center" vertical="center"/>
    </xf>
    <xf numFmtId="170" fontId="22" fillId="0" borderId="15" xfId="18" applyNumberFormat="1" applyFont="1" applyFill="1" applyBorder="1" applyAlignment="1">
      <alignment horizontal="center" vertical="center"/>
    </xf>
    <xf numFmtId="0" fontId="22" fillId="0" borderId="15" xfId="18" applyNumberFormat="1" applyFont="1" applyFill="1" applyBorder="1" applyAlignment="1">
      <alignment horizontal="center" vertical="center"/>
    </xf>
    <xf numFmtId="166" fontId="21" fillId="0" borderId="27" xfId="18" applyNumberFormat="1" applyFont="1" applyFill="1" applyBorder="1" applyAlignment="1">
      <alignment horizontal="center" vertical="center"/>
    </xf>
    <xf numFmtId="170" fontId="21" fillId="0" borderId="27" xfId="18" applyNumberFormat="1" applyFont="1" applyFill="1" applyBorder="1" applyAlignment="1">
      <alignment horizontal="left" vertical="center"/>
    </xf>
    <xf numFmtId="169" fontId="21" fillId="0" borderId="27" xfId="18" applyNumberFormat="1" applyFont="1" applyFill="1" applyBorder="1" applyAlignment="1">
      <alignment horizontal="center" vertical="center"/>
    </xf>
    <xf numFmtId="166" fontId="21" fillId="0" borderId="27" xfId="18" applyNumberFormat="1" applyFont="1" applyFill="1" applyBorder="1" applyAlignment="1">
      <alignment horizontal="right" vertical="center"/>
    </xf>
    <xf numFmtId="170" fontId="21" fillId="0" borderId="27" xfId="18" applyNumberFormat="1" applyFont="1" applyFill="1" applyBorder="1" applyAlignment="1">
      <alignment horizontal="center" vertical="center"/>
    </xf>
    <xf numFmtId="170" fontId="298" fillId="0" borderId="0" xfId="18" applyNumberFormat="1" applyFont="1" applyFill="1"/>
    <xf numFmtId="166" fontId="298" fillId="0" borderId="0" xfId="18" applyNumberFormat="1" applyFont="1" applyFill="1"/>
    <xf numFmtId="166" fontId="21" fillId="0" borderId="4" xfId="18" applyNumberFormat="1" applyFont="1" applyFill="1" applyBorder="1" applyAlignment="1">
      <alignment horizontal="center" vertical="center"/>
    </xf>
    <xf numFmtId="43" fontId="21" fillId="0" borderId="4" xfId="18" applyFont="1" applyFill="1" applyBorder="1" applyAlignment="1">
      <alignment horizontal="left" vertical="center"/>
    </xf>
    <xf numFmtId="43" fontId="21" fillId="0" borderId="4" xfId="18" applyFont="1" applyFill="1" applyBorder="1" applyAlignment="1">
      <alignment horizontal="center" vertical="center"/>
    </xf>
    <xf numFmtId="166" fontId="21" fillId="0" borderId="4" xfId="18" applyNumberFormat="1" applyFont="1" applyFill="1" applyBorder="1" applyAlignment="1">
      <alignment horizontal="right" vertical="center"/>
    </xf>
    <xf numFmtId="43" fontId="298" fillId="0" borderId="0" xfId="18" applyFont="1" applyFill="1"/>
    <xf numFmtId="166" fontId="21" fillId="0" borderId="4" xfId="18" quotePrefix="1" applyNumberFormat="1" applyFont="1" applyFill="1" applyBorder="1" applyAlignment="1">
      <alignment horizontal="center" vertical="center"/>
    </xf>
    <xf numFmtId="43" fontId="21" fillId="0" borderId="4" xfId="18" applyFont="1" applyFill="1" applyBorder="1" applyAlignment="1">
      <alignment horizontal="left" vertical="center" wrapText="1"/>
    </xf>
    <xf numFmtId="170" fontId="296" fillId="0" borderId="4" xfId="18" applyNumberFormat="1" applyFont="1" applyFill="1" applyBorder="1" applyAlignment="1">
      <alignment horizontal="center" vertical="center" wrapText="1"/>
    </xf>
    <xf numFmtId="165" fontId="21" fillId="0" borderId="4" xfId="18" quotePrefix="1" applyNumberFormat="1" applyFont="1" applyFill="1" applyBorder="1" applyAlignment="1">
      <alignment horizontal="right" vertical="center"/>
    </xf>
    <xf numFmtId="43" fontId="30" fillId="0" borderId="4" xfId="18" applyFont="1" applyFill="1" applyBorder="1" applyAlignment="1">
      <alignment horizontal="left" vertical="center" wrapText="1"/>
    </xf>
    <xf numFmtId="43" fontId="21" fillId="0" borderId="4" xfId="18" applyFont="1" applyFill="1" applyBorder="1" applyAlignment="1">
      <alignment vertical="center" wrapText="1"/>
    </xf>
    <xf numFmtId="0" fontId="21" fillId="0" borderId="4" xfId="19" applyFont="1" applyFill="1" applyBorder="1" applyAlignment="1">
      <alignment horizontal="left" vertical="center"/>
    </xf>
    <xf numFmtId="43" fontId="30" fillId="0" borderId="4" xfId="18" applyFont="1" applyFill="1" applyBorder="1" applyAlignment="1">
      <alignment vertical="center" wrapText="1"/>
    </xf>
    <xf numFmtId="170" fontId="298" fillId="0" borderId="0" xfId="18" applyNumberFormat="1" applyFont="1" applyFill="1" applyAlignment="1">
      <alignment vertical="center"/>
    </xf>
    <xf numFmtId="43" fontId="298" fillId="0" borderId="0" xfId="18" applyFont="1" applyFill="1" applyAlignment="1">
      <alignment vertical="center"/>
    </xf>
    <xf numFmtId="43" fontId="30" fillId="0" borderId="4" xfId="18" applyFont="1" applyFill="1" applyBorder="1" applyAlignment="1">
      <alignment vertical="center"/>
    </xf>
    <xf numFmtId="43" fontId="21" fillId="0" borderId="4" xfId="18" applyFont="1" applyFill="1" applyBorder="1"/>
    <xf numFmtId="170" fontId="300" fillId="0" borderId="0" xfId="18" applyNumberFormat="1" applyFont="1" applyFill="1"/>
    <xf numFmtId="43" fontId="300" fillId="0" borderId="0" xfId="18" applyFont="1" applyFill="1"/>
    <xf numFmtId="0" fontId="21" fillId="0" borderId="4" xfId="18" applyNumberFormat="1" applyFont="1" applyFill="1" applyBorder="1" applyAlignment="1">
      <alignment horizontal="left" vertical="center" wrapText="1"/>
    </xf>
    <xf numFmtId="0" fontId="21" fillId="0" borderId="4" xfId="19" quotePrefix="1" applyFont="1" applyFill="1" applyBorder="1" applyAlignment="1">
      <alignment horizontal="center" vertical="center"/>
    </xf>
    <xf numFmtId="0" fontId="21" fillId="0" borderId="4" xfId="19" applyFont="1" applyFill="1" applyBorder="1" applyAlignment="1">
      <alignment wrapText="1"/>
    </xf>
    <xf numFmtId="43" fontId="21" fillId="0" borderId="4" xfId="20" applyFont="1" applyFill="1" applyBorder="1" applyAlignment="1">
      <alignment horizontal="center" vertical="center"/>
    </xf>
    <xf numFmtId="167" fontId="21" fillId="0" borderId="4" xfId="20" applyNumberFormat="1" applyFont="1" applyFill="1" applyBorder="1" applyAlignment="1">
      <alignment horizontal="right" vertical="center"/>
    </xf>
    <xf numFmtId="0" fontId="298" fillId="0" borderId="0" xfId="19" applyFont="1" applyFill="1"/>
    <xf numFmtId="0" fontId="21" fillId="0" borderId="4" xfId="19" applyFont="1" applyFill="1" applyBorder="1" applyAlignment="1">
      <alignment vertical="center" wrapText="1"/>
    </xf>
    <xf numFmtId="43" fontId="21" fillId="0" borderId="4" xfId="18" quotePrefix="1" applyFont="1" applyFill="1" applyBorder="1" applyAlignment="1">
      <alignment horizontal="left" vertical="center"/>
    </xf>
    <xf numFmtId="170" fontId="296" fillId="0" borderId="4" xfId="18" applyNumberFormat="1" applyFont="1" applyFill="1" applyBorder="1" applyAlignment="1">
      <alignment horizontal="center" vertical="center"/>
    </xf>
    <xf numFmtId="179" fontId="21" fillId="0" borderId="4" xfId="18" applyNumberFormat="1" applyFont="1" applyFill="1" applyBorder="1" applyAlignment="1">
      <alignment horizontal="center" vertical="center"/>
    </xf>
    <xf numFmtId="183" fontId="21" fillId="0" borderId="4" xfId="18" applyNumberFormat="1" applyFont="1" applyFill="1" applyBorder="1" applyAlignment="1">
      <alignment horizontal="right" vertical="center"/>
    </xf>
    <xf numFmtId="43" fontId="298" fillId="0" borderId="4" xfId="18" applyFont="1" applyFill="1" applyBorder="1" applyAlignment="1">
      <alignment vertical="center" wrapText="1"/>
    </xf>
    <xf numFmtId="43" fontId="298" fillId="0" borderId="4" xfId="18" applyFont="1" applyFill="1" applyBorder="1" applyAlignment="1">
      <alignment horizontal="left" vertical="center" wrapText="1"/>
    </xf>
    <xf numFmtId="170" fontId="21" fillId="0" borderId="4" xfId="18" applyNumberFormat="1" applyFont="1" applyFill="1" applyBorder="1" applyAlignment="1">
      <alignment horizontal="center"/>
    </xf>
    <xf numFmtId="166" fontId="21" fillId="0" borderId="4" xfId="18" quotePrefix="1" applyNumberFormat="1" applyFont="1" applyFill="1" applyBorder="1" applyAlignment="1">
      <alignment horizontal="right" vertical="center"/>
    </xf>
    <xf numFmtId="170" fontId="299" fillId="0" borderId="4" xfId="18" applyNumberFormat="1" applyFont="1" applyFill="1" applyBorder="1" applyAlignment="1">
      <alignment horizontal="center" vertical="center" wrapText="1"/>
    </xf>
    <xf numFmtId="43" fontId="30" fillId="0" borderId="4" xfId="18" applyFont="1" applyFill="1" applyBorder="1" applyAlignment="1">
      <alignment horizontal="left" vertical="center"/>
    </xf>
    <xf numFmtId="166" fontId="21" fillId="0" borderId="28" xfId="18" applyNumberFormat="1" applyFont="1" applyFill="1" applyBorder="1" applyAlignment="1">
      <alignment horizontal="center" vertical="center"/>
    </xf>
    <xf numFmtId="43" fontId="21" fillId="0" borderId="28" xfId="18" applyFont="1" applyFill="1" applyBorder="1" applyAlignment="1">
      <alignment wrapText="1"/>
    </xf>
    <xf numFmtId="43" fontId="21" fillId="0" borderId="28" xfId="18" applyFont="1" applyFill="1" applyBorder="1" applyAlignment="1">
      <alignment horizontal="center" vertical="center"/>
    </xf>
    <xf numFmtId="166" fontId="21" fillId="0" borderId="1" xfId="18" applyNumberFormat="1" applyFont="1" applyFill="1" applyBorder="1" applyAlignment="1">
      <alignment horizontal="left" vertical="center"/>
    </xf>
    <xf numFmtId="166" fontId="21" fillId="0" borderId="1" xfId="18" applyNumberFormat="1" applyFont="1" applyFill="1" applyBorder="1" applyAlignment="1">
      <alignment horizontal="right" vertical="center"/>
    </xf>
    <xf numFmtId="166" fontId="297" fillId="0" borderId="0" xfId="18" applyNumberFormat="1" applyFont="1" applyFill="1"/>
    <xf numFmtId="43" fontId="297" fillId="0" borderId="0" xfId="18" applyFont="1" applyFill="1" applyAlignment="1">
      <alignment horizontal="center"/>
    </xf>
    <xf numFmtId="177" fontId="298" fillId="0" borderId="0" xfId="18" applyNumberFormat="1" applyFont="1" applyFill="1" applyAlignment="1">
      <alignment horizontal="center"/>
    </xf>
    <xf numFmtId="43" fontId="298" fillId="0" borderId="0" xfId="18" applyFont="1" applyFill="1" applyAlignment="1">
      <alignment horizontal="center"/>
    </xf>
    <xf numFmtId="177" fontId="298" fillId="0" borderId="0" xfId="3" applyNumberFormat="1" applyFont="1" applyFill="1"/>
    <xf numFmtId="177" fontId="297" fillId="0" borderId="0" xfId="3" applyNumberFormat="1" applyFont="1" applyFill="1"/>
    <xf numFmtId="0" fontId="22" fillId="0" borderId="15" xfId="3" applyNumberFormat="1" applyFont="1" applyFill="1" applyBorder="1" applyAlignment="1">
      <alignment horizontal="center" vertical="center"/>
    </xf>
    <xf numFmtId="312" fontId="21" fillId="0" borderId="27" xfId="18" applyNumberFormat="1" applyFont="1" applyFill="1" applyBorder="1" applyAlignment="1">
      <alignment horizontal="center" vertical="center"/>
    </xf>
    <xf numFmtId="312" fontId="21" fillId="0" borderId="27" xfId="3" applyNumberFormat="1" applyFont="1" applyFill="1" applyBorder="1" applyAlignment="1">
      <alignment horizontal="center" vertical="center"/>
    </xf>
    <xf numFmtId="312" fontId="21" fillId="0" borderId="4" xfId="18" applyNumberFormat="1" applyFont="1" applyFill="1" applyBorder="1" applyAlignment="1">
      <alignment horizontal="center" vertical="center"/>
    </xf>
    <xf numFmtId="312" fontId="21" fillId="0" borderId="4" xfId="3" applyNumberFormat="1" applyFont="1" applyFill="1" applyBorder="1" applyAlignment="1">
      <alignment horizontal="center" vertical="center"/>
    </xf>
    <xf numFmtId="312" fontId="21" fillId="0" borderId="28" xfId="18" applyNumberFormat="1" applyFont="1" applyFill="1" applyBorder="1" applyAlignment="1">
      <alignment horizontal="center" vertical="center"/>
    </xf>
    <xf numFmtId="312" fontId="21" fillId="0" borderId="28" xfId="3" applyNumberFormat="1" applyFont="1" applyFill="1" applyBorder="1" applyAlignment="1">
      <alignment horizontal="center" vertical="center"/>
    </xf>
    <xf numFmtId="312" fontId="21" fillId="0" borderId="25" xfId="18" applyNumberFormat="1" applyFont="1" applyFill="1" applyBorder="1" applyAlignment="1">
      <alignment horizontal="center" vertical="center"/>
    </xf>
    <xf numFmtId="312" fontId="21" fillId="0" borderId="25" xfId="3" applyNumberFormat="1" applyFont="1" applyFill="1" applyBorder="1" applyAlignment="1">
      <alignment horizontal="center" vertical="center"/>
    </xf>
    <xf numFmtId="312" fontId="22" fillId="0" borderId="4" xfId="18" applyNumberFormat="1" applyFont="1" applyFill="1" applyBorder="1" applyAlignment="1">
      <alignment horizontal="center" vertical="center"/>
    </xf>
    <xf numFmtId="312" fontId="298" fillId="0" borderId="4" xfId="18" applyNumberFormat="1" applyFont="1" applyFill="1" applyBorder="1" applyAlignment="1">
      <alignment horizontal="center" vertical="center"/>
    </xf>
    <xf numFmtId="312" fontId="30" fillId="0" borderId="4" xfId="18" applyNumberFormat="1" applyFont="1" applyFill="1" applyBorder="1" applyAlignment="1">
      <alignment horizontal="center" vertical="center"/>
    </xf>
    <xf numFmtId="312" fontId="30" fillId="0" borderId="4" xfId="3" applyNumberFormat="1" applyFont="1" applyFill="1" applyBorder="1" applyAlignment="1">
      <alignment horizontal="center" vertical="center"/>
    </xf>
    <xf numFmtId="312" fontId="21" fillId="0" borderId="1" xfId="18" applyNumberFormat="1" applyFont="1" applyFill="1" applyBorder="1" applyAlignment="1">
      <alignment horizontal="center" vertical="center"/>
    </xf>
    <xf numFmtId="0" fontId="21" fillId="0" borderId="4" xfId="19" applyFont="1" applyFill="1" applyBorder="1" applyAlignment="1">
      <alignment horizontal="left" vertical="center" wrapText="1"/>
    </xf>
    <xf numFmtId="0" fontId="30" fillId="0" borderId="3" xfId="19" applyFont="1" applyFill="1" applyBorder="1" applyAlignment="1">
      <alignment vertical="center" wrapText="1"/>
    </xf>
    <xf numFmtId="170" fontId="296" fillId="0" borderId="4" xfId="18" applyNumberFormat="1" applyFont="1" applyFill="1" applyBorder="1" applyAlignment="1">
      <alignment horizontal="left" vertical="center" wrapText="1"/>
    </xf>
    <xf numFmtId="179" fontId="297" fillId="0" borderId="0" xfId="3" applyNumberFormat="1" applyFont="1" applyFill="1"/>
    <xf numFmtId="179" fontId="297" fillId="0" borderId="0" xfId="18" applyNumberFormat="1" applyFont="1" applyFill="1"/>
    <xf numFmtId="170" fontId="296" fillId="0" borderId="0" xfId="3" applyNumberFormat="1" applyFont="1" applyFill="1"/>
    <xf numFmtId="43" fontId="22" fillId="0" borderId="0" xfId="3" applyFont="1" applyFill="1" applyAlignment="1">
      <alignment horizontal="right"/>
    </xf>
    <xf numFmtId="43" fontId="22" fillId="0" borderId="0" xfId="3" applyFont="1" applyFill="1"/>
    <xf numFmtId="43" fontId="22" fillId="0" borderId="0" xfId="3" applyFont="1" applyFill="1" applyAlignment="1">
      <alignment horizontal="center"/>
    </xf>
    <xf numFmtId="43" fontId="299" fillId="0" borderId="0" xfId="3" applyFont="1" applyFill="1"/>
    <xf numFmtId="43" fontId="301" fillId="0" borderId="0" xfId="3" applyFont="1" applyFill="1" applyAlignment="1"/>
    <xf numFmtId="43" fontId="299" fillId="0" borderId="0" xfId="3" applyFont="1" applyFill="1" applyAlignment="1">
      <alignment horizontal="right"/>
    </xf>
    <xf numFmtId="166" fontId="27" fillId="0" borderId="0" xfId="3" applyNumberFormat="1" applyFont="1" applyFill="1" applyAlignment="1">
      <alignment horizontal="center"/>
    </xf>
    <xf numFmtId="43" fontId="27" fillId="0" borderId="0" xfId="3" applyFont="1" applyFill="1" applyAlignment="1">
      <alignment horizontal="center"/>
    </xf>
    <xf numFmtId="170" fontId="302" fillId="0" borderId="0" xfId="3" applyNumberFormat="1" applyFont="1" applyFill="1" applyAlignment="1">
      <alignment horizontal="center"/>
    </xf>
    <xf numFmtId="43" fontId="22" fillId="0" borderId="0" xfId="3" applyFont="1" applyFill="1" applyBorder="1" applyAlignment="1">
      <alignment horizontal="right"/>
    </xf>
    <xf numFmtId="43" fontId="302" fillId="0" borderId="0" xfId="3" applyFont="1" applyFill="1" applyAlignment="1">
      <alignment horizontal="center"/>
    </xf>
    <xf numFmtId="43" fontId="303" fillId="0" borderId="0" xfId="3" applyFont="1" applyFill="1" applyAlignment="1">
      <alignment horizontal="center"/>
    </xf>
    <xf numFmtId="43" fontId="27" fillId="0" borderId="10" xfId="3" applyFont="1" applyFill="1" applyBorder="1" applyAlignment="1">
      <alignment horizontal="center"/>
    </xf>
    <xf numFmtId="43" fontId="298" fillId="0" borderId="18" xfId="3" applyFont="1" applyFill="1" applyBorder="1" applyAlignment="1">
      <alignment horizontal="center" vertical="center" wrapText="1"/>
    </xf>
    <xf numFmtId="43" fontId="298" fillId="0" borderId="12" xfId="3" applyFont="1" applyFill="1" applyBorder="1" applyAlignment="1">
      <alignment vertical="center"/>
    </xf>
    <xf numFmtId="43" fontId="298" fillId="0" borderId="0" xfId="3" applyFont="1" applyFill="1" applyAlignment="1">
      <alignment vertical="center"/>
    </xf>
    <xf numFmtId="43" fontId="297" fillId="0" borderId="1" xfId="3" applyFont="1" applyFill="1" applyBorder="1" applyAlignment="1">
      <alignment horizontal="center" vertical="center" wrapText="1"/>
    </xf>
    <xf numFmtId="43" fontId="297" fillId="0" borderId="12" xfId="3" applyFont="1" applyFill="1" applyBorder="1" applyAlignment="1">
      <alignment horizontal="center" vertical="center"/>
    </xf>
    <xf numFmtId="43" fontId="297" fillId="0" borderId="0" xfId="3" applyFont="1" applyFill="1" applyAlignment="1">
      <alignment horizontal="center" vertical="center"/>
    </xf>
    <xf numFmtId="166" fontId="30" fillId="0" borderId="27" xfId="3" applyNumberFormat="1" applyFont="1" applyFill="1" applyBorder="1" applyAlignment="1">
      <alignment horizontal="center" vertical="center"/>
    </xf>
    <xf numFmtId="43" fontId="30" fillId="0" borderId="27" xfId="3" applyFont="1" applyFill="1" applyBorder="1" applyAlignment="1">
      <alignment horizontal="left" vertical="center"/>
    </xf>
    <xf numFmtId="170" fontId="298" fillId="0" borderId="27" xfId="3" applyNumberFormat="1" applyFont="1" applyFill="1" applyBorder="1" applyAlignment="1">
      <alignment vertical="center"/>
    </xf>
    <xf numFmtId="43" fontId="298" fillId="0" borderId="27" xfId="3" applyFont="1" applyFill="1" applyBorder="1" applyAlignment="1">
      <alignment vertical="center"/>
    </xf>
    <xf numFmtId="43" fontId="298" fillId="0" borderId="25" xfId="3" applyFont="1" applyFill="1" applyBorder="1" applyAlignment="1">
      <alignment vertical="center"/>
    </xf>
    <xf numFmtId="166" fontId="30" fillId="0" borderId="4" xfId="3" applyNumberFormat="1" applyFont="1" applyFill="1" applyBorder="1" applyAlignment="1">
      <alignment horizontal="center" vertical="center"/>
    </xf>
    <xf numFmtId="43" fontId="30" fillId="0" borderId="4" xfId="3" applyFont="1" applyFill="1" applyBorder="1" applyAlignment="1">
      <alignment horizontal="left" vertical="center"/>
    </xf>
    <xf numFmtId="170" fontId="298" fillId="0" borderId="4" xfId="3" applyNumberFormat="1" applyFont="1" applyFill="1" applyBorder="1"/>
    <xf numFmtId="43" fontId="298" fillId="0" borderId="4" xfId="3" applyFont="1" applyFill="1" applyBorder="1"/>
    <xf numFmtId="170" fontId="298" fillId="0" borderId="4" xfId="3" applyNumberFormat="1" applyFont="1" applyFill="1" applyBorder="1" applyAlignment="1">
      <alignment vertical="center"/>
    </xf>
    <xf numFmtId="43" fontId="298" fillId="0" borderId="4" xfId="3" applyFont="1" applyFill="1" applyBorder="1" applyAlignment="1">
      <alignment vertical="center"/>
    </xf>
    <xf numFmtId="166" fontId="23" fillId="0" borderId="4" xfId="3" quotePrefix="1" applyNumberFormat="1" applyFont="1" applyFill="1" applyBorder="1" applyAlignment="1">
      <alignment horizontal="center"/>
    </xf>
    <xf numFmtId="170" fontId="297" fillId="0" borderId="4" xfId="3" applyNumberFormat="1" applyFont="1" applyFill="1" applyBorder="1"/>
    <xf numFmtId="43" fontId="297" fillId="0" borderId="4" xfId="3" applyFont="1" applyFill="1" applyBorder="1"/>
    <xf numFmtId="166" fontId="30" fillId="0" borderId="4" xfId="3" quotePrefix="1" applyNumberFormat="1" applyFont="1" applyFill="1" applyBorder="1" applyAlignment="1">
      <alignment horizontal="center"/>
    </xf>
    <xf numFmtId="166" fontId="30" fillId="0" borderId="4" xfId="3" applyNumberFormat="1" applyFont="1" applyFill="1" applyBorder="1" applyAlignment="1">
      <alignment horizontal="center"/>
    </xf>
    <xf numFmtId="166" fontId="23" fillId="0" borderId="4" xfId="3" quotePrefix="1" applyNumberFormat="1" applyFont="1" applyFill="1" applyBorder="1" applyAlignment="1">
      <alignment horizontal="center" vertical="center"/>
    </xf>
    <xf numFmtId="43" fontId="23" fillId="0" borderId="4" xfId="3" applyFont="1" applyFill="1" applyBorder="1" applyAlignment="1">
      <alignment vertical="center" wrapText="1"/>
    </xf>
    <xf numFmtId="170" fontId="297" fillId="0" borderId="4" xfId="3" applyNumberFormat="1" applyFont="1" applyFill="1" applyBorder="1" applyAlignment="1">
      <alignment vertical="center"/>
    </xf>
    <xf numFmtId="43" fontId="297" fillId="0" borderId="4" xfId="3" applyFont="1" applyFill="1" applyBorder="1" applyAlignment="1">
      <alignment vertical="center"/>
    </xf>
    <xf numFmtId="43" fontId="23" fillId="0" borderId="0" xfId="3" applyFont="1" applyFill="1" applyAlignment="1">
      <alignment vertical="center"/>
    </xf>
    <xf numFmtId="43" fontId="23" fillId="0" borderId="4" xfId="3" applyFont="1" applyFill="1" applyBorder="1" applyAlignment="1">
      <alignment vertical="center"/>
    </xf>
    <xf numFmtId="166" fontId="23" fillId="0" borderId="4" xfId="3" applyNumberFormat="1" applyFont="1" applyFill="1" applyBorder="1" applyAlignment="1">
      <alignment horizontal="center" vertical="center"/>
    </xf>
    <xf numFmtId="43" fontId="30" fillId="0" borderId="4" xfId="3" applyFont="1" applyFill="1" applyBorder="1" applyAlignment="1">
      <alignment vertical="center" wrapText="1"/>
    </xf>
    <xf numFmtId="43" fontId="30" fillId="0" borderId="4" xfId="3" applyFont="1" applyFill="1" applyBorder="1" applyAlignment="1">
      <alignment wrapText="1"/>
    </xf>
    <xf numFmtId="166" fontId="23" fillId="0" borderId="4" xfId="3" applyNumberFormat="1" applyFont="1" applyFill="1" applyBorder="1" applyAlignment="1">
      <alignment horizontal="center"/>
    </xf>
    <xf numFmtId="166" fontId="297" fillId="0" borderId="4" xfId="3" applyNumberFormat="1" applyFont="1" applyFill="1" applyBorder="1" applyAlignment="1">
      <alignment horizontal="center" vertical="center"/>
    </xf>
    <xf numFmtId="43" fontId="297" fillId="0" borderId="0" xfId="3" applyFont="1" applyFill="1" applyAlignment="1">
      <alignment vertical="center"/>
    </xf>
    <xf numFmtId="43" fontId="23" fillId="0" borderId="4" xfId="3" applyFont="1" applyFill="1" applyBorder="1" applyAlignment="1">
      <alignment wrapText="1"/>
    </xf>
    <xf numFmtId="43" fontId="23" fillId="0" borderId="0" xfId="3" applyFont="1" applyFill="1" applyAlignment="1">
      <alignment horizontal="center" vertical="center"/>
    </xf>
    <xf numFmtId="166" fontId="297" fillId="0" borderId="4" xfId="3" applyNumberFormat="1" applyFont="1" applyFill="1" applyBorder="1" applyAlignment="1">
      <alignment horizontal="center"/>
    </xf>
    <xf numFmtId="43" fontId="297" fillId="0" borderId="0" xfId="3" applyFont="1" applyFill="1"/>
    <xf numFmtId="43" fontId="23" fillId="0" borderId="4" xfId="3" applyFont="1" applyFill="1" applyBorder="1" applyAlignment="1">
      <alignment horizontal="left" vertical="center" wrapText="1"/>
    </xf>
    <xf numFmtId="166" fontId="298" fillId="0" borderId="26" xfId="3" applyNumberFormat="1" applyFont="1" applyFill="1" applyBorder="1" applyAlignment="1">
      <alignment horizontal="center" vertical="center"/>
    </xf>
    <xf numFmtId="43" fontId="298" fillId="0" borderId="26" xfId="3" applyFont="1" applyFill="1" applyBorder="1" applyAlignment="1">
      <alignment vertical="center"/>
    </xf>
    <xf numFmtId="170" fontId="298" fillId="0" borderId="26" xfId="3" applyNumberFormat="1" applyFont="1" applyFill="1" applyBorder="1" applyAlignment="1">
      <alignment vertical="center"/>
    </xf>
    <xf numFmtId="166" fontId="23" fillId="0" borderId="0" xfId="3" applyNumberFormat="1" applyFont="1" applyFill="1"/>
    <xf numFmtId="43" fontId="30" fillId="0" borderId="3" xfId="3" applyFont="1" applyFill="1" applyBorder="1" applyAlignment="1">
      <alignment vertical="center"/>
    </xf>
    <xf numFmtId="43" fontId="23" fillId="0" borderId="3" xfId="3" applyFont="1" applyFill="1" applyBorder="1"/>
    <xf numFmtId="43" fontId="23" fillId="0" borderId="24" xfId="3" applyFont="1" applyFill="1" applyBorder="1"/>
    <xf numFmtId="43" fontId="301" fillId="0" borderId="0" xfId="3" applyFont="1" applyFill="1" applyBorder="1" applyAlignment="1"/>
    <xf numFmtId="43" fontId="301" fillId="0" borderId="0" xfId="3" applyFont="1" applyFill="1" applyAlignment="1">
      <alignment vertical="center"/>
    </xf>
    <xf numFmtId="43" fontId="22" fillId="0" borderId="0" xfId="3" applyFont="1" applyFill="1" applyAlignment="1"/>
    <xf numFmtId="43" fontId="30" fillId="0" borderId="0" xfId="0" applyNumberFormat="1" applyFont="1" applyFill="1"/>
    <xf numFmtId="169" fontId="30" fillId="0" borderId="0" xfId="3" applyNumberFormat="1" applyFont="1" applyFill="1"/>
    <xf numFmtId="4" fontId="16" fillId="0" borderId="0" xfId="19" applyNumberFormat="1" applyFont="1" applyFill="1"/>
    <xf numFmtId="166" fontId="21" fillId="0" borderId="4" xfId="18" applyNumberFormat="1" applyFont="1" applyFill="1" applyBorder="1" applyAlignment="1">
      <alignment vertical="center"/>
    </xf>
    <xf numFmtId="170" fontId="21" fillId="0" borderId="4" xfId="18" applyNumberFormat="1" applyFont="1" applyFill="1" applyBorder="1" applyAlignment="1">
      <alignment horizontal="left" vertical="center" wrapText="1"/>
    </xf>
    <xf numFmtId="170" fontId="21" fillId="0" borderId="4" xfId="18" applyNumberFormat="1" applyFont="1" applyFill="1" applyBorder="1" applyAlignment="1">
      <alignment horizontal="center" vertical="center"/>
    </xf>
    <xf numFmtId="170" fontId="21" fillId="0" borderId="28" xfId="18" applyNumberFormat="1" applyFont="1" applyFill="1" applyBorder="1" applyAlignment="1">
      <alignment horizontal="center" vertical="center"/>
    </xf>
    <xf numFmtId="170" fontId="21" fillId="0" borderId="1" xfId="18" applyNumberFormat="1" applyFont="1" applyFill="1" applyBorder="1" applyAlignment="1">
      <alignment horizontal="center" vertical="center"/>
    </xf>
    <xf numFmtId="170" fontId="21" fillId="0" borderId="4" xfId="18" applyNumberFormat="1" applyFont="1" applyFill="1" applyBorder="1" applyAlignment="1">
      <alignment horizontal="center" vertical="center" wrapText="1"/>
    </xf>
    <xf numFmtId="170" fontId="297" fillId="0" borderId="0" xfId="18" applyNumberFormat="1" applyFont="1" applyFill="1" applyAlignment="1">
      <alignment horizontal="center"/>
    </xf>
    <xf numFmtId="43" fontId="21" fillId="0" borderId="1" xfId="18" applyFont="1" applyFill="1" applyBorder="1" applyAlignment="1">
      <alignment horizontal="center" vertical="center"/>
    </xf>
    <xf numFmtId="0" fontId="54" fillId="0" borderId="0" xfId="1" applyFont="1" applyFill="1" applyAlignment="1">
      <alignment horizontal="center"/>
    </xf>
    <xf numFmtId="0" fontId="84" fillId="0" borderId="0" xfId="0" applyFont="1" applyAlignment="1">
      <alignment horizontal="left"/>
    </xf>
    <xf numFmtId="0" fontId="35" fillId="0" borderId="0" xfId="0" applyFont="1" applyAlignment="1">
      <alignment horizontal="right" vertical="center" wrapText="1"/>
    </xf>
    <xf numFmtId="0" fontId="14" fillId="0" borderId="0" xfId="0" applyFont="1" applyAlignment="1">
      <alignment horizontal="center"/>
    </xf>
    <xf numFmtId="0" fontId="54" fillId="0" borderId="0" xfId="2" applyFont="1" applyFill="1" applyAlignment="1">
      <alignment horizontal="center"/>
    </xf>
    <xf numFmtId="0" fontId="85" fillId="3" borderId="0" xfId="0" applyFont="1" applyFill="1" applyAlignment="1">
      <alignment horizontal="center"/>
    </xf>
    <xf numFmtId="0" fontId="8" fillId="0" borderId="0" xfId="0" applyFont="1" applyAlignment="1">
      <alignment horizontal="center"/>
    </xf>
    <xf numFmtId="0" fontId="84" fillId="0" borderId="0" xfId="0" applyFont="1" applyAlignment="1">
      <alignment horizontal="center"/>
    </xf>
    <xf numFmtId="0" fontId="0" fillId="0" borderId="0" xfId="0" applyAlignment="1">
      <alignment horizontal="center"/>
    </xf>
    <xf numFmtId="0" fontId="0" fillId="3" borderId="10" xfId="0" applyFill="1" applyBorder="1" applyAlignment="1">
      <alignment horizontal="center"/>
    </xf>
    <xf numFmtId="0" fontId="86" fillId="3" borderId="1" xfId="0" applyFont="1" applyFill="1" applyBorder="1" applyAlignment="1">
      <alignment horizontal="center" vertical="center" wrapText="1"/>
    </xf>
    <xf numFmtId="0" fontId="50" fillId="3" borderId="1" xfId="0" applyFont="1" applyFill="1" applyBorder="1" applyAlignment="1">
      <alignment horizontal="center" vertical="center" wrapText="1"/>
    </xf>
    <xf numFmtId="0" fontId="44" fillId="3" borderId="17" xfId="0" applyFont="1" applyFill="1" applyBorder="1" applyAlignment="1">
      <alignment horizontal="center" vertical="center" wrapText="1"/>
    </xf>
    <xf numFmtId="0" fontId="44" fillId="3" borderId="23" xfId="0" applyFont="1" applyFill="1" applyBorder="1" applyAlignment="1">
      <alignment horizontal="center" vertical="center" wrapText="1"/>
    </xf>
    <xf numFmtId="0" fontId="44" fillId="3" borderId="16" xfId="0" applyFont="1" applyFill="1" applyBorder="1" applyAlignment="1">
      <alignment horizontal="center" vertical="center" wrapText="1"/>
    </xf>
    <xf numFmtId="0" fontId="44" fillId="3" borderId="12" xfId="0" applyFont="1" applyFill="1" applyBorder="1" applyAlignment="1">
      <alignment horizontal="center" vertical="center" wrapText="1"/>
    </xf>
    <xf numFmtId="0" fontId="44" fillId="3" borderId="21" xfId="0" applyFont="1" applyFill="1" applyBorder="1" applyAlignment="1">
      <alignment horizontal="center" vertical="center" wrapText="1"/>
    </xf>
    <xf numFmtId="0" fontId="44" fillId="3" borderId="11" xfId="0" applyFont="1" applyFill="1" applyBorder="1" applyAlignment="1">
      <alignment horizontal="center" vertical="center" wrapText="1"/>
    </xf>
    <xf numFmtId="0" fontId="44" fillId="3" borderId="9" xfId="0" applyFont="1" applyFill="1" applyBorder="1" applyAlignment="1">
      <alignment horizontal="center" vertical="center" wrapText="1"/>
    </xf>
    <xf numFmtId="0" fontId="44" fillId="3" borderId="14" xfId="0" applyFont="1" applyFill="1" applyBorder="1" applyAlignment="1">
      <alignment horizontal="center" vertical="top" wrapText="1"/>
    </xf>
    <xf numFmtId="0" fontId="44" fillId="3" borderId="18" xfId="0" applyFont="1" applyFill="1" applyBorder="1" applyAlignment="1">
      <alignment horizontal="center" vertical="top" wrapText="1"/>
    </xf>
    <xf numFmtId="0" fontId="44" fillId="3" borderId="19" xfId="0" applyFont="1" applyFill="1" applyBorder="1" applyAlignment="1">
      <alignment horizontal="center" vertical="top" wrapText="1"/>
    </xf>
    <xf numFmtId="0" fontId="45" fillId="3" borderId="17" xfId="0" applyFont="1" applyFill="1" applyBorder="1" applyAlignment="1">
      <alignment horizontal="center" vertical="center" wrapText="1"/>
    </xf>
    <xf numFmtId="0" fontId="45" fillId="3" borderId="16" xfId="0" applyFont="1" applyFill="1" applyBorder="1" applyAlignment="1">
      <alignment horizontal="center" vertical="center" wrapText="1"/>
    </xf>
    <xf numFmtId="0" fontId="45" fillId="3" borderId="12" xfId="0" applyFont="1" applyFill="1" applyBorder="1" applyAlignment="1">
      <alignment horizontal="center" vertical="center" wrapText="1"/>
    </xf>
    <xf numFmtId="0" fontId="45" fillId="3" borderId="21" xfId="0" applyFont="1" applyFill="1" applyBorder="1" applyAlignment="1">
      <alignment horizontal="center" vertical="center" wrapText="1"/>
    </xf>
    <xf numFmtId="0" fontId="86" fillId="3" borderId="17" xfId="0" applyFont="1" applyFill="1" applyBorder="1" applyAlignment="1">
      <alignment horizontal="center" vertical="center" wrapText="1"/>
    </xf>
    <xf numFmtId="0" fontId="86" fillId="3" borderId="11" xfId="0" applyFont="1" applyFill="1" applyBorder="1" applyAlignment="1">
      <alignment horizontal="center" vertical="center" wrapText="1"/>
    </xf>
    <xf numFmtId="0" fontId="76" fillId="3" borderId="15" xfId="0" applyFont="1" applyFill="1" applyBorder="1" applyAlignment="1">
      <alignment horizontal="center" vertical="center" wrapText="1"/>
    </xf>
    <xf numFmtId="0" fontId="76" fillId="3" borderId="8" xfId="0" applyFont="1" applyFill="1" applyBorder="1" applyAlignment="1">
      <alignment horizontal="center" vertical="center" wrapText="1"/>
    </xf>
    <xf numFmtId="167" fontId="0" fillId="3" borderId="10" xfId="0" applyNumberFormat="1" applyFill="1" applyBorder="1" applyAlignment="1">
      <alignment horizontal="center"/>
    </xf>
    <xf numFmtId="0" fontId="86" fillId="3" borderId="15" xfId="0" applyFont="1" applyFill="1" applyBorder="1" applyAlignment="1">
      <alignment horizontal="center" vertical="center" wrapText="1"/>
    </xf>
    <xf numFmtId="0" fontId="86" fillId="3" borderId="8" xfId="0" applyFont="1" applyFill="1" applyBorder="1" applyAlignment="1">
      <alignment horizontal="center" vertical="center" wrapText="1"/>
    </xf>
    <xf numFmtId="0" fontId="45" fillId="3" borderId="23" xfId="0" applyFont="1" applyFill="1" applyBorder="1" applyAlignment="1">
      <alignment horizontal="center" vertical="center" wrapText="1"/>
    </xf>
    <xf numFmtId="0" fontId="44" fillId="3" borderId="15" xfId="0" applyFont="1" applyFill="1" applyBorder="1" applyAlignment="1">
      <alignment horizontal="center" vertical="center" wrapText="1"/>
    </xf>
    <xf numFmtId="0" fontId="44" fillId="3" borderId="8" xfId="0" applyFont="1" applyFill="1" applyBorder="1" applyAlignment="1">
      <alignment horizontal="center" vertical="center" wrapText="1"/>
    </xf>
    <xf numFmtId="0" fontId="45" fillId="3" borderId="5" xfId="0" applyFont="1" applyFill="1" applyBorder="1" applyAlignment="1">
      <alignment horizontal="center" vertical="center" wrapText="1"/>
    </xf>
    <xf numFmtId="0" fontId="82" fillId="3" borderId="0" xfId="0" applyFont="1" applyFill="1" applyAlignment="1">
      <alignment horizontal="center" vertical="center" wrapText="1"/>
    </xf>
    <xf numFmtId="0" fontId="83" fillId="3" borderId="0" xfId="0" applyFont="1" applyFill="1" applyAlignment="1">
      <alignment horizontal="center" vertical="center" wrapText="1"/>
    </xf>
    <xf numFmtId="0" fontId="68" fillId="0" borderId="0" xfId="0" applyFont="1" applyBorder="1" applyAlignment="1">
      <alignment horizontal="center" vertical="center"/>
    </xf>
    <xf numFmtId="0" fontId="13" fillId="0" borderId="0" xfId="0" applyFont="1"/>
    <xf numFmtId="0" fontId="38" fillId="0" borderId="0" xfId="2" applyFont="1" applyFill="1" applyAlignment="1">
      <alignment horizontal="center"/>
    </xf>
    <xf numFmtId="0" fontId="38" fillId="0" borderId="0" xfId="1" applyFont="1" applyFill="1" applyAlignment="1">
      <alignment horizontal="center"/>
    </xf>
    <xf numFmtId="0" fontId="36" fillId="3" borderId="0" xfId="0" applyFont="1" applyFill="1" applyAlignment="1">
      <alignment horizontal="center"/>
    </xf>
    <xf numFmtId="0" fontId="58" fillId="0" borderId="10" xfId="0" applyFont="1" applyBorder="1" applyAlignment="1">
      <alignment horizontal="center"/>
    </xf>
    <xf numFmtId="0" fontId="70" fillId="0" borderId="1" xfId="0" applyFont="1" applyBorder="1" applyAlignment="1">
      <alignment horizontal="center" vertical="center" wrapText="1"/>
    </xf>
    <xf numFmtId="0" fontId="70" fillId="3" borderId="15" xfId="0" applyFont="1" applyFill="1" applyBorder="1" applyAlignment="1">
      <alignment horizontal="center" vertical="center" wrapText="1"/>
    </xf>
    <xf numFmtId="0" fontId="70" fillId="3" borderId="8" xfId="0" applyFont="1" applyFill="1" applyBorder="1" applyAlignment="1">
      <alignment horizontal="center" vertical="center" wrapText="1"/>
    </xf>
    <xf numFmtId="0" fontId="70" fillId="3" borderId="14" xfId="0" applyFont="1" applyFill="1" applyBorder="1" applyAlignment="1">
      <alignment horizontal="center" vertical="center" wrapText="1"/>
    </xf>
    <xf numFmtId="0" fontId="70" fillId="3" borderId="18" xfId="0" applyFont="1" applyFill="1" applyBorder="1" applyAlignment="1">
      <alignment horizontal="center" vertical="center" wrapText="1"/>
    </xf>
    <xf numFmtId="0" fontId="70" fillId="3" borderId="19" xfId="0" applyFont="1" applyFill="1" applyBorder="1" applyAlignment="1">
      <alignment horizontal="center" vertical="center" wrapText="1"/>
    </xf>
    <xf numFmtId="0" fontId="70" fillId="0" borderId="17" xfId="0" applyFont="1" applyBorder="1" applyAlignment="1">
      <alignment horizontal="center" vertical="center" wrapText="1"/>
    </xf>
    <xf numFmtId="0" fontId="70" fillId="0" borderId="16" xfId="0" applyFont="1" applyBorder="1" applyAlignment="1">
      <alignment horizontal="center" vertical="center" wrapText="1"/>
    </xf>
    <xf numFmtId="0" fontId="71" fillId="0" borderId="17" xfId="0" applyFont="1" applyBorder="1" applyAlignment="1">
      <alignment horizontal="center" vertical="center" wrapText="1"/>
    </xf>
    <xf numFmtId="0" fontId="71" fillId="0" borderId="16" xfId="0" applyFont="1" applyBorder="1" applyAlignment="1">
      <alignment horizontal="center" vertical="center" wrapText="1"/>
    </xf>
    <xf numFmtId="0" fontId="82" fillId="0" borderId="0" xfId="0" applyFont="1" applyAlignment="1">
      <alignment horizontal="center" vertical="center" wrapText="1"/>
    </xf>
    <xf numFmtId="0" fontId="83" fillId="0" borderId="0" xfId="0" applyFont="1" applyAlignment="1">
      <alignment horizontal="center" vertical="center" wrapText="1"/>
    </xf>
    <xf numFmtId="0" fontId="58" fillId="0" borderId="10" xfId="0" applyFont="1" applyBorder="1" applyAlignment="1">
      <alignment horizontal="right"/>
    </xf>
    <xf numFmtId="0" fontId="51" fillId="0" borderId="0" xfId="0" applyFont="1" applyAlignment="1">
      <alignment horizontal="center"/>
    </xf>
    <xf numFmtId="0" fontId="51" fillId="0" borderId="0" xfId="0" applyFont="1" applyAlignment="1">
      <alignment horizontal="left"/>
    </xf>
    <xf numFmtId="0" fontId="52" fillId="0" borderId="0" xfId="0" applyFont="1" applyBorder="1" applyAlignment="1">
      <alignment horizontal="right" vertical="center" wrapText="1"/>
    </xf>
    <xf numFmtId="0" fontId="34" fillId="0" borderId="0" xfId="0" applyFont="1" applyAlignment="1">
      <alignment horizontal="center" vertical="center" wrapText="1"/>
    </xf>
    <xf numFmtId="0" fontId="55" fillId="2" borderId="0" xfId="0" applyFont="1" applyFill="1" applyAlignment="1">
      <alignment horizontal="center"/>
    </xf>
    <xf numFmtId="0" fontId="56" fillId="0" borderId="0" xfId="0" applyFont="1" applyAlignment="1">
      <alignment horizontal="center"/>
    </xf>
    <xf numFmtId="178" fontId="41" fillId="0" borderId="10" xfId="3" applyNumberFormat="1" applyFont="1" applyBorder="1" applyAlignment="1">
      <alignment horizontal="right" vertical="center"/>
    </xf>
    <xf numFmtId="0" fontId="46" fillId="2" borderId="1" xfId="0" applyFont="1" applyFill="1" applyBorder="1" applyAlignment="1">
      <alignment horizontal="center" vertical="center" wrapText="1"/>
    </xf>
    <xf numFmtId="0" fontId="46" fillId="2" borderId="15" xfId="0" applyFont="1" applyFill="1" applyBorder="1" applyAlignment="1">
      <alignment horizontal="center" vertical="center" wrapText="1"/>
    </xf>
    <xf numFmtId="0" fontId="46" fillId="2" borderId="7" xfId="0" applyFont="1" applyFill="1" applyBorder="1" applyAlignment="1">
      <alignment horizontal="center" vertical="center" wrapText="1"/>
    </xf>
    <xf numFmtId="0" fontId="46" fillId="2" borderId="8" xfId="0" applyFont="1" applyFill="1" applyBorder="1" applyAlignment="1">
      <alignment horizontal="center" vertical="center" wrapText="1"/>
    </xf>
    <xf numFmtId="0" fontId="46" fillId="3" borderId="14" xfId="0" applyFont="1" applyFill="1" applyBorder="1" applyAlignment="1">
      <alignment horizontal="center" vertical="center" wrapText="1"/>
    </xf>
    <xf numFmtId="0" fontId="46" fillId="3" borderId="18" xfId="0" applyFont="1" applyFill="1" applyBorder="1" applyAlignment="1">
      <alignment horizontal="center" vertical="center" wrapText="1"/>
    </xf>
    <xf numFmtId="0" fontId="46" fillId="3" borderId="19" xfId="0" applyFont="1" applyFill="1" applyBorder="1" applyAlignment="1">
      <alignment horizontal="center" vertical="center" wrapText="1"/>
    </xf>
    <xf numFmtId="0" fontId="59" fillId="3" borderId="14" xfId="0" applyFont="1" applyFill="1" applyBorder="1" applyAlignment="1">
      <alignment horizontal="center" vertical="center" wrapText="1"/>
    </xf>
    <xf numFmtId="0" fontId="59" fillId="3" borderId="18" xfId="0" applyFont="1" applyFill="1" applyBorder="1" applyAlignment="1">
      <alignment horizontal="center" vertical="center" wrapText="1"/>
    </xf>
    <xf numFmtId="0" fontId="59" fillId="3" borderId="19" xfId="0" applyFont="1" applyFill="1" applyBorder="1" applyAlignment="1">
      <alignment horizontal="center" vertical="center" wrapText="1"/>
    </xf>
    <xf numFmtId="0" fontId="59" fillId="2" borderId="17" xfId="0" applyFont="1" applyFill="1" applyBorder="1" applyAlignment="1">
      <alignment horizontal="center" vertical="center" wrapText="1"/>
    </xf>
    <xf numFmtId="0" fontId="59" fillId="2" borderId="16" xfId="0" applyFont="1" applyFill="1" applyBorder="1" applyAlignment="1">
      <alignment horizontal="center" vertical="center" wrapText="1"/>
    </xf>
    <xf numFmtId="0" fontId="59" fillId="2" borderId="11" xfId="0" applyFont="1" applyFill="1" applyBorder="1" applyAlignment="1">
      <alignment horizontal="center" vertical="center" wrapText="1"/>
    </xf>
    <xf numFmtId="0" fontId="59" fillId="2" borderId="9" xfId="0" applyFont="1" applyFill="1" applyBorder="1" applyAlignment="1">
      <alignment horizontal="center" vertical="center" wrapText="1"/>
    </xf>
    <xf numFmtId="0" fontId="60" fillId="3" borderId="17" xfId="0" applyFont="1" applyFill="1" applyBorder="1" applyAlignment="1">
      <alignment horizontal="center" vertical="center" wrapText="1"/>
    </xf>
    <xf numFmtId="0" fontId="60" fillId="3" borderId="16" xfId="0" applyFont="1" applyFill="1" applyBorder="1" applyAlignment="1">
      <alignment horizontal="center" vertical="center" wrapText="1"/>
    </xf>
    <xf numFmtId="0" fontId="60" fillId="3" borderId="11" xfId="0" applyFont="1" applyFill="1" applyBorder="1" applyAlignment="1">
      <alignment horizontal="center" vertical="center" wrapText="1"/>
    </xf>
    <xf numFmtId="0" fontId="60" fillId="3" borderId="9" xfId="0" applyFont="1" applyFill="1" applyBorder="1" applyAlignment="1">
      <alignment horizontal="center" vertical="center" wrapText="1"/>
    </xf>
    <xf numFmtId="0" fontId="34" fillId="2" borderId="0" xfId="0" applyFont="1" applyFill="1" applyAlignment="1">
      <alignment horizontal="center" vertical="center" wrapText="1"/>
    </xf>
    <xf numFmtId="0" fontId="66" fillId="2" borderId="23" xfId="0" applyFont="1" applyFill="1" applyBorder="1" applyAlignment="1">
      <alignment horizontal="center" vertical="center" wrapText="1"/>
    </xf>
    <xf numFmtId="0" fontId="66" fillId="2" borderId="0" xfId="0" applyFont="1" applyFill="1" applyAlignment="1">
      <alignment horizontal="center" vertical="center" wrapText="1"/>
    </xf>
    <xf numFmtId="0" fontId="12" fillId="0" borderId="0" xfId="19" applyFont="1" applyFill="1" applyAlignment="1">
      <alignment horizontal="center" vertical="center" wrapText="1"/>
    </xf>
    <xf numFmtId="0" fontId="18" fillId="0" borderId="15" xfId="19" applyFont="1" applyFill="1" applyBorder="1" applyAlignment="1">
      <alignment horizontal="center" vertical="center" wrapText="1"/>
    </xf>
    <xf numFmtId="0" fontId="18" fillId="0" borderId="8" xfId="19" applyFont="1" applyFill="1" applyBorder="1" applyAlignment="1">
      <alignment horizontal="center" vertical="center" wrapText="1"/>
    </xf>
    <xf numFmtId="0" fontId="18" fillId="0" borderId="17" xfId="19" applyFont="1" applyFill="1" applyBorder="1" applyAlignment="1">
      <alignment horizontal="center" vertical="center" wrapText="1"/>
    </xf>
    <xf numFmtId="0" fontId="18" fillId="0" borderId="16" xfId="19" applyFont="1" applyFill="1" applyBorder="1" applyAlignment="1">
      <alignment horizontal="center" vertical="center" wrapText="1"/>
    </xf>
    <xf numFmtId="170" fontId="18" fillId="0" borderId="17" xfId="3" applyNumberFormat="1" applyFont="1" applyFill="1" applyBorder="1" applyAlignment="1">
      <alignment horizontal="center" vertical="center" wrapText="1"/>
    </xf>
    <xf numFmtId="170" fontId="18" fillId="0" borderId="16" xfId="3" applyNumberFormat="1" applyFont="1" applyFill="1" applyBorder="1" applyAlignment="1">
      <alignment horizontal="center" vertical="center" wrapText="1"/>
    </xf>
    <xf numFmtId="0" fontId="14" fillId="0" borderId="0" xfId="19" applyFont="1" applyFill="1" applyAlignment="1">
      <alignment horizontal="center" vertical="center"/>
    </xf>
    <xf numFmtId="170" fontId="29" fillId="0" borderId="10" xfId="3" applyNumberFormat="1" applyFont="1" applyFill="1" applyBorder="1" applyAlignment="1">
      <alignment horizontal="right" vertical="center"/>
    </xf>
    <xf numFmtId="0" fontId="295" fillId="0" borderId="0" xfId="19" applyFont="1" applyFill="1" applyAlignment="1">
      <alignment horizontal="center" vertical="center" wrapText="1"/>
    </xf>
    <xf numFmtId="0" fontId="16" fillId="0" borderId="0" xfId="19" applyFont="1" applyFill="1" applyAlignment="1">
      <alignment horizontal="center" vertical="center" wrapText="1"/>
    </xf>
    <xf numFmtId="0" fontId="14" fillId="0" borderId="0" xfId="19" applyFont="1" applyFill="1" applyBorder="1" applyAlignment="1">
      <alignment horizontal="center" vertical="center" wrapText="1"/>
    </xf>
    <xf numFmtId="43" fontId="27" fillId="0" borderId="10" xfId="3" applyFont="1" applyFill="1" applyBorder="1" applyAlignment="1">
      <alignment horizontal="left" vertical="center"/>
    </xf>
    <xf numFmtId="0" fontId="30" fillId="0" borderId="0" xfId="0" applyFont="1" applyFill="1" applyAlignment="1">
      <alignment horizontal="center" vertical="center"/>
    </xf>
    <xf numFmtId="0" fontId="30" fillId="0" borderId="0" xfId="0" applyFont="1" applyFill="1" applyBorder="1" applyAlignment="1">
      <alignment horizontal="left" vertical="center" wrapText="1"/>
    </xf>
    <xf numFmtId="43" fontId="30" fillId="0" borderId="0" xfId="3" applyFont="1" applyFill="1" applyBorder="1" applyAlignment="1">
      <alignment horizontal="center" vertical="center" wrapText="1"/>
    </xf>
    <xf numFmtId="43" fontId="30" fillId="0" borderId="14" xfId="3" applyFont="1" applyFill="1" applyBorder="1" applyAlignment="1">
      <alignment horizontal="center" vertical="center" wrapText="1"/>
    </xf>
    <xf numFmtId="43" fontId="30" fillId="0" borderId="18" xfId="3" applyFont="1" applyFill="1" applyBorder="1" applyAlignment="1">
      <alignment horizontal="center" vertical="center" wrapText="1"/>
    </xf>
    <xf numFmtId="43" fontId="30" fillId="0" borderId="19" xfId="3" applyFont="1" applyFill="1" applyBorder="1" applyAlignment="1">
      <alignment horizontal="center" vertical="center" wrapText="1"/>
    </xf>
    <xf numFmtId="43" fontId="30" fillId="0" borderId="15" xfId="3" applyFont="1" applyFill="1" applyBorder="1" applyAlignment="1">
      <alignment horizontal="center" vertical="center" wrapText="1"/>
    </xf>
    <xf numFmtId="43" fontId="30" fillId="0" borderId="8" xfId="3" applyFont="1" applyFill="1" applyBorder="1" applyAlignment="1">
      <alignment horizontal="center" vertical="center" wrapText="1"/>
    </xf>
    <xf numFmtId="43" fontId="23" fillId="0" borderId="1" xfId="3" applyFont="1" applyFill="1" applyBorder="1" applyAlignment="1">
      <alignment horizontal="center"/>
    </xf>
    <xf numFmtId="0" fontId="30" fillId="0" borderId="1" xfId="0" applyFont="1" applyFill="1" applyBorder="1" applyAlignment="1">
      <alignment horizontal="center" vertical="center" wrapText="1"/>
    </xf>
    <xf numFmtId="0" fontId="30" fillId="0" borderId="15" xfId="0" applyFont="1" applyBorder="1" applyAlignment="1">
      <alignment horizontal="center" vertical="center" wrapText="1"/>
    </xf>
    <xf numFmtId="0" fontId="30" fillId="0" borderId="7" xfId="0" applyFont="1" applyBorder="1" applyAlignment="1">
      <alignment horizontal="center" vertical="center" wrapText="1"/>
    </xf>
    <xf numFmtId="0" fontId="30" fillId="0" borderId="8" xfId="0" applyFont="1" applyBorder="1" applyAlignment="1">
      <alignment horizontal="center" vertical="center" wrapText="1"/>
    </xf>
    <xf numFmtId="0" fontId="21" fillId="0" borderId="0" xfId="0" applyFont="1" applyBorder="1" applyAlignment="1">
      <alignment horizontal="center" vertical="center" wrapText="1"/>
    </xf>
    <xf numFmtId="0" fontId="24" fillId="0" borderId="0" xfId="0" applyFont="1" applyAlignment="1">
      <alignment horizontal="center"/>
    </xf>
    <xf numFmtId="0" fontId="28" fillId="0" borderId="10" xfId="0" applyFont="1" applyBorder="1" applyAlignment="1">
      <alignment horizontal="center" vertical="center"/>
    </xf>
    <xf numFmtId="0" fontId="30" fillId="0" borderId="15" xfId="0" applyFont="1" applyBorder="1" applyAlignment="1">
      <alignment horizontal="center" vertical="center"/>
    </xf>
    <xf numFmtId="0" fontId="30" fillId="0" borderId="7" xfId="0" applyFont="1" applyBorder="1" applyAlignment="1">
      <alignment horizontal="center" vertical="center"/>
    </xf>
    <xf numFmtId="0" fontId="30" fillId="0" borderId="8" xfId="0" applyFont="1" applyBorder="1" applyAlignment="1">
      <alignment horizontal="center" vertical="center"/>
    </xf>
    <xf numFmtId="0" fontId="30" fillId="0" borderId="14" xfId="0" applyFont="1" applyBorder="1" applyAlignment="1">
      <alignment horizontal="center" wrapText="1"/>
    </xf>
    <xf numFmtId="0" fontId="30" fillId="0" borderId="19" xfId="0" applyFont="1" applyBorder="1" applyAlignment="1">
      <alignment horizontal="center" wrapText="1"/>
    </xf>
    <xf numFmtId="170" fontId="21" fillId="0" borderId="4" xfId="18" applyNumberFormat="1" applyFont="1" applyFill="1" applyBorder="1" applyAlignment="1">
      <alignment horizontal="center" vertical="center"/>
    </xf>
    <xf numFmtId="170" fontId="21" fillId="0" borderId="28" xfId="18" applyNumberFormat="1" applyFont="1" applyFill="1" applyBorder="1" applyAlignment="1">
      <alignment horizontal="center" vertical="center"/>
    </xf>
    <xf numFmtId="170" fontId="21" fillId="0" borderId="25" xfId="18" applyNumberFormat="1" applyFont="1" applyFill="1" applyBorder="1" applyAlignment="1">
      <alignment horizontal="center" vertical="center"/>
    </xf>
    <xf numFmtId="170" fontId="21" fillId="0" borderId="1" xfId="18" applyNumberFormat="1" applyFont="1" applyFill="1" applyBorder="1" applyAlignment="1">
      <alignment horizontal="center" vertical="center" wrapText="1"/>
    </xf>
    <xf numFmtId="170" fontId="21" fillId="0" borderId="1" xfId="18" applyNumberFormat="1" applyFont="1" applyFill="1" applyBorder="1" applyAlignment="1">
      <alignment horizontal="center" vertical="center"/>
    </xf>
    <xf numFmtId="177" fontId="21" fillId="0" borderId="1" xfId="3" applyNumberFormat="1" applyFont="1" applyFill="1" applyBorder="1" applyAlignment="1">
      <alignment horizontal="center" vertical="center" wrapText="1"/>
    </xf>
    <xf numFmtId="170" fontId="296" fillId="0" borderId="1" xfId="18" applyNumberFormat="1" applyFont="1" applyFill="1" applyBorder="1" applyAlignment="1">
      <alignment horizontal="center" vertical="center" wrapText="1"/>
    </xf>
    <xf numFmtId="170" fontId="296" fillId="0" borderId="1" xfId="18" applyNumberFormat="1" applyFont="1" applyFill="1" applyBorder="1" applyAlignment="1">
      <alignment horizontal="center" vertical="center"/>
    </xf>
    <xf numFmtId="170" fontId="21" fillId="0" borderId="4" xfId="18" applyNumberFormat="1" applyFont="1" applyFill="1" applyBorder="1" applyAlignment="1">
      <alignment horizontal="center" vertical="center" wrapText="1"/>
    </xf>
    <xf numFmtId="170" fontId="21" fillId="0" borderId="28" xfId="18" applyNumberFormat="1" applyFont="1" applyFill="1" applyBorder="1" applyAlignment="1">
      <alignment horizontal="center" vertical="center" wrapText="1"/>
    </xf>
    <xf numFmtId="170" fontId="21" fillId="0" borderId="7" xfId="18" applyNumberFormat="1" applyFont="1" applyFill="1" applyBorder="1" applyAlignment="1">
      <alignment horizontal="center" vertical="center" wrapText="1"/>
    </xf>
    <xf numFmtId="170" fontId="21" fillId="0" borderId="25" xfId="18" applyNumberFormat="1" applyFont="1" applyFill="1" applyBorder="1" applyAlignment="1">
      <alignment horizontal="center" vertical="center" wrapText="1"/>
    </xf>
    <xf numFmtId="43" fontId="24" fillId="0" borderId="0" xfId="18" applyFont="1" applyFill="1"/>
    <xf numFmtId="170" fontId="297" fillId="0" borderId="0" xfId="18" applyNumberFormat="1" applyFont="1" applyFill="1" applyAlignment="1">
      <alignment horizontal="center"/>
    </xf>
    <xf numFmtId="43" fontId="24" fillId="0" borderId="0" xfId="18" applyFont="1" applyFill="1" applyAlignment="1">
      <alignment horizontal="center" vertical="center" wrapText="1"/>
    </xf>
    <xf numFmtId="166" fontId="21" fillId="0" borderId="1" xfId="18" applyNumberFormat="1" applyFont="1" applyFill="1" applyBorder="1" applyAlignment="1">
      <alignment horizontal="center" vertical="center"/>
    </xf>
    <xf numFmtId="43" fontId="21" fillId="0" borderId="1" xfId="18" applyFont="1" applyFill="1" applyBorder="1" applyAlignment="1">
      <alignment horizontal="center" vertical="center"/>
    </xf>
    <xf numFmtId="177" fontId="30" fillId="0" borderId="1" xfId="18" applyNumberFormat="1" applyFont="1" applyFill="1" applyBorder="1" applyAlignment="1">
      <alignment horizontal="center" vertical="center"/>
    </xf>
    <xf numFmtId="43" fontId="21" fillId="0" borderId="1" xfId="18" applyFont="1" applyFill="1" applyBorder="1" applyAlignment="1">
      <alignment horizontal="center" vertical="center" wrapText="1"/>
    </xf>
    <xf numFmtId="166" fontId="21" fillId="0" borderId="1" xfId="18" applyNumberFormat="1" applyFont="1" applyFill="1" applyBorder="1" applyAlignment="1">
      <alignment horizontal="center" vertical="center" wrapText="1"/>
    </xf>
    <xf numFmtId="177" fontId="21" fillId="0" borderId="1" xfId="18" applyNumberFormat="1" applyFont="1" applyFill="1" applyBorder="1" applyAlignment="1">
      <alignment horizontal="center" vertical="center" wrapText="1"/>
    </xf>
    <xf numFmtId="43" fontId="297" fillId="0" borderId="1" xfId="3" applyFont="1" applyFill="1" applyBorder="1" applyAlignment="1">
      <alignment horizontal="center" vertical="center" wrapText="1"/>
    </xf>
    <xf numFmtId="43" fontId="297" fillId="0" borderId="19" xfId="3" applyFont="1" applyFill="1" applyBorder="1" applyAlignment="1">
      <alignment horizontal="center" vertical="center" wrapText="1"/>
    </xf>
    <xf numFmtId="43" fontId="298" fillId="0" borderId="14" xfId="3" applyFont="1" applyFill="1" applyBorder="1" applyAlignment="1">
      <alignment horizontal="center" vertical="center"/>
    </xf>
    <xf numFmtId="43" fontId="298" fillId="0" borderId="18" xfId="3" applyFont="1" applyFill="1" applyBorder="1" applyAlignment="1">
      <alignment horizontal="center" vertical="center"/>
    </xf>
    <xf numFmtId="43" fontId="298" fillId="0" borderId="1" xfId="3" applyFont="1" applyFill="1" applyBorder="1" applyAlignment="1">
      <alignment horizontal="center" vertical="center"/>
    </xf>
    <xf numFmtId="170" fontId="297" fillId="0" borderId="1" xfId="3" applyNumberFormat="1" applyFont="1" applyFill="1" applyBorder="1" applyAlignment="1">
      <alignment horizontal="center" vertical="center" wrapText="1"/>
    </xf>
    <xf numFmtId="43" fontId="297" fillId="0" borderId="15" xfId="3" applyFont="1" applyFill="1" applyBorder="1" applyAlignment="1">
      <alignment horizontal="center" vertical="center" wrapText="1"/>
    </xf>
    <xf numFmtId="43" fontId="297" fillId="0" borderId="8" xfId="3" applyFont="1" applyFill="1" applyBorder="1" applyAlignment="1">
      <alignment horizontal="center" vertical="center" wrapText="1"/>
    </xf>
    <xf numFmtId="43" fontId="298" fillId="0" borderId="14" xfId="3" applyFont="1" applyFill="1" applyBorder="1" applyAlignment="1">
      <alignment horizontal="center" vertical="center" wrapText="1"/>
    </xf>
    <xf numFmtId="43" fontId="298" fillId="0" borderId="18" xfId="3" applyFont="1" applyFill="1" applyBorder="1" applyAlignment="1">
      <alignment horizontal="center" vertical="center" wrapText="1"/>
    </xf>
    <xf numFmtId="43" fontId="298" fillId="0" borderId="1" xfId="3" applyFont="1" applyFill="1" applyBorder="1" applyAlignment="1">
      <alignment horizontal="center" vertical="center" wrapText="1"/>
    </xf>
    <xf numFmtId="166" fontId="298" fillId="0" borderId="1" xfId="3" applyNumberFormat="1" applyFont="1" applyFill="1" applyBorder="1" applyAlignment="1">
      <alignment horizontal="center" vertical="center" wrapText="1"/>
    </xf>
    <xf numFmtId="43" fontId="297" fillId="0" borderId="14" xfId="3" applyFont="1" applyFill="1" applyBorder="1" applyAlignment="1">
      <alignment horizontal="center" vertical="center" wrapText="1"/>
    </xf>
    <xf numFmtId="43" fontId="27" fillId="0" borderId="0" xfId="3" applyFont="1" applyFill="1" applyBorder="1" applyAlignment="1">
      <alignment horizontal="center"/>
    </xf>
    <xf numFmtId="43" fontId="27" fillId="0" borderId="10" xfId="3" applyFont="1" applyFill="1" applyBorder="1" applyAlignment="1">
      <alignment horizontal="center"/>
    </xf>
    <xf numFmtId="43" fontId="22" fillId="0" borderId="0" xfId="3" applyFont="1" applyFill="1" applyAlignment="1">
      <alignment horizontal="center"/>
    </xf>
    <xf numFmtId="43" fontId="301" fillId="0" borderId="0" xfId="3" applyFont="1" applyFill="1" applyBorder="1" applyAlignment="1">
      <alignment horizontal="center"/>
    </xf>
  </cellXfs>
  <cellStyles count="2020">
    <cellStyle name="_x0001_" xfId="21"/>
    <cellStyle name="          _x000d__x000a_shell=progman.exe_x000d__x000a_m" xfId="22"/>
    <cellStyle name="          _x000d__x000a_shell=progman.exe_x000d__x000a_m 2" xfId="23"/>
    <cellStyle name="#,##0" xfId="24"/>
    <cellStyle name="." xfId="25"/>
    <cellStyle name="._Book1" xfId="26"/>
    <cellStyle name="._VBPL kiểm toán Đầu tư XDCB 2010" xfId="27"/>
    <cellStyle name=".d©y" xfId="28"/>
    <cellStyle name="??" xfId="29"/>
    <cellStyle name="?? [ - ??1" xfId="30"/>
    <cellStyle name="?? [ - ??2" xfId="31"/>
    <cellStyle name="?? [ - ??3" xfId="32"/>
    <cellStyle name="?? [ - ??4" xfId="33"/>
    <cellStyle name="?? [ - ??5" xfId="34"/>
    <cellStyle name="?? [ - ??6" xfId="35"/>
    <cellStyle name="?? [ - ??7" xfId="36"/>
    <cellStyle name="?? [ - ??8" xfId="37"/>
    <cellStyle name="?? [0.00]_        " xfId="38"/>
    <cellStyle name="?? [0]" xfId="39"/>
    <cellStyle name="?_x001d_??%U©÷u&amp;H©÷9_x0008_? s_x000a__x0007__x0001__x0001_" xfId="40"/>
    <cellStyle name="???? [0.00]_      " xfId="41"/>
    <cellStyle name="??????" xfId="42"/>
    <cellStyle name="??????????????????? [0]_FTC_OFFER" xfId="43"/>
    <cellStyle name="???????????????????_FTC_OFFER" xfId="44"/>
    <cellStyle name="????_      " xfId="45"/>
    <cellStyle name="???[0]_?? DI" xfId="46"/>
    <cellStyle name="???_?? DI" xfId="47"/>
    <cellStyle name="??[0]_BRE" xfId="48"/>
    <cellStyle name="??_      " xfId="49"/>
    <cellStyle name="??A? [0]_laroux_1_¢¬???¢â? " xfId="50"/>
    <cellStyle name="??A?_laroux_1_¢¬???¢â? " xfId="51"/>
    <cellStyle name="?¡±¢¥?_?¨ù??¢´¢¥_¢¬???¢â? " xfId="52"/>
    <cellStyle name="?ðÇ%U?&amp;H?_x0008_?s_x000a__x0007__x0001__x0001_" xfId="53"/>
    <cellStyle name="[0]_Chi phÝ kh¸c_V" xfId="54"/>
    <cellStyle name="_1 TONG HOP - CA NA" xfId="55"/>
    <cellStyle name="_130307 So sanh thuc hien 2012 - du toan 2012 moi (pan khac)" xfId="56"/>
    <cellStyle name="_130313 Mau  bieu bao cao nguon luc cua dia phuong sua" xfId="57"/>
    <cellStyle name="_130818 Tong hop Danh gia thu 2013" xfId="58"/>
    <cellStyle name="_130818 Tong hop Danh gia thu 2013_140921 bu giam thu ND 209" xfId="59"/>
    <cellStyle name="_130818 Tong hop Danh gia thu 2013_140921 bu giam thu ND 209_Phu luc so 5 - sua ngay 04-01" xfId="60"/>
    <cellStyle name="_Bang Chi tieu (2)" xfId="61"/>
    <cellStyle name="_Bang Chi tieu (2) 2" xfId="62"/>
    <cellStyle name="_BAO GIA NGAY 24-10-08 (co dam)" xfId="63"/>
    <cellStyle name="_Bao gia TB Kon Dao 2010" xfId="64"/>
    <cellStyle name="_Biểu KH 5 năm gửi UB sửa biểu VHXH" xfId="65"/>
    <cellStyle name="_Bieu tong hop nhu cau ung_Mien Trung" xfId="66"/>
    <cellStyle name="_Bieu ung von 2011 NSNN - TPCP vung DBSClong (10-6-2010)" xfId="67"/>
    <cellStyle name="_Book1" xfId="68"/>
    <cellStyle name="_Book1_1" xfId="69"/>
    <cellStyle name="_Book1_2" xfId="70"/>
    <cellStyle name="_Book1_3" xfId="71"/>
    <cellStyle name="_Book1_BC-QT-WB-dthao" xfId="72"/>
    <cellStyle name="_Book1_Book1" xfId="73"/>
    <cellStyle name="_Book1_DT truong thinh phu" xfId="74"/>
    <cellStyle name="_Book1_Kh ql62 (2010) 11-09" xfId="75"/>
    <cellStyle name="_Book1_khoiluongbdacdoa" xfId="76"/>
    <cellStyle name="_Book1_Kiem Tra Don Gia" xfId="77"/>
    <cellStyle name="_Book1_TH KHAI TOAN THU THIEM cac tuyen TT noi" xfId="78"/>
    <cellStyle name="_C.cong+B.luong-Sanluong" xfId="79"/>
    <cellStyle name="_DG 2012-DT2013 - Theo sac thue -sua" xfId="80"/>
    <cellStyle name="_DG 2012-DT2013 - Theo sac thue -sua_120907 Thu tang them 4500" xfId="81"/>
    <cellStyle name="_DG 2012-DT2013 - Theo sac thue -sua_27-8Tong hop PA uoc 2012-DT 2013 -PA 420.000 ty-490.000 ty chuyen doi" xfId="82"/>
    <cellStyle name="_DO-D1500-KHONG CO TRONG DT" xfId="83"/>
    <cellStyle name="_DT truong thinh phu" xfId="84"/>
    <cellStyle name="_DTDT BL-DL" xfId="85"/>
    <cellStyle name="_du toan lan 3" xfId="86"/>
    <cellStyle name="_Duyet TK thay đôi" xfId="87"/>
    <cellStyle name="_GOITHAUSO2" xfId="88"/>
    <cellStyle name="_GOITHAUSO3" xfId="89"/>
    <cellStyle name="_GOITHAUSO4" xfId="90"/>
    <cellStyle name="_GTXD GOI 2" xfId="91"/>
    <cellStyle name="_GTXD GOI1" xfId="92"/>
    <cellStyle name="_GTXD GOI3" xfId="93"/>
    <cellStyle name="_HaHoa_TDT_DienCSang" xfId="94"/>
    <cellStyle name="_HaHoa_TDT_DienCSang 2" xfId="95"/>
    <cellStyle name="_HaHoa19-5-07" xfId="96"/>
    <cellStyle name="_HaHoa19-5-07 2" xfId="97"/>
    <cellStyle name="_Huong CHI tieu Nhiem vu CTMTQG 2014(1)" xfId="98"/>
    <cellStyle name="_Kh ql62 (2010) 11-09" xfId="99"/>
    <cellStyle name="_KH.DTC.gd2016-2020 tinh (T2-2015)" xfId="100"/>
    <cellStyle name="_khoiluongbdacdoa" xfId="101"/>
    <cellStyle name="_Kiem Tra Don Gia" xfId="102"/>
    <cellStyle name="_KT (2)" xfId="103"/>
    <cellStyle name="_KT (2)_1" xfId="104"/>
    <cellStyle name="_KT (2)_1_Book1" xfId="105"/>
    <cellStyle name="_KT (2)_1_Lora-tungchau" xfId="106"/>
    <cellStyle name="_KT (2)_1_Qt-HT3PQ1(CauKho)" xfId="107"/>
    <cellStyle name="_KT (2)_1_Qt-HT3PQ1(CauKho)_Book1" xfId="108"/>
    <cellStyle name="_KT (2)_1_Qt-HT3PQ1(CauKho)_Don gia quy 3 nam 2003 - Ban Dien Luc" xfId="109"/>
    <cellStyle name="_KT (2)_1_Qt-HT3PQ1(CauKho)_Kiem Tra Don Gia" xfId="110"/>
    <cellStyle name="_KT (2)_1_Qt-HT3PQ1(CauKho)_Kiem Tra Don Gia 2" xfId="111"/>
    <cellStyle name="_KT (2)_1_Qt-HT3PQ1(CauKho)_NC-VL2-2003" xfId="112"/>
    <cellStyle name="_KT (2)_1_Qt-HT3PQ1(CauKho)_NC-VL2-2003_1" xfId="113"/>
    <cellStyle name="_KT (2)_1_Qt-HT3PQ1(CauKho)_XL4Test5" xfId="114"/>
    <cellStyle name="_KT (2)_1_quy luong con lai nam 2004" xfId="115"/>
    <cellStyle name="_KT (2)_1_" xfId="116"/>
    <cellStyle name="_KT (2)_2" xfId="117"/>
    <cellStyle name="_KT (2)_2_Book1" xfId="118"/>
    <cellStyle name="_KT (2)_2_DTDuong dong tien -sua tham tra 2009 - luong 650" xfId="119"/>
    <cellStyle name="_KT (2)_2_quy luong con lai nam 2004" xfId="120"/>
    <cellStyle name="_KT (2)_2_TG-TH" xfId="121"/>
    <cellStyle name="_KT (2)_2_TG-TH_BANG TONG HOP TINH HINH THANH QUYET TOAN (MOI I)" xfId="122"/>
    <cellStyle name="_KT (2)_2_TG-TH_BAO CAO KLCT PT2000" xfId="123"/>
    <cellStyle name="_KT (2)_2_TG-TH_BAO CAO PT2000" xfId="124"/>
    <cellStyle name="_KT (2)_2_TG-TH_BAO CAO PT2000_Book1" xfId="125"/>
    <cellStyle name="_KT (2)_2_TG-TH_Bao cao XDCB 2001 - T11 KH dieu chinh 20-11-THAI" xfId="126"/>
    <cellStyle name="_KT (2)_2_TG-TH_BAO GIA NGAY 24-10-08 (co dam)" xfId="127"/>
    <cellStyle name="_KT (2)_2_TG-TH_Biểu KH 5 năm gửi UB sửa biểu VHXH" xfId="128"/>
    <cellStyle name="_KT (2)_2_TG-TH_Book1" xfId="129"/>
    <cellStyle name="_KT (2)_2_TG-TH_Book1_1" xfId="130"/>
    <cellStyle name="_KT (2)_2_TG-TH_Book1_1_Book1" xfId="131"/>
    <cellStyle name="_KT (2)_2_TG-TH_Book1_1_DanhMucDonGiaVTTB_Dien_TAM" xfId="132"/>
    <cellStyle name="_KT (2)_2_TG-TH_Book1_1_khoiluongbdacdoa" xfId="133"/>
    <cellStyle name="_KT (2)_2_TG-TH_Book1_2" xfId="134"/>
    <cellStyle name="_KT (2)_2_TG-TH_Book1_2_Book1" xfId="135"/>
    <cellStyle name="_KT (2)_2_TG-TH_Book1_3" xfId="136"/>
    <cellStyle name="_KT (2)_2_TG-TH_Book1_3_Book1" xfId="137"/>
    <cellStyle name="_KT (2)_2_TG-TH_Book1_3_DT truong thinh phu" xfId="138"/>
    <cellStyle name="_KT (2)_2_TG-TH_Book1_3_XL4Test5" xfId="139"/>
    <cellStyle name="_KT (2)_2_TG-TH_Book1_4" xfId="140"/>
    <cellStyle name="_KT (2)_2_TG-TH_Book1_Book1" xfId="141"/>
    <cellStyle name="_KT (2)_2_TG-TH_Book1_DanhMucDonGiaVTTB_Dien_TAM" xfId="142"/>
    <cellStyle name="_KT (2)_2_TG-TH_Book1_khoiluongbdacdoa" xfId="143"/>
    <cellStyle name="_KT (2)_2_TG-TH_Book1_Kiem Tra Don Gia" xfId="144"/>
    <cellStyle name="_KT (2)_2_TG-TH_Book1_Tong hop 3 tinh (11_5)-TTH-QN-QT" xfId="145"/>
    <cellStyle name="_KT (2)_2_TG-TH_Book1_" xfId="146"/>
    <cellStyle name="_KT (2)_2_TG-TH_CAU Khanh Nam(Thi Cong)" xfId="147"/>
    <cellStyle name="_KT (2)_2_TG-TH_DAU NOI PL-CL TAI PHU LAMHC" xfId="148"/>
    <cellStyle name="_KT (2)_2_TG-TH_Dcdtoan-bcnckt " xfId="149"/>
    <cellStyle name="_KT (2)_2_TG-TH_DN_MTP" xfId="150"/>
    <cellStyle name="_KT (2)_2_TG-TH_Dongia2-2003" xfId="151"/>
    <cellStyle name="_KT (2)_2_TG-TH_Dongia2-2003_DT truong thinh phu" xfId="152"/>
    <cellStyle name="_KT (2)_2_TG-TH_DT truong thinh phu" xfId="153"/>
    <cellStyle name="_KT (2)_2_TG-TH_DTCDT MR.2N110.HOCMON.TDTOAN.CCUNG" xfId="154"/>
    <cellStyle name="_KT (2)_2_TG-TH_DTDuong dong tien -sua tham tra 2009 - luong 650" xfId="155"/>
    <cellStyle name="_KT (2)_2_TG-TH_DU TRU VAT TU" xfId="156"/>
    <cellStyle name="_KT (2)_2_TG-TH_khoiluongbdacdoa" xfId="157"/>
    <cellStyle name="_KT (2)_2_TG-TH_Kiem Tra Don Gia" xfId="158"/>
    <cellStyle name="_KT (2)_2_TG-TH_Lora-tungchau" xfId="159"/>
    <cellStyle name="_KT (2)_2_TG-TH_moi" xfId="160"/>
    <cellStyle name="_KT (2)_2_TG-TH_PGIA-phieu tham tra Kho bac" xfId="161"/>
    <cellStyle name="_KT (2)_2_TG-TH_PT02-02" xfId="162"/>
    <cellStyle name="_KT (2)_2_TG-TH_PT02-02_Book1" xfId="163"/>
    <cellStyle name="_KT (2)_2_TG-TH_PT02-03" xfId="164"/>
    <cellStyle name="_KT (2)_2_TG-TH_PT02-03_Book1" xfId="165"/>
    <cellStyle name="_KT (2)_2_TG-TH_Qt-HT3PQ1(CauKho)" xfId="166"/>
    <cellStyle name="_KT (2)_2_TG-TH_Qt-HT3PQ1(CauKho)_Book1" xfId="167"/>
    <cellStyle name="_KT (2)_2_TG-TH_Qt-HT3PQ1(CauKho)_Don gia quy 3 nam 2003 - Ban Dien Luc" xfId="168"/>
    <cellStyle name="_KT (2)_2_TG-TH_Qt-HT3PQ1(CauKho)_Kiem Tra Don Gia" xfId="169"/>
    <cellStyle name="_KT (2)_2_TG-TH_Qt-HT3PQ1(CauKho)_Kiem Tra Don Gia 2" xfId="170"/>
    <cellStyle name="_KT (2)_2_TG-TH_Qt-HT3PQ1(CauKho)_NC-VL2-2003" xfId="171"/>
    <cellStyle name="_KT (2)_2_TG-TH_Qt-HT3PQ1(CauKho)_NC-VL2-2003_1" xfId="172"/>
    <cellStyle name="_KT (2)_2_TG-TH_Qt-HT3PQ1(CauKho)_XL4Test5" xfId="173"/>
    <cellStyle name="_KT (2)_2_TG-TH_QT-LCTP-AE" xfId="174"/>
    <cellStyle name="_KT (2)_2_TG-TH_quy luong con lai nam 2004" xfId="175"/>
    <cellStyle name="_KT (2)_2_TG-TH_Sheet2" xfId="176"/>
    <cellStyle name="_KT (2)_2_TG-TH_TEL OUT 2004" xfId="177"/>
    <cellStyle name="_KT (2)_2_TG-TH_Tong hop 3 tinh (11_5)-TTH-QN-QT" xfId="178"/>
    <cellStyle name="_KT (2)_2_TG-TH_XL4Poppy" xfId="179"/>
    <cellStyle name="_KT (2)_2_TG-TH_XL4Test5" xfId="180"/>
    <cellStyle name="_KT (2)_2_TG-TH_ÿÿÿÿÿ" xfId="181"/>
    <cellStyle name="_KT (2)_2_TG-TH_" xfId="182"/>
    <cellStyle name="_KT (2)_3" xfId="183"/>
    <cellStyle name="_KT (2)_3_TG-TH" xfId="184"/>
    <cellStyle name="_KT (2)_3_TG-TH_Book1" xfId="185"/>
    <cellStyle name="_KT (2)_3_TG-TH_Book1_1" xfId="186"/>
    <cellStyle name="_KT (2)_3_TG-TH_Book1_BC-QT-WB-dthao" xfId="187"/>
    <cellStyle name="_KT (2)_3_TG-TH_Book1_Book1" xfId="188"/>
    <cellStyle name="_KT (2)_3_TG-TH_Book1_Kiem Tra Don Gia" xfId="189"/>
    <cellStyle name="_KT (2)_3_TG-TH_khoiluongbdacdoa" xfId="190"/>
    <cellStyle name="_KT (2)_3_TG-TH_Kiem Tra Don Gia" xfId="191"/>
    <cellStyle name="_KT (2)_3_TG-TH_Lora-tungchau" xfId="192"/>
    <cellStyle name="_KT (2)_3_TG-TH_Lora-tungchau_Book1" xfId="193"/>
    <cellStyle name="_KT (2)_3_TG-TH_Lora-tungchau_Kiem Tra Don Gia" xfId="194"/>
    <cellStyle name="_KT (2)_3_TG-TH_PERSONAL" xfId="195"/>
    <cellStyle name="_KT (2)_3_TG-TH_PERSONAL_Book1" xfId="196"/>
    <cellStyle name="_KT (2)_3_TG-TH_PERSONAL_HTQ.8 GD1" xfId="197"/>
    <cellStyle name="_KT (2)_3_TG-TH_PERSONAL_HTQ.8 GD1_Book1" xfId="198"/>
    <cellStyle name="_KT (2)_3_TG-TH_PERSONAL_HTQ.8 GD1_Don gia quy 3 nam 2003 - Ban Dien Luc" xfId="199"/>
    <cellStyle name="_KT (2)_3_TG-TH_PERSONAL_HTQ.8 GD1_NC-VL2-2003" xfId="200"/>
    <cellStyle name="_KT (2)_3_TG-TH_PERSONAL_HTQ.8 GD1_NC-VL2-2003_1" xfId="201"/>
    <cellStyle name="_KT (2)_3_TG-TH_PERSONAL_HTQ.8 GD1_XL4Test5" xfId="202"/>
    <cellStyle name="_KT (2)_3_TG-TH_PERSONAL_khoiluongbdacdoa" xfId="203"/>
    <cellStyle name="_KT (2)_3_TG-TH_PERSONAL_Tong hop KHCB 2001" xfId="204"/>
    <cellStyle name="_KT (2)_3_TG-TH_PERSONAL_" xfId="205"/>
    <cellStyle name="_KT (2)_3_TG-TH_Qt-HT3PQ1(CauKho)" xfId="206"/>
    <cellStyle name="_KT (2)_3_TG-TH_Qt-HT3PQ1(CauKho)_Book1" xfId="207"/>
    <cellStyle name="_KT (2)_3_TG-TH_Qt-HT3PQ1(CauKho)_Don gia quy 3 nam 2003 - Ban Dien Luc" xfId="208"/>
    <cellStyle name="_KT (2)_3_TG-TH_Qt-HT3PQ1(CauKho)_Kiem Tra Don Gia" xfId="209"/>
    <cellStyle name="_KT (2)_3_TG-TH_Qt-HT3PQ1(CauKho)_Kiem Tra Don Gia 2" xfId="210"/>
    <cellStyle name="_KT (2)_3_TG-TH_Qt-HT3PQ1(CauKho)_NC-VL2-2003" xfId="211"/>
    <cellStyle name="_KT (2)_3_TG-TH_Qt-HT3PQ1(CauKho)_NC-VL2-2003_1" xfId="212"/>
    <cellStyle name="_KT (2)_3_TG-TH_Qt-HT3PQ1(CauKho)_XL4Test5" xfId="213"/>
    <cellStyle name="_KT (2)_3_TG-TH_QT-LCTP-AE" xfId="214"/>
    <cellStyle name="_KT (2)_3_TG-TH_quy luong con lai nam 2004" xfId="215"/>
    <cellStyle name="_KT (2)_3_TG-TH_" xfId="216"/>
    <cellStyle name="_KT (2)_4" xfId="217"/>
    <cellStyle name="_KT (2)_4_BANG TONG HOP TINH HINH THANH QUYET TOAN (MOI I)" xfId="218"/>
    <cellStyle name="_KT (2)_4_BAO CAO KLCT PT2000" xfId="219"/>
    <cellStyle name="_KT (2)_4_BAO CAO PT2000" xfId="220"/>
    <cellStyle name="_KT (2)_4_BAO CAO PT2000_Book1" xfId="221"/>
    <cellStyle name="_KT (2)_4_Bao cao XDCB 2001 - T11 KH dieu chinh 20-11-THAI" xfId="222"/>
    <cellStyle name="_KT (2)_4_BAO GIA NGAY 24-10-08 (co dam)" xfId="223"/>
    <cellStyle name="_KT (2)_4_Biểu KH 5 năm gửi UB sửa biểu VHXH" xfId="224"/>
    <cellStyle name="_KT (2)_4_Book1" xfId="225"/>
    <cellStyle name="_KT (2)_4_Book1_1" xfId="226"/>
    <cellStyle name="_KT (2)_4_Book1_1_Book1" xfId="227"/>
    <cellStyle name="_KT (2)_4_Book1_1_DanhMucDonGiaVTTB_Dien_TAM" xfId="228"/>
    <cellStyle name="_KT (2)_4_Book1_1_khoiluongbdacdoa" xfId="229"/>
    <cellStyle name="_KT (2)_4_Book1_2" xfId="230"/>
    <cellStyle name="_KT (2)_4_Book1_2_Book1" xfId="231"/>
    <cellStyle name="_KT (2)_4_Book1_3" xfId="232"/>
    <cellStyle name="_KT (2)_4_Book1_3_Book1" xfId="233"/>
    <cellStyle name="_KT (2)_4_Book1_3_DT truong thinh phu" xfId="234"/>
    <cellStyle name="_KT (2)_4_Book1_3_XL4Test5" xfId="235"/>
    <cellStyle name="_KT (2)_4_Book1_4" xfId="236"/>
    <cellStyle name="_KT (2)_4_Book1_Book1" xfId="237"/>
    <cellStyle name="_KT (2)_4_Book1_DanhMucDonGiaVTTB_Dien_TAM" xfId="238"/>
    <cellStyle name="_KT (2)_4_Book1_khoiluongbdacdoa" xfId="239"/>
    <cellStyle name="_KT (2)_4_Book1_Kiem Tra Don Gia" xfId="240"/>
    <cellStyle name="_KT (2)_4_Book1_Tong hop 3 tinh (11_5)-TTH-QN-QT" xfId="241"/>
    <cellStyle name="_KT (2)_4_Book1_" xfId="242"/>
    <cellStyle name="_KT (2)_4_CAU Khanh Nam(Thi Cong)" xfId="243"/>
    <cellStyle name="_KT (2)_4_DAU NOI PL-CL TAI PHU LAMHC" xfId="244"/>
    <cellStyle name="_KT (2)_4_Dcdtoan-bcnckt " xfId="245"/>
    <cellStyle name="_KT (2)_4_DN_MTP" xfId="246"/>
    <cellStyle name="_KT (2)_4_Dongia2-2003" xfId="247"/>
    <cellStyle name="_KT (2)_4_Dongia2-2003_DT truong thinh phu" xfId="248"/>
    <cellStyle name="_KT (2)_4_DT truong thinh phu" xfId="249"/>
    <cellStyle name="_KT (2)_4_DTCDT MR.2N110.HOCMON.TDTOAN.CCUNG" xfId="250"/>
    <cellStyle name="_KT (2)_4_DTDuong dong tien -sua tham tra 2009 - luong 650" xfId="251"/>
    <cellStyle name="_KT (2)_4_DU TRU VAT TU" xfId="252"/>
    <cellStyle name="_KT (2)_4_khoiluongbdacdoa" xfId="253"/>
    <cellStyle name="_KT (2)_4_Kiem Tra Don Gia" xfId="254"/>
    <cellStyle name="_KT (2)_4_Lora-tungchau" xfId="255"/>
    <cellStyle name="_KT (2)_4_moi" xfId="256"/>
    <cellStyle name="_KT (2)_4_PGIA-phieu tham tra Kho bac" xfId="257"/>
    <cellStyle name="_KT (2)_4_PT02-02" xfId="258"/>
    <cellStyle name="_KT (2)_4_PT02-02_Book1" xfId="259"/>
    <cellStyle name="_KT (2)_4_PT02-03" xfId="260"/>
    <cellStyle name="_KT (2)_4_PT02-03_Book1" xfId="261"/>
    <cellStyle name="_KT (2)_4_Qt-HT3PQ1(CauKho)" xfId="262"/>
    <cellStyle name="_KT (2)_4_Qt-HT3PQ1(CauKho)_Book1" xfId="263"/>
    <cellStyle name="_KT (2)_4_Qt-HT3PQ1(CauKho)_Don gia quy 3 nam 2003 - Ban Dien Luc" xfId="264"/>
    <cellStyle name="_KT (2)_4_Qt-HT3PQ1(CauKho)_Kiem Tra Don Gia" xfId="265"/>
    <cellStyle name="_KT (2)_4_Qt-HT3PQ1(CauKho)_Kiem Tra Don Gia 2" xfId="266"/>
    <cellStyle name="_KT (2)_4_Qt-HT3PQ1(CauKho)_NC-VL2-2003" xfId="267"/>
    <cellStyle name="_KT (2)_4_Qt-HT3PQ1(CauKho)_NC-VL2-2003_1" xfId="268"/>
    <cellStyle name="_KT (2)_4_Qt-HT3PQ1(CauKho)_XL4Test5" xfId="269"/>
    <cellStyle name="_KT (2)_4_QT-LCTP-AE" xfId="270"/>
    <cellStyle name="_KT (2)_4_quy luong con lai nam 2004" xfId="271"/>
    <cellStyle name="_KT (2)_4_Sheet2" xfId="272"/>
    <cellStyle name="_KT (2)_4_TEL OUT 2004" xfId="273"/>
    <cellStyle name="_KT (2)_4_TG-TH" xfId="274"/>
    <cellStyle name="_KT (2)_4_TG-TH_Book1" xfId="275"/>
    <cellStyle name="_KT (2)_4_TG-TH_DTDuong dong tien -sua tham tra 2009 - luong 650" xfId="276"/>
    <cellStyle name="_KT (2)_4_TG-TH_quy luong con lai nam 2004" xfId="277"/>
    <cellStyle name="_KT (2)_4_Tong hop 3 tinh (11_5)-TTH-QN-QT" xfId="278"/>
    <cellStyle name="_KT (2)_4_XL4Poppy" xfId="279"/>
    <cellStyle name="_KT (2)_4_XL4Test5" xfId="280"/>
    <cellStyle name="_KT (2)_4_ÿÿÿÿÿ" xfId="281"/>
    <cellStyle name="_KT (2)_4_" xfId="282"/>
    <cellStyle name="_KT (2)_5" xfId="283"/>
    <cellStyle name="_KT (2)_5_BANG TONG HOP TINH HINH THANH QUYET TOAN (MOI I)" xfId="284"/>
    <cellStyle name="_KT (2)_5_BAO CAO KLCT PT2000" xfId="285"/>
    <cellStyle name="_KT (2)_5_BAO CAO PT2000" xfId="286"/>
    <cellStyle name="_KT (2)_5_BAO CAO PT2000_Book1" xfId="287"/>
    <cellStyle name="_KT (2)_5_Bao cao XDCB 2001 - T11 KH dieu chinh 20-11-THAI" xfId="288"/>
    <cellStyle name="_KT (2)_5_BAO GIA NGAY 24-10-08 (co dam)" xfId="289"/>
    <cellStyle name="_KT (2)_5_Biểu KH 5 năm gửi UB sửa biểu VHXH" xfId="290"/>
    <cellStyle name="_KT (2)_5_Book1" xfId="291"/>
    <cellStyle name="_KT (2)_5_Book1_1" xfId="292"/>
    <cellStyle name="_KT (2)_5_Book1_1_Book1" xfId="293"/>
    <cellStyle name="_KT (2)_5_Book1_1_DanhMucDonGiaVTTB_Dien_TAM" xfId="294"/>
    <cellStyle name="_KT (2)_5_Book1_1_khoiluongbdacdoa" xfId="295"/>
    <cellStyle name="_KT (2)_5_Book1_2" xfId="296"/>
    <cellStyle name="_KT (2)_5_Book1_2_Book1" xfId="297"/>
    <cellStyle name="_KT (2)_5_Book1_3" xfId="298"/>
    <cellStyle name="_KT (2)_5_Book1_3_Book1" xfId="299"/>
    <cellStyle name="_KT (2)_5_Book1_3_DT truong thinh phu" xfId="300"/>
    <cellStyle name="_KT (2)_5_Book1_3_XL4Test5" xfId="301"/>
    <cellStyle name="_KT (2)_5_Book1_4" xfId="302"/>
    <cellStyle name="_KT (2)_5_Book1_BC-QT-WB-dthao" xfId="303"/>
    <cellStyle name="_KT (2)_5_Book1_Book1" xfId="304"/>
    <cellStyle name="_KT (2)_5_Book1_DanhMucDonGiaVTTB_Dien_TAM" xfId="305"/>
    <cellStyle name="_KT (2)_5_Book1_khoiluongbdacdoa" xfId="306"/>
    <cellStyle name="_KT (2)_5_Book1_Kiem Tra Don Gia" xfId="307"/>
    <cellStyle name="_KT (2)_5_Book1_Tong hop 3 tinh (11_5)-TTH-QN-QT" xfId="308"/>
    <cellStyle name="_KT (2)_5_Book1_" xfId="309"/>
    <cellStyle name="_KT (2)_5_CAU Khanh Nam(Thi Cong)" xfId="310"/>
    <cellStyle name="_KT (2)_5_DAU NOI PL-CL TAI PHU LAMHC" xfId="311"/>
    <cellStyle name="_KT (2)_5_Dcdtoan-bcnckt " xfId="312"/>
    <cellStyle name="_KT (2)_5_DN_MTP" xfId="313"/>
    <cellStyle name="_KT (2)_5_Dongia2-2003" xfId="314"/>
    <cellStyle name="_KT (2)_5_Dongia2-2003_DT truong thinh phu" xfId="315"/>
    <cellStyle name="_KT (2)_5_DT truong thinh phu" xfId="316"/>
    <cellStyle name="_KT (2)_5_DTCDT MR.2N110.HOCMON.TDTOAN.CCUNG" xfId="317"/>
    <cellStyle name="_KT (2)_5_DTDuong dong tien -sua tham tra 2009 - luong 650" xfId="318"/>
    <cellStyle name="_KT (2)_5_DU TRU VAT TU" xfId="319"/>
    <cellStyle name="_KT (2)_5_khoiluongbdacdoa" xfId="320"/>
    <cellStyle name="_KT (2)_5_Kiem Tra Don Gia" xfId="321"/>
    <cellStyle name="_KT (2)_5_Lora-tungchau" xfId="322"/>
    <cellStyle name="_KT (2)_5_moi" xfId="323"/>
    <cellStyle name="_KT (2)_5_PGIA-phieu tham tra Kho bac" xfId="324"/>
    <cellStyle name="_KT (2)_5_PT02-02" xfId="325"/>
    <cellStyle name="_KT (2)_5_PT02-02_Book1" xfId="326"/>
    <cellStyle name="_KT (2)_5_PT02-03" xfId="327"/>
    <cellStyle name="_KT (2)_5_PT02-03_Book1" xfId="328"/>
    <cellStyle name="_KT (2)_5_Qt-HT3PQ1(CauKho)" xfId="329"/>
    <cellStyle name="_KT (2)_5_Qt-HT3PQ1(CauKho)_Book1" xfId="330"/>
    <cellStyle name="_KT (2)_5_Qt-HT3PQ1(CauKho)_Don gia quy 3 nam 2003 - Ban Dien Luc" xfId="331"/>
    <cellStyle name="_KT (2)_5_Qt-HT3PQ1(CauKho)_Kiem Tra Don Gia" xfId="332"/>
    <cellStyle name="_KT (2)_5_Qt-HT3PQ1(CauKho)_Kiem Tra Don Gia 2" xfId="333"/>
    <cellStyle name="_KT (2)_5_Qt-HT3PQ1(CauKho)_NC-VL2-2003" xfId="334"/>
    <cellStyle name="_KT (2)_5_Qt-HT3PQ1(CauKho)_NC-VL2-2003_1" xfId="335"/>
    <cellStyle name="_KT (2)_5_Qt-HT3PQ1(CauKho)_XL4Test5" xfId="336"/>
    <cellStyle name="_KT (2)_5_QT-LCTP-AE" xfId="337"/>
    <cellStyle name="_KT (2)_5_Sheet2" xfId="338"/>
    <cellStyle name="_KT (2)_5_TEL OUT 2004" xfId="339"/>
    <cellStyle name="_KT (2)_5_Tong hop 3 tinh (11_5)-TTH-QN-QT" xfId="340"/>
    <cellStyle name="_KT (2)_5_XL4Poppy" xfId="341"/>
    <cellStyle name="_KT (2)_5_XL4Test5" xfId="342"/>
    <cellStyle name="_KT (2)_5_ÿÿÿÿÿ" xfId="343"/>
    <cellStyle name="_KT (2)_5_" xfId="344"/>
    <cellStyle name="_KT (2)_Book1" xfId="345"/>
    <cellStyle name="_KT (2)_Book1_1" xfId="346"/>
    <cellStyle name="_KT (2)_Book1_BC-QT-WB-dthao" xfId="347"/>
    <cellStyle name="_KT (2)_Book1_Book1" xfId="348"/>
    <cellStyle name="_KT (2)_Book1_Kiem Tra Don Gia" xfId="349"/>
    <cellStyle name="_KT (2)_khoiluongbdacdoa" xfId="350"/>
    <cellStyle name="_KT (2)_Kiem Tra Don Gia" xfId="351"/>
    <cellStyle name="_KT (2)_Lora-tungchau" xfId="352"/>
    <cellStyle name="_KT (2)_Lora-tungchau_Book1" xfId="353"/>
    <cellStyle name="_KT (2)_Lora-tungchau_Kiem Tra Don Gia" xfId="354"/>
    <cellStyle name="_KT (2)_PERSONAL" xfId="355"/>
    <cellStyle name="_KT (2)_PERSONAL_Book1" xfId="356"/>
    <cellStyle name="_KT (2)_PERSONAL_HTQ.8 GD1" xfId="357"/>
    <cellStyle name="_KT (2)_PERSONAL_HTQ.8 GD1_Book1" xfId="358"/>
    <cellStyle name="_KT (2)_PERSONAL_HTQ.8 GD1_Don gia quy 3 nam 2003 - Ban Dien Luc" xfId="359"/>
    <cellStyle name="_KT (2)_PERSONAL_HTQ.8 GD1_NC-VL2-2003" xfId="360"/>
    <cellStyle name="_KT (2)_PERSONAL_HTQ.8 GD1_NC-VL2-2003_1" xfId="361"/>
    <cellStyle name="_KT (2)_PERSONAL_HTQ.8 GD1_XL4Test5" xfId="362"/>
    <cellStyle name="_KT (2)_PERSONAL_khoiluongbdacdoa" xfId="363"/>
    <cellStyle name="_KT (2)_PERSONAL_Tong hop KHCB 2001" xfId="364"/>
    <cellStyle name="_KT (2)_PERSONAL_" xfId="365"/>
    <cellStyle name="_KT (2)_Qt-HT3PQ1(CauKho)" xfId="366"/>
    <cellStyle name="_KT (2)_Qt-HT3PQ1(CauKho)_Book1" xfId="367"/>
    <cellStyle name="_KT (2)_Qt-HT3PQ1(CauKho)_Don gia quy 3 nam 2003 - Ban Dien Luc" xfId="368"/>
    <cellStyle name="_KT (2)_Qt-HT3PQ1(CauKho)_Kiem Tra Don Gia" xfId="369"/>
    <cellStyle name="_KT (2)_Qt-HT3PQ1(CauKho)_Kiem Tra Don Gia 2" xfId="370"/>
    <cellStyle name="_KT (2)_Qt-HT3PQ1(CauKho)_NC-VL2-2003" xfId="371"/>
    <cellStyle name="_KT (2)_Qt-HT3PQ1(CauKho)_NC-VL2-2003_1" xfId="372"/>
    <cellStyle name="_KT (2)_Qt-HT3PQ1(CauKho)_XL4Test5" xfId="373"/>
    <cellStyle name="_KT (2)_QT-LCTP-AE" xfId="374"/>
    <cellStyle name="_KT (2)_quy luong con lai nam 2004" xfId="375"/>
    <cellStyle name="_KT (2)_TG-TH" xfId="376"/>
    <cellStyle name="_KT (2)_" xfId="377"/>
    <cellStyle name="_KT_TG" xfId="378"/>
    <cellStyle name="_KT_TG_1" xfId="379"/>
    <cellStyle name="_KT_TG_1_BANG TONG HOP TINH HINH THANH QUYET TOAN (MOI I)" xfId="380"/>
    <cellStyle name="_KT_TG_1_BAO CAO KLCT PT2000" xfId="381"/>
    <cellStyle name="_KT_TG_1_BAO CAO PT2000" xfId="382"/>
    <cellStyle name="_KT_TG_1_BAO CAO PT2000_Book1" xfId="383"/>
    <cellStyle name="_KT_TG_1_Bao cao XDCB 2001 - T11 KH dieu chinh 20-11-THAI" xfId="384"/>
    <cellStyle name="_KT_TG_1_BAO GIA NGAY 24-10-08 (co dam)" xfId="385"/>
    <cellStyle name="_KT_TG_1_Biểu KH 5 năm gửi UB sửa biểu VHXH" xfId="386"/>
    <cellStyle name="_KT_TG_1_Book1" xfId="387"/>
    <cellStyle name="_KT_TG_1_Book1_1" xfId="388"/>
    <cellStyle name="_KT_TG_1_Book1_1_Book1" xfId="389"/>
    <cellStyle name="_KT_TG_1_Book1_1_DanhMucDonGiaVTTB_Dien_TAM" xfId="390"/>
    <cellStyle name="_KT_TG_1_Book1_1_khoiluongbdacdoa" xfId="391"/>
    <cellStyle name="_KT_TG_1_Book1_2" xfId="392"/>
    <cellStyle name="_KT_TG_1_Book1_2_Book1" xfId="393"/>
    <cellStyle name="_KT_TG_1_Book1_3" xfId="394"/>
    <cellStyle name="_KT_TG_1_Book1_3_Book1" xfId="395"/>
    <cellStyle name="_KT_TG_1_Book1_3_DT truong thinh phu" xfId="396"/>
    <cellStyle name="_KT_TG_1_Book1_3_XL4Test5" xfId="397"/>
    <cellStyle name="_KT_TG_1_Book1_4" xfId="398"/>
    <cellStyle name="_KT_TG_1_Book1_BC-QT-WB-dthao" xfId="399"/>
    <cellStyle name="_KT_TG_1_Book1_Book1" xfId="400"/>
    <cellStyle name="_KT_TG_1_Book1_DanhMucDonGiaVTTB_Dien_TAM" xfId="401"/>
    <cellStyle name="_KT_TG_1_Book1_khoiluongbdacdoa" xfId="402"/>
    <cellStyle name="_KT_TG_1_Book1_Kiem Tra Don Gia" xfId="403"/>
    <cellStyle name="_KT_TG_1_Book1_Tong hop 3 tinh (11_5)-TTH-QN-QT" xfId="404"/>
    <cellStyle name="_KT_TG_1_Book1_" xfId="405"/>
    <cellStyle name="_KT_TG_1_CAU Khanh Nam(Thi Cong)" xfId="406"/>
    <cellStyle name="_KT_TG_1_DAU NOI PL-CL TAI PHU LAMHC" xfId="407"/>
    <cellStyle name="_KT_TG_1_Dcdtoan-bcnckt " xfId="408"/>
    <cellStyle name="_KT_TG_1_DN_MTP" xfId="409"/>
    <cellStyle name="_KT_TG_1_Dongia2-2003" xfId="410"/>
    <cellStyle name="_KT_TG_1_Dongia2-2003_DT truong thinh phu" xfId="411"/>
    <cellStyle name="_KT_TG_1_DT truong thinh phu" xfId="412"/>
    <cellStyle name="_KT_TG_1_DTCDT MR.2N110.HOCMON.TDTOAN.CCUNG" xfId="413"/>
    <cellStyle name="_KT_TG_1_DTDuong dong tien -sua tham tra 2009 - luong 650" xfId="414"/>
    <cellStyle name="_KT_TG_1_DU TRU VAT TU" xfId="415"/>
    <cellStyle name="_KT_TG_1_khoiluongbdacdoa" xfId="416"/>
    <cellStyle name="_KT_TG_1_Kiem Tra Don Gia" xfId="417"/>
    <cellStyle name="_KT_TG_1_Lora-tungchau" xfId="418"/>
    <cellStyle name="_KT_TG_1_moi" xfId="419"/>
    <cellStyle name="_KT_TG_1_PGIA-phieu tham tra Kho bac" xfId="420"/>
    <cellStyle name="_KT_TG_1_PT02-02" xfId="421"/>
    <cellStyle name="_KT_TG_1_PT02-02_Book1" xfId="422"/>
    <cellStyle name="_KT_TG_1_PT02-03" xfId="423"/>
    <cellStyle name="_KT_TG_1_PT02-03_Book1" xfId="424"/>
    <cellStyle name="_KT_TG_1_Qt-HT3PQ1(CauKho)" xfId="425"/>
    <cellStyle name="_KT_TG_1_Qt-HT3PQ1(CauKho)_Book1" xfId="426"/>
    <cellStyle name="_KT_TG_1_Qt-HT3PQ1(CauKho)_Don gia quy 3 nam 2003 - Ban Dien Luc" xfId="427"/>
    <cellStyle name="_KT_TG_1_Qt-HT3PQ1(CauKho)_Kiem Tra Don Gia" xfId="428"/>
    <cellStyle name="_KT_TG_1_Qt-HT3PQ1(CauKho)_Kiem Tra Don Gia 2" xfId="429"/>
    <cellStyle name="_KT_TG_1_Qt-HT3PQ1(CauKho)_NC-VL2-2003" xfId="430"/>
    <cellStyle name="_KT_TG_1_Qt-HT3PQ1(CauKho)_NC-VL2-2003_1" xfId="431"/>
    <cellStyle name="_KT_TG_1_Qt-HT3PQ1(CauKho)_XL4Test5" xfId="432"/>
    <cellStyle name="_KT_TG_1_QT-LCTP-AE" xfId="433"/>
    <cellStyle name="_KT_TG_1_Sheet2" xfId="434"/>
    <cellStyle name="_KT_TG_1_TEL OUT 2004" xfId="435"/>
    <cellStyle name="_KT_TG_1_Tong hop 3 tinh (11_5)-TTH-QN-QT" xfId="436"/>
    <cellStyle name="_KT_TG_1_XL4Poppy" xfId="437"/>
    <cellStyle name="_KT_TG_1_XL4Test5" xfId="438"/>
    <cellStyle name="_KT_TG_1_ÿÿÿÿÿ" xfId="439"/>
    <cellStyle name="_KT_TG_1_" xfId="440"/>
    <cellStyle name="_KT_TG_2" xfId="441"/>
    <cellStyle name="_KT_TG_2_BANG TONG HOP TINH HINH THANH QUYET TOAN (MOI I)" xfId="442"/>
    <cellStyle name="_KT_TG_2_BAO CAO KLCT PT2000" xfId="443"/>
    <cellStyle name="_KT_TG_2_BAO CAO PT2000" xfId="444"/>
    <cellStyle name="_KT_TG_2_BAO CAO PT2000_Book1" xfId="445"/>
    <cellStyle name="_KT_TG_2_Bao cao XDCB 2001 - T11 KH dieu chinh 20-11-THAI" xfId="446"/>
    <cellStyle name="_KT_TG_2_BAO GIA NGAY 24-10-08 (co dam)" xfId="447"/>
    <cellStyle name="_KT_TG_2_Biểu KH 5 năm gửi UB sửa biểu VHXH" xfId="448"/>
    <cellStyle name="_KT_TG_2_Book1" xfId="449"/>
    <cellStyle name="_KT_TG_2_Book1_1" xfId="450"/>
    <cellStyle name="_KT_TG_2_Book1_1_Book1" xfId="451"/>
    <cellStyle name="_KT_TG_2_Book1_1_DanhMucDonGiaVTTB_Dien_TAM" xfId="452"/>
    <cellStyle name="_KT_TG_2_Book1_1_khoiluongbdacdoa" xfId="453"/>
    <cellStyle name="_KT_TG_2_Book1_2" xfId="454"/>
    <cellStyle name="_KT_TG_2_Book1_2_Book1" xfId="455"/>
    <cellStyle name="_KT_TG_2_Book1_3" xfId="456"/>
    <cellStyle name="_KT_TG_2_Book1_3_Book1" xfId="457"/>
    <cellStyle name="_KT_TG_2_Book1_3_DT truong thinh phu" xfId="458"/>
    <cellStyle name="_KT_TG_2_Book1_3_XL4Test5" xfId="459"/>
    <cellStyle name="_KT_TG_2_Book1_4" xfId="460"/>
    <cellStyle name="_KT_TG_2_Book1_Book1" xfId="461"/>
    <cellStyle name="_KT_TG_2_Book1_DanhMucDonGiaVTTB_Dien_TAM" xfId="462"/>
    <cellStyle name="_KT_TG_2_Book1_khoiluongbdacdoa" xfId="463"/>
    <cellStyle name="_KT_TG_2_Book1_Kiem Tra Don Gia" xfId="464"/>
    <cellStyle name="_KT_TG_2_Book1_Tong hop 3 tinh (11_5)-TTH-QN-QT" xfId="465"/>
    <cellStyle name="_KT_TG_2_Book1_" xfId="466"/>
    <cellStyle name="_KT_TG_2_CAU Khanh Nam(Thi Cong)" xfId="467"/>
    <cellStyle name="_KT_TG_2_DAU NOI PL-CL TAI PHU LAMHC" xfId="468"/>
    <cellStyle name="_KT_TG_2_Dcdtoan-bcnckt " xfId="469"/>
    <cellStyle name="_KT_TG_2_DN_MTP" xfId="470"/>
    <cellStyle name="_KT_TG_2_Dongia2-2003" xfId="471"/>
    <cellStyle name="_KT_TG_2_Dongia2-2003_DT truong thinh phu" xfId="472"/>
    <cellStyle name="_KT_TG_2_DT truong thinh phu" xfId="473"/>
    <cellStyle name="_KT_TG_2_DTCDT MR.2N110.HOCMON.TDTOAN.CCUNG" xfId="474"/>
    <cellStyle name="_KT_TG_2_DTDuong dong tien -sua tham tra 2009 - luong 650" xfId="475"/>
    <cellStyle name="_KT_TG_2_DU TRU VAT TU" xfId="476"/>
    <cellStyle name="_KT_TG_2_khoiluongbdacdoa" xfId="477"/>
    <cellStyle name="_KT_TG_2_Kiem Tra Don Gia" xfId="478"/>
    <cellStyle name="_KT_TG_2_Lora-tungchau" xfId="479"/>
    <cellStyle name="_KT_TG_2_moi" xfId="480"/>
    <cellStyle name="_KT_TG_2_PGIA-phieu tham tra Kho bac" xfId="481"/>
    <cellStyle name="_KT_TG_2_PT02-02" xfId="482"/>
    <cellStyle name="_KT_TG_2_PT02-02_Book1" xfId="483"/>
    <cellStyle name="_KT_TG_2_PT02-03" xfId="484"/>
    <cellStyle name="_KT_TG_2_PT02-03_Book1" xfId="485"/>
    <cellStyle name="_KT_TG_2_Qt-HT3PQ1(CauKho)" xfId="486"/>
    <cellStyle name="_KT_TG_2_Qt-HT3PQ1(CauKho)_Book1" xfId="487"/>
    <cellStyle name="_KT_TG_2_Qt-HT3PQ1(CauKho)_Don gia quy 3 nam 2003 - Ban Dien Luc" xfId="488"/>
    <cellStyle name="_KT_TG_2_Qt-HT3PQ1(CauKho)_Kiem Tra Don Gia" xfId="489"/>
    <cellStyle name="_KT_TG_2_Qt-HT3PQ1(CauKho)_Kiem Tra Don Gia 2" xfId="490"/>
    <cellStyle name="_KT_TG_2_Qt-HT3PQ1(CauKho)_NC-VL2-2003" xfId="491"/>
    <cellStyle name="_KT_TG_2_Qt-HT3PQ1(CauKho)_NC-VL2-2003_1" xfId="492"/>
    <cellStyle name="_KT_TG_2_Qt-HT3PQ1(CauKho)_XL4Test5" xfId="493"/>
    <cellStyle name="_KT_TG_2_QT-LCTP-AE" xfId="494"/>
    <cellStyle name="_KT_TG_2_quy luong con lai nam 2004" xfId="495"/>
    <cellStyle name="_KT_TG_2_Sheet2" xfId="496"/>
    <cellStyle name="_KT_TG_2_TEL OUT 2004" xfId="497"/>
    <cellStyle name="_KT_TG_2_Tong hop 3 tinh (11_5)-TTH-QN-QT" xfId="498"/>
    <cellStyle name="_KT_TG_2_XL4Poppy" xfId="499"/>
    <cellStyle name="_KT_TG_2_XL4Test5" xfId="500"/>
    <cellStyle name="_KT_TG_2_ÿÿÿÿÿ" xfId="501"/>
    <cellStyle name="_KT_TG_2_" xfId="502"/>
    <cellStyle name="_KT_TG_3" xfId="503"/>
    <cellStyle name="_KT_TG_4" xfId="504"/>
    <cellStyle name="_KT_TG_4_Book1" xfId="505"/>
    <cellStyle name="_KT_TG_4_Lora-tungchau" xfId="506"/>
    <cellStyle name="_KT_TG_4_Qt-HT3PQ1(CauKho)" xfId="507"/>
    <cellStyle name="_KT_TG_4_Qt-HT3PQ1(CauKho)_Book1" xfId="508"/>
    <cellStyle name="_KT_TG_4_Qt-HT3PQ1(CauKho)_Don gia quy 3 nam 2003 - Ban Dien Luc" xfId="509"/>
    <cellStyle name="_KT_TG_4_Qt-HT3PQ1(CauKho)_Kiem Tra Don Gia" xfId="510"/>
    <cellStyle name="_KT_TG_4_Qt-HT3PQ1(CauKho)_Kiem Tra Don Gia 2" xfId="511"/>
    <cellStyle name="_KT_TG_4_Qt-HT3PQ1(CauKho)_NC-VL2-2003" xfId="512"/>
    <cellStyle name="_KT_TG_4_Qt-HT3PQ1(CauKho)_NC-VL2-2003_1" xfId="513"/>
    <cellStyle name="_KT_TG_4_Qt-HT3PQ1(CauKho)_XL4Test5" xfId="514"/>
    <cellStyle name="_KT_TG_4_quy luong con lai nam 2004" xfId="515"/>
    <cellStyle name="_KT_TG_4_" xfId="516"/>
    <cellStyle name="_KT_TG_Book1" xfId="517"/>
    <cellStyle name="_KT_TG_DTDuong dong tien -sua tham tra 2009 - luong 650" xfId="518"/>
    <cellStyle name="_KT_TG_quy luong con lai nam 2004" xfId="519"/>
    <cellStyle name="_Lora-tungchau" xfId="520"/>
    <cellStyle name="_Lora-tungchau_Book1" xfId="521"/>
    <cellStyle name="_Lora-tungchau_Kiem Tra Don Gia" xfId="522"/>
    <cellStyle name="_MauThanTKKT-goi7-DonGia2143(vl t7)" xfId="523"/>
    <cellStyle name="_Nhu cau von ung truoc 2011 Tha h Hoa + Nge An gui TW" xfId="524"/>
    <cellStyle name="_PERSONAL" xfId="525"/>
    <cellStyle name="_PERSONAL_Book1" xfId="526"/>
    <cellStyle name="_PERSONAL_HTQ.8 GD1" xfId="527"/>
    <cellStyle name="_PERSONAL_HTQ.8 GD1_Book1" xfId="528"/>
    <cellStyle name="_PERSONAL_HTQ.8 GD1_Don gia quy 3 nam 2003 - Ban Dien Luc" xfId="529"/>
    <cellStyle name="_PERSONAL_HTQ.8 GD1_NC-VL2-2003" xfId="530"/>
    <cellStyle name="_PERSONAL_HTQ.8 GD1_NC-VL2-2003_1" xfId="531"/>
    <cellStyle name="_PERSONAL_HTQ.8 GD1_XL4Test5" xfId="532"/>
    <cellStyle name="_PERSONAL_khoiluongbdacdoa" xfId="533"/>
    <cellStyle name="_PERSONAL_Tong hop KHCB 2001" xfId="534"/>
    <cellStyle name="_PERSONAL_" xfId="535"/>
    <cellStyle name="_Phu luc kem BC gui VP Bo (18.2)" xfId="536"/>
    <cellStyle name="_Q TOAN  SCTX QL.62 QUI I ( oanh)" xfId="537"/>
    <cellStyle name="_Q TOAN  SCTX QL.62 QUI II ( oanh)" xfId="538"/>
    <cellStyle name="_QT SCTXQL62_QT1 (Cty QL)" xfId="539"/>
    <cellStyle name="_Qt-HT3PQ1(CauKho)" xfId="540"/>
    <cellStyle name="_Qt-HT3PQ1(CauKho)_Book1" xfId="541"/>
    <cellStyle name="_Qt-HT3PQ1(CauKho)_Don gia quy 3 nam 2003 - Ban Dien Luc" xfId="542"/>
    <cellStyle name="_Qt-HT3PQ1(CauKho)_Kiem Tra Don Gia" xfId="543"/>
    <cellStyle name="_Qt-HT3PQ1(CauKho)_Kiem Tra Don Gia 2" xfId="544"/>
    <cellStyle name="_Qt-HT3PQ1(CauKho)_NC-VL2-2003" xfId="545"/>
    <cellStyle name="_Qt-HT3PQ1(CauKho)_NC-VL2-2003_1" xfId="546"/>
    <cellStyle name="_Qt-HT3PQ1(CauKho)_XL4Test5" xfId="547"/>
    <cellStyle name="_QT-LCTP-AE" xfId="548"/>
    <cellStyle name="_quy luong con lai nam 2004" xfId="549"/>
    <cellStyle name="_Sheet1" xfId="550"/>
    <cellStyle name="_Sheet2" xfId="551"/>
    <cellStyle name="_TG-TH" xfId="552"/>
    <cellStyle name="_TG-TH_1" xfId="553"/>
    <cellStyle name="_TG-TH_1_BANG TONG HOP TINH HINH THANH QUYET TOAN (MOI I)" xfId="554"/>
    <cellStyle name="_TG-TH_1_BAO CAO KLCT PT2000" xfId="555"/>
    <cellStyle name="_TG-TH_1_BAO CAO PT2000" xfId="556"/>
    <cellStyle name="_TG-TH_1_BAO CAO PT2000_Book1" xfId="557"/>
    <cellStyle name="_TG-TH_1_Bao cao XDCB 2001 - T11 KH dieu chinh 20-11-THAI" xfId="558"/>
    <cellStyle name="_TG-TH_1_BAO GIA NGAY 24-10-08 (co dam)" xfId="559"/>
    <cellStyle name="_TG-TH_1_Biểu KH 5 năm gửi UB sửa biểu VHXH" xfId="560"/>
    <cellStyle name="_TG-TH_1_Book1" xfId="561"/>
    <cellStyle name="_TG-TH_1_Book1_1" xfId="562"/>
    <cellStyle name="_TG-TH_1_Book1_1_Book1" xfId="563"/>
    <cellStyle name="_TG-TH_1_Book1_1_DanhMucDonGiaVTTB_Dien_TAM" xfId="564"/>
    <cellStyle name="_TG-TH_1_Book1_1_khoiluongbdacdoa" xfId="565"/>
    <cellStyle name="_TG-TH_1_Book1_2" xfId="566"/>
    <cellStyle name="_TG-TH_1_Book1_2_Book1" xfId="567"/>
    <cellStyle name="_TG-TH_1_Book1_3" xfId="568"/>
    <cellStyle name="_TG-TH_1_Book1_3_Book1" xfId="569"/>
    <cellStyle name="_TG-TH_1_Book1_3_DT truong thinh phu" xfId="570"/>
    <cellStyle name="_TG-TH_1_Book1_3_XL4Test5" xfId="571"/>
    <cellStyle name="_TG-TH_1_Book1_4" xfId="572"/>
    <cellStyle name="_TG-TH_1_Book1_BC-QT-WB-dthao" xfId="573"/>
    <cellStyle name="_TG-TH_1_Book1_Book1" xfId="574"/>
    <cellStyle name="_TG-TH_1_Book1_DanhMucDonGiaVTTB_Dien_TAM" xfId="575"/>
    <cellStyle name="_TG-TH_1_Book1_khoiluongbdacdoa" xfId="576"/>
    <cellStyle name="_TG-TH_1_Book1_Kiem Tra Don Gia" xfId="577"/>
    <cellStyle name="_TG-TH_1_Book1_Tong hop 3 tinh (11_5)-TTH-QN-QT" xfId="578"/>
    <cellStyle name="_TG-TH_1_Book1_" xfId="579"/>
    <cellStyle name="_TG-TH_1_CAU Khanh Nam(Thi Cong)" xfId="580"/>
    <cellStyle name="_TG-TH_1_DAU NOI PL-CL TAI PHU LAMHC" xfId="581"/>
    <cellStyle name="_TG-TH_1_Dcdtoan-bcnckt " xfId="582"/>
    <cellStyle name="_TG-TH_1_DN_MTP" xfId="583"/>
    <cellStyle name="_TG-TH_1_Dongia2-2003" xfId="584"/>
    <cellStyle name="_TG-TH_1_Dongia2-2003_DT truong thinh phu" xfId="585"/>
    <cellStyle name="_TG-TH_1_DT truong thinh phu" xfId="586"/>
    <cellStyle name="_TG-TH_1_DTCDT MR.2N110.HOCMON.TDTOAN.CCUNG" xfId="587"/>
    <cellStyle name="_TG-TH_1_DTDuong dong tien -sua tham tra 2009 - luong 650" xfId="588"/>
    <cellStyle name="_TG-TH_1_DU TRU VAT TU" xfId="589"/>
    <cellStyle name="_TG-TH_1_khoiluongbdacdoa" xfId="590"/>
    <cellStyle name="_TG-TH_1_Kiem Tra Don Gia" xfId="591"/>
    <cellStyle name="_TG-TH_1_Lora-tungchau" xfId="592"/>
    <cellStyle name="_TG-TH_1_moi" xfId="593"/>
    <cellStyle name="_TG-TH_1_PGIA-phieu tham tra Kho bac" xfId="594"/>
    <cellStyle name="_TG-TH_1_PT02-02" xfId="595"/>
    <cellStyle name="_TG-TH_1_PT02-02_Book1" xfId="596"/>
    <cellStyle name="_TG-TH_1_PT02-03" xfId="597"/>
    <cellStyle name="_TG-TH_1_PT02-03_Book1" xfId="598"/>
    <cellStyle name="_TG-TH_1_Qt-HT3PQ1(CauKho)" xfId="599"/>
    <cellStyle name="_TG-TH_1_Qt-HT3PQ1(CauKho)_Book1" xfId="600"/>
    <cellStyle name="_TG-TH_1_Qt-HT3PQ1(CauKho)_Don gia quy 3 nam 2003 - Ban Dien Luc" xfId="601"/>
    <cellStyle name="_TG-TH_1_Qt-HT3PQ1(CauKho)_Kiem Tra Don Gia" xfId="602"/>
    <cellStyle name="_TG-TH_1_Qt-HT3PQ1(CauKho)_Kiem Tra Don Gia 2" xfId="603"/>
    <cellStyle name="_TG-TH_1_Qt-HT3PQ1(CauKho)_NC-VL2-2003" xfId="604"/>
    <cellStyle name="_TG-TH_1_Qt-HT3PQ1(CauKho)_NC-VL2-2003_1" xfId="605"/>
    <cellStyle name="_TG-TH_1_Qt-HT3PQ1(CauKho)_XL4Test5" xfId="606"/>
    <cellStyle name="_TG-TH_1_QT-LCTP-AE" xfId="607"/>
    <cellStyle name="_TG-TH_1_Sheet2" xfId="608"/>
    <cellStyle name="_TG-TH_1_TEL OUT 2004" xfId="609"/>
    <cellStyle name="_TG-TH_1_Tong hop 3 tinh (11_5)-TTH-QN-QT" xfId="610"/>
    <cellStyle name="_TG-TH_1_XL4Poppy" xfId="611"/>
    <cellStyle name="_TG-TH_1_XL4Test5" xfId="612"/>
    <cellStyle name="_TG-TH_1_ÿÿÿÿÿ" xfId="613"/>
    <cellStyle name="_TG-TH_1_" xfId="614"/>
    <cellStyle name="_TG-TH_2" xfId="615"/>
    <cellStyle name="_TG-TH_2_BANG TONG HOP TINH HINH THANH QUYET TOAN (MOI I)" xfId="616"/>
    <cellStyle name="_TG-TH_2_BAO CAO KLCT PT2000" xfId="617"/>
    <cellStyle name="_TG-TH_2_BAO CAO PT2000" xfId="618"/>
    <cellStyle name="_TG-TH_2_BAO CAO PT2000_Book1" xfId="619"/>
    <cellStyle name="_TG-TH_2_Bao cao XDCB 2001 - T11 KH dieu chinh 20-11-THAI" xfId="620"/>
    <cellStyle name="_TG-TH_2_BAO GIA NGAY 24-10-08 (co dam)" xfId="621"/>
    <cellStyle name="_TG-TH_2_Biểu KH 5 năm gửi UB sửa biểu VHXH" xfId="622"/>
    <cellStyle name="_TG-TH_2_Book1" xfId="623"/>
    <cellStyle name="_TG-TH_2_Book1_1" xfId="624"/>
    <cellStyle name="_TG-TH_2_Book1_1_Book1" xfId="625"/>
    <cellStyle name="_TG-TH_2_Book1_1_DanhMucDonGiaVTTB_Dien_TAM" xfId="626"/>
    <cellStyle name="_TG-TH_2_Book1_1_khoiluongbdacdoa" xfId="627"/>
    <cellStyle name="_TG-TH_2_Book1_2" xfId="628"/>
    <cellStyle name="_TG-TH_2_Book1_2_Book1" xfId="629"/>
    <cellStyle name="_TG-TH_2_Book1_3" xfId="630"/>
    <cellStyle name="_TG-TH_2_Book1_3_Book1" xfId="631"/>
    <cellStyle name="_TG-TH_2_Book1_3_DT truong thinh phu" xfId="632"/>
    <cellStyle name="_TG-TH_2_Book1_3_XL4Test5" xfId="633"/>
    <cellStyle name="_TG-TH_2_Book1_4" xfId="634"/>
    <cellStyle name="_TG-TH_2_Book1_Book1" xfId="635"/>
    <cellStyle name="_TG-TH_2_Book1_DanhMucDonGiaVTTB_Dien_TAM" xfId="636"/>
    <cellStyle name="_TG-TH_2_Book1_khoiluongbdacdoa" xfId="637"/>
    <cellStyle name="_TG-TH_2_Book1_Kiem Tra Don Gia" xfId="638"/>
    <cellStyle name="_TG-TH_2_Book1_Tong hop 3 tinh (11_5)-TTH-QN-QT" xfId="639"/>
    <cellStyle name="_TG-TH_2_Book1_" xfId="640"/>
    <cellStyle name="_TG-TH_2_CAU Khanh Nam(Thi Cong)" xfId="641"/>
    <cellStyle name="_TG-TH_2_DAU NOI PL-CL TAI PHU LAMHC" xfId="642"/>
    <cellStyle name="_TG-TH_2_Dcdtoan-bcnckt " xfId="643"/>
    <cellStyle name="_TG-TH_2_DN_MTP" xfId="644"/>
    <cellStyle name="_TG-TH_2_Dongia2-2003" xfId="645"/>
    <cellStyle name="_TG-TH_2_Dongia2-2003_DT truong thinh phu" xfId="646"/>
    <cellStyle name="_TG-TH_2_DT truong thinh phu" xfId="647"/>
    <cellStyle name="_TG-TH_2_DTCDT MR.2N110.HOCMON.TDTOAN.CCUNG" xfId="648"/>
    <cellStyle name="_TG-TH_2_DTDuong dong tien -sua tham tra 2009 - luong 650" xfId="649"/>
    <cellStyle name="_TG-TH_2_DU TRU VAT TU" xfId="650"/>
    <cellStyle name="_TG-TH_2_khoiluongbdacdoa" xfId="651"/>
    <cellStyle name="_TG-TH_2_Kiem Tra Don Gia" xfId="652"/>
    <cellStyle name="_TG-TH_2_Lora-tungchau" xfId="653"/>
    <cellStyle name="_TG-TH_2_moi" xfId="654"/>
    <cellStyle name="_TG-TH_2_PGIA-phieu tham tra Kho bac" xfId="655"/>
    <cellStyle name="_TG-TH_2_PT02-02" xfId="656"/>
    <cellStyle name="_TG-TH_2_PT02-02_Book1" xfId="657"/>
    <cellStyle name="_TG-TH_2_PT02-03" xfId="658"/>
    <cellStyle name="_TG-TH_2_PT02-03_Book1" xfId="659"/>
    <cellStyle name="_TG-TH_2_Qt-HT3PQ1(CauKho)" xfId="660"/>
    <cellStyle name="_TG-TH_2_Qt-HT3PQ1(CauKho)_Book1" xfId="661"/>
    <cellStyle name="_TG-TH_2_Qt-HT3PQ1(CauKho)_Don gia quy 3 nam 2003 - Ban Dien Luc" xfId="662"/>
    <cellStyle name="_TG-TH_2_Qt-HT3PQ1(CauKho)_Kiem Tra Don Gia" xfId="663"/>
    <cellStyle name="_TG-TH_2_Qt-HT3PQ1(CauKho)_Kiem Tra Don Gia 2" xfId="664"/>
    <cellStyle name="_TG-TH_2_Qt-HT3PQ1(CauKho)_NC-VL2-2003" xfId="665"/>
    <cellStyle name="_TG-TH_2_Qt-HT3PQ1(CauKho)_NC-VL2-2003_1" xfId="666"/>
    <cellStyle name="_TG-TH_2_Qt-HT3PQ1(CauKho)_XL4Test5" xfId="667"/>
    <cellStyle name="_TG-TH_2_QT-LCTP-AE" xfId="668"/>
    <cellStyle name="_TG-TH_2_quy luong con lai nam 2004" xfId="669"/>
    <cellStyle name="_TG-TH_2_Sheet2" xfId="670"/>
    <cellStyle name="_TG-TH_2_TEL OUT 2004" xfId="671"/>
    <cellStyle name="_TG-TH_2_Tong hop 3 tinh (11_5)-TTH-QN-QT" xfId="672"/>
    <cellStyle name="_TG-TH_2_XL4Poppy" xfId="673"/>
    <cellStyle name="_TG-TH_2_XL4Test5" xfId="674"/>
    <cellStyle name="_TG-TH_2_ÿÿÿÿÿ" xfId="675"/>
    <cellStyle name="_TG-TH_2_" xfId="676"/>
    <cellStyle name="_TG-TH_3" xfId="677"/>
    <cellStyle name="_TG-TH_3_Book1" xfId="678"/>
    <cellStyle name="_TG-TH_3_Lora-tungchau" xfId="679"/>
    <cellStyle name="_TG-TH_3_Qt-HT3PQ1(CauKho)" xfId="680"/>
    <cellStyle name="_TG-TH_3_Qt-HT3PQ1(CauKho)_Book1" xfId="681"/>
    <cellStyle name="_TG-TH_3_Qt-HT3PQ1(CauKho)_Don gia quy 3 nam 2003 - Ban Dien Luc" xfId="682"/>
    <cellStyle name="_TG-TH_3_Qt-HT3PQ1(CauKho)_Kiem Tra Don Gia" xfId="683"/>
    <cellStyle name="_TG-TH_3_Qt-HT3PQ1(CauKho)_Kiem Tra Don Gia 2" xfId="684"/>
    <cellStyle name="_TG-TH_3_Qt-HT3PQ1(CauKho)_NC-VL2-2003" xfId="685"/>
    <cellStyle name="_TG-TH_3_Qt-HT3PQ1(CauKho)_NC-VL2-2003_1" xfId="686"/>
    <cellStyle name="_TG-TH_3_Qt-HT3PQ1(CauKho)_XL4Test5" xfId="687"/>
    <cellStyle name="_TG-TH_3_quy luong con lai nam 2004" xfId="688"/>
    <cellStyle name="_TG-TH_3_" xfId="689"/>
    <cellStyle name="_TG-TH_4" xfId="690"/>
    <cellStyle name="_TG-TH_4_Book1" xfId="691"/>
    <cellStyle name="_TG-TH_4_DTDuong dong tien -sua tham tra 2009 - luong 650" xfId="692"/>
    <cellStyle name="_TG-TH_4_quy luong con lai nam 2004" xfId="693"/>
    <cellStyle name="_TH KHAI TOAN THU THIEM cac tuyen TT noi" xfId="694"/>
    <cellStyle name="_TKP" xfId="695"/>
    <cellStyle name="_Tong dutoan PP LAHAI" xfId="696"/>
    <cellStyle name="_Tong hop 3 tinh (11_5)-TTH-QN-QT" xfId="697"/>
    <cellStyle name="_Tong hop may cheu nganh 1" xfId="698"/>
    <cellStyle name="_ung 2011 - 11-6-Thanh hoa-Nghe an" xfId="699"/>
    <cellStyle name="_ung truoc 2011 NSTW Thanh Hoa + Nge An gui Thu 12-5" xfId="700"/>
    <cellStyle name="_ung truoc cua long an (6-5-2010)" xfId="701"/>
    <cellStyle name="_ung von chinh thuc doan kiem tra TAY NAM BO" xfId="702"/>
    <cellStyle name="_Ung von nam 2011 vung TNB - Doan Cong tac (12-5-2010)" xfId="703"/>
    <cellStyle name="_Ung von nam 2011 vung TNB - Doan Cong tac (12-5-2010)_Copy of ghep 3 bieu trinh LD BO 28-6 (TPCP)" xfId="704"/>
    <cellStyle name="_ÿÿÿÿÿ" xfId="705"/>
    <cellStyle name="_ÿÿÿÿÿ_Kh ql62 (2010) 11-09" xfId="706"/>
    <cellStyle name="_" xfId="707"/>
    <cellStyle name="_ 2" xfId="708"/>
    <cellStyle name="__1" xfId="709"/>
    <cellStyle name="__1 2" xfId="710"/>
    <cellStyle name="__Bao gia TB Kon Dao 2010" xfId="711"/>
    <cellStyle name="~1" xfId="712"/>
    <cellStyle name="’Ê‰Ý [0.00]_laroux" xfId="713"/>
    <cellStyle name="’Ê‰Ý_laroux" xfId="714"/>
    <cellStyle name="•W?_Format" xfId="715"/>
    <cellStyle name="•W€_¯–ì" xfId="716"/>
    <cellStyle name="•W_¯–ì" xfId="717"/>
    <cellStyle name="W_MARINE" xfId="718"/>
    <cellStyle name="0" xfId="719"/>
    <cellStyle name="0.0" xfId="720"/>
    <cellStyle name="0.00" xfId="721"/>
    <cellStyle name="1" xfId="722"/>
    <cellStyle name="1_17 bieu (hung cap nhap)" xfId="723"/>
    <cellStyle name="1_2-Ha GiangBB2011-V1" xfId="724"/>
    <cellStyle name="1_50-BB Vung tau 2011" xfId="725"/>
    <cellStyle name="1_52-Long An2011.BB-V1" xfId="726"/>
    <cellStyle name="1_7 noi 48 goi C5 9 vi na" xfId="727"/>
    <cellStyle name="1_BANG KE VAT TU" xfId="728"/>
    <cellStyle name="1_Bao cao doan cong tac cua Bo thang 4-2010" xfId="729"/>
    <cellStyle name="1_Bao cao giai ngan von dau tu nam 2009 (theo doi)" xfId="730"/>
    <cellStyle name="1_Bao cao giai ngan von dau tu nam 2009 (theo doi)_Bao cao doan cong tac cua Bo thang 4-2010" xfId="731"/>
    <cellStyle name="1_Bao cao giai ngan von dau tu nam 2009 (theo doi)_Ke hoach 2009 (theo doi) -1" xfId="732"/>
    <cellStyle name="1_Bao cao KP tu chu" xfId="733"/>
    <cellStyle name="1_BAO GIA NGAY 24-10-08 (co dam)" xfId="734"/>
    <cellStyle name="1_Bao gia TB Kon Dao 2010" xfId="735"/>
    <cellStyle name="1_BC 8 thang 2009 ve CT trong diem 5nam" xfId="736"/>
    <cellStyle name="1_BC 8 thang 2009 ve CT trong diem 5nam_Bao cao doan cong tac cua Bo thang 4-2010" xfId="737"/>
    <cellStyle name="1_BC 8 thang 2009 ve CT trong diem 5nam_bieu 01" xfId="738"/>
    <cellStyle name="1_BC 8 thang 2009 ve CT trong diem 5nam_bieu 01_Bao cao doan cong tac cua Bo thang 4-2010" xfId="739"/>
    <cellStyle name="1_BC nam 2007 (UB)" xfId="740"/>
    <cellStyle name="1_BC nam 2007 (UB)_Bao cao doan cong tac cua Bo thang 4-2010" xfId="741"/>
    <cellStyle name="1_bieu 1" xfId="742"/>
    <cellStyle name="1_bieu 2" xfId="743"/>
    <cellStyle name="1_bieu 4" xfId="744"/>
    <cellStyle name="1_bieu tong hop" xfId="745"/>
    <cellStyle name="1_Book1" xfId="746"/>
    <cellStyle name="1_Book1_1" xfId="747"/>
    <cellStyle name="1_Book1_1_VBPL kiểm toán Đầu tư XDCB 2010" xfId="748"/>
    <cellStyle name="1_Book1_Bao cao doan cong tac cua Bo thang 4-2010" xfId="749"/>
    <cellStyle name="1_Book1_BL vu" xfId="750"/>
    <cellStyle name="1_Book1_Book1" xfId="751"/>
    <cellStyle name="1_Book1_Gia - Thanh An" xfId="752"/>
    <cellStyle name="1_Book1_VBPL kiểm toán Đầu tư XDCB 2010" xfId="753"/>
    <cellStyle name="1_Book2" xfId="754"/>
    <cellStyle name="1_Book2_Bao cao doan cong tac cua Bo thang 4-2010" xfId="755"/>
    <cellStyle name="1_Cau thuy dien Ban La (Cu Anh)" xfId="756"/>
    <cellStyle name="1_Copy of ghep 3 bieu trinh LD BO 28-6 (TPCP)" xfId="757"/>
    <cellStyle name="1_Danh sach gui BC thuc hien KH2009" xfId="758"/>
    <cellStyle name="1_Danh sach gui BC thuc hien KH2009_Bao cao doan cong tac cua Bo thang 4-2010" xfId="759"/>
    <cellStyle name="1_Danh sach gui BC thuc hien KH2009_Ke hoach 2009 (theo doi) -1" xfId="760"/>
    <cellStyle name="1_Don gia Du thau ( XL19)" xfId="761"/>
    <cellStyle name="1_DT972000" xfId="762"/>
    <cellStyle name="1_dtCau Km3+429,21TL685" xfId="763"/>
    <cellStyle name="1_Dtdchinh2397" xfId="764"/>
    <cellStyle name="1_Dtdchinh2397 2" xfId="765"/>
    <cellStyle name="1_Du thau" xfId="766"/>
    <cellStyle name="1_Du toan 558 (Km17+508.12 - Km 22)" xfId="767"/>
    <cellStyle name="1_du toan lan 3" xfId="768"/>
    <cellStyle name="1_Gia - Thanh An" xfId="769"/>
    <cellStyle name="1_Gia_VLQL48_duyet " xfId="770"/>
    <cellStyle name="1_GIA-DUTHAUsuaNS" xfId="771"/>
    <cellStyle name="1_KH 2007 (theo doi)" xfId="772"/>
    <cellStyle name="1_KH 2007 (theo doi)_Bao cao doan cong tac cua Bo thang 4-2010" xfId="773"/>
    <cellStyle name="1_Kh ql62 (2010) 11-09" xfId="774"/>
    <cellStyle name="1_khoiluongbdacdoa" xfId="775"/>
    <cellStyle name="1_KL km 0-km3+300 dieu chinh 4-2008" xfId="776"/>
    <cellStyle name="1_KLNM 1303" xfId="777"/>
    <cellStyle name="1_KlQdinhduyet" xfId="778"/>
    <cellStyle name="1_LuuNgay17-03-2009Đơn KN Cục thuế" xfId="779"/>
    <cellStyle name="1_NTHOC" xfId="780"/>
    <cellStyle name="1_NTHOC_Tong hop theo doi von TPCP" xfId="781"/>
    <cellStyle name="1_NTHOC_Tong hop theo doi von TPCP_Bao cao kiem toan kh 2010" xfId="782"/>
    <cellStyle name="1_NTHOC_Tong hop theo doi von TPCP_Ke hoach 2010 (theo doi)2" xfId="783"/>
    <cellStyle name="1_NTHOC_Tong hop theo doi von TPCP_QD UBND tinh" xfId="784"/>
    <cellStyle name="1_NTHOC_Tong hop theo doi von TPCP_Worksheet in D: My Documents Luc Van ban xu ly Nam 2011 Bao cao ra soat tam ung TPCP" xfId="785"/>
    <cellStyle name="1_QT Thue GTGT 2008" xfId="786"/>
    <cellStyle name="1_Ra soat Giai ngan 2007 (dang lam)" xfId="787"/>
    <cellStyle name="1_Theo doi von TPCP (dang lam)" xfId="788"/>
    <cellStyle name="1_Thong ke cong" xfId="789"/>
    <cellStyle name="1_thong ke giao dan sinh" xfId="790"/>
    <cellStyle name="1_TonghopKL_BOY-sual2" xfId="791"/>
    <cellStyle name="1_TRUNG PMU 5" xfId="792"/>
    <cellStyle name="1_VBPL kiểm toán Đầu tư XDCB 2010" xfId="793"/>
    <cellStyle name="1_ÿÿÿÿÿ" xfId="794"/>
    <cellStyle name="1_ÿÿÿÿÿ_Bieu tong hop nhu cau ung 2011 da chon loc -Mien nui" xfId="795"/>
    <cellStyle name="1_ÿÿÿÿÿ_Kh ql62 (2010) 11-09" xfId="796"/>
    <cellStyle name="1_ÿÿÿÿÿ_mau bieu doan giam sat 2010 (version 2)" xfId="797"/>
    <cellStyle name="1_ÿÿÿÿÿ_mau bieu doan giam sat 2010 (version 2) 2" xfId="798"/>
    <cellStyle name="1_ÿÿÿÿÿ_VBPL kiểm toán Đầu tư XDCB 2010" xfId="799"/>
    <cellStyle name="1_" xfId="800"/>
    <cellStyle name="15" xfId="801"/>
    <cellStyle name="18" xfId="802"/>
    <cellStyle name="¹éºÐÀ²_      " xfId="803"/>
    <cellStyle name="2" xfId="804"/>
    <cellStyle name="2_7 noi 48 goi C5 9 vi na" xfId="805"/>
    <cellStyle name="2_BL vu" xfId="806"/>
    <cellStyle name="2_Book1" xfId="807"/>
    <cellStyle name="2_Book1_1" xfId="808"/>
    <cellStyle name="2_Book1_Bao cao kiem toan kh 2010" xfId="809"/>
    <cellStyle name="2_Book1_Ke hoach 2010 (theo doi)2" xfId="810"/>
    <cellStyle name="2_Book1_QD UBND tinh" xfId="811"/>
    <cellStyle name="2_Book1_VBPL kiểm toán Đầu tư XDCB 2010" xfId="812"/>
    <cellStyle name="2_Book1_Worksheet in D: My Documents Luc Van ban xu ly Nam 2011 Bao cao ra soat tam ung TPCP" xfId="813"/>
    <cellStyle name="2_Cau thuy dien Ban La (Cu Anh)" xfId="814"/>
    <cellStyle name="2_Dtdchinh2397" xfId="815"/>
    <cellStyle name="2_Dtdchinh2397 2" xfId="816"/>
    <cellStyle name="2_Du toan 558 (Km17+508.12 - Km 22)" xfId="817"/>
    <cellStyle name="2_Gia_VLQL48_duyet " xfId="818"/>
    <cellStyle name="2_KLNM 1303" xfId="819"/>
    <cellStyle name="2_KlQdinhduyet" xfId="820"/>
    <cellStyle name="2_NTHOC" xfId="821"/>
    <cellStyle name="2_NTHOC_Tong hop theo doi von TPCP" xfId="822"/>
    <cellStyle name="2_NTHOC_Tong hop theo doi von TPCP_Bao cao kiem toan kh 2010" xfId="823"/>
    <cellStyle name="2_NTHOC_Tong hop theo doi von TPCP_Ke hoach 2010 (theo doi)2" xfId="824"/>
    <cellStyle name="2_NTHOC_Tong hop theo doi von TPCP_QD UBND tinh" xfId="825"/>
    <cellStyle name="2_NTHOC_Tong hop theo doi von TPCP_Worksheet in D: My Documents Luc Van ban xu ly Nam 2011 Bao cao ra soat tam ung TPCP" xfId="826"/>
    <cellStyle name="2_Thong ke cong" xfId="827"/>
    <cellStyle name="2_thong ke giao dan sinh" xfId="828"/>
    <cellStyle name="2_Tong hop theo doi von TPCP" xfId="829"/>
    <cellStyle name="2_Tong hop theo doi von TPCP_Bao cao kiem toan kh 2010" xfId="830"/>
    <cellStyle name="2_Tong hop theo doi von TPCP_Ke hoach 2010 (theo doi)2" xfId="831"/>
    <cellStyle name="2_Tong hop theo doi von TPCP_QD UBND tinh" xfId="832"/>
    <cellStyle name="2_Tong hop theo doi von TPCP_Worksheet in D: My Documents Luc Van ban xu ly Nam 2011 Bao cao ra soat tam ung TPCP" xfId="833"/>
    <cellStyle name="2_TRUNG PMU 5" xfId="834"/>
    <cellStyle name="2_VBPL kiểm toán Đầu tư XDCB 2010" xfId="835"/>
    <cellStyle name="2_ÿÿÿÿÿ" xfId="836"/>
    <cellStyle name="2_ÿÿÿÿÿ_Bieu tong hop nhu cau ung 2011 da chon loc -Mien nui" xfId="837"/>
    <cellStyle name="2_ÿÿÿÿÿ_mau bieu doan giam sat 2010 (version 2)" xfId="838"/>
    <cellStyle name="2_ÿÿÿÿÿ_mau bieu doan giam sat 2010 (version 2) 2" xfId="839"/>
    <cellStyle name="20" xfId="840"/>
    <cellStyle name="20 2" xfId="841"/>
    <cellStyle name="20% - Accent1 2" xfId="842"/>
    <cellStyle name="20% - Accent2 2" xfId="843"/>
    <cellStyle name="20% - Accent3 2" xfId="844"/>
    <cellStyle name="20% - Accent4 2" xfId="845"/>
    <cellStyle name="20% - Accent5 2" xfId="846"/>
    <cellStyle name="20% - Accent6 2" xfId="847"/>
    <cellStyle name="20% - Nhấn1" xfId="848"/>
    <cellStyle name="20% - Nhấn2" xfId="849"/>
    <cellStyle name="20% - Nhấn3" xfId="850"/>
    <cellStyle name="20% - Nhấn4" xfId="851"/>
    <cellStyle name="20% - Nhấn5" xfId="852"/>
    <cellStyle name="20% - Nhấn6" xfId="853"/>
    <cellStyle name="-2001" xfId="854"/>
    <cellStyle name="-2001 2" xfId="855"/>
    <cellStyle name="3" xfId="856"/>
    <cellStyle name="3_7 noi 48 goi C5 9 vi na" xfId="857"/>
    <cellStyle name="3_Book1" xfId="858"/>
    <cellStyle name="3_Book1_1" xfId="859"/>
    <cellStyle name="3_Cau thuy dien Ban La (Cu Anh)" xfId="860"/>
    <cellStyle name="3_Dtdchinh2397" xfId="861"/>
    <cellStyle name="3_Dtdchinh2397 2" xfId="862"/>
    <cellStyle name="3_Du toan 558 (Km17+508.12 - Km 22)" xfId="863"/>
    <cellStyle name="3_Gia_VLQL48_duyet " xfId="864"/>
    <cellStyle name="3_KLNM 1303" xfId="865"/>
    <cellStyle name="3_KlQdinhduyet" xfId="866"/>
    <cellStyle name="3_Thong ke cong" xfId="867"/>
    <cellStyle name="3_thong ke giao dan sinh" xfId="868"/>
    <cellStyle name="3_VBPL kiểm toán Đầu tư XDCB 2010" xfId="869"/>
    <cellStyle name="3_ÿÿÿÿÿ" xfId="870"/>
    <cellStyle name="4" xfId="871"/>
    <cellStyle name="4_7 noi 48 goi C5 9 vi na" xfId="872"/>
    <cellStyle name="4_Book1" xfId="873"/>
    <cellStyle name="4_Book1_1" xfId="874"/>
    <cellStyle name="4_Cau thuy dien Ban La (Cu Anh)" xfId="875"/>
    <cellStyle name="4_Dtdchinh2397" xfId="876"/>
    <cellStyle name="4_Dtdchinh2397 2" xfId="877"/>
    <cellStyle name="4_Du toan 558 (Km17+508.12 - Km 22)" xfId="878"/>
    <cellStyle name="4_Gia_VLQL48_duyet " xfId="879"/>
    <cellStyle name="4_KLNM 1303" xfId="880"/>
    <cellStyle name="4_KlQdinhduyet" xfId="881"/>
    <cellStyle name="4_Thong ke cong" xfId="882"/>
    <cellStyle name="4_thong ke giao dan sinh" xfId="883"/>
    <cellStyle name="4_ÿÿÿÿÿ" xfId="884"/>
    <cellStyle name="40% - Accent1 2" xfId="885"/>
    <cellStyle name="40% - Accent2 2" xfId="886"/>
    <cellStyle name="40% - Accent3 2" xfId="887"/>
    <cellStyle name="40% - Accent4 2" xfId="888"/>
    <cellStyle name="40% - Accent5 2" xfId="889"/>
    <cellStyle name="40% - Accent6 2" xfId="890"/>
    <cellStyle name="40% - Nhấn1" xfId="891"/>
    <cellStyle name="40% - Nhấn2" xfId="892"/>
    <cellStyle name="40% - Nhấn3" xfId="893"/>
    <cellStyle name="40% - Nhấn4" xfId="894"/>
    <cellStyle name="40% - Nhấn5" xfId="895"/>
    <cellStyle name="40% - Nhấn6" xfId="896"/>
    <cellStyle name="6" xfId="897"/>
    <cellStyle name="6_Bieu mau ung 2011-Mien Trung-TPCP-11-6" xfId="898"/>
    <cellStyle name="6_Copy of ghep 3 bieu trinh LD BO 28-6 (TPCP)" xfId="899"/>
    <cellStyle name="6_DTDuong dong tien -sua tham tra 2009 - luong 650" xfId="900"/>
    <cellStyle name="6_DTDuong dong tien -sua tham tra 2009 - luong 650 2" xfId="901"/>
    <cellStyle name="6_Nhu cau tam ung NSNN&amp;TPCP&amp;ODA theo tieu chi cua Bo (CV410_BKH-TH)_vung Tay Nguyen (11.6.2010)" xfId="902"/>
    <cellStyle name="60% - Accent1 2" xfId="903"/>
    <cellStyle name="60% - Accent2 2" xfId="904"/>
    <cellStyle name="60% - Accent3 2" xfId="905"/>
    <cellStyle name="60% - Accent4 2" xfId="906"/>
    <cellStyle name="60% - Accent5 2" xfId="907"/>
    <cellStyle name="60% - Accent6 2" xfId="908"/>
    <cellStyle name="60% - Nhấn1" xfId="909"/>
    <cellStyle name="60% - Nhấn2" xfId="910"/>
    <cellStyle name="60% - Nhấn3" xfId="911"/>
    <cellStyle name="60% - Nhấn4" xfId="912"/>
    <cellStyle name="60% - Nhấn5" xfId="913"/>
    <cellStyle name="60% - Nhấn6" xfId="914"/>
    <cellStyle name="9" xfId="915"/>
    <cellStyle name="Accent1 2" xfId="916"/>
    <cellStyle name="Accent2 2" xfId="917"/>
    <cellStyle name="Accent3 2" xfId="918"/>
    <cellStyle name="Accent4 2" xfId="919"/>
    <cellStyle name="Accent5 2" xfId="920"/>
    <cellStyle name="Accent6 2" xfId="921"/>
    <cellStyle name="ÅëÈ­ [0]_      " xfId="922"/>
    <cellStyle name="AeE­ [0]_INQUIRY ¿?¾÷AßAø " xfId="923"/>
    <cellStyle name="ÅëÈ­ [0]_laroux" xfId="924"/>
    <cellStyle name="ÅëÈ­_      " xfId="925"/>
    <cellStyle name="AeE­_INQUIRY ¿?¾÷AßAø " xfId="926"/>
    <cellStyle name="ÅëÈ­_laroux" xfId="927"/>
    <cellStyle name="args.style" xfId="928"/>
    <cellStyle name="args.style 2" xfId="929"/>
    <cellStyle name="at" xfId="930"/>
    <cellStyle name="ÄÞ¸¶ [0]_      " xfId="931"/>
    <cellStyle name="AÞ¸¶ [0]_INQUIRY ¿?¾÷AßAø " xfId="932"/>
    <cellStyle name="ÄÞ¸¶ [0]_L601CPT" xfId="933"/>
    <cellStyle name="ÄÞ¸¶_      " xfId="934"/>
    <cellStyle name="AÞ¸¶_INQUIRY ¿?¾÷AßAø " xfId="935"/>
    <cellStyle name="ÄÞ¸¶_L601CPT" xfId="936"/>
    <cellStyle name="AutoFormat Options" xfId="937"/>
    <cellStyle name="AutoFormat-Optionen" xfId="1"/>
    <cellStyle name="AutoFormat-Optionen 2" xfId="938"/>
    <cellStyle name="AutoFormat-Optionen 2 2" xfId="2"/>
    <cellStyle name="Bad 2" xfId="939"/>
    <cellStyle name="Body" xfId="940"/>
    <cellStyle name="C?AØ_¿?¾÷CoE² " xfId="941"/>
    <cellStyle name="C~1" xfId="942"/>
    <cellStyle name="Ç¥ÁØ_      " xfId="943"/>
    <cellStyle name="C￥AØ_¿μ¾÷CoE² " xfId="944"/>
    <cellStyle name="Ç¥ÁØ_±³°¢¼ö·®" xfId="945"/>
    <cellStyle name="C￥AØ_Sheet1_¿μ¾÷CoE² " xfId="946"/>
    <cellStyle name="Calc Currency (0)" xfId="947"/>
    <cellStyle name="Calc Currency (0) 2" xfId="948"/>
    <cellStyle name="Calc Currency (2)" xfId="949"/>
    <cellStyle name="Calc Percent (0)" xfId="950"/>
    <cellStyle name="Calc Percent (1)" xfId="951"/>
    <cellStyle name="Calc Percent (2)" xfId="952"/>
    <cellStyle name="Calc Percent (2) 2" xfId="953"/>
    <cellStyle name="Calc Units (0)" xfId="954"/>
    <cellStyle name="Calc Units (1)" xfId="955"/>
    <cellStyle name="Calc Units (2)" xfId="956"/>
    <cellStyle name="Calculation 2" xfId="957"/>
    <cellStyle name="category" xfId="958"/>
    <cellStyle name="Cerrency_Sheet2_XANGDAU" xfId="959"/>
    <cellStyle name="Check Cell 2" xfId="960"/>
    <cellStyle name="Chi phÝ kh¸c_Book1" xfId="961"/>
    <cellStyle name="chu" xfId="962"/>
    <cellStyle name="Chuẩn 3" xfId="963"/>
    <cellStyle name="CHUONG" xfId="964"/>
    <cellStyle name="Co?ma_Sheet1" xfId="965"/>
    <cellStyle name="Comma" xfId="3" builtinId="3"/>
    <cellStyle name="Comma  - Style1" xfId="966"/>
    <cellStyle name="Comma  - Style2" xfId="967"/>
    <cellStyle name="Comma  - Style3" xfId="968"/>
    <cellStyle name="Comma  - Style4" xfId="969"/>
    <cellStyle name="Comma  - Style5" xfId="970"/>
    <cellStyle name="Comma  - Style6" xfId="971"/>
    <cellStyle name="Comma  - Style7" xfId="972"/>
    <cellStyle name="Comma  - Style8" xfId="973"/>
    <cellStyle name="Comma [0] 11" xfId="974"/>
    <cellStyle name="Comma [0] 2" xfId="975"/>
    <cellStyle name="Comma [0] 3" xfId="976"/>
    <cellStyle name="Comma [0] 4" xfId="977"/>
    <cellStyle name="Comma [0] 4 2 2 2" xfId="978"/>
    <cellStyle name="Comma [0] 4 2 2 2 2" xfId="979"/>
    <cellStyle name="Comma [0] 4 3 2" xfId="980"/>
    <cellStyle name="Comma [0] 5" xfId="981"/>
    <cellStyle name="Comma [00]" xfId="982"/>
    <cellStyle name="Comma 10" xfId="4"/>
    <cellStyle name="Comma 10 10" xfId="983"/>
    <cellStyle name="Comma 10 2" xfId="5"/>
    <cellStyle name="Comma 10 3" xfId="984"/>
    <cellStyle name="Comma 11" xfId="985"/>
    <cellStyle name="Comma 12" xfId="986"/>
    <cellStyle name="Comma 14" xfId="987"/>
    <cellStyle name="Comma 15" xfId="988"/>
    <cellStyle name="Comma 2" xfId="18"/>
    <cellStyle name="Comma 2 2" xfId="989"/>
    <cellStyle name="Comma 2 2 2" xfId="990"/>
    <cellStyle name="Comma 2 2 3" xfId="991"/>
    <cellStyle name="Comma 2 2 4" xfId="992"/>
    <cellStyle name="Comma 2 28" xfId="993"/>
    <cellStyle name="Comma 2 3" xfId="994"/>
    <cellStyle name="Comma 2 4" xfId="995"/>
    <cellStyle name="Comma 2 5" xfId="996"/>
    <cellStyle name="Comma 2 7" xfId="997"/>
    <cellStyle name="Comma 2_bieu 1" xfId="998"/>
    <cellStyle name="Comma 2_VBPL kiểm toán Đầu tư XDCB 2010" xfId="17"/>
    <cellStyle name="Comma 22 3" xfId="999"/>
    <cellStyle name="Comma 23" xfId="1000"/>
    <cellStyle name="Comma 24" xfId="1001"/>
    <cellStyle name="Comma 28" xfId="1002"/>
    <cellStyle name="Comma 3" xfId="1003"/>
    <cellStyle name="Comma 3 2" xfId="1004"/>
    <cellStyle name="Comma 3_BC 6 thang_Phu Luc" xfId="1005"/>
    <cellStyle name="Comma 4" xfId="1006"/>
    <cellStyle name="Comma 4 2" xfId="1007"/>
    <cellStyle name="Comma 4 20" xfId="1008"/>
    <cellStyle name="Comma 4_Bieu mau KH 2011 (gui Vu DP)" xfId="1009"/>
    <cellStyle name="Comma 40" xfId="1010"/>
    <cellStyle name="Comma 41" xfId="1011"/>
    <cellStyle name="Comma 44" xfId="1012"/>
    <cellStyle name="Comma 5" xfId="1013"/>
    <cellStyle name="Comma 5 2" xfId="1014"/>
    <cellStyle name="Comma 6" xfId="1015"/>
    <cellStyle name="Comma 7" xfId="1016"/>
    <cellStyle name="Comma 7 2" xfId="1017"/>
    <cellStyle name="Comma 8" xfId="1018"/>
    <cellStyle name="Comma 9" xfId="20"/>
    <cellStyle name="comma zerodec" xfId="1019"/>
    <cellStyle name="comma zerodec 2" xfId="1020"/>
    <cellStyle name="Comma0" xfId="1021"/>
    <cellStyle name="Comma0 - Modelo1" xfId="1022"/>
    <cellStyle name="Comma0 - Style1" xfId="1023"/>
    <cellStyle name="Comma0_Dat TP Kon Tum Ko Dung QD" xfId="1024"/>
    <cellStyle name="Comma1 - Modelo2" xfId="1025"/>
    <cellStyle name="Comma1 - Style2" xfId="1026"/>
    <cellStyle name="cong" xfId="1027"/>
    <cellStyle name="Copied" xfId="1028"/>
    <cellStyle name="Cࡵrrency_Sheet1_PRODUCTĠ" xfId="1029"/>
    <cellStyle name="Currency [00]" xfId="1030"/>
    <cellStyle name="Currency0" xfId="1031"/>
    <cellStyle name="Currency0 2" xfId="1032"/>
    <cellStyle name="Currency0 2 2" xfId="1033"/>
    <cellStyle name="Currency0 2 3" xfId="1034"/>
    <cellStyle name="Currency0 2 4" xfId="1035"/>
    <cellStyle name="Currency0 2_Khoi cong moi 1" xfId="1036"/>
    <cellStyle name="Currency0 3" xfId="1037"/>
    <cellStyle name="Currency0 4" xfId="1038"/>
    <cellStyle name="Currency0_Book1" xfId="1039"/>
    <cellStyle name="Currency1" xfId="1040"/>
    <cellStyle name="Currency1 2" xfId="1041"/>
    <cellStyle name="D1" xfId="1042"/>
    <cellStyle name="D1 2" xfId="1043"/>
    <cellStyle name="Date" xfId="1044"/>
    <cellStyle name="Date Short" xfId="1045"/>
    <cellStyle name="Date Short 2" xfId="1046"/>
    <cellStyle name="Date_17 bieu (hung cap nhap)" xfId="1047"/>
    <cellStyle name="Dấu phảy [0] 2 2" xfId="1048"/>
    <cellStyle name="Đầu ra" xfId="1049"/>
    <cellStyle name="Đầu vào" xfId="1050"/>
    <cellStyle name="DAUDE" xfId="1051"/>
    <cellStyle name="Đề mục 1" xfId="1052"/>
    <cellStyle name="Đề mục 2" xfId="1053"/>
    <cellStyle name="Đề mục 3" xfId="1054"/>
    <cellStyle name="Đề mục 4" xfId="1055"/>
    <cellStyle name="Decimal" xfId="1056"/>
    <cellStyle name="Decimal 2" xfId="1057"/>
    <cellStyle name="Decimal 3" xfId="1058"/>
    <cellStyle name="Decimal 4" xfId="1059"/>
    <cellStyle name="DELTA" xfId="1060"/>
    <cellStyle name="DELTA 2" xfId="1061"/>
    <cellStyle name="Dezimal [0]_35ERI8T2gbIEMixb4v26icuOo" xfId="1062"/>
    <cellStyle name="Dezimal_35ERI8T2gbIEMixb4v26icuOo" xfId="1063"/>
    <cellStyle name="Dg" xfId="1064"/>
    <cellStyle name="Dgia" xfId="1065"/>
    <cellStyle name="Dgia 2" xfId="1066"/>
    <cellStyle name="Dia" xfId="1067"/>
    <cellStyle name="Dollar (zero dec)" xfId="1068"/>
    <cellStyle name="Dollar (zero dec) 2" xfId="1069"/>
    <cellStyle name="Don gia" xfId="1070"/>
    <cellStyle name="Don gia 2" xfId="1071"/>
    <cellStyle name="DuToanBXD" xfId="1072"/>
    <cellStyle name="Dziesi?tny [0]_Invoices2001Slovakia" xfId="1073"/>
    <cellStyle name="Dziesi?tny_Invoices2001Slovakia" xfId="1074"/>
    <cellStyle name="Dziesietny [0]_Invoices2001Slovakia" xfId="1075"/>
    <cellStyle name="Dziesiętny [0]_Invoices2001Slovakia" xfId="1076"/>
    <cellStyle name="Dziesietny [0]_Invoices2001Slovakia_01_Nha so 1_Dien" xfId="1077"/>
    <cellStyle name="Dziesiętny [0]_Invoices2001Slovakia_01_Nha so 1_Dien" xfId="1078"/>
    <cellStyle name="Dziesietny [0]_Invoices2001Slovakia_01_Nha so 1_Dien 2" xfId="1079"/>
    <cellStyle name="Dziesiętny [0]_Invoices2001Slovakia_01_Nha so 1_Dien 2" xfId="1080"/>
    <cellStyle name="Dziesietny [0]_Invoices2001Slovakia_10_Nha so 10_Dien1" xfId="1081"/>
    <cellStyle name="Dziesiętny [0]_Invoices2001Slovakia_10_Nha so 10_Dien1" xfId="1082"/>
    <cellStyle name="Dziesietny [0]_Invoices2001Slovakia_10_Nha so 10_Dien1 2" xfId="1083"/>
    <cellStyle name="Dziesiętny [0]_Invoices2001Slovakia_10_Nha so 10_Dien1 2" xfId="1084"/>
    <cellStyle name="Dziesietny [0]_Invoices2001Slovakia_Book1" xfId="1085"/>
    <cellStyle name="Dziesiętny [0]_Invoices2001Slovakia_Book1" xfId="1086"/>
    <cellStyle name="Dziesietny [0]_Invoices2001Slovakia_Book1_1" xfId="1087"/>
    <cellStyle name="Dziesiętny [0]_Invoices2001Slovakia_Book1_1" xfId="1088"/>
    <cellStyle name="Dziesietny [0]_Invoices2001Slovakia_Book1_1 2" xfId="1089"/>
    <cellStyle name="Dziesiętny [0]_Invoices2001Slovakia_Book1_1 2" xfId="1090"/>
    <cellStyle name="Dziesietny [0]_Invoices2001Slovakia_Book1_1_Book1" xfId="1091"/>
    <cellStyle name="Dziesiętny [0]_Invoices2001Slovakia_Book1_1_Book1" xfId="1092"/>
    <cellStyle name="Dziesietny [0]_Invoices2001Slovakia_Book1_1_Book1 2" xfId="1093"/>
    <cellStyle name="Dziesiętny [0]_Invoices2001Slovakia_Book1_1_Book1 2" xfId="1094"/>
    <cellStyle name="Dziesietny [0]_Invoices2001Slovakia_Book1_2" xfId="1095"/>
    <cellStyle name="Dziesiętny [0]_Invoices2001Slovakia_Book1_2" xfId="1096"/>
    <cellStyle name="Dziesietny [0]_Invoices2001Slovakia_Book1_2 2" xfId="1097"/>
    <cellStyle name="Dziesiętny [0]_Invoices2001Slovakia_Book1_2 2" xfId="1098"/>
    <cellStyle name="Dziesietny [0]_Invoices2001Slovakia_Book1_Nhu cau von ung truoc 2011 Tha h Hoa + Nge An gui TW" xfId="1099"/>
    <cellStyle name="Dziesiętny [0]_Invoices2001Slovakia_Book1_Nhu cau von ung truoc 2011 Tha h Hoa + Nge An gui TW" xfId="1100"/>
    <cellStyle name="Dziesietny [0]_Invoices2001Slovakia_Book1_Tong hop Cac tuyen(9-1-06)" xfId="1101"/>
    <cellStyle name="Dziesiętny [0]_Invoices2001Slovakia_Book1_Tong hop Cac tuyen(9-1-06)" xfId="1102"/>
    <cellStyle name="Dziesietny [0]_Invoices2001Slovakia_Book1_ung 2011 - 11-6-Thanh hoa-Nghe an" xfId="1103"/>
    <cellStyle name="Dziesiętny [0]_Invoices2001Slovakia_Book1_ung 2011 - 11-6-Thanh hoa-Nghe an" xfId="1104"/>
    <cellStyle name="Dziesietny [0]_Invoices2001Slovakia_Book1_ung truoc 2011 NSTW Thanh Hoa + Nge An gui Thu 12-5" xfId="1105"/>
    <cellStyle name="Dziesiętny [0]_Invoices2001Slovakia_Book1_ung truoc 2011 NSTW Thanh Hoa + Nge An gui Thu 12-5" xfId="1106"/>
    <cellStyle name="Dziesietny [0]_Invoices2001Slovakia_d-uong+TDT" xfId="1107"/>
    <cellStyle name="Dziesiętny [0]_Invoices2001Slovakia_Nhµ ®Ó xe" xfId="1108"/>
    <cellStyle name="Dziesietny [0]_Invoices2001Slovakia_Nha bao ve(28-7-05)" xfId="1109"/>
    <cellStyle name="Dziesiętny [0]_Invoices2001Slovakia_Nha bao ve(28-7-05)" xfId="1110"/>
    <cellStyle name="Dziesietny [0]_Invoices2001Slovakia_NHA de xe nguyen du" xfId="1111"/>
    <cellStyle name="Dziesiętny [0]_Invoices2001Slovakia_NHA de xe nguyen du" xfId="1112"/>
    <cellStyle name="Dziesietny [0]_Invoices2001Slovakia_Nhalamviec VTC(25-1-05)" xfId="1113"/>
    <cellStyle name="Dziesiętny [0]_Invoices2001Slovakia_Nhalamviec VTC(25-1-05)" xfId="1114"/>
    <cellStyle name="Dziesietny [0]_Invoices2001Slovakia_Nhu cau von ung truoc 2011 Tha h Hoa + Nge An gui TW" xfId="1115"/>
    <cellStyle name="Dziesiętny [0]_Invoices2001Slovakia_TDT KHANH HOA" xfId="1116"/>
    <cellStyle name="Dziesietny [0]_Invoices2001Slovakia_TDT KHANH HOA_Tong hop Cac tuyen(9-1-06)" xfId="1117"/>
    <cellStyle name="Dziesiętny [0]_Invoices2001Slovakia_TDT KHANH HOA_Tong hop Cac tuyen(9-1-06)" xfId="1118"/>
    <cellStyle name="Dziesietny [0]_Invoices2001Slovakia_TDT quangngai" xfId="1119"/>
    <cellStyle name="Dziesiętny [0]_Invoices2001Slovakia_TDT quangngai" xfId="1120"/>
    <cellStyle name="Dziesietny [0]_Invoices2001Slovakia_TMDT(10-5-06)" xfId="1121"/>
    <cellStyle name="Dziesietny_Invoices2001Slovakia" xfId="1122"/>
    <cellStyle name="Dziesiętny_Invoices2001Slovakia" xfId="1123"/>
    <cellStyle name="Dziesietny_Invoices2001Slovakia_01_Nha so 1_Dien" xfId="1124"/>
    <cellStyle name="Dziesiętny_Invoices2001Slovakia_01_Nha so 1_Dien" xfId="1125"/>
    <cellStyle name="Dziesietny_Invoices2001Slovakia_01_Nha so 1_Dien 2" xfId="1126"/>
    <cellStyle name="Dziesiętny_Invoices2001Slovakia_01_Nha so 1_Dien 2" xfId="1127"/>
    <cellStyle name="Dziesietny_Invoices2001Slovakia_10_Nha so 10_Dien1" xfId="1128"/>
    <cellStyle name="Dziesiętny_Invoices2001Slovakia_10_Nha so 10_Dien1" xfId="1129"/>
    <cellStyle name="Dziesietny_Invoices2001Slovakia_10_Nha so 10_Dien1 2" xfId="1130"/>
    <cellStyle name="Dziesiętny_Invoices2001Slovakia_10_Nha so 10_Dien1 2" xfId="1131"/>
    <cellStyle name="Dziesietny_Invoices2001Slovakia_Book1" xfId="1132"/>
    <cellStyle name="Dziesiętny_Invoices2001Slovakia_Book1" xfId="1133"/>
    <cellStyle name="Dziesietny_Invoices2001Slovakia_Book1_1" xfId="1134"/>
    <cellStyle name="Dziesiętny_Invoices2001Slovakia_Book1_1" xfId="1135"/>
    <cellStyle name="Dziesietny_Invoices2001Slovakia_Book1_1 2" xfId="1136"/>
    <cellStyle name="Dziesiętny_Invoices2001Slovakia_Book1_1 2" xfId="1137"/>
    <cellStyle name="Dziesietny_Invoices2001Slovakia_Book1_1_Book1" xfId="1138"/>
    <cellStyle name="Dziesiętny_Invoices2001Slovakia_Book1_1_Book1" xfId="1139"/>
    <cellStyle name="Dziesietny_Invoices2001Slovakia_Book1_1_Book1 2" xfId="1140"/>
    <cellStyle name="Dziesiętny_Invoices2001Slovakia_Book1_1_Book1 2" xfId="1141"/>
    <cellStyle name="Dziesietny_Invoices2001Slovakia_Book1_2" xfId="1142"/>
    <cellStyle name="Dziesiętny_Invoices2001Slovakia_Book1_2" xfId="1143"/>
    <cellStyle name="Dziesietny_Invoices2001Slovakia_Book1_2 2" xfId="1144"/>
    <cellStyle name="Dziesiętny_Invoices2001Slovakia_Book1_2 2" xfId="1145"/>
    <cellStyle name="Dziesietny_Invoices2001Slovakia_Book1_Nhu cau von ung truoc 2011 Tha h Hoa + Nge An gui TW" xfId="1146"/>
    <cellStyle name="Dziesiętny_Invoices2001Slovakia_Book1_Nhu cau von ung truoc 2011 Tha h Hoa + Nge An gui TW" xfId="1147"/>
    <cellStyle name="Dziesietny_Invoices2001Slovakia_Book1_Tong hop Cac tuyen(9-1-06)" xfId="1148"/>
    <cellStyle name="Dziesiętny_Invoices2001Slovakia_Book1_Tong hop Cac tuyen(9-1-06)" xfId="1149"/>
    <cellStyle name="Dziesietny_Invoices2001Slovakia_Book1_ung 2011 - 11-6-Thanh hoa-Nghe an" xfId="1150"/>
    <cellStyle name="Dziesiętny_Invoices2001Slovakia_Book1_ung 2011 - 11-6-Thanh hoa-Nghe an" xfId="1151"/>
    <cellStyle name="Dziesietny_Invoices2001Slovakia_Book1_ung truoc 2011 NSTW Thanh Hoa + Nge An gui Thu 12-5" xfId="1152"/>
    <cellStyle name="Dziesiętny_Invoices2001Slovakia_Book1_ung truoc 2011 NSTW Thanh Hoa + Nge An gui Thu 12-5" xfId="1153"/>
    <cellStyle name="Dziesietny_Invoices2001Slovakia_d-uong+TDT" xfId="1154"/>
    <cellStyle name="Dziesiętny_Invoices2001Slovakia_Nhµ ®Ó xe" xfId="1155"/>
    <cellStyle name="Dziesietny_Invoices2001Slovakia_Nha bao ve(28-7-05)" xfId="1156"/>
    <cellStyle name="Dziesiętny_Invoices2001Slovakia_Nha bao ve(28-7-05)" xfId="1157"/>
    <cellStyle name="Dziesietny_Invoices2001Slovakia_NHA de xe nguyen du" xfId="1158"/>
    <cellStyle name="Dziesiętny_Invoices2001Slovakia_NHA de xe nguyen du" xfId="1159"/>
    <cellStyle name="Dziesietny_Invoices2001Slovakia_Nhalamviec VTC(25-1-05)" xfId="1160"/>
    <cellStyle name="Dziesiętny_Invoices2001Slovakia_Nhalamviec VTC(25-1-05)" xfId="1161"/>
    <cellStyle name="Dziesietny_Invoices2001Slovakia_Nhu cau von ung truoc 2011 Tha h Hoa + Nge An gui TW" xfId="1162"/>
    <cellStyle name="Dziesiętny_Invoices2001Slovakia_TDT KHANH HOA" xfId="1163"/>
    <cellStyle name="Dziesietny_Invoices2001Slovakia_TDT KHANH HOA_Tong hop Cac tuyen(9-1-06)" xfId="1164"/>
    <cellStyle name="Dziesiętny_Invoices2001Slovakia_TDT KHANH HOA_Tong hop Cac tuyen(9-1-06)" xfId="1165"/>
    <cellStyle name="Dziesietny_Invoices2001Slovakia_TDT quangngai" xfId="1166"/>
    <cellStyle name="Dziesiętny_Invoices2001Slovakia_TDT quangngai" xfId="1167"/>
    <cellStyle name="Dziesietny_Invoices2001Slovakia_TMDT(10-5-06)" xfId="1168"/>
    <cellStyle name="e" xfId="1169"/>
    <cellStyle name="Encabez1" xfId="1170"/>
    <cellStyle name="Encabez2" xfId="1171"/>
    <cellStyle name="Enter Currency (0)" xfId="1172"/>
    <cellStyle name="Enter Currency (2)" xfId="1173"/>
    <cellStyle name="Enter Units (0)" xfId="1174"/>
    <cellStyle name="Enter Units (1)" xfId="1175"/>
    <cellStyle name="Enter Units (2)" xfId="1176"/>
    <cellStyle name="Entered" xfId="1177"/>
    <cellStyle name="En-tete1" xfId="1178"/>
    <cellStyle name="En-tete2" xfId="1179"/>
    <cellStyle name="Euro" xfId="1180"/>
    <cellStyle name="Euro 2" xfId="1181"/>
    <cellStyle name="Excel Built-in Normal" xfId="1182"/>
    <cellStyle name="Explanatory Text 2" xfId="1183"/>
    <cellStyle name="f" xfId="1184"/>
    <cellStyle name="F2" xfId="1185"/>
    <cellStyle name="F3" xfId="1186"/>
    <cellStyle name="F4" xfId="1187"/>
    <cellStyle name="F5" xfId="1188"/>
    <cellStyle name="F6" xfId="1189"/>
    <cellStyle name="F7" xfId="1190"/>
    <cellStyle name="F8" xfId="1191"/>
    <cellStyle name="Fijo" xfId="1192"/>
    <cellStyle name="Financier" xfId="1193"/>
    <cellStyle name="Financiero" xfId="1194"/>
    <cellStyle name="Fixe" xfId="1195"/>
    <cellStyle name="Fixe 2" xfId="1196"/>
    <cellStyle name="Fixed" xfId="1197"/>
    <cellStyle name="Font Britannic16" xfId="1198"/>
    <cellStyle name="Font Britannic18" xfId="1199"/>
    <cellStyle name="Font CenturyCond 18" xfId="1200"/>
    <cellStyle name="Font Cond20" xfId="1201"/>
    <cellStyle name="Font LucidaSans16" xfId="1202"/>
    <cellStyle name="Font NewCenturyCond18" xfId="1203"/>
    <cellStyle name="Font Ottawa14" xfId="1204"/>
    <cellStyle name="Font Ottawa16" xfId="1205"/>
    <cellStyle name="Formulas" xfId="1206"/>
    <cellStyle name="Ghi chú" xfId="1207"/>
    <cellStyle name="Ghi chú 2" xfId="1208"/>
    <cellStyle name="gia" xfId="1209"/>
    <cellStyle name="Good 2" xfId="1210"/>
    <cellStyle name="Grey" xfId="1211"/>
    <cellStyle name="Group" xfId="1212"/>
    <cellStyle name="H" xfId="1213"/>
    <cellStyle name="ha" xfId="1214"/>
    <cellStyle name="HAI" xfId="1215"/>
    <cellStyle name="Head 1" xfId="1216"/>
    <cellStyle name="HEADER" xfId="1217"/>
    <cellStyle name="Header1" xfId="1218"/>
    <cellStyle name="Header2" xfId="1219"/>
    <cellStyle name="Heading 1 2" xfId="1220"/>
    <cellStyle name="Heading 2 2" xfId="1221"/>
    <cellStyle name="Heading 3 2" xfId="1222"/>
    <cellStyle name="Heading 4 2" xfId="1223"/>
    <cellStyle name="HEADING1" xfId="1224"/>
    <cellStyle name="HEADING2" xfId="1225"/>
    <cellStyle name="HEADINGS" xfId="1226"/>
    <cellStyle name="HEADINGSTOP" xfId="1227"/>
    <cellStyle name="headoption" xfId="1228"/>
    <cellStyle name="hoa" xfId="1229"/>
    <cellStyle name="Hoa-Scholl" xfId="1230"/>
    <cellStyle name="HUY" xfId="1231"/>
    <cellStyle name="i phÝ kh¸c_B¶ng 2" xfId="1232"/>
    <cellStyle name="I.3" xfId="1233"/>
    <cellStyle name="I.3 2" xfId="1234"/>
    <cellStyle name="i·0" xfId="1235"/>
    <cellStyle name="ï-¾È»ê_BiÓu TB" xfId="1236"/>
    <cellStyle name="Input [yellow]" xfId="1237"/>
    <cellStyle name="Input 2" xfId="1238"/>
    <cellStyle name="k" xfId="1239"/>
    <cellStyle name="k_TONG HOP KINH PHI" xfId="1240"/>
    <cellStyle name="k_ÿÿÿÿÿ" xfId="1241"/>
    <cellStyle name="k_ÿÿÿÿÿ_1" xfId="1242"/>
    <cellStyle name="k_ÿÿÿÿÿ_2" xfId="1243"/>
    <cellStyle name="kh¸c_Bang Chi tieu" xfId="1244"/>
    <cellStyle name="khanh" xfId="1245"/>
    <cellStyle name="khoa2" xfId="1246"/>
    <cellStyle name="khung" xfId="1247"/>
    <cellStyle name="khung 2" xfId="1248"/>
    <cellStyle name="Kiểm tra Ô" xfId="1249"/>
    <cellStyle name="KL" xfId="1250"/>
    <cellStyle name="LAS - XD 354" xfId="1251"/>
    <cellStyle name="LAS - XD 354 2" xfId="1252"/>
    <cellStyle name="Ledger 17 x 11 in" xfId="1253"/>
    <cellStyle name="Ledger 17 x 11 in 2" xfId="1254"/>
    <cellStyle name="Ledger 17 x 11 in 3" xfId="1255"/>
    <cellStyle name="Ledger 17 x 11 in_bieu 1" xfId="1256"/>
    <cellStyle name="left" xfId="1257"/>
    <cellStyle name="Line" xfId="1258"/>
    <cellStyle name="Link Currency (0)" xfId="1259"/>
    <cellStyle name="Link Currency (2)" xfId="1260"/>
    <cellStyle name="Link Units (0)" xfId="1261"/>
    <cellStyle name="Link Units (1)" xfId="1262"/>
    <cellStyle name="Link Units (2)" xfId="1263"/>
    <cellStyle name="Linked Cell 2" xfId="1264"/>
    <cellStyle name="MAU" xfId="1265"/>
    <cellStyle name="Migliaia (0)_CALPREZZ" xfId="1266"/>
    <cellStyle name="Migliaia_ PESO ELETTR." xfId="1267"/>
    <cellStyle name="Millares [0]_10 AVERIAS MASIVAS + ANT" xfId="1268"/>
    <cellStyle name="Millares_Well Timing" xfId="1269"/>
    <cellStyle name="Milliers [0]_      " xfId="1270"/>
    <cellStyle name="Milliers_      " xfId="1271"/>
    <cellStyle name="Model" xfId="1272"/>
    <cellStyle name="moi" xfId="1273"/>
    <cellStyle name="Moneda [0]_Well Timing" xfId="1274"/>
    <cellStyle name="Moneda_Well Timing" xfId="1275"/>
    <cellStyle name="Monetaire" xfId="1276"/>
    <cellStyle name="Monétaire [0]_      " xfId="1277"/>
    <cellStyle name="Monétaire_      " xfId="1278"/>
    <cellStyle name="n" xfId="1279"/>
    <cellStyle name="n_17 bieu (hung cap nhap)" xfId="1280"/>
    <cellStyle name="n_Bao cao doan cong tac cua Bo thang 4-2010" xfId="1281"/>
    <cellStyle name="n_goi 4 - qt" xfId="1282"/>
    <cellStyle name="n_VBPL kiểm toán Đầu tư XDCB 2010" xfId="1283"/>
    <cellStyle name="Neutral 2" xfId="1284"/>
    <cellStyle name="New" xfId="1285"/>
    <cellStyle name="New 2" xfId="1286"/>
    <cellStyle name="New Times Roman" xfId="1287"/>
    <cellStyle name="New Times Roman 2" xfId="1288"/>
    <cellStyle name="nga" xfId="1289"/>
    <cellStyle name="nga 2" xfId="1290"/>
    <cellStyle name="Nhấn1" xfId="1291"/>
    <cellStyle name="Nhấn2" xfId="1292"/>
    <cellStyle name="Nhấn3" xfId="1293"/>
    <cellStyle name="Nhấn4" xfId="1294"/>
    <cellStyle name="Nhấn5" xfId="1295"/>
    <cellStyle name="Nhấn6" xfId="1296"/>
    <cellStyle name="no dec" xfId="1297"/>
    <cellStyle name="ÑONVÒ" xfId="1298"/>
    <cellStyle name="Normal" xfId="0" builtinId="0"/>
    <cellStyle name="Normal - ??1" xfId="1299"/>
    <cellStyle name="Normal - Style1" xfId="1300"/>
    <cellStyle name="Normal - Style1 2" xfId="1301"/>
    <cellStyle name="Normal - Style1 2 2" xfId="1302"/>
    <cellStyle name="Normal - Style1 2 3" xfId="1303"/>
    <cellStyle name="Normal - Style1 2 4" xfId="1304"/>
    <cellStyle name="Normal - Style1 2_Khoi cong moi 1" xfId="1305"/>
    <cellStyle name="Normal - Style1 3" xfId="1306"/>
    <cellStyle name="Normal - Style1 4" xfId="1307"/>
    <cellStyle name="Normal - Style1_Bao cao kiem toan kh 2010" xfId="1308"/>
    <cellStyle name="Normal - 유형1" xfId="1309"/>
    <cellStyle name="Normal 10" xfId="1310"/>
    <cellStyle name="Normal 10 2" xfId="2017"/>
    <cellStyle name="Normal 10 2 2" xfId="1311"/>
    <cellStyle name="Normal 10 3" xfId="1312"/>
    <cellStyle name="Normal 11" xfId="1313"/>
    <cellStyle name="Normal 11 3" xfId="1314"/>
    <cellStyle name="Normal 12" xfId="1315"/>
    <cellStyle name="Normal 12 2" xfId="1316"/>
    <cellStyle name="Normal 13" xfId="1317"/>
    <cellStyle name="Normal 13 2" xfId="1318"/>
    <cellStyle name="Normal 14 2" xfId="1319"/>
    <cellStyle name="Normal 15" xfId="1320"/>
    <cellStyle name="Normal 16 2" xfId="1321"/>
    <cellStyle name="Normal 17" xfId="1322"/>
    <cellStyle name="Normal 19" xfId="1323"/>
    <cellStyle name="Normal 2" xfId="6"/>
    <cellStyle name="Normal 2 2" xfId="16"/>
    <cellStyle name="Normal 2 2 2" xfId="12"/>
    <cellStyle name="Normal 2 2 2 2" xfId="1324"/>
    <cellStyle name="Normal 2 3" xfId="14"/>
    <cellStyle name="Normal 2 3 2" xfId="1325"/>
    <cellStyle name="Normal 2 4" xfId="1326"/>
    <cellStyle name="Normal 2 5" xfId="1327"/>
    <cellStyle name="Normal 2 6" xfId="1328"/>
    <cellStyle name="Normal 2 6 2" xfId="1329"/>
    <cellStyle name="Normal 2 7 3" xfId="1330"/>
    <cellStyle name="Normal 2_160507 Bieu mau NSDP ND sua ND73" xfId="1331"/>
    <cellStyle name="Normal 20" xfId="1332"/>
    <cellStyle name="Normal 22" xfId="1333"/>
    <cellStyle name="Normal 22 2 2" xfId="1334"/>
    <cellStyle name="Normal 23" xfId="1335"/>
    <cellStyle name="Normal 23 2" xfId="1336"/>
    <cellStyle name="Normal 24" xfId="1337"/>
    <cellStyle name="Normal 25" xfId="1338"/>
    <cellStyle name="Normal 26" xfId="1339"/>
    <cellStyle name="Normal 27" xfId="1340"/>
    <cellStyle name="Normal 28" xfId="1341"/>
    <cellStyle name="Normal 29" xfId="1342"/>
    <cellStyle name="Normal 3" xfId="19"/>
    <cellStyle name="Normal 3 2" xfId="1343"/>
    <cellStyle name="Normal 3 2 4" xfId="13"/>
    <cellStyle name="Normal 3 3" xfId="1344"/>
    <cellStyle name="Normal 3 4" xfId="1345"/>
    <cellStyle name="Normal 3_17 bieu (hung cap nhap)" xfId="1346"/>
    <cellStyle name="Normal 30" xfId="1347"/>
    <cellStyle name="Normal 31" xfId="1348"/>
    <cellStyle name="Normal 32" xfId="1349"/>
    <cellStyle name="Normal 4" xfId="7"/>
    <cellStyle name="Normal 4 2" xfId="8"/>
    <cellStyle name="Normal 4_160513 Bieu mau NSDP ND sua ND73" xfId="1350"/>
    <cellStyle name="Normal 43" xfId="9"/>
    <cellStyle name="Normal 43 2" xfId="2018"/>
    <cellStyle name="Normal 5" xfId="11"/>
    <cellStyle name="Normal 5 2" xfId="1351"/>
    <cellStyle name="Normal 5 2 3" xfId="1352"/>
    <cellStyle name="Normal 5 3" xfId="1353"/>
    <cellStyle name="Normal 5_VBPL kiểm toán Đầu tư XDCB 2010" xfId="1354"/>
    <cellStyle name="Normal 6" xfId="1355"/>
    <cellStyle name="Normal 6 2" xfId="1356"/>
    <cellStyle name="Normal 6 3 2" xfId="1357"/>
    <cellStyle name="Normal 6 4" xfId="1358"/>
    <cellStyle name="Normal 6 6 2" xfId="2019"/>
    <cellStyle name="Normal 6_Bieu mau KH 2011 (gui Vu DP)" xfId="1359"/>
    <cellStyle name="Normal 7" xfId="15"/>
    <cellStyle name="Normal 7 2" xfId="1360"/>
    <cellStyle name="Normal 8" xfId="1361"/>
    <cellStyle name="Normal 9" xfId="1362"/>
    <cellStyle name="Normal 9 2" xfId="1363"/>
    <cellStyle name="Normal 9 3" xfId="1364"/>
    <cellStyle name="Normal 9_BieuHD2016-2020Tquang2(OK)" xfId="1365"/>
    <cellStyle name="Normal1" xfId="1366"/>
    <cellStyle name="Normal8" xfId="1367"/>
    <cellStyle name="NORMAL-ADB" xfId="1368"/>
    <cellStyle name="Normale_ PESO ELETTR." xfId="1369"/>
    <cellStyle name="Normalny_Cennik obowiazuje od 06-08-2001 r (1)" xfId="1370"/>
    <cellStyle name="Note 2" xfId="1371"/>
    <cellStyle name="NWM" xfId="1372"/>
    <cellStyle name="Ô Được nối kết" xfId="1373"/>
    <cellStyle name="Ò_x000d_Normal_123569" xfId="1374"/>
    <cellStyle name="Œ…‹æØ‚è [0.00]_††††† " xfId="1375"/>
    <cellStyle name="Œ…‹æØ‚è_††††† " xfId="1376"/>
    <cellStyle name="oft Excel]_x000d__x000a_Comment=open=/f ‚ðw’è‚·‚é‚ÆAƒ†[ƒU[’è‹`ŠÖ”‚ðŠÖ”“\‚è•t‚¯‚Ìˆê——‚É“o˜^‚·‚é‚±‚Æ‚ª‚Å‚«‚Ü‚·B_x000d__x000a_Maximized" xfId="1377"/>
    <cellStyle name="oft Excel]_x000d__x000a_Comment=open=/f ‚ðŽw’è‚·‚é‚ÆAƒ†[ƒU[’è‹`ŠÖ”‚ðŠÖ”“\‚è•t‚¯‚Ìˆê——‚É“o˜^‚·‚é‚±‚Æ‚ª‚Å‚«‚Ü‚·B_x000d__x000a_Maximized" xfId="1378"/>
    <cellStyle name="oft Excel]_x000d__x000a_Comment=open=/f ‚ðŽw’è‚·‚é‚ÆAƒ†[ƒU[’è‹`ŠÖ”‚ðŠÖ”“\‚è•t‚¯‚Ìˆê——‚É“o˜^‚·‚é‚±‚Æ‚ª‚Å‚«‚Ü‚·B_x000d__x000a_Maximized 2" xfId="1379"/>
    <cellStyle name="oft Excel]_x000d__x000a_Comment=The open=/f lines load custom functions into the Paste Function list._x000d__x000a_Maximized=2_x000d__x000a_Basics=1_x000d__x000a_A" xfId="1380"/>
    <cellStyle name="oft Excel]_x000d__x000a_Comment=The open=/f lines load custom functions into the Paste Function list._x000d__x000a_Maximized=3_x000d__x000a_Basics=1_x000d__x000a_A" xfId="1381"/>
    <cellStyle name="oft Excel]_x000d__x000a_Comment=The open=/f lines load custom functions into the Paste Function list._x000d__x000a_Maximized=3_x000d__x000a_Basics=1_x000d__x000a_A 2" xfId="1382"/>
    <cellStyle name="omma [0]_Mktg Prog" xfId="1383"/>
    <cellStyle name="ormal_Sheet1_1" xfId="1384"/>
    <cellStyle name="Output 2" xfId="1385"/>
    <cellStyle name="p" xfId="1386"/>
    <cellStyle name="paint" xfId="1387"/>
    <cellStyle name="Pattern" xfId="1388"/>
    <cellStyle name="Pattern 2" xfId="1389"/>
    <cellStyle name="per.style" xfId="1390"/>
    <cellStyle name="per.style 2" xfId="1391"/>
    <cellStyle name="Percent" xfId="10" builtinId="5"/>
    <cellStyle name="Percent [0]" xfId="1392"/>
    <cellStyle name="Percent [0] 2" xfId="1393"/>
    <cellStyle name="Percent [00]" xfId="1394"/>
    <cellStyle name="Percent [00] 2" xfId="1395"/>
    <cellStyle name="Percent [2]" xfId="1396"/>
    <cellStyle name="Percent [2] 2" xfId="1397"/>
    <cellStyle name="Percent 10" xfId="1398"/>
    <cellStyle name="Percent 2" xfId="1399"/>
    <cellStyle name="Percent 3" xfId="1400"/>
    <cellStyle name="Percent 4" xfId="2016"/>
    <cellStyle name="Percent 6 2" xfId="1401"/>
    <cellStyle name="PERCENTAGE" xfId="1402"/>
    <cellStyle name="PHONG" xfId="1403"/>
    <cellStyle name="Pourcentage" xfId="1404"/>
    <cellStyle name="PrePop Currency (0)" xfId="1405"/>
    <cellStyle name="PrePop Currency (2)" xfId="1406"/>
    <cellStyle name="PrePop Units (0)" xfId="1407"/>
    <cellStyle name="PrePop Units (1)" xfId="1408"/>
    <cellStyle name="PrePop Units (2)" xfId="1409"/>
    <cellStyle name="pricing" xfId="1410"/>
    <cellStyle name="PSChar" xfId="1411"/>
    <cellStyle name="PSChar 2" xfId="1412"/>
    <cellStyle name="PSHeading" xfId="1413"/>
    <cellStyle name="regstoresfromspecstores" xfId="1414"/>
    <cellStyle name="RevList" xfId="1415"/>
    <cellStyle name="rlink_tiªn l­în_x001b_Hyperlink_TONG HOP KINH PHI" xfId="1416"/>
    <cellStyle name="rmal_ADAdot" xfId="1417"/>
    <cellStyle name="S—_x0008_" xfId="1418"/>
    <cellStyle name="s]_x000d__x000a_spooler=yes_x000d__x000a_load=_x000d__x000a_Beep=yes_x000d__x000a_NullPort=None_x000d__x000a_BorderWidth=3_x000d__x000a_CursorBlinkRate=1200_x000d__x000a_DoubleClickSpeed=452_x000d__x000a_Programs=co" xfId="1419"/>
    <cellStyle name="s]_x000d__x000a_spooler=yes_x000d__x000a_load=_x000d__x000a_Beep=yes_x000d__x000a_NullPort=None_x000d__x000a_BorderWidth=3_x000d__x000a_CursorBlinkRate=1200_x000d__x000a_DoubleClickSpeed=452_x000d__x000a_Programs=co 2" xfId="1420"/>
    <cellStyle name="SAPBEXaggData" xfId="1421"/>
    <cellStyle name="SAPBEXaggDataEmph" xfId="1422"/>
    <cellStyle name="SAPBEXaggItem" xfId="1423"/>
    <cellStyle name="SAPBEXchaText" xfId="1424"/>
    <cellStyle name="SAPBEXexcBad7" xfId="1425"/>
    <cellStyle name="SAPBEXexcBad8" xfId="1426"/>
    <cellStyle name="SAPBEXexcBad9" xfId="1427"/>
    <cellStyle name="SAPBEXexcCritical4" xfId="1428"/>
    <cellStyle name="SAPBEXexcCritical5" xfId="1429"/>
    <cellStyle name="SAPBEXexcCritical6" xfId="1430"/>
    <cellStyle name="SAPBEXexcGood1" xfId="1431"/>
    <cellStyle name="SAPBEXexcGood2" xfId="1432"/>
    <cellStyle name="SAPBEXexcGood3" xfId="1433"/>
    <cellStyle name="SAPBEXfilterDrill" xfId="1434"/>
    <cellStyle name="SAPBEXfilterItem" xfId="1435"/>
    <cellStyle name="SAPBEXfilterText" xfId="1436"/>
    <cellStyle name="SAPBEXformats" xfId="1437"/>
    <cellStyle name="SAPBEXheaderItem" xfId="1438"/>
    <cellStyle name="SAPBEXheaderItem 2" xfId="1439"/>
    <cellStyle name="SAPBEXheaderText" xfId="1440"/>
    <cellStyle name="SAPBEXheaderText 2" xfId="1441"/>
    <cellStyle name="SAPBEXresData" xfId="1442"/>
    <cellStyle name="SAPBEXresDataEmph" xfId="1443"/>
    <cellStyle name="SAPBEXresItem" xfId="1444"/>
    <cellStyle name="SAPBEXstdData" xfId="1445"/>
    <cellStyle name="SAPBEXstdDataEmph" xfId="1446"/>
    <cellStyle name="SAPBEXstdItem" xfId="1447"/>
    <cellStyle name="SAPBEXtitle" xfId="1448"/>
    <cellStyle name="SAPBEXundefined" xfId="1449"/>
    <cellStyle name="serJet 1200 Series PCL 6" xfId="1450"/>
    <cellStyle name="SHADEDSTORES" xfId="1451"/>
    <cellStyle name="so" xfId="1452"/>
    <cellStyle name="SO%" xfId="1453"/>
    <cellStyle name="so_Book1" xfId="1454"/>
    <cellStyle name="songuyen" xfId="1455"/>
    <cellStyle name="specstores" xfId="1456"/>
    <cellStyle name="Standard" xfId="1457"/>
    <cellStyle name="STT" xfId="1458"/>
    <cellStyle name="STT 2" xfId="1459"/>
    <cellStyle name="STTDG" xfId="1460"/>
    <cellStyle name="style" xfId="1461"/>
    <cellStyle name="Style 1" xfId="1462"/>
    <cellStyle name="Style 10" xfId="1463"/>
    <cellStyle name="Style 10 2" xfId="1464"/>
    <cellStyle name="Style 100" xfId="1465"/>
    <cellStyle name="Style 101" xfId="1466"/>
    <cellStyle name="Style 102" xfId="1467"/>
    <cellStyle name="Style 103" xfId="1468"/>
    <cellStyle name="Style 104" xfId="1469"/>
    <cellStyle name="Style 105" xfId="1470"/>
    <cellStyle name="Style 106" xfId="1471"/>
    <cellStyle name="Style 107" xfId="1472"/>
    <cellStyle name="Style 108" xfId="1473"/>
    <cellStyle name="Style 109" xfId="1474"/>
    <cellStyle name="Style 11" xfId="1475"/>
    <cellStyle name="Style 11 2" xfId="1476"/>
    <cellStyle name="Style 110" xfId="1477"/>
    <cellStyle name="Style 111" xfId="1478"/>
    <cellStyle name="Style 112" xfId="1479"/>
    <cellStyle name="Style 113" xfId="1480"/>
    <cellStyle name="Style 114" xfId="1481"/>
    <cellStyle name="Style 115" xfId="1482"/>
    <cellStyle name="Style 116" xfId="1483"/>
    <cellStyle name="Style 117" xfId="1484"/>
    <cellStyle name="Style 118" xfId="1485"/>
    <cellStyle name="Style 118 2" xfId="1486"/>
    <cellStyle name="Style 119" xfId="1487"/>
    <cellStyle name="Style 12" xfId="1488"/>
    <cellStyle name="Style 12 2" xfId="1489"/>
    <cellStyle name="Style 120" xfId="1490"/>
    <cellStyle name="Style 121" xfId="1491"/>
    <cellStyle name="Style 122" xfId="1492"/>
    <cellStyle name="Style 123" xfId="1493"/>
    <cellStyle name="Style 124" xfId="1494"/>
    <cellStyle name="Style 125" xfId="1495"/>
    <cellStyle name="Style 126" xfId="1496"/>
    <cellStyle name="Style 127" xfId="1497"/>
    <cellStyle name="Style 128" xfId="1498"/>
    <cellStyle name="Style 129" xfId="1499"/>
    <cellStyle name="Style 13" xfId="1500"/>
    <cellStyle name="Style 13 2" xfId="1501"/>
    <cellStyle name="Style 130" xfId="1502"/>
    <cellStyle name="Style 131" xfId="1503"/>
    <cellStyle name="Style 132" xfId="1504"/>
    <cellStyle name="Style 133" xfId="1505"/>
    <cellStyle name="Style 134" xfId="1506"/>
    <cellStyle name="Style 135" xfId="1507"/>
    <cellStyle name="Style 136" xfId="1508"/>
    <cellStyle name="Style 137" xfId="1509"/>
    <cellStyle name="Style 138" xfId="1510"/>
    <cellStyle name="Style 139" xfId="1511"/>
    <cellStyle name="Style 14" xfId="1512"/>
    <cellStyle name="Style 14 2" xfId="1513"/>
    <cellStyle name="Style 140" xfId="1514"/>
    <cellStyle name="Style 141" xfId="1515"/>
    <cellStyle name="Style 142" xfId="1516"/>
    <cellStyle name="Style 143" xfId="1517"/>
    <cellStyle name="Style 144" xfId="1518"/>
    <cellStyle name="Style 145" xfId="1519"/>
    <cellStyle name="Style 146" xfId="1520"/>
    <cellStyle name="Style 147" xfId="1521"/>
    <cellStyle name="Style 148" xfId="1522"/>
    <cellStyle name="Style 149" xfId="1523"/>
    <cellStyle name="Style 15" xfId="1524"/>
    <cellStyle name="Style 15 2" xfId="1525"/>
    <cellStyle name="Style 150" xfId="1526"/>
    <cellStyle name="Style 151" xfId="1527"/>
    <cellStyle name="Style 152" xfId="1528"/>
    <cellStyle name="Style 153" xfId="1529"/>
    <cellStyle name="Style 154" xfId="1530"/>
    <cellStyle name="Style 155" xfId="1531"/>
    <cellStyle name="Style 155 2" xfId="1532"/>
    <cellStyle name="Style 156" xfId="1533"/>
    <cellStyle name="Style 157" xfId="1534"/>
    <cellStyle name="Style 158" xfId="1535"/>
    <cellStyle name="Style 159" xfId="1536"/>
    <cellStyle name="Style 16" xfId="1537"/>
    <cellStyle name="Style 160" xfId="1538"/>
    <cellStyle name="Style 161" xfId="1539"/>
    <cellStyle name="Style 162" xfId="1540"/>
    <cellStyle name="Style 163" xfId="1541"/>
    <cellStyle name="Style 17" xfId="1542"/>
    <cellStyle name="Style 18" xfId="1543"/>
    <cellStyle name="Style 19" xfId="1544"/>
    <cellStyle name="Style 2" xfId="1545"/>
    <cellStyle name="Style 2 2" xfId="1546"/>
    <cellStyle name="Style 20" xfId="1547"/>
    <cellStyle name="Style 21" xfId="1548"/>
    <cellStyle name="Style 22" xfId="1549"/>
    <cellStyle name="Style 23" xfId="1550"/>
    <cellStyle name="Style 24" xfId="1551"/>
    <cellStyle name="Style 25" xfId="1552"/>
    <cellStyle name="Style 26" xfId="1553"/>
    <cellStyle name="Style 27" xfId="1554"/>
    <cellStyle name="Style 28" xfId="1555"/>
    <cellStyle name="Style 29" xfId="1556"/>
    <cellStyle name="Style 3" xfId="1557"/>
    <cellStyle name="Style 30" xfId="1558"/>
    <cellStyle name="Style 31" xfId="1559"/>
    <cellStyle name="Style 32" xfId="1560"/>
    <cellStyle name="Style 33" xfId="1561"/>
    <cellStyle name="Style 34" xfId="1562"/>
    <cellStyle name="Style 35" xfId="1563"/>
    <cellStyle name="Style 36" xfId="1564"/>
    <cellStyle name="Style 37" xfId="1565"/>
    <cellStyle name="Style 38" xfId="1566"/>
    <cellStyle name="Style 39" xfId="1567"/>
    <cellStyle name="Style 4" xfId="1568"/>
    <cellStyle name="Style 40" xfId="1569"/>
    <cellStyle name="Style 41" xfId="1570"/>
    <cellStyle name="Style 42" xfId="1571"/>
    <cellStyle name="Style 43" xfId="1572"/>
    <cellStyle name="Style 44" xfId="1573"/>
    <cellStyle name="Style 45" xfId="1574"/>
    <cellStyle name="Style 46" xfId="1575"/>
    <cellStyle name="Style 47" xfId="1576"/>
    <cellStyle name="Style 48" xfId="1577"/>
    <cellStyle name="Style 49" xfId="1578"/>
    <cellStyle name="Style 5" xfId="1579"/>
    <cellStyle name="Style 50" xfId="1580"/>
    <cellStyle name="Style 51" xfId="1581"/>
    <cellStyle name="Style 51 2" xfId="1582"/>
    <cellStyle name="Style 52" xfId="1583"/>
    <cellStyle name="Style 53" xfId="1584"/>
    <cellStyle name="Style 54" xfId="1585"/>
    <cellStyle name="Style 55" xfId="1586"/>
    <cellStyle name="Style 56" xfId="1587"/>
    <cellStyle name="Style 57" xfId="1588"/>
    <cellStyle name="Style 58" xfId="1589"/>
    <cellStyle name="Style 59" xfId="1590"/>
    <cellStyle name="Style 6" xfId="1591"/>
    <cellStyle name="Style 60" xfId="1592"/>
    <cellStyle name="Style 61" xfId="1593"/>
    <cellStyle name="Style 62" xfId="1594"/>
    <cellStyle name="Style 63" xfId="1595"/>
    <cellStyle name="Style 63 2" xfId="1596"/>
    <cellStyle name="Style 64" xfId="1597"/>
    <cellStyle name="Style 64 2" xfId="1598"/>
    <cellStyle name="Style 65" xfId="1599"/>
    <cellStyle name="Style 65 2" xfId="1600"/>
    <cellStyle name="Style 66" xfId="1601"/>
    <cellStyle name="Style 66 2" xfId="1602"/>
    <cellStyle name="Style 67" xfId="1603"/>
    <cellStyle name="Style 67 2" xfId="1604"/>
    <cellStyle name="Style 68" xfId="1605"/>
    <cellStyle name="Style 68 2" xfId="1606"/>
    <cellStyle name="Style 69" xfId="1607"/>
    <cellStyle name="Style 7" xfId="1608"/>
    <cellStyle name="Style 70" xfId="1609"/>
    <cellStyle name="Style 71" xfId="1610"/>
    <cellStyle name="Style 72" xfId="1611"/>
    <cellStyle name="Style 73" xfId="1612"/>
    <cellStyle name="Style 74" xfId="1613"/>
    <cellStyle name="Style 75" xfId="1614"/>
    <cellStyle name="Style 76" xfId="1615"/>
    <cellStyle name="Style 77" xfId="1616"/>
    <cellStyle name="Style 78" xfId="1617"/>
    <cellStyle name="Style 79" xfId="1618"/>
    <cellStyle name="Style 8" xfId="1619"/>
    <cellStyle name="Style 80" xfId="1620"/>
    <cellStyle name="Style 81" xfId="1621"/>
    <cellStyle name="Style 82" xfId="1622"/>
    <cellStyle name="Style 83" xfId="1623"/>
    <cellStyle name="Style 84" xfId="1624"/>
    <cellStyle name="Style 85" xfId="1625"/>
    <cellStyle name="Style 86" xfId="1626"/>
    <cellStyle name="Style 87" xfId="1627"/>
    <cellStyle name="Style 88" xfId="1628"/>
    <cellStyle name="Style 89" xfId="1629"/>
    <cellStyle name="Style 9" xfId="1630"/>
    <cellStyle name="Style 90" xfId="1631"/>
    <cellStyle name="Style 91" xfId="1632"/>
    <cellStyle name="Style 92" xfId="1633"/>
    <cellStyle name="Style 93" xfId="1634"/>
    <cellStyle name="Style 94" xfId="1635"/>
    <cellStyle name="Style 95" xfId="1636"/>
    <cellStyle name="Style 96" xfId="1637"/>
    <cellStyle name="Style 97" xfId="1638"/>
    <cellStyle name="Style 98" xfId="1639"/>
    <cellStyle name="Style 99" xfId="1640"/>
    <cellStyle name="Style Date" xfId="1641"/>
    <cellStyle name="style_1" xfId="1642"/>
    <cellStyle name="subhead" xfId="1643"/>
    <cellStyle name="Subtotal" xfId="1644"/>
    <cellStyle name="symbol" xfId="1645"/>
    <cellStyle name="T" xfId="1646"/>
    <cellStyle name="T_50-BB Vung tau 2011" xfId="1647"/>
    <cellStyle name="T_50-BB Vung tau 2011_120907 Thu tang them 4500" xfId="1648"/>
    <cellStyle name="T_50-BB Vung tau 2011_27-8Tong hop PA uoc 2012-DT 2013 -PA 420.000 ty-490.000 ty chuyen doi" xfId="1649"/>
    <cellStyle name="T_BANG LUONG MOI KSDH va KSDC (co phu cap khu vuc)" xfId="1650"/>
    <cellStyle name="T_bao cao" xfId="1651"/>
    <cellStyle name="T_Bao cao so lieu kiem toan nam 2007 sua" xfId="1652"/>
    <cellStyle name="T_Bao cao so lieu kiem toan nam 2007 sua 2" xfId="1653"/>
    <cellStyle name="T_BBTNG-06" xfId="1654"/>
    <cellStyle name="T_BC CTMT-2008 Ttinh" xfId="1655"/>
    <cellStyle name="T_BC CTMT-2008 Ttinh 2" xfId="1656"/>
    <cellStyle name="T_BC CTMT-2008 Ttinh_bieu tong hop" xfId="1657"/>
    <cellStyle name="T_BC CTMT-2008 Ttinh_Tong hop ra soat von ung 2011 -Chau" xfId="1658"/>
    <cellStyle name="T_BC CTMT-2008 Ttinh_Tong hop -Yte-Giao thong-Thuy loi-24-6" xfId="1659"/>
    <cellStyle name="T_Bc_tuan_1_CKy_6_KONTUM" xfId="1660"/>
    <cellStyle name="T_Bc_tuan_1_CKy_6_KONTUM 2" xfId="1661"/>
    <cellStyle name="T_Bc_tuan_1_CKy_6_KONTUM_Book1" xfId="1662"/>
    <cellStyle name="T_Bc_tuan_1_CKy_6_KONTUM_Book1 2" xfId="1663"/>
    <cellStyle name="T_bieu 1" xfId="1664"/>
    <cellStyle name="T_bieu 2" xfId="1665"/>
    <cellStyle name="T_bieu 4" xfId="1666"/>
    <cellStyle name="T_Bieu mau danh muc du an thuoc CTMTQG nam 2008" xfId="1667"/>
    <cellStyle name="T_Bieu mau danh muc du an thuoc CTMTQG nam 2008 2" xfId="1668"/>
    <cellStyle name="T_Bieu mau danh muc du an thuoc CTMTQG nam 2008_bieu tong hop" xfId="1669"/>
    <cellStyle name="T_Bieu mau danh muc du an thuoc CTMTQG nam 2008_Tong hop ra soat von ung 2011 -Chau" xfId="1670"/>
    <cellStyle name="T_Bieu mau danh muc du an thuoc CTMTQG nam 2008_Tong hop -Yte-Giao thong-Thuy loi-24-6" xfId="1671"/>
    <cellStyle name="T_Bieu tong hop nhu cau ung 2011 da chon loc -Mien nui" xfId="1672"/>
    <cellStyle name="T_Bieu tong hop nhu cau ung 2011 da chon loc -Mien nui 2" xfId="1673"/>
    <cellStyle name="T_Book1" xfId="1674"/>
    <cellStyle name="T_Book1_1" xfId="1675"/>
    <cellStyle name="T_Book1_1 2" xfId="1676"/>
    <cellStyle name="T_Book1_1_Bieu mau ung 2011-Mien Trung-TPCP-11-6" xfId="1677"/>
    <cellStyle name="T_Book1_1_bieu tong hop" xfId="1678"/>
    <cellStyle name="T_Book1_1_Bieu tong hop nhu cau ung 2011 da chon loc -Mien nui" xfId="1679"/>
    <cellStyle name="T_Book1_1_Bieu tong hop nhu cau ung 2011 da chon loc -Mien nui 2" xfId="1680"/>
    <cellStyle name="T_Book1_1_Book1" xfId="1681"/>
    <cellStyle name="T_Book1_1_CPK" xfId="1682"/>
    <cellStyle name="T_Book1_1_CPK 2" xfId="1683"/>
    <cellStyle name="T_Book1_1_Khoi luong cac hang muc chi tiet-702" xfId="1684"/>
    <cellStyle name="T_Book1_1_Khoi luong cac hang muc chi tiet-702 2" xfId="1685"/>
    <cellStyle name="T_Book1_1_khoiluongbdacdoa" xfId="1686"/>
    <cellStyle name="T_Book1_1_KL NT dap nen Dot 3" xfId="1687"/>
    <cellStyle name="T_Book1_1_KL NT dap nen Dot 3 2" xfId="1688"/>
    <cellStyle name="T_Book1_1_KL NT Dot 3" xfId="1689"/>
    <cellStyle name="T_Book1_1_KL NT Dot 3 2" xfId="1690"/>
    <cellStyle name="T_Book1_1_mau KL vach son" xfId="1691"/>
    <cellStyle name="T_Book1_1_mau KL vach son 2" xfId="1692"/>
    <cellStyle name="T_Book1_1_Nhu cau tam ung NSNN&amp;TPCP&amp;ODA theo tieu chi cua Bo (CV410_BKH-TH)_vung Tay Nguyen (11.6.2010)" xfId="1693"/>
    <cellStyle name="T_Book1_1_Thiet bi" xfId="1694"/>
    <cellStyle name="T_Book1_1_Thiet bi 2" xfId="1695"/>
    <cellStyle name="T_Book1_1_Thong ke cong" xfId="1696"/>
    <cellStyle name="T_Book1_1_Tong hop ra soat von ung 2011 -Chau" xfId="1697"/>
    <cellStyle name="T_Book1_1_Tong hop -Yte-Giao thong-Thuy loi-24-6" xfId="1698"/>
    <cellStyle name="T_Book1_2" xfId="1699"/>
    <cellStyle name="T_Book1_2_DTDuong dong tien -sua tham tra 2009 - luong 650" xfId="1700"/>
    <cellStyle name="T_Book1_Bao cao kiem toan kh 2010" xfId="1701"/>
    <cellStyle name="T_Book1_Bao cao kiem toan kh 2010 2" xfId="1702"/>
    <cellStyle name="T_Book1_Bieu mau danh muc du an thuoc CTMTQG nam 2008" xfId="1703"/>
    <cellStyle name="T_Book1_Bieu mau danh muc du an thuoc CTMTQG nam 2008 2" xfId="1704"/>
    <cellStyle name="T_Book1_Bieu mau danh muc du an thuoc CTMTQG nam 2008_bieu tong hop" xfId="1705"/>
    <cellStyle name="T_Book1_Bieu mau danh muc du an thuoc CTMTQG nam 2008_Tong hop ra soat von ung 2011 -Chau" xfId="1706"/>
    <cellStyle name="T_Book1_Bieu mau danh muc du an thuoc CTMTQG nam 2008_Tong hop -Yte-Giao thong-Thuy loi-24-6" xfId="1707"/>
    <cellStyle name="T_Book1_Bieu tong hop nhu cau ung 2011 da chon loc -Mien nui" xfId="1708"/>
    <cellStyle name="T_Book1_Bieu tong hop nhu cau ung 2011 da chon loc -Mien nui 2" xfId="1709"/>
    <cellStyle name="T_Book1_Book1" xfId="1710"/>
    <cellStyle name="T_Book1_Book1 2" xfId="1711"/>
    <cellStyle name="T_Book1_Book1_1" xfId="1712"/>
    <cellStyle name="T_Book1_Book1_1 2" xfId="1713"/>
    <cellStyle name="T_Book1_CPK" xfId="1714"/>
    <cellStyle name="T_Book1_DT492" xfId="1715"/>
    <cellStyle name="T_Book1_DT492 2" xfId="1716"/>
    <cellStyle name="T_Book1_DT972000" xfId="1717"/>
    <cellStyle name="T_Book1_DT972000 2" xfId="1718"/>
    <cellStyle name="T_Book1_DTDuong dong tien -sua tham tra 2009 - luong 650" xfId="1719"/>
    <cellStyle name="T_Book1_Du an khoi cong moi nam 2010" xfId="1720"/>
    <cellStyle name="T_Book1_Du an khoi cong moi nam 2010 2" xfId="1721"/>
    <cellStyle name="T_Book1_Du an khoi cong moi nam 2010_bieu tong hop" xfId="1722"/>
    <cellStyle name="T_Book1_Du an khoi cong moi nam 2010_Tong hop ra soat von ung 2011 -Chau" xfId="1723"/>
    <cellStyle name="T_Book1_Du an khoi cong moi nam 2010_Tong hop -Yte-Giao thong-Thuy loi-24-6" xfId="1724"/>
    <cellStyle name="T_Book1_Du toan khao sat (bo sung 2009)" xfId="1725"/>
    <cellStyle name="T_Book1_Du toan khao sat (bo sung 2009) 2" xfId="1726"/>
    <cellStyle name="T_Book1_Hang Tom goi9 9-07(Cau 12 sua)" xfId="1727"/>
    <cellStyle name="T_Book1_HECO-NR78-Gui a-Vinh(15-5-07)" xfId="1728"/>
    <cellStyle name="T_Book1_HECO-NR78-Gui a-Vinh(15-5-07) 2" xfId="1729"/>
    <cellStyle name="T_Book1_Ke hoach 2010 (theo doi)2" xfId="1730"/>
    <cellStyle name="T_Book1_Ke hoach 2010 (theo doi)2 2" xfId="1731"/>
    <cellStyle name="T_Book1_Ket qua phan bo von nam 2008" xfId="1732"/>
    <cellStyle name="T_Book1_Ket qua phan bo von nam 2008 2" xfId="1733"/>
    <cellStyle name="T_Book1_KH XDCB_2008 lan 2 sua ngay 10-11" xfId="1734"/>
    <cellStyle name="T_Book1_KH XDCB_2008 lan 2 sua ngay 10-11 2" xfId="1735"/>
    <cellStyle name="T_Book1_Khoi luong cac hang muc chi tiet-702" xfId="1736"/>
    <cellStyle name="T_Book1_Khoi luong chinh Hang Tom" xfId="1737"/>
    <cellStyle name="T_Book1_khoiluongbdacdoa" xfId="1738"/>
    <cellStyle name="T_Book1_khoiluongbdacdoa 2" xfId="1739"/>
    <cellStyle name="T_Book1_KL NT dap nen Dot 3" xfId="1740"/>
    <cellStyle name="T_Book1_KL NT Dot 3" xfId="1741"/>
    <cellStyle name="T_Book1_mau bieu doan giam sat 2010 (version 2)" xfId="1742"/>
    <cellStyle name="T_Book1_mau bieu doan giam sat 2010 (version 2) 2" xfId="1743"/>
    <cellStyle name="T_Book1_mau KL vach son" xfId="1744"/>
    <cellStyle name="T_Book1_Nhu cau von ung truoc 2011 Tha h Hoa + Nge An gui TW" xfId="1745"/>
    <cellStyle name="T_Book1_Nhu cau von ung truoc 2011 Tha h Hoa + Nge An gui TW 2" xfId="1746"/>
    <cellStyle name="T_Book1_QD UBND tinh" xfId="1747"/>
    <cellStyle name="T_Book1_QD UBND tinh 2" xfId="1748"/>
    <cellStyle name="T_Book1_San sat hach moi" xfId="1749"/>
    <cellStyle name="T_Book1_San sat hach moi 2" xfId="1750"/>
    <cellStyle name="T_Book1_Thiet bi" xfId="1751"/>
    <cellStyle name="T_Book1_Thong ke cong" xfId="1752"/>
    <cellStyle name="T_Book1_Thong ke cong 2" xfId="1753"/>
    <cellStyle name="T_Book1_Tong hop 3 tinh (11_5)-TTH-QN-QT" xfId="1754"/>
    <cellStyle name="T_Book1_ung 2011 - 11-6-Thanh hoa-Nghe an" xfId="1755"/>
    <cellStyle name="T_Book1_ung 2011 - 11-6-Thanh hoa-Nghe an 2" xfId="1756"/>
    <cellStyle name="T_Book1_ung truoc 2011 NSTW Thanh Hoa + Nge An gui Thu 12-5" xfId="1757"/>
    <cellStyle name="T_Book1_ung truoc 2011 NSTW Thanh Hoa + Nge An gui Thu 12-5 2" xfId="1758"/>
    <cellStyle name="T_Book1_VBPL kiểm toán Đầu tư XDCB 2010" xfId="1759"/>
    <cellStyle name="T_Book1_Worksheet in D: My Documents Luc Van ban xu ly Nam 2011 Bao cao ra soat tam ung TPCP" xfId="1760"/>
    <cellStyle name="T_Book1_Worksheet in D: My Documents Luc Van ban xu ly Nam 2011 Bao cao ra soat tam ung TPCP 2" xfId="1761"/>
    <cellStyle name="T_CDKT" xfId="1762"/>
    <cellStyle name="T_CDKT 2" xfId="1763"/>
    <cellStyle name="T_Chuan bi dau tu nam 2008" xfId="1764"/>
    <cellStyle name="T_Chuan bi dau tu nam 2008 2" xfId="1765"/>
    <cellStyle name="T_Chuan bi dau tu nam 2008_bieu tong hop" xfId="1766"/>
    <cellStyle name="T_Chuan bi dau tu nam 2008_Tong hop ra soat von ung 2011 -Chau" xfId="1767"/>
    <cellStyle name="T_Chuan bi dau tu nam 2008_Tong hop -Yte-Giao thong-Thuy loi-24-6" xfId="1768"/>
    <cellStyle name="T_Copy of Bao cao  XDCB 7 thang nam 2008_So KH&amp;DT SUA" xfId="1769"/>
    <cellStyle name="T_Copy of Bao cao  XDCB 7 thang nam 2008_So KH&amp;DT SUA 2" xfId="1770"/>
    <cellStyle name="T_Copy of Bao cao  XDCB 7 thang nam 2008_So KH&amp;DT SUA_bieu tong hop" xfId="1771"/>
    <cellStyle name="T_Copy of Bao cao  XDCB 7 thang nam 2008_So KH&amp;DT SUA_Tong hop ra soat von ung 2011 -Chau" xfId="1772"/>
    <cellStyle name="T_Copy of Bao cao  XDCB 7 thang nam 2008_So KH&amp;DT SUA_Tong hop -Yte-Giao thong-Thuy loi-24-6" xfId="1773"/>
    <cellStyle name="T_Copy of KS Du an dau tu" xfId="1774"/>
    <cellStyle name="T_Copy of KS Du an dau tu 2" xfId="1775"/>
    <cellStyle name="T_Cost for DD (summary)" xfId="1776"/>
    <cellStyle name="T_Cost for DD (summary) 2" xfId="1777"/>
    <cellStyle name="T_CPK" xfId="1778"/>
    <cellStyle name="T_CPK 2" xfId="1779"/>
    <cellStyle name="T_CTMTQG 2008" xfId="1780"/>
    <cellStyle name="T_CTMTQG 2008 2" xfId="1781"/>
    <cellStyle name="T_CTMTQG 2008_Bieu mau danh muc du an thuoc CTMTQG nam 2008" xfId="1782"/>
    <cellStyle name="T_CTMTQG 2008_Bieu mau danh muc du an thuoc CTMTQG nam 2008 2" xfId="1783"/>
    <cellStyle name="T_CTMTQG 2008_Hi-Tong hop KQ phan bo KH nam 08- LD fong giao 15-11-08" xfId="1784"/>
    <cellStyle name="T_CTMTQG 2008_Hi-Tong hop KQ phan bo KH nam 08- LD fong giao 15-11-08 2" xfId="1785"/>
    <cellStyle name="T_CTMTQG 2008_Ket qua thuc hien nam 2008" xfId="1786"/>
    <cellStyle name="T_CTMTQG 2008_Ket qua thuc hien nam 2008 2" xfId="1787"/>
    <cellStyle name="T_CTMTQG 2008_KH XDCB_2008 lan 1" xfId="1788"/>
    <cellStyle name="T_CTMTQG 2008_KH XDCB_2008 lan 1 2" xfId="1789"/>
    <cellStyle name="T_CTMTQG 2008_KH XDCB_2008 lan 1 sua ngay 27-10" xfId="1790"/>
    <cellStyle name="T_CTMTQG 2008_KH XDCB_2008 lan 1 sua ngay 27-10 2" xfId="1791"/>
    <cellStyle name="T_CTMTQG 2008_KH XDCB_2008 lan 2 sua ngay 10-11" xfId="1792"/>
    <cellStyle name="T_CTMTQG 2008_KH XDCB_2008 lan 2 sua ngay 10-11 2" xfId="1793"/>
    <cellStyle name="T_DT972000" xfId="1794"/>
    <cellStyle name="T_DTDuong dong tien -sua tham tra 2009 - luong 650" xfId="1795"/>
    <cellStyle name="T_DTDuong dong tien -sua tham tra 2009 - luong 650 2" xfId="1796"/>
    <cellStyle name="T_dtTL598G1." xfId="1797"/>
    <cellStyle name="T_Du an khoi cong moi nam 2010" xfId="1798"/>
    <cellStyle name="T_Du an khoi cong moi nam 2010 2" xfId="1799"/>
    <cellStyle name="T_Du an khoi cong moi nam 2010_bieu tong hop" xfId="1800"/>
    <cellStyle name="T_Du an khoi cong moi nam 2010_Tong hop ra soat von ung 2011 -Chau" xfId="1801"/>
    <cellStyle name="T_Du an khoi cong moi nam 2010_Tong hop -Yte-Giao thong-Thuy loi-24-6" xfId="1802"/>
    <cellStyle name="T_DU AN TKQH VA CHUAN BI DAU TU NAM 2007 sua ngay 9-11" xfId="1803"/>
    <cellStyle name="T_DU AN TKQH VA CHUAN BI DAU TU NAM 2007 sua ngay 9-11 2" xfId="1804"/>
    <cellStyle name="T_DU AN TKQH VA CHUAN BI DAU TU NAM 2007 sua ngay 9-11_Bieu mau danh muc du an thuoc CTMTQG nam 2008" xfId="1805"/>
    <cellStyle name="T_DU AN TKQH VA CHUAN BI DAU TU NAM 2007 sua ngay 9-11_Bieu mau danh muc du an thuoc CTMTQG nam 2008 2" xfId="1806"/>
    <cellStyle name="T_DU AN TKQH VA CHUAN BI DAU TU NAM 2007 sua ngay 9-11_Bieu mau danh muc du an thuoc CTMTQG nam 2008_bieu tong hop" xfId="1807"/>
    <cellStyle name="T_DU AN TKQH VA CHUAN BI DAU TU NAM 2007 sua ngay 9-11_Bieu mau danh muc du an thuoc CTMTQG nam 2008_Tong hop ra soat von ung 2011 -Chau" xfId="1808"/>
    <cellStyle name="T_DU AN TKQH VA CHUAN BI DAU TU NAM 2007 sua ngay 9-11_Bieu mau danh muc du an thuoc CTMTQG nam 2008_Tong hop -Yte-Giao thong-Thuy loi-24-6" xfId="1809"/>
    <cellStyle name="T_DU AN TKQH VA CHUAN BI DAU TU NAM 2007 sua ngay 9-11_Du an khoi cong moi nam 2010" xfId="1810"/>
    <cellStyle name="T_DU AN TKQH VA CHUAN BI DAU TU NAM 2007 sua ngay 9-11_Du an khoi cong moi nam 2010 2" xfId="1811"/>
    <cellStyle name="T_DU AN TKQH VA CHUAN BI DAU TU NAM 2007 sua ngay 9-11_Du an khoi cong moi nam 2010_bieu tong hop" xfId="1812"/>
    <cellStyle name="T_DU AN TKQH VA CHUAN BI DAU TU NAM 2007 sua ngay 9-11_Du an khoi cong moi nam 2010_Tong hop ra soat von ung 2011 -Chau" xfId="1813"/>
    <cellStyle name="T_DU AN TKQH VA CHUAN BI DAU TU NAM 2007 sua ngay 9-11_Du an khoi cong moi nam 2010_Tong hop -Yte-Giao thong-Thuy loi-24-6" xfId="1814"/>
    <cellStyle name="T_DU AN TKQH VA CHUAN BI DAU TU NAM 2007 sua ngay 9-11_Ket qua phan bo von nam 2008" xfId="1815"/>
    <cellStyle name="T_DU AN TKQH VA CHUAN BI DAU TU NAM 2007 sua ngay 9-11_Ket qua phan bo von nam 2008 2" xfId="1816"/>
    <cellStyle name="T_DU AN TKQH VA CHUAN BI DAU TU NAM 2007 sua ngay 9-11_KH XDCB_2008 lan 2 sua ngay 10-11" xfId="1817"/>
    <cellStyle name="T_DU AN TKQH VA CHUAN BI DAU TU NAM 2007 sua ngay 9-11_KH XDCB_2008 lan 2 sua ngay 10-11 2" xfId="1818"/>
    <cellStyle name="T_du toan dieu chinh  20-8-2006" xfId="1819"/>
    <cellStyle name="T_Du toan khao sat (bo sung 2009)" xfId="1820"/>
    <cellStyle name="T_du toan lan 3" xfId="1821"/>
    <cellStyle name="T_du toan lan 3 2" xfId="1822"/>
    <cellStyle name="T_Ke hoach KTXH  nam 2009_PKT thang 11 nam 2008" xfId="1823"/>
    <cellStyle name="T_Ke hoach KTXH  nam 2009_PKT thang 11 nam 2008 2" xfId="1824"/>
    <cellStyle name="T_Ke hoach KTXH  nam 2009_PKT thang 11 nam 2008_bieu tong hop" xfId="1825"/>
    <cellStyle name="T_Ke hoach KTXH  nam 2009_PKT thang 11 nam 2008_Tong hop ra soat von ung 2011 -Chau" xfId="1826"/>
    <cellStyle name="T_Ke hoach KTXH  nam 2009_PKT thang 11 nam 2008_Tong hop -Yte-Giao thong-Thuy loi-24-6" xfId="1827"/>
    <cellStyle name="T_Ket qua dau thau" xfId="1828"/>
    <cellStyle name="T_Ket qua dau thau 2" xfId="1829"/>
    <cellStyle name="T_Ket qua dau thau_bieu tong hop" xfId="1830"/>
    <cellStyle name="T_Ket qua dau thau_Tong hop ra soat von ung 2011 -Chau" xfId="1831"/>
    <cellStyle name="T_Ket qua dau thau_Tong hop -Yte-Giao thong-Thuy loi-24-6" xfId="1832"/>
    <cellStyle name="T_Ket qua phan bo von nam 2008" xfId="1833"/>
    <cellStyle name="T_Ket qua phan bo von nam 2008 2" xfId="1834"/>
    <cellStyle name="T_KH XDCB_2008 lan 2 sua ngay 10-11" xfId="1835"/>
    <cellStyle name="T_KH XDCB_2008 lan 2 sua ngay 10-11 2" xfId="1836"/>
    <cellStyle name="T_Khao satD1" xfId="1837"/>
    <cellStyle name="T_Khoi luong cac hang muc chi tiet-702" xfId="1838"/>
    <cellStyle name="T_Khoi luong cac hang muc chi tiet-702 2" xfId="1839"/>
    <cellStyle name="T_KL NT dap nen Dot 3" xfId="1840"/>
    <cellStyle name="T_KL NT Dot 3" xfId="1841"/>
    <cellStyle name="T_Kl VL ranh" xfId="1842"/>
    <cellStyle name="T_KLNMD1" xfId="1843"/>
    <cellStyle name="T_mau bieu doan giam sat 2010 (version 2)" xfId="1844"/>
    <cellStyle name="T_mau bieu doan giam sat 2010 (version 2) 2" xfId="1845"/>
    <cellStyle name="T_mau KL vach son" xfId="1846"/>
    <cellStyle name="T_mau KL vach son 2" xfId="1847"/>
    <cellStyle name="T_Me_Tri_6_07" xfId="1848"/>
    <cellStyle name="T_N2 thay dat (N1-1)" xfId="1849"/>
    <cellStyle name="T_Phuong an can doi nam 2008" xfId="1850"/>
    <cellStyle name="T_Phuong an can doi nam 2008 2" xfId="1851"/>
    <cellStyle name="T_Phuong an can doi nam 2008_bieu tong hop" xfId="1852"/>
    <cellStyle name="T_Phuong an can doi nam 2008_Tong hop ra soat von ung 2011 -Chau" xfId="1853"/>
    <cellStyle name="T_Phuong an can doi nam 2008_Tong hop -Yte-Giao thong-Thuy loi-24-6" xfId="1854"/>
    <cellStyle name="T_San sat hach moi" xfId="1855"/>
    <cellStyle name="T_Seagame(BTL)" xfId="1856"/>
    <cellStyle name="T_So GTVT" xfId="1857"/>
    <cellStyle name="T_So GTVT_bieu tong hop" xfId="1858"/>
    <cellStyle name="T_So GTVT_bieu tong hop 2" xfId="1859"/>
    <cellStyle name="T_So GTVT_Tong hop ra soat von ung 2011 -Chau" xfId="1860"/>
    <cellStyle name="T_So GTVT_Tong hop ra soat von ung 2011 -Chau 2" xfId="1861"/>
    <cellStyle name="T_So GTVT_Tong hop -Yte-Giao thong-Thuy loi-24-6" xfId="1862"/>
    <cellStyle name="T_So GTVT_Tong hop -Yte-Giao thong-Thuy loi-24-6 2" xfId="1863"/>
    <cellStyle name="T_SS BVTC cau va cong tuyen Le Chan" xfId="1864"/>
    <cellStyle name="T_Tay Bac 1" xfId="1865"/>
    <cellStyle name="T_Tay Bac 1 2" xfId="1866"/>
    <cellStyle name="T_Tay Bac 1_Bao cao kiem toan kh 2010" xfId="1867"/>
    <cellStyle name="T_Tay Bac 1_Book1" xfId="1868"/>
    <cellStyle name="T_Tay Bac 1_Ke hoach 2010 (theo doi)2" xfId="1869"/>
    <cellStyle name="T_Tay Bac 1_QD UBND tinh" xfId="1870"/>
    <cellStyle name="T_Tay Bac 1_Worksheet in D: My Documents Luc Van ban xu ly Nam 2011 Bao cao ra soat tam ung TPCP" xfId="1871"/>
    <cellStyle name="T_TDT + duong(8-5-07)" xfId="1872"/>
    <cellStyle name="T_tham_tra_du_toan" xfId="1873"/>
    <cellStyle name="T_Thiet bi" xfId="1874"/>
    <cellStyle name="T_Thiet bi 2" xfId="1875"/>
    <cellStyle name="T_THKL 1303" xfId="1876"/>
    <cellStyle name="T_Thong ke" xfId="1877"/>
    <cellStyle name="T_Thong ke cong" xfId="1878"/>
    <cellStyle name="T_thong ke giao dan sinh" xfId="1879"/>
    <cellStyle name="T_tien2004" xfId="1880"/>
    <cellStyle name="T_TKE-ChoDon-sua" xfId="1881"/>
    <cellStyle name="T_Tong hop 3 tinh (11_5)-TTH-QN-QT" xfId="1882"/>
    <cellStyle name="T_Tong hop 3 tinh (11_5)-TTH-QN-QT 2" xfId="1883"/>
    <cellStyle name="T_Tong hop khoi luong Dot 3" xfId="1884"/>
    <cellStyle name="T_Tong hop theo doi von TPCP" xfId="1885"/>
    <cellStyle name="T_Tong hop theo doi von TPCP 2" xfId="1886"/>
    <cellStyle name="T_Tong hop theo doi von TPCP_Bao cao kiem toan kh 2010" xfId="1887"/>
    <cellStyle name="T_Tong hop theo doi von TPCP_Bao cao kiem toan kh 2010 2" xfId="1888"/>
    <cellStyle name="T_Tong hop theo doi von TPCP_Ke hoach 2010 (theo doi)2" xfId="1889"/>
    <cellStyle name="T_Tong hop theo doi von TPCP_Ke hoach 2010 (theo doi)2 2" xfId="1890"/>
    <cellStyle name="T_Tong hop theo doi von TPCP_QD UBND tinh" xfId="1891"/>
    <cellStyle name="T_Tong hop theo doi von TPCP_QD UBND tinh 2" xfId="1892"/>
    <cellStyle name="T_Tong hop theo doi von TPCP_Worksheet in D: My Documents Luc Van ban xu ly Nam 2011 Bao cao ra soat tam ung TPCP" xfId="1893"/>
    <cellStyle name="T_Tong hop theo doi von TPCP_Worksheet in D: My Documents Luc Van ban xu ly Nam 2011 Bao cao ra soat tam ung TPCP 2" xfId="1894"/>
    <cellStyle name="T_VBPL kiểm toán Đầu tư XDCB 2010" xfId="1895"/>
    <cellStyle name="T_Worksheet in D: ... Hoan thien 5goi theo KL cu 28-06 4.Cong 5goi Coc 33-Km1+490.13 Cong coc 33-km1+490.13" xfId="1896"/>
    <cellStyle name="T_ÿÿÿÿÿ" xfId="1897"/>
    <cellStyle name="Text" xfId="1898"/>
    <cellStyle name="Text Indent A" xfId="1899"/>
    <cellStyle name="Text Indent A 2" xfId="1900"/>
    <cellStyle name="Text Indent B" xfId="1901"/>
    <cellStyle name="Text Indent B 2" xfId="1902"/>
    <cellStyle name="Text Indent C" xfId="1903"/>
    <cellStyle name="Text Indent C 2" xfId="1904"/>
    <cellStyle name="Text_Bao cao doan cong tac cua Bo thang 4-2010" xfId="1905"/>
    <cellStyle name="th" xfId="1906"/>
    <cellStyle name="than" xfId="1907"/>
    <cellStyle name="thanh" xfId="1908"/>
    <cellStyle name="þ_x001d_ð¤_x000c_¯þ_x0014__x000d_¨þU_x0001_À_x0004_ _x0015__x000f__x0001__x0001_" xfId="1909"/>
    <cellStyle name="þ_x001d_ð¤_x000c_¯þ_x0014__x000d_¨þU_x0001_À_x0004_ _x0015__x000f__x0001__x0001_ 2" xfId="1910"/>
    <cellStyle name="þ_x001d_ð·_x000c_æþ'_x000d_ßþU_x0001_Ø_x0005_ü_x0014__x0007__x0001__x0001_" xfId="1911"/>
    <cellStyle name="þ_x001d_ðÇ%Uý—&amp;Hý9_x0008_Ÿ s_x000a__x0007__x0001__x0001_" xfId="1912"/>
    <cellStyle name="þ_x001d_ðÇ%Uý—&amp;Hý9_x0008_Ÿ s_x000a__x0007__x0001__x0001_ 2" xfId="1913"/>
    <cellStyle name="þ_x001d_ðK_x000c_Fý_x001b__x000d_9ýU_x0001_Ð_x0008_¦)_x0007__x0001__x0001_" xfId="1914"/>
    <cellStyle name="þ_x001d_ðK_x000c_Fý_x001b__x000d_9ýU_x0001_Ð_x0008_¦)_x0007__x0001__x0001_ 2" xfId="1915"/>
    <cellStyle name="thuong-10" xfId="1916"/>
    <cellStyle name="thuong-11" xfId="1917"/>
    <cellStyle name="Thuyet minh" xfId="1918"/>
    <cellStyle name="Tien1" xfId="1919"/>
    <cellStyle name="Tiêu đề" xfId="1920"/>
    <cellStyle name="Times New Roman" xfId="1921"/>
    <cellStyle name="Tính toán" xfId="1922"/>
    <cellStyle name="tit1" xfId="1923"/>
    <cellStyle name="tit2" xfId="1924"/>
    <cellStyle name="tit3" xfId="1925"/>
    <cellStyle name="tit4" xfId="1926"/>
    <cellStyle name="Title 2" xfId="1927"/>
    <cellStyle name="Tổng" xfId="1928"/>
    <cellStyle name="Tongcong" xfId="1929"/>
    <cellStyle name="Tốt" xfId="1930"/>
    <cellStyle name="Total 2" xfId="1931"/>
    <cellStyle name="trang" xfId="1932"/>
    <cellStyle name="Trung tính" xfId="1933"/>
    <cellStyle name="tt1" xfId="1934"/>
    <cellStyle name="Tuan" xfId="1935"/>
    <cellStyle name="Tusental (0)_pldt" xfId="1936"/>
    <cellStyle name="Tusental_pldt" xfId="1937"/>
    <cellStyle name="u" xfId="1938"/>
    <cellStyle name="ux_3_¼­¿ï-¾È»ê" xfId="1939"/>
    <cellStyle name="Valuta (0)_CALPREZZ" xfId="1940"/>
    <cellStyle name="Valuta_ PESO ELETTR." xfId="1941"/>
    <cellStyle name="Văn bản Cảnh báo" xfId="1942"/>
    <cellStyle name="Văn bản Giải thích" xfId="1943"/>
    <cellStyle name="VANG1" xfId="1944"/>
    <cellStyle name="viet" xfId="1945"/>
    <cellStyle name="viet2" xfId="1946"/>
    <cellStyle name="Vietnam 1" xfId="1947"/>
    <cellStyle name="VN new romanNormal" xfId="1948"/>
    <cellStyle name="vn time 10" xfId="1949"/>
    <cellStyle name="Vn Time 13" xfId="1950"/>
    <cellStyle name="Vn Time 13 2" xfId="1951"/>
    <cellStyle name="Vn Time 14" xfId="1952"/>
    <cellStyle name="VN time new roman" xfId="1953"/>
    <cellStyle name="vn_time" xfId="1954"/>
    <cellStyle name="vnbo" xfId="1955"/>
    <cellStyle name="vnhead1" xfId="1956"/>
    <cellStyle name="vnhead2" xfId="1957"/>
    <cellStyle name="vnhead3" xfId="1958"/>
    <cellStyle name="vnhead4" xfId="1959"/>
    <cellStyle name="vntxt1" xfId="1960"/>
    <cellStyle name="vntxt1 2" xfId="1961"/>
    <cellStyle name="vntxt2" xfId="1962"/>
    <cellStyle name="W?hrung [0]_35ERI8T2gbIEMixb4v26icuOo" xfId="1963"/>
    <cellStyle name="W?hrung_35ERI8T2gbIEMixb4v26icuOo" xfId="1964"/>
    <cellStyle name="Währung [0]_68574_Materialbedarfsliste" xfId="1965"/>
    <cellStyle name="Währung_68574_Materialbedarfsliste" xfId="1966"/>
    <cellStyle name="Walutowy [0]_Invoices2001Slovakia" xfId="1967"/>
    <cellStyle name="Walutowy_Invoices2001Slovakia" xfId="1968"/>
    <cellStyle name="Warning Text 2" xfId="1969"/>
    <cellStyle name="wrap" xfId="1970"/>
    <cellStyle name="Wไhrung [0]_35ERI8T2gbIEMixb4v26icuOo" xfId="1971"/>
    <cellStyle name="Wไhrung_35ERI8T2gbIEMixb4v26icuOo" xfId="1972"/>
    <cellStyle name="Xấu" xfId="1973"/>
    <cellStyle name="xuan" xfId="1974"/>
    <cellStyle name="y" xfId="1975"/>
    <cellStyle name="y 2" xfId="1976"/>
    <cellStyle name="Ý kh¸c_B¶ng 1 (2)" xfId="1977"/>
    <cellStyle name="เครื่องหมายสกุลเงิน [0]_FTC_OFFER" xfId="1978"/>
    <cellStyle name="เครื่องหมายสกุลเงิน_FTC_OFFER" xfId="1979"/>
    <cellStyle name="ปกติ_FTC_OFFER" xfId="1980"/>
    <cellStyle name=" [0.00]_ Att. 1- Cover" xfId="1981"/>
    <cellStyle name="_ Att. 1- Cover" xfId="1982"/>
    <cellStyle name="?_ Att. 1- Cover" xfId="1983"/>
    <cellStyle name="똿뗦먛귟 [0.00]_PRODUCT DETAIL Q1" xfId="1984"/>
    <cellStyle name="똿뗦먛귟_PRODUCT DETAIL Q1" xfId="1985"/>
    <cellStyle name="믅됞 [0.00]_PRODUCT DETAIL Q1" xfId="1986"/>
    <cellStyle name="믅됞_PRODUCT DETAIL Q1" xfId="1987"/>
    <cellStyle name="백분율_††††† " xfId="1988"/>
    <cellStyle name="뷭?_BOOKSHIP" xfId="1989"/>
    <cellStyle name="안건회계법인" xfId="1990"/>
    <cellStyle name="콤마 [ - 유형1" xfId="1991"/>
    <cellStyle name="콤마 [ - 유형2" xfId="1992"/>
    <cellStyle name="콤마 [ - 유형3" xfId="1993"/>
    <cellStyle name="콤마 [ - 유형4" xfId="1994"/>
    <cellStyle name="콤마 [ - 유형5" xfId="1995"/>
    <cellStyle name="콤마 [ - 유형6" xfId="1996"/>
    <cellStyle name="콤마 [ - 유형7" xfId="1997"/>
    <cellStyle name="콤마 [ - 유형8" xfId="1998"/>
    <cellStyle name="콤마 [0]_ 비목별 월별기술 " xfId="1999"/>
    <cellStyle name="콤마_ 비목별 월별기술 " xfId="2000"/>
    <cellStyle name="통화 [0]_††††† " xfId="2001"/>
    <cellStyle name="통화_††††† " xfId="2002"/>
    <cellStyle name="표준_ 97년 경영분석(안)" xfId="2003"/>
    <cellStyle name="표줠_Sheet1_1_총괄표 (수출입) (2)" xfId="2004"/>
    <cellStyle name="一般_00Q3902REV.1" xfId="2005"/>
    <cellStyle name="千分位[0]_00Q3902REV.1" xfId="2006"/>
    <cellStyle name="千分位_00Q3902REV.1" xfId="2007"/>
    <cellStyle name="桁区切り [0.00]_BE-BQ" xfId="2008"/>
    <cellStyle name="桁区切り_BE-BQ" xfId="2009"/>
    <cellStyle name="標準_(A1)BOQ " xfId="2010"/>
    <cellStyle name="貨幣 [0]_00Q3902REV.1" xfId="2011"/>
    <cellStyle name="貨幣[0]_BRE" xfId="2012"/>
    <cellStyle name="貨幣_00Q3902REV.1" xfId="2013"/>
    <cellStyle name="通貨 [0.00]_BE-BQ" xfId="2014"/>
    <cellStyle name="通貨_BE-BQ" xfId="20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externalLink" Target="externalLinks/externalLink9.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externalLink" Target="externalLinks/externalLink8.xml"/><Relationship Id="rId2" Type="http://schemas.openxmlformats.org/officeDocument/2006/relationships/worksheet" Target="worksheets/sheet2.xml"/><Relationship Id="rId16" Type="http://schemas.openxmlformats.org/officeDocument/2006/relationships/externalLink" Target="externalLinks/externalLink7.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externalLink" Target="externalLinks/externalLink6.xml"/><Relationship Id="rId10" Type="http://schemas.openxmlformats.org/officeDocument/2006/relationships/externalLink" Target="externalLinks/externalLink1.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 Id="rId22"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y%20PC\Downloads\BC%20PGD\T&#7843;i%20v&#7873;%202013-2014\BC%20cuoi%20nam\Hoc%20tap\Thuctap\moi1\PT%20KIEN\KIEN\tnhoche\Cong%20trinh\Son%20La\Du%20toan\Congviec\Tam.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d.docs.live.net/My%20Documents/Hung/2012/Danh%20gia%20KTXH/nam%202012/My%20Documents/Luong/My%20Documents/H&#187;ng/Sonla/DTOAN/phong%20nen/DT-THL7.xls"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Worksheet%20in%20Thn-ChsTQ"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2018\c&#244;ng%20tr&#236;nh\n&#7841;o%20v&#233;t\BangGiaCaMay_TT01-2015.xls" TargetMode="External"/></Relationships>
</file>

<file path=xl/externalLinks/_rels/externalLink5.xml.rels><?xml version="1.0" encoding="UTF-8" standalone="yes"?>
<Relationships xmlns="http://schemas.openxmlformats.org/package/2006/relationships"><Relationship Id="rId1" Type="http://schemas.microsoft.com/office/2006/relationships/xlExternalLinkPath/xlPathMissing" Target="DUTOAN1"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Administrator\Downloads\DAT2021_HY.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HTC\Downloads\2021BIEU%20dieu%20chinh%20DT%202021_TT342%2027_11.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Users\Administrator\Downloads\BIEU%20Lap%20DT%202022_%20ND%2031_TT342%20thu.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HANG\n&#259;m%202022\CV%20THAM%20M&#431;U%20KP\&#272;I&#7872;U%20CH&#7880;NH%20D&#7920;%20TO&#193;N%20&#272;&#416;N%20V&#7882;\bi&#7875;u%20quy&#7871;t%20&#273;&#7883;nh.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m"/>
      <sheetName val="Du_lieu"/>
      <sheetName val="KH-Q1,Q2,01"/>
      <sheetName val="TONGKE3p "/>
      <sheetName val="TDTKP"/>
      <sheetName val="DON GIA"/>
      <sheetName val="TONG HOP VL-NC"/>
      <sheetName val="TNHCHINH"/>
      <sheetName val="CHITIET VL-NC-TT -1p"/>
      <sheetName val="TDTKP1"/>
      <sheetName val="phuluc1"/>
      <sheetName val="TONG HOP VL-NC TT"/>
      <sheetName val="KPVC-BD "/>
      <sheetName val="#REF"/>
      <sheetName val="gvl"/>
      <sheetName val="Tiepdia"/>
      <sheetName val="CHITIET VL-NC-TT-3p"/>
      <sheetName val="VCV-BE-TONG"/>
      <sheetName val="chitiet"/>
      <sheetName val="VC"/>
      <sheetName val="CHITIET VL-NC"/>
      <sheetName val="THPDMoi  (2)"/>
      <sheetName val="t-h HA THE"/>
      <sheetName val="giathanh1"/>
      <sheetName val="TONGKE-HT"/>
      <sheetName val="LKVL-CK-HT-GD1"/>
      <sheetName val="TH VL, NC, DDHT Thanhphuoc"/>
      <sheetName val="dongia (2)"/>
      <sheetName val="DG"/>
      <sheetName val="DONGIA"/>
      <sheetName val="chitimc"/>
      <sheetName val="dtxl"/>
      <sheetName val="gtrinh"/>
      <sheetName val="lam-moi"/>
      <sheetName val="TH XL"/>
      <sheetName val="thao-go"/>
      <sheetName val="BAOGIATHANG"/>
      <sheetName val="vanchuyen TC"/>
      <sheetName val="DAODAT"/>
      <sheetName val="dongiaX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gct"/>
      <sheetName val="dtct"/>
      <sheetName val="gvl"/>
      <sheetName val="Sheet10"/>
      <sheetName val="Sheet11"/>
      <sheetName val="Sheet12"/>
      <sheetName val="Sheet13"/>
      <sheetName val="Sheet14"/>
      <sheetName val="Sheet15"/>
      <sheetName val="Sheet16"/>
      <sheetName val="Dinh muc du toan"/>
      <sheetName val="Config"/>
      <sheetName val="AutoClose"/>
      <sheetName val="NC"/>
      <sheetName val="M"/>
      <sheetName val="TSo"/>
      <sheetName val="PC"/>
      <sheetName val="Vua"/>
      <sheetName val="KL"/>
      <sheetName val="VC"/>
      <sheetName val="DGduong"/>
      <sheetName val="DT"/>
      <sheetName val="TH"/>
      <sheetName val="Thu"/>
      <sheetName val="XXXXXXXX"/>
      <sheetName val="total"/>
      <sheetName val="(viet)"/>
      <sheetName val="dictionary"/>
      <sheetName val="New(eng)"/>
      <sheetName val="RFI(eng)SW-sun"/>
      <sheetName val="RFI(eng)HVP-sun"/>
      <sheetName val="RFI(eng)SW"/>
      <sheetName val="RFI(eng)SW (2)"/>
      <sheetName val="RFI(eng)HVP"/>
      <sheetName val="RFI(eng)Lab."/>
      <sheetName val="RFI -add"/>
      <sheetName val="TSCD DUNG CHUNG "/>
      <sheetName val="KHKHAUHAOTSCHUNG"/>
      <sheetName val="TSCDTOAN NHA MAY"/>
      <sheetName val="CPSXTOAN BO SP"/>
      <sheetName val="PBCPCHUNG CHO CAC DTUONG"/>
      <sheetName val="XL4Poppy"/>
      <sheetName val="VLieu"/>
      <sheetName val="CT"/>
      <sheetName val="DToan"/>
      <sheetName val="Tong hop"/>
      <sheetName val="Cuoc V.chuyen"/>
      <sheetName val="Sheet7"/>
      <sheetName val="Sheet8"/>
      <sheetName val="Sheet9"/>
      <sheetName val="TH An ca"/>
      <sheetName val="XN SL An ca"/>
      <sheetName val="Dang ky an ca"/>
      <sheetName val="Dang ky an ca T2"/>
      <sheetName val="Sheet2"/>
      <sheetName val="Sheet3"/>
      <sheetName val="XL4Test5"/>
      <sheetName val="vatlieu"/>
      <sheetName val="vattu"/>
      <sheetName val="CHITIET"/>
      <sheetName val="DONGIA"/>
      <sheetName val="DT02"/>
      <sheetName val="DTgoi1"/>
      <sheetName val="DTgoi2"/>
      <sheetName val="DTgoi3"/>
      <sheetName val="DTgoi4"/>
      <sheetName val="DTgoi5"/>
      <sheetName val="DTgoi6"/>
      <sheetName val="Tong hop goi thau"/>
      <sheetName val="DT-tn"/>
      <sheetName val="TH02"/>
      <sheetName val="THgoi1"/>
      <sheetName val="THgoi2"/>
      <sheetName val="THgoi3"/>
      <sheetName val="KLgoi11"/>
      <sheetName val="THgoi4"/>
      <sheetName val="THgoi5"/>
      <sheetName val="THgoi6"/>
      <sheetName val="chitiet02"/>
      <sheetName val="THKL1"/>
      <sheetName val="chitiet1"/>
      <sheetName val="TH-KL"/>
      <sheetName val="kl-chitiet"/>
      <sheetName val="Sheet1"/>
      <sheetName val="1"/>
      <sheetName val="00000000"/>
      <sheetName val="T2"/>
      <sheetName val="T3"/>
      <sheetName val="T4"/>
      <sheetName val="T5"/>
      <sheetName val="THop"/>
      <sheetName val="THKD"/>
      <sheetName val="10000000"/>
      <sheetName val="20000000"/>
      <sheetName val="30000000"/>
      <sheetName val="40000000"/>
      <sheetName val="50000000"/>
      <sheetName val="60000000"/>
      <sheetName val="bg+th45"/>
      <sheetName val="4-5"/>
      <sheetName val="bg+th34"/>
      <sheetName val="3-4"/>
      <sheetName val="bg+th23"/>
      <sheetName val="2-3"/>
      <sheetName val="bg+th12"/>
      <sheetName val="1-2"/>
      <sheetName val="bg+th"/>
      <sheetName val="ptvl"/>
      <sheetName val="0-1"/>
      <sheetName val="C47-456"/>
      <sheetName val="C46"/>
      <sheetName val="C47-PII"/>
      <sheetName val="DTduong"/>
      <sheetName val="Nhahat"/>
      <sheetName val="Sheet4"/>
      <sheetName val="Sheet5"/>
      <sheetName val="Sheet6"/>
      <sheetName val="DT-THL7"/>
      <sheetName val="PA_coso"/>
      <sheetName val="PA_von"/>
      <sheetName val="PA_nhucau"/>
      <sheetName val="PA_TH"/>
      <sheetName val="THDT"/>
      <sheetName val="XL35"/>
      <sheetName val="DZ-35"/>
      <sheetName val="TN_35"/>
      <sheetName val="CT-DZ"/>
      <sheetName val="TC"/>
      <sheetName val="TH_BA"/>
      <sheetName val="TBA"/>
      <sheetName val="TNT"/>
      <sheetName val="CT_TBA"/>
      <sheetName val="KB"/>
      <sheetName val="CT_BT"/>
      <sheetName val="KS"/>
      <sheetName val="BT"/>
      <sheetName val="CP_BT"/>
      <sheetName val="DB"/>
      <sheetName val="dgth"/>
      <sheetName val="thkl"/>
      <sheetName val="thkl (2)"/>
      <sheetName val="LK2"/>
      <sheetName val="He so"/>
      <sheetName val="PL Vua"/>
      <sheetName val="DPD"/>
      <sheetName val="dgmo-tru"/>
      <sheetName val="dgdam"/>
      <sheetName val="Dam-Mo-Tru"/>
      <sheetName val="GTXLc"/>
      <sheetName val="CPXLk"/>
      <sheetName val="KPTH"/>
      <sheetName val="Bang KL ket cau"/>
      <sheetName val="Ky thu , Ky tho"/>
      <sheetName val="ThCtiet Hanh Lang  KG, KT, KP"/>
      <sheetName val="TH Hanh Lang  KG, KT, KP "/>
      <sheetName val="ThCtiet lap dung cot KG,KT, KP"/>
      <sheetName val="TH Ky Anh"/>
      <sheetName val="Th Ct iet KL,KH,KT,Kvan"/>
      <sheetName val=" THop  KL,KH,KT,Kvan "/>
      <sheetName val=" THop  KL,KH,KT,Kvan  (2)"/>
      <sheetName val="Lap dung cot, san bai"/>
      <sheetName val="00000001"/>
      <sheetName val="00000002"/>
      <sheetName val="S`eet12"/>
      <sheetName val="Du_lieu"/>
      <sheetName val="XL4Uest5"/>
      <sheetName val="DGXDCB_DD"/>
      <sheetName val="PBCPCHUNG CHO CAC ETUONG"/>
      <sheetName val="cvb"/>
      <sheetName val="dg dat"/>
      <sheetName val="vtran"/>
      <sheetName val="tran"/>
      <sheetName val="khac"/>
      <sheetName val="Gia VL"/>
      <sheetName val="GiaNC"/>
      <sheetName val="Gia may"/>
      <sheetName val="giavua"/>
      <sheetName val="tap"/>
      <sheetName val="dmvt"/>
      <sheetName val="cv"/>
      <sheetName val="vl"/>
      <sheetName val="tra-vat-lieu"/>
      <sheetName val="10.1.20"/>
      <sheetName val="10.2.20"/>
      <sheetName val="11.7.30"/>
      <sheetName val="Nhan cong KS"/>
      <sheetName val="01.2.20"/>
      <sheetName val="01.2.30"/>
      <sheetName val="08.6.00"/>
      <sheetName val="12.1.30"/>
      <sheetName val="12.1.70"/>
      <sheetName val="12.1.50"/>
      <sheetName val="17.1.30"/>
      <sheetName val="17.1.20"/>
      <sheetName val="07.3.10"/>
      <sheetName val="03.1.00"/>
      <sheetName val="09.3.00"/>
      <sheetName val="Tinh Qmax (Xoko)"/>
      <sheetName val="Hinh thai"/>
      <sheetName val="Khau do Kasin"/>
      <sheetName val="Khau do cau nho"/>
      <sheetName val="Tinh Qmax"/>
      <sheetName val="H2%"/>
      <sheetName val="H~Q~V"/>
      <sheetName val="Tra K"/>
      <sheetName val="b_ tra"/>
      <sheetName val="Lç khoan LK1"/>
      <sheetName val="Thdien"/>
      <sheetName val="DTdien"/>
      <sheetName val="DG "/>
      <sheetName val="TNHCHINH"/>
      <sheetName val="Thuc thanh"/>
      <sheetName val="NewPOS"/>
      <sheetName val="Bcaonhanh"/>
      <sheetName val="Tonghop"/>
      <sheetName val="chitieth.chinh"/>
      <sheetName val="trinhEVN29.8"/>
      <sheetName val="hieuchinh30.11"/>
      <sheetName val="KTP"/>
      <sheetName val="KLM"/>
      <sheetName val="hinhhoc"/>
      <sheetName val="phan tich DG"/>
      <sheetName val="gia vat lieu"/>
      <sheetName val="gia xe may"/>
      <sheetName val="gia nhan cong"/>
    </sheetNames>
    <sheetDataSet>
      <sheetData sheetId="0"/>
      <sheetData sheetId="1"/>
      <sheetData sheetId="2" refreshError="1">
        <row r="9">
          <cell r="N9">
            <v>118182</v>
          </cell>
        </row>
        <row r="16">
          <cell r="N16">
            <v>759</v>
          </cell>
        </row>
        <row r="17">
          <cell r="N17">
            <v>55000</v>
          </cell>
        </row>
        <row r="38">
          <cell r="N38">
            <v>4.5</v>
          </cell>
        </row>
      </sheetData>
      <sheetData sheetId="3"/>
      <sheetData sheetId="4"/>
      <sheetData sheetId="5"/>
      <sheetData sheetId="6"/>
      <sheetData sheetId="7"/>
      <sheetData sheetId="8"/>
      <sheetData sheetId="9"/>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refreshError="1"/>
      <sheetData sheetId="51" refreshError="1"/>
      <sheetData sheetId="52" refreshError="1"/>
      <sheetData sheetId="53" refreshError="1"/>
      <sheetData sheetId="54" refreshError="1"/>
      <sheetData sheetId="55" refreshError="1"/>
      <sheetData sheetId="56" refreshError="1"/>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refreshError="1"/>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sheetData sheetId="176"/>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sheetData sheetId="218"/>
      <sheetData sheetId="219"/>
      <sheetData sheetId="220"/>
      <sheetData sheetId="221"/>
      <sheetData sheetId="222"/>
      <sheetData sheetId="223"/>
      <sheetData sheetId="22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NG HOP KL"/>
      <sheetName val="kldamchu"/>
      <sheetName val="damngang"/>
      <sheetName val="CTdamchu"/>
      <sheetName val="BMC"/>
      <sheetName val="THN- CHSANG"/>
      <sheetName val="LCTV"/>
      <sheetName val="COTTHEPMO"/>
      <sheetName val="COC 40x40S"/>
      <sheetName val="KHANGCHAN"/>
      <sheetName val="Bdan"/>
      <sheetName val="SANDAODONGCOC"/>
      <sheetName val="LDAM"/>
      <sheetName val="QUANGTREO"/>
    </sheetNames>
    <sheetDataSet>
      <sheetData sheetId="0"/>
      <sheetData sheetId="1" refreshError="1"/>
      <sheetData sheetId="2" refreshError="1"/>
      <sheetData sheetId="3" refreshError="1"/>
      <sheetData sheetId="4" refreshError="1"/>
      <sheetData sheetId="5" refreshError="1"/>
      <sheetData sheetId="6" refreshError="1"/>
      <sheetData sheetId="7" refreshError="1">
        <row r="6">
          <cell r="J6">
            <v>8</v>
          </cell>
        </row>
      </sheetData>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hanCong"/>
      <sheetName val="GiaCaMay"/>
    </sheetNames>
    <sheetDataSet>
      <sheetData sheetId="0" refreshError="1">
        <row r="9">
          <cell r="G9">
            <v>186519</v>
          </cell>
        </row>
        <row r="19">
          <cell r="G19">
            <v>220154</v>
          </cell>
        </row>
        <row r="29">
          <cell r="G29">
            <v>259904</v>
          </cell>
        </row>
        <row r="39">
          <cell r="G39">
            <v>306788</v>
          </cell>
        </row>
        <row r="49">
          <cell r="G49">
            <v>362846</v>
          </cell>
        </row>
        <row r="59">
          <cell r="G59">
            <v>428077</v>
          </cell>
        </row>
        <row r="127">
          <cell r="G127">
            <v>222192</v>
          </cell>
        </row>
        <row r="128">
          <cell r="G128">
            <v>261942</v>
          </cell>
        </row>
        <row r="129">
          <cell r="G129">
            <v>310865</v>
          </cell>
        </row>
        <row r="132">
          <cell r="G132">
            <v>255827</v>
          </cell>
        </row>
        <row r="133">
          <cell r="G133">
            <v>299654</v>
          </cell>
        </row>
        <row r="134">
          <cell r="G134">
            <v>350615</v>
          </cell>
        </row>
        <row r="137">
          <cell r="G137">
            <v>304750</v>
          </cell>
        </row>
        <row r="139">
          <cell r="G139">
            <v>418904</v>
          </cell>
        </row>
        <row r="140">
          <cell r="G140">
            <v>491269</v>
          </cell>
        </row>
        <row r="144">
          <cell r="G144">
            <v>380173</v>
          </cell>
        </row>
        <row r="145">
          <cell r="G145">
            <v>398519</v>
          </cell>
        </row>
        <row r="146">
          <cell r="G146">
            <v>323096</v>
          </cell>
        </row>
        <row r="151">
          <cell r="G151">
            <v>421962</v>
          </cell>
        </row>
        <row r="152">
          <cell r="G152">
            <v>444385</v>
          </cell>
        </row>
        <row r="154">
          <cell r="G154">
            <v>383231</v>
          </cell>
        </row>
        <row r="155">
          <cell r="G155">
            <v>298635</v>
          </cell>
        </row>
        <row r="159">
          <cell r="G159">
            <v>222192</v>
          </cell>
        </row>
        <row r="160">
          <cell r="G160">
            <v>255827</v>
          </cell>
        </row>
        <row r="161">
          <cell r="G161">
            <v>288442</v>
          </cell>
        </row>
        <row r="162">
          <cell r="G162">
            <v>208942</v>
          </cell>
        </row>
        <row r="163">
          <cell r="G163">
            <v>239519</v>
          </cell>
        </row>
        <row r="164">
          <cell r="G164">
            <v>271115</v>
          </cell>
        </row>
        <row r="165">
          <cell r="G165">
            <v>304750</v>
          </cell>
        </row>
        <row r="170">
          <cell r="G170">
            <v>356731</v>
          </cell>
        </row>
        <row r="171">
          <cell r="G171">
            <v>380173</v>
          </cell>
        </row>
        <row r="173">
          <cell r="G173">
            <v>378135</v>
          </cell>
        </row>
        <row r="175">
          <cell r="G175">
            <v>356731</v>
          </cell>
        </row>
        <row r="177">
          <cell r="G177">
            <v>445404</v>
          </cell>
        </row>
        <row r="179">
          <cell r="G179">
            <v>424000</v>
          </cell>
        </row>
        <row r="180">
          <cell r="G180">
            <v>445404</v>
          </cell>
        </row>
        <row r="182">
          <cell r="G182">
            <v>438269</v>
          </cell>
        </row>
        <row r="184">
          <cell r="G184">
            <v>398519</v>
          </cell>
        </row>
        <row r="186">
          <cell r="G186">
            <v>497385</v>
          </cell>
        </row>
        <row r="187">
          <cell r="G187">
            <v>528981</v>
          </cell>
        </row>
        <row r="188">
          <cell r="G188">
            <v>480058</v>
          </cell>
        </row>
        <row r="189">
          <cell r="G189">
            <v>516750</v>
          </cell>
        </row>
        <row r="191">
          <cell r="G191">
            <v>444385</v>
          </cell>
        </row>
        <row r="193">
          <cell r="G193">
            <v>501462</v>
          </cell>
        </row>
        <row r="195">
          <cell r="G195">
            <v>477000</v>
          </cell>
        </row>
        <row r="199">
          <cell r="G199">
            <v>551404</v>
          </cell>
        </row>
        <row r="201">
          <cell r="G201">
            <v>528981</v>
          </cell>
        </row>
        <row r="202">
          <cell r="G202">
            <v>445404</v>
          </cell>
        </row>
        <row r="203">
          <cell r="G203">
            <v>477000</v>
          </cell>
        </row>
        <row r="204">
          <cell r="G204">
            <v>477000</v>
          </cell>
        </row>
        <row r="205">
          <cell r="G205">
            <v>501462</v>
          </cell>
        </row>
        <row r="206">
          <cell r="G206">
            <v>424000</v>
          </cell>
        </row>
        <row r="207">
          <cell r="G207">
            <v>445404</v>
          </cell>
        </row>
        <row r="210">
          <cell r="G210">
            <v>586058</v>
          </cell>
        </row>
        <row r="212">
          <cell r="G212">
            <v>551404</v>
          </cell>
        </row>
        <row r="214">
          <cell r="G214">
            <v>501462</v>
          </cell>
        </row>
        <row r="215">
          <cell r="G215">
            <v>501462</v>
          </cell>
        </row>
        <row r="216">
          <cell r="G216">
            <v>528981</v>
          </cell>
        </row>
        <row r="218">
          <cell r="G218">
            <v>477000</v>
          </cell>
        </row>
        <row r="221">
          <cell r="G221">
            <v>334308</v>
          </cell>
        </row>
        <row r="224">
          <cell r="G224">
            <v>475981</v>
          </cell>
        </row>
      </sheetData>
      <sheetData sheetId="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u toan"/>
      <sheetName val="Phan tich vat tu"/>
      <sheetName val="Tong hop vat tu"/>
      <sheetName val="Gia tri vat tu"/>
      <sheetName val="Chenh lech vat tu"/>
      <sheetName val="Chi phi van chuyen"/>
      <sheetName val="Don gia chi tiet"/>
      <sheetName val="Du thau"/>
      <sheetName val="Tong hop kinh phi"/>
      <sheetName val="Tu van Thiet ke"/>
      <sheetName val="Tien do thi cong"/>
      <sheetName val="Bia du toan"/>
      <sheetName val="Tro giup"/>
      <sheetName val="Config"/>
      <sheetName val="Gia giao VL den HT"/>
      <sheetName val="Gia VL den HT"/>
      <sheetName val="Tong hop DTXD CT"/>
      <sheetName val="Du toan XDCT"/>
      <sheetName val="Tong hop CPXD"/>
      <sheetName val="Tong hop CPTB"/>
      <sheetName val="Tong hop CPK"/>
      <sheetName val="Tu van Thiet ke 1"/>
      <sheetName val="Macro1"/>
      <sheetName val="Macro2"/>
      <sheetName val="Macro3"/>
      <sheetName val="StartUp"/>
      <sheetName val="HS_TDT"/>
      <sheetName val="DMCP"/>
      <sheetName val="~         "/>
      <sheetName val="Cong van 1751"/>
      <sheetName val="Biaky"/>
      <sheetName val="HelpMe"/>
      <sheetName val="TH_DT"/>
      <sheetName val="Dtoan"/>
      <sheetName val="CLVL"/>
      <sheetName val="PTVL"/>
      <sheetName val="Tiendo"/>
      <sheetName val="CS_TDGCT"/>
      <sheetName val="VL"/>
      <sheetName val="VLBTN"/>
      <sheetName val="Coso"/>
      <sheetName val="CapCT"/>
      <sheetName val="Tra2"/>
      <sheetName val="Tra1"/>
      <sheetName val="DieuchinhTKe"/>
      <sheetName val="Tra2_GT"/>
      <sheetName val="Tra1_GT"/>
      <sheetName val="DieuchinhTKe(GT)"/>
      <sheetName val="Bia ngoai"/>
      <sheetName val="Bia trong"/>
      <sheetName val="Thuyetminh"/>
      <sheetName val="TongHopDutoan_GT"/>
      <sheetName val="TonghopDutoan_DD"/>
      <sheetName val="Tra2_DD"/>
      <sheetName val="Tra1_DD"/>
      <sheetName val="DieuchinhTKe(DD)"/>
      <sheetName val="TonghopDutoan_TL"/>
      <sheetName val="THChiphiXD_TBi"/>
      <sheetName val="XL4Test5"/>
      <sheetName val="Thuyet Minh"/>
      <sheetName val="DGCPV"/>
      <sheetName val="THKP"/>
      <sheetName val="THKP Khao sat"/>
      <sheetName val="QLDA1751"/>
      <sheetName val="QLDA1"/>
      <sheetName val="Data"/>
      <sheetName val="XL4Poppy"/>
      <sheetName val="GVLCCT"/>
      <sheetName val="GNC"/>
      <sheetName val="GMXD"/>
      <sheetName val="QLDA"/>
      <sheetName val="Luat XD"/>
      <sheetName val="Mau DGCT"/>
      <sheetName val="Bia Quyet Toan"/>
      <sheetName val="Tra thep hinh"/>
      <sheetName val="Sheet2"/>
      <sheetName val="CPV"/>
      <sheetName val="DUTOAN1"/>
      <sheetName val="QD 957-2009"/>
      <sheetName val="ngoi dong"/>
      <sheetName val="TH tu van"/>
      <sheetName val="xxxxxxxx"/>
      <sheetName val="Vat lieu den chan CT"/>
      <sheetName val="Cuoc VC"/>
      <sheetName val="CanCu"/>
      <sheetName val="GDT"/>
      <sheetName val="DGCT"/>
      <sheetName val="GiaVLDT"/>
      <sheetName val="Vua"/>
      <sheetName val="Phan tich hao phi"/>
      <sheetName val="TH hao phi"/>
      <sheetName val="vcbo"/>
      <sheetName val="Sheet1"/>
      <sheetName val="Config&quot;"/>
      <sheetName val="Phan tich ca may"/>
      <sheetName val="Chenh lech ca may"/>
      <sheetName val="Chiet tinh ca may"/>
      <sheetName val="Tong hop kinh phi tinh ca may"/>
      <sheetName val="TLg LX, LT"/>
      <sheetName val="Bia du toan (2)"/>
      <sheetName val="Van chuyen vat lieu TC"/>
      <sheetName val="Gia vat lieu"/>
      <sheetName val="Chi phi vat lieu"/>
      <sheetName val="Bu nhien lieu"/>
      <sheetName val="00000000"/>
      <sheetName val="Chiet tinh don gia CM"/>
      <sheetName val="Tong hop kinh phi co Bu GCM"/>
      <sheetName val="Tong hop DTCT"/>
      <sheetName val="Tong hop DT CPXD TH"/>
      <sheetName val="TLg Laitau"/>
      <sheetName val="TLg CN&amp;Laixe"/>
      <sheetName val="TLg Laitau (2)"/>
      <sheetName val="TLg CN&amp;Laixe (2)"/>
      <sheetName val="Du toan (2)"/>
      <sheetName val="Tong hop kinh phi (2)"/>
      <sheetName val="Config (2)"/>
      <sheetName val="chi tiet TBA 220,4"/>
      <sheetName val="TH 160"/>
      <sheetName val="Bia  160"/>
      <sheetName val="TH-TBA THAO DO"/>
      <sheetName val="bia THAODO TBA"/>
      <sheetName val="TH thao do 35"/>
      <sheetName val="bia 35 thao do"/>
      <sheetName val="Phuluc 3"/>
      <sheetName val="Phuluc 3.a"/>
      <sheetName val="Phu luc 3.b"/>
      <sheetName val="Phuluc 1"/>
      <sheetName val="CPTV"/>
      <sheetName val="chiet tinh"/>
      <sheetName val="Phu luc 2"/>
      <sheetName val="SL dau tien"/>
      <sheetName val="th CT"/>
      <sheetName val="TKP"/>
      <sheetName val="TH"/>
      <sheetName val="TH dz 22"/>
      <sheetName val="bia 22KV"/>
      <sheetName val="BIA TNGHIEM 22"/>
      <sheetName val="chi tiet dz 22 kv"/>
      <sheetName val="vt 22"/>
      <sheetName val="SLVC-22"/>
      <sheetName val="VCDD_22"/>
      <sheetName val="TONG KE DZ 22 KV"/>
      <sheetName val="trungchuyen DZ"/>
      <sheetName val="DG vat tu"/>
      <sheetName val="TH_NHADIEU KHIEN"/>
      <sheetName val="chi tiet TBA"/>
      <sheetName val="VT_TB TBA"/>
      <sheetName val="TH NT+NT"/>
      <sheetName val="chitietdatdao"/>
      <sheetName val="Bia TBA"/>
      <sheetName val="Bia XD TBA"/>
      <sheetName val="Bia NT+NT TBA"/>
      <sheetName val="Bia Kho Tam"/>
      <sheetName val="Bia PQ Tuyen"/>
      <sheetName val="PQ tuyen"/>
      <sheetName val="CPDB"/>
      <sheetName val="DM 66"/>
      <sheetName val="HSDC GOC"/>
      <sheetName val="DLNS"/>
      <sheetName val="DGVCTC 67"/>
      <sheetName val="vc vat tu CHUNG "/>
      <sheetName val="Gvlcht"/>
      <sheetName val="GT 1m3 BT"/>
      <sheetName val="T T CL VC DZ 22"/>
      <sheetName val="DG 89"/>
      <sheetName val="SLVC TBA"/>
      <sheetName val="VCDD_TBA"/>
      <sheetName val="DM 67"/>
      <sheetName val="DM 85"/>
      <sheetName val="TB"/>
      <sheetName val="Bia lot"/>
      <sheetName val="Bao cao KH"/>
      <sheetName val="Vat tu"/>
      <sheetName val="May"/>
      <sheetName val="Nhan cong"/>
      <sheetName val="TT phi khac"/>
      <sheetName val="Chi phi lan trai"/>
      <sheetName val="Chi phi chung"/>
      <sheetName val="P.A.K.D"/>
      <sheetName val="Bia P.A.K.D"/>
      <sheetName val="Work-Condition"/>
      <sheetName val="Tong hop"/>
      <sheetName val="Xay dung"/>
      <sheetName val="ca may"/>
      <sheetName val="VT"/>
      <sheetName val="NC"/>
      <sheetName val="MTP"/>
      <sheetName val="Bang tra Chi phi khac"/>
      <sheetName val="Chenh lech VT 2"/>
      <sheetName val="Van chuyen 2"/>
      <sheetName val="Khao sat dia hinh"/>
      <sheetName val="Tong hop kinh phi 2"/>
      <sheetName val="Tu van thuyet ke"/>
      <sheetName val="Phan tic( 6a4 4u"/>
      <sheetName val="TM quyet toan"/>
      <sheetName val="Thuyet minh "/>
      <sheetName val="Khoi luong quyet toan"/>
      <sheetName val="Bang Khoi luong"/>
      <sheetName val="Phu luc 02"/>
      <sheetName val="ct"/>
      <sheetName val="Chenh lech va4 tu"/>
      <sheetName val="Tu van Thhet k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1">
          <cell r="A1" t="str">
            <v>Dutoan2001</v>
          </cell>
        </row>
      </sheetData>
      <sheetData sheetId="13" refreshError="1"/>
      <sheetData sheetId="14"/>
      <sheetData sheetId="15"/>
      <sheetData sheetId="16"/>
      <sheetData sheetId="17"/>
      <sheetData sheetId="18"/>
      <sheetData sheetId="19"/>
      <sheetData sheetId="20"/>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sheetData sheetId="185"/>
      <sheetData sheetId="186"/>
      <sheetData sheetId="187"/>
      <sheetData sheetId="188"/>
      <sheetData sheetId="189"/>
      <sheetData sheetId="190"/>
      <sheetData sheetId="191"/>
      <sheetData sheetId="192"/>
      <sheetData sheetId="193" refreshError="1"/>
      <sheetData sheetId="194" refreshError="1"/>
      <sheetData sheetId="195" refreshError="1"/>
      <sheetData sheetId="196" refreshError="1"/>
      <sheetData sheetId="197" refreshError="1"/>
      <sheetData sheetId="198" refreshError="1"/>
      <sheetData sheetId="199"/>
      <sheetData sheetId="200" refreshError="1"/>
      <sheetData sheetId="20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
      <sheetName val="DAT2021_HY"/>
    </sheetNames>
    <definedNames>
      <definedName name="PtichDTL" refersTo="#REF!"/>
      <definedName name="vclcat" refersTo="#REF!"/>
    </definedNames>
    <sheetDataSet>
      <sheetData sheetId="0"/>
      <sheetData sheetId="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ieu 16"/>
      <sheetName val="BIEU 29_TT342"/>
      <sheetName val="B31_TT342"/>
      <sheetName val="BIEU 32_TT342"/>
    </sheetNames>
    <sheetDataSet>
      <sheetData sheetId="0">
        <row r="18">
          <cell r="R18">
            <v>134770.39000000001</v>
          </cell>
        </row>
      </sheetData>
      <sheetData sheetId="1" refreshError="1"/>
      <sheetData sheetId="2"/>
      <sheetData sheetId="3"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12"/>
      <sheetName val="b13"/>
      <sheetName val="b14"/>
      <sheetName val="b15"/>
      <sheetName val="bieu 16"/>
      <sheetName val="b17"/>
      <sheetName val="BIEU 29_TT342"/>
      <sheetName val="B31_TT342"/>
      <sheetName val="BIEU 32_TT342"/>
      <sheetName val="Sheet1"/>
      <sheetName val="Sheet2"/>
    </sheetNames>
    <sheetDataSet>
      <sheetData sheetId="0" refreshError="1"/>
      <sheetData sheetId="1" refreshError="1"/>
      <sheetData sheetId="2" refreshError="1"/>
      <sheetData sheetId="3" refreshError="1">
        <row r="34">
          <cell r="E34">
            <v>6774.31</v>
          </cell>
          <cell r="G34">
            <v>0</v>
          </cell>
        </row>
      </sheetData>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01"/>
      <sheetName val="b02"/>
      <sheetName val="29.1"/>
      <sheetName val="b31"/>
      <sheetName val="32"/>
      <sheetName val="Mau 05 UB"/>
      <sheetName val="07 SNGD"/>
      <sheetName val="08 XA"/>
      <sheetName val="01"/>
      <sheetName val="02"/>
      <sheetName val="Sheet1"/>
      <sheetName val="07 THU NSX"/>
      <sheetName val="Sheet2"/>
      <sheetName val="Sheet3"/>
    </sheetNames>
    <sheetDataSet>
      <sheetData sheetId="0"/>
      <sheetData sheetId="1"/>
      <sheetData sheetId="2"/>
      <sheetData sheetId="3"/>
      <sheetData sheetId="4"/>
      <sheetData sheetId="5"/>
      <sheetData sheetId="6">
        <row r="7">
          <cell r="G7">
            <v>2380.5</v>
          </cell>
        </row>
      </sheetData>
      <sheetData sheetId="7">
        <row r="75">
          <cell r="C75">
            <v>1214</v>
          </cell>
        </row>
      </sheetData>
      <sheetData sheetId="8"/>
      <sheetData sheetId="9"/>
      <sheetData sheetId="10"/>
      <sheetData sheetId="11"/>
      <sheetData sheetId="12"/>
      <sheetData sheetId="1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T114"/>
  <sheetViews>
    <sheetView topLeftCell="A2" workbookViewId="0">
      <pane xSplit="4" ySplit="16" topLeftCell="E18" activePane="bottomRight" state="frozen"/>
      <selection activeCell="A2" sqref="A2"/>
      <selection pane="topRight" activeCell="E2" sqref="E2"/>
      <selection pane="bottomLeft" activeCell="A18" sqref="A18"/>
      <selection pane="bottomRight" activeCell="B2" sqref="B2:S2"/>
    </sheetView>
  </sheetViews>
  <sheetFormatPr defaultRowHeight="15"/>
  <cols>
    <col min="1" max="1" width="4.140625" customWidth="1"/>
    <col min="2" max="2" width="4.7109375" customWidth="1"/>
    <col min="3" max="3" width="30.85546875" customWidth="1"/>
    <col min="4" max="4" width="9.5703125" hidden="1" customWidth="1"/>
    <col min="5" max="5" width="9.85546875" hidden="1" customWidth="1"/>
    <col min="6" max="6" width="9.7109375" hidden="1" customWidth="1"/>
    <col min="7" max="7" width="9.42578125" hidden="1" customWidth="1"/>
    <col min="8" max="8" width="10.5703125" hidden="1" customWidth="1"/>
    <col min="9" max="9" width="9.7109375" hidden="1" customWidth="1"/>
    <col min="10" max="10" width="9.5703125" customWidth="1"/>
    <col min="11" max="11" width="9.7109375" customWidth="1"/>
    <col min="12" max="12" width="9.5703125" customWidth="1"/>
    <col min="13" max="13" width="9.7109375" customWidth="1"/>
    <col min="14" max="14" width="9.5703125" customWidth="1"/>
    <col min="15" max="15" width="9.7109375" customWidth="1"/>
    <col min="16" max="16" width="9.28515625" customWidth="1"/>
    <col min="17" max="17" width="9.5703125" customWidth="1"/>
    <col min="19" max="19" width="8.85546875" customWidth="1"/>
    <col min="20" max="20" width="10.42578125" bestFit="1" customWidth="1"/>
  </cols>
  <sheetData>
    <row r="1" spans="2:46" ht="24.75" customHeight="1">
      <c r="B1" s="592" t="s">
        <v>81</v>
      </c>
      <c r="C1" s="592"/>
      <c r="I1" s="593" t="s">
        <v>703</v>
      </c>
      <c r="J1" s="593"/>
      <c r="K1" s="593"/>
      <c r="L1" s="131"/>
      <c r="M1" s="131"/>
      <c r="N1" s="131"/>
      <c r="O1" s="131"/>
      <c r="Q1" s="593" t="s">
        <v>703</v>
      </c>
      <c r="R1" s="593"/>
      <c r="S1" s="593"/>
    </row>
    <row r="2" spans="2:46" s="267" customFormat="1" ht="18.75">
      <c r="B2" s="594" t="s">
        <v>704</v>
      </c>
      <c r="C2" s="594"/>
      <c r="D2" s="594"/>
      <c r="E2" s="594"/>
      <c r="F2" s="594"/>
      <c r="G2" s="594"/>
      <c r="H2" s="594"/>
      <c r="I2" s="594"/>
      <c r="J2" s="594"/>
      <c r="K2" s="594"/>
      <c r="L2" s="594"/>
      <c r="M2" s="594"/>
      <c r="N2" s="594"/>
      <c r="O2" s="594"/>
      <c r="P2" s="594"/>
      <c r="Q2" s="594"/>
      <c r="R2" s="594"/>
      <c r="S2" s="594"/>
    </row>
    <row r="3" spans="2:46" s="138" customFormat="1" ht="18.75" hidden="1">
      <c r="B3" s="595" t="s">
        <v>705</v>
      </c>
      <c r="C3" s="595"/>
      <c r="D3" s="595"/>
      <c r="E3" s="595"/>
      <c r="F3" s="595"/>
      <c r="G3" s="595"/>
      <c r="H3" s="595"/>
      <c r="I3" s="595"/>
      <c r="J3" s="595"/>
      <c r="K3" s="595"/>
      <c r="L3" s="144"/>
      <c r="M3" s="144"/>
      <c r="N3" s="144"/>
      <c r="O3" s="144"/>
    </row>
    <row r="4" spans="2:46" s="139" customFormat="1" ht="18.75" hidden="1">
      <c r="B4" s="591" t="s">
        <v>550</v>
      </c>
      <c r="C4" s="591"/>
      <c r="D4" s="591"/>
      <c r="E4" s="591"/>
      <c r="F4" s="591"/>
      <c r="G4" s="591"/>
      <c r="H4" s="591"/>
      <c r="I4" s="591"/>
      <c r="J4" s="591"/>
      <c r="K4" s="591"/>
      <c r="L4" s="145"/>
      <c r="M4" s="145"/>
      <c r="N4" s="145"/>
      <c r="O4" s="145"/>
    </row>
    <row r="5" spans="2:46" s="133" customFormat="1" ht="15.75" hidden="1">
      <c r="B5" s="596" t="s">
        <v>706</v>
      </c>
      <c r="C5" s="596"/>
      <c r="D5" s="596"/>
      <c r="E5" s="596"/>
      <c r="F5" s="596"/>
      <c r="G5" s="596"/>
      <c r="H5" s="596"/>
      <c r="I5" s="596"/>
      <c r="J5" s="596"/>
      <c r="K5" s="596"/>
      <c r="L5" s="268"/>
      <c r="M5" s="268"/>
      <c r="N5" s="268"/>
      <c r="O5" s="268"/>
    </row>
    <row r="6" spans="2:46" s="136" customFormat="1" ht="20.25" hidden="1" customHeight="1">
      <c r="B6" s="597"/>
      <c r="C6" s="597"/>
      <c r="D6" s="597"/>
      <c r="E6" s="597"/>
      <c r="F6" s="597"/>
      <c r="G6" s="597"/>
      <c r="H6" s="597"/>
      <c r="I6" s="597"/>
      <c r="J6" s="597"/>
      <c r="K6" s="597"/>
      <c r="L6" s="134"/>
      <c r="M6" s="134"/>
      <c r="N6" s="134"/>
      <c r="O6" s="134"/>
      <c r="P6"/>
      <c r="Q6"/>
      <c r="R6"/>
      <c r="S6"/>
      <c r="T6"/>
      <c r="U6"/>
      <c r="V6"/>
      <c r="W6"/>
      <c r="X6"/>
      <c r="Y6"/>
      <c r="Z6"/>
      <c r="AA6"/>
      <c r="AB6"/>
      <c r="AC6"/>
      <c r="AD6"/>
      <c r="AE6"/>
      <c r="AF6"/>
      <c r="AG6"/>
      <c r="AH6"/>
      <c r="AI6"/>
      <c r="AJ6"/>
      <c r="AK6"/>
      <c r="AL6"/>
      <c r="AM6"/>
      <c r="AN6"/>
      <c r="AO6"/>
      <c r="AP6"/>
      <c r="AQ6" s="135"/>
      <c r="AR6" s="135"/>
      <c r="AS6" s="135"/>
      <c r="AT6" s="135"/>
    </row>
    <row r="7" spans="2:46" s="136" customFormat="1" ht="20.25" hidden="1" customHeight="1">
      <c r="B7" s="598" t="s">
        <v>707</v>
      </c>
      <c r="C7" s="598"/>
      <c r="D7" s="598"/>
      <c r="E7" s="598"/>
      <c r="F7" s="598"/>
      <c r="G7" s="598"/>
      <c r="H7" s="598"/>
      <c r="I7" s="598"/>
      <c r="J7" s="598"/>
      <c r="K7" s="598"/>
      <c r="L7" s="269"/>
      <c r="M7" s="269"/>
      <c r="N7" s="269"/>
      <c r="O7" s="269"/>
      <c r="P7"/>
      <c r="Q7"/>
      <c r="R7"/>
      <c r="S7"/>
      <c r="T7"/>
      <c r="U7"/>
      <c r="V7"/>
      <c r="W7"/>
      <c r="X7"/>
      <c r="Y7"/>
      <c r="Z7"/>
      <c r="AA7"/>
      <c r="AB7"/>
      <c r="AC7"/>
      <c r="AD7"/>
      <c r="AE7"/>
      <c r="AF7"/>
      <c r="AG7"/>
      <c r="AH7"/>
      <c r="AI7"/>
      <c r="AJ7"/>
      <c r="AK7"/>
      <c r="AL7"/>
      <c r="AM7"/>
      <c r="AN7"/>
      <c r="AO7"/>
      <c r="AP7"/>
      <c r="AQ7" s="135"/>
      <c r="AR7" s="135"/>
      <c r="AS7" s="135"/>
      <c r="AT7" s="135"/>
    </row>
    <row r="8" spans="2:46" s="136" customFormat="1" ht="20.25" hidden="1" customHeight="1">
      <c r="B8" s="599" t="s">
        <v>562</v>
      </c>
      <c r="C8" s="599"/>
      <c r="D8" s="599"/>
      <c r="E8" s="599"/>
      <c r="F8" s="599"/>
      <c r="G8" s="599"/>
      <c r="H8" s="599"/>
      <c r="I8" s="599"/>
      <c r="J8" s="150"/>
      <c r="K8" s="150"/>
      <c r="L8" s="150"/>
      <c r="M8" s="150"/>
      <c r="N8" s="150"/>
      <c r="O8" s="150"/>
      <c r="P8"/>
      <c r="Q8"/>
      <c r="R8"/>
      <c r="S8"/>
      <c r="T8"/>
      <c r="U8"/>
      <c r="V8"/>
      <c r="W8"/>
      <c r="X8"/>
      <c r="Y8"/>
      <c r="Z8"/>
      <c r="AA8"/>
      <c r="AB8"/>
      <c r="AC8"/>
      <c r="AD8"/>
      <c r="AE8"/>
      <c r="AF8"/>
      <c r="AG8"/>
      <c r="AH8"/>
      <c r="AI8"/>
      <c r="AJ8"/>
      <c r="AK8"/>
      <c r="AL8"/>
      <c r="AM8"/>
      <c r="AN8"/>
      <c r="AO8" s="135"/>
      <c r="AP8" s="135"/>
      <c r="AQ8" s="135"/>
      <c r="AR8" s="135"/>
    </row>
    <row r="9" spans="2:46" s="267" customFormat="1" ht="15.75" hidden="1" customHeight="1">
      <c r="B9" s="598" t="s">
        <v>563</v>
      </c>
      <c r="C9" s="598"/>
      <c r="D9" s="598"/>
      <c r="E9" s="598"/>
      <c r="F9" s="598"/>
      <c r="G9" s="598"/>
      <c r="H9" s="598"/>
      <c r="I9" s="598"/>
      <c r="J9" s="269"/>
      <c r="K9" s="269"/>
      <c r="L9" s="269"/>
      <c r="M9" s="269"/>
      <c r="N9" s="269"/>
      <c r="O9" s="269"/>
    </row>
    <row r="10" spans="2:46" s="270" customFormat="1">
      <c r="J10" s="621"/>
      <c r="K10" s="600"/>
      <c r="L10" s="600"/>
      <c r="M10" s="600"/>
      <c r="N10" s="600" t="s">
        <v>0</v>
      </c>
      <c r="O10" s="600"/>
    </row>
    <row r="11" spans="2:46" s="271" customFormat="1" ht="19.5" customHeight="1">
      <c r="B11" s="601" t="s">
        <v>6</v>
      </c>
      <c r="C11" s="602" t="s">
        <v>7</v>
      </c>
      <c r="D11" s="603" t="s">
        <v>551</v>
      </c>
      <c r="E11" s="604"/>
      <c r="F11" s="604"/>
      <c r="G11" s="605"/>
      <c r="H11" s="603" t="s">
        <v>552</v>
      </c>
      <c r="I11" s="605"/>
      <c r="J11" s="610" t="s">
        <v>708</v>
      </c>
      <c r="K11" s="611"/>
      <c r="L11" s="611"/>
      <c r="M11" s="612"/>
      <c r="N11" s="613" t="s">
        <v>538</v>
      </c>
      <c r="O11" s="614"/>
      <c r="P11" s="613" t="s">
        <v>709</v>
      </c>
      <c r="Q11" s="624"/>
      <c r="R11" s="624"/>
      <c r="S11" s="614"/>
    </row>
    <row r="12" spans="2:46" s="271" customFormat="1" ht="30.75" customHeight="1">
      <c r="B12" s="601"/>
      <c r="C12" s="602"/>
      <c r="D12" s="625" t="s">
        <v>569</v>
      </c>
      <c r="E12" s="625"/>
      <c r="F12" s="625" t="s">
        <v>710</v>
      </c>
      <c r="G12" s="625"/>
      <c r="H12" s="606"/>
      <c r="I12" s="607"/>
      <c r="J12" s="625" t="s">
        <v>569</v>
      </c>
      <c r="K12" s="625"/>
      <c r="L12" s="625" t="s">
        <v>710</v>
      </c>
      <c r="M12" s="625"/>
      <c r="N12" s="615"/>
      <c r="O12" s="616"/>
      <c r="P12" s="627" t="s">
        <v>711</v>
      </c>
      <c r="Q12" s="627"/>
      <c r="R12" s="627" t="s">
        <v>712</v>
      </c>
      <c r="S12" s="627"/>
    </row>
    <row r="13" spans="2:46" s="271" customFormat="1" ht="33" hidden="1" customHeight="1">
      <c r="B13" s="601"/>
      <c r="C13" s="602"/>
      <c r="D13" s="626"/>
      <c r="E13" s="626"/>
      <c r="F13" s="272"/>
      <c r="G13" s="272"/>
      <c r="H13" s="608"/>
      <c r="I13" s="609"/>
      <c r="J13" s="626"/>
      <c r="K13" s="626"/>
      <c r="L13" s="272"/>
      <c r="M13" s="272"/>
      <c r="N13" s="273"/>
      <c r="O13" s="273"/>
      <c r="P13" s="274"/>
      <c r="Q13" s="274"/>
      <c r="R13" s="274"/>
      <c r="S13" s="274"/>
    </row>
    <row r="14" spans="2:46" s="271" customFormat="1" ht="29.25" customHeight="1">
      <c r="B14" s="601"/>
      <c r="C14" s="602"/>
      <c r="D14" s="617" t="s">
        <v>713</v>
      </c>
      <c r="E14" s="619" t="s">
        <v>714</v>
      </c>
      <c r="F14" s="617" t="s">
        <v>713</v>
      </c>
      <c r="G14" s="622" t="s">
        <v>715</v>
      </c>
      <c r="H14" s="601" t="s">
        <v>713</v>
      </c>
      <c r="I14" s="619" t="s">
        <v>714</v>
      </c>
      <c r="J14" s="617" t="s">
        <v>713</v>
      </c>
      <c r="K14" s="619" t="s">
        <v>715</v>
      </c>
      <c r="L14" s="617" t="s">
        <v>713</v>
      </c>
      <c r="M14" s="619" t="s">
        <v>715</v>
      </c>
      <c r="N14" s="617" t="s">
        <v>713</v>
      </c>
      <c r="O14" s="619" t="s">
        <v>715</v>
      </c>
      <c r="P14" s="617" t="s">
        <v>713</v>
      </c>
      <c r="Q14" s="619" t="s">
        <v>715</v>
      </c>
      <c r="R14" s="617" t="s">
        <v>713</v>
      </c>
      <c r="S14" s="619" t="s">
        <v>715</v>
      </c>
    </row>
    <row r="15" spans="2:46" s="271" customFormat="1" ht="69.75" customHeight="1">
      <c r="B15" s="601"/>
      <c r="C15" s="602"/>
      <c r="D15" s="618"/>
      <c r="E15" s="620"/>
      <c r="F15" s="618"/>
      <c r="G15" s="623"/>
      <c r="H15" s="601"/>
      <c r="I15" s="620"/>
      <c r="J15" s="618"/>
      <c r="K15" s="620"/>
      <c r="L15" s="618"/>
      <c r="M15" s="620"/>
      <c r="N15" s="618"/>
      <c r="O15" s="620"/>
      <c r="P15" s="618"/>
      <c r="Q15" s="620"/>
      <c r="R15" s="618"/>
      <c r="S15" s="620"/>
      <c r="T15" s="275"/>
    </row>
    <row r="16" spans="2:46" s="279" customFormat="1" ht="18" customHeight="1">
      <c r="B16" s="276" t="s">
        <v>8</v>
      </c>
      <c r="C16" s="276" t="s">
        <v>9</v>
      </c>
      <c r="D16" s="276">
        <v>1</v>
      </c>
      <c r="E16" s="276">
        <v>2</v>
      </c>
      <c r="F16" s="276">
        <v>3</v>
      </c>
      <c r="G16" s="276">
        <v>4</v>
      </c>
      <c r="H16" s="276">
        <v>5</v>
      </c>
      <c r="I16" s="276">
        <v>6</v>
      </c>
      <c r="J16" s="276">
        <v>7</v>
      </c>
      <c r="K16" s="276">
        <v>8</v>
      </c>
      <c r="L16" s="276">
        <v>9</v>
      </c>
      <c r="M16" s="276">
        <v>10</v>
      </c>
      <c r="N16" s="276">
        <v>9</v>
      </c>
      <c r="O16" s="276">
        <v>10</v>
      </c>
      <c r="P16" s="277" t="s">
        <v>716</v>
      </c>
      <c r="Q16" s="277" t="s">
        <v>717</v>
      </c>
      <c r="R16" s="277" t="s">
        <v>718</v>
      </c>
      <c r="S16" s="277" t="s">
        <v>719</v>
      </c>
      <c r="T16" s="278"/>
    </row>
    <row r="17" spans="2:20" s="288" customFormat="1" ht="18.75" customHeight="1">
      <c r="B17" s="280"/>
      <c r="C17" s="281" t="s">
        <v>720</v>
      </c>
      <c r="D17" s="282">
        <f>D18+D28+D37+D45+D58+D59+D60+D61+D62+D65++D72+D75+D76+D79+D82+D83++D93+D96+D97+D98</f>
        <v>89750</v>
      </c>
      <c r="E17" s="282">
        <f>E18+E28+E37+E45+E58+E59+E60+E61+E62+E65++E72+E75+E76+E79+E82+E83++E93+E96+E97+E98</f>
        <v>33200</v>
      </c>
      <c r="F17" s="282">
        <f>F18+F28+F37+F45+F58+F59+F60+F61+F62+F65++F72+F75+F76+F79+F82+F83++F93+F96+F97+F98</f>
        <v>148800</v>
      </c>
      <c r="G17" s="282">
        <f>G18+G28+G37+G45+G58+G59+G60+G61+G62+G65++G72+G75+G76+G79+G82+G83++G93+G96+G97+G98</f>
        <v>92250</v>
      </c>
      <c r="H17" s="283">
        <f>H18+H28+H37+H45+H58+H59+H60+H61+H62+H65++H72+H75+H76+H79+H82+H83++H93+H96+H97+H98</f>
        <v>125254.10399999999</v>
      </c>
      <c r="I17" s="283">
        <f>I18+I28+I37+I45+I58+I59+I60+I61+I62+I65++I72+I75+I76+I79+I82+I83+I93+I96+I97+I98</f>
        <v>64949.513999999996</v>
      </c>
      <c r="J17" s="282">
        <f t="shared" ref="J17:O17" si="0">J18+J28+J37+J45+J58+J59+J60+J61+J62+J65++J72+J75+J76+J79+J82+J83++J93+J96+J97+J98</f>
        <v>91370</v>
      </c>
      <c r="K17" s="284">
        <f t="shared" si="0"/>
        <v>31350</v>
      </c>
      <c r="L17" s="282">
        <f t="shared" si="0"/>
        <v>143870</v>
      </c>
      <c r="M17" s="284">
        <f t="shared" si="0"/>
        <v>83850</v>
      </c>
      <c r="N17" s="282">
        <f t="shared" si="0"/>
        <v>134270</v>
      </c>
      <c r="O17" s="284">
        <f t="shared" si="0"/>
        <v>74250</v>
      </c>
      <c r="P17" s="285">
        <f>J17-D17</f>
        <v>1620</v>
      </c>
      <c r="Q17" s="285">
        <f>K17-E17</f>
        <v>-1850</v>
      </c>
      <c r="R17" s="286">
        <f>J17/D17</f>
        <v>1.0180501392757659</v>
      </c>
      <c r="S17" s="286">
        <f>K17/E17</f>
        <v>0.94427710843373491</v>
      </c>
      <c r="T17" s="287">
        <f>N17-L17</f>
        <v>-9600</v>
      </c>
    </row>
    <row r="18" spans="2:20" s="288" customFormat="1" ht="34.5" customHeight="1">
      <c r="B18" s="289" t="s">
        <v>575</v>
      </c>
      <c r="C18" s="290" t="s">
        <v>576</v>
      </c>
      <c r="D18" s="291">
        <f t="shared" ref="D18:O18" si="1">D19+D21+D22+D27</f>
        <v>8430</v>
      </c>
      <c r="E18" s="291">
        <f t="shared" si="1"/>
        <v>0</v>
      </c>
      <c r="F18" s="291">
        <f t="shared" si="1"/>
        <v>8430</v>
      </c>
      <c r="G18" s="291">
        <f t="shared" si="1"/>
        <v>0</v>
      </c>
      <c r="H18" s="292">
        <f t="shared" si="1"/>
        <v>6837.1139999999996</v>
      </c>
      <c r="I18" s="293">
        <f t="shared" si="1"/>
        <v>2.1139999999999999</v>
      </c>
      <c r="J18" s="291">
        <f t="shared" si="1"/>
        <v>8090</v>
      </c>
      <c r="K18" s="291">
        <f t="shared" si="1"/>
        <v>0</v>
      </c>
      <c r="L18" s="291">
        <f t="shared" si="1"/>
        <v>8090</v>
      </c>
      <c r="M18" s="291">
        <f t="shared" si="1"/>
        <v>0</v>
      </c>
      <c r="N18" s="291">
        <f t="shared" si="1"/>
        <v>8090</v>
      </c>
      <c r="O18" s="291">
        <f t="shared" si="1"/>
        <v>0</v>
      </c>
      <c r="P18" s="285">
        <f t="shared" ref="P18:Q49" si="2">J18-D18</f>
        <v>-340</v>
      </c>
      <c r="Q18" s="285">
        <f t="shared" si="2"/>
        <v>0</v>
      </c>
      <c r="R18" s="286">
        <f>J18/D18</f>
        <v>0.95966785290628709</v>
      </c>
      <c r="S18" s="286"/>
      <c r="T18" s="287"/>
    </row>
    <row r="19" spans="2:20" s="270" customFormat="1" ht="18.75" customHeight="1">
      <c r="B19" s="294" t="s">
        <v>32</v>
      </c>
      <c r="C19" s="295" t="s">
        <v>577</v>
      </c>
      <c r="D19" s="296">
        <v>8400</v>
      </c>
      <c r="E19" s="296"/>
      <c r="F19" s="296">
        <v>8400</v>
      </c>
      <c r="G19" s="296"/>
      <c r="H19" s="297">
        <v>6820</v>
      </c>
      <c r="I19" s="298"/>
      <c r="J19" s="296">
        <f>8070</f>
        <v>8070</v>
      </c>
      <c r="K19" s="296"/>
      <c r="L19" s="296">
        <f>8070</f>
        <v>8070</v>
      </c>
      <c r="M19" s="296"/>
      <c r="N19" s="296">
        <f>8070</f>
        <v>8070</v>
      </c>
      <c r="O19" s="296"/>
      <c r="P19" s="299">
        <f t="shared" si="2"/>
        <v>-330</v>
      </c>
      <c r="Q19" s="299">
        <f t="shared" si="2"/>
        <v>0</v>
      </c>
      <c r="R19" s="300">
        <f>J19/D19</f>
        <v>0.96071428571428574</v>
      </c>
      <c r="S19" s="300"/>
      <c r="T19" s="287"/>
    </row>
    <row r="20" spans="2:20" s="270" customFormat="1" ht="18.75" hidden="1" customHeight="1">
      <c r="B20" s="301"/>
      <c r="C20" s="302" t="s">
        <v>578</v>
      </c>
      <c r="D20" s="291"/>
      <c r="E20" s="291"/>
      <c r="F20" s="291"/>
      <c r="G20" s="291"/>
      <c r="H20" s="292"/>
      <c r="I20" s="293"/>
      <c r="J20" s="291"/>
      <c r="K20" s="291"/>
      <c r="L20" s="291"/>
      <c r="M20" s="291"/>
      <c r="N20" s="291"/>
      <c r="O20" s="291"/>
      <c r="P20" s="299">
        <f t="shared" si="2"/>
        <v>0</v>
      </c>
      <c r="Q20" s="299">
        <f t="shared" si="2"/>
        <v>0</v>
      </c>
      <c r="R20" s="300" t="e">
        <f>J20/D20</f>
        <v>#DIV/0!</v>
      </c>
      <c r="S20" s="300"/>
      <c r="T20" s="287"/>
    </row>
    <row r="21" spans="2:20" s="270" customFormat="1" ht="18.75" customHeight="1">
      <c r="B21" s="294" t="s">
        <v>34</v>
      </c>
      <c r="C21" s="295" t="s">
        <v>579</v>
      </c>
      <c r="D21" s="296"/>
      <c r="E21" s="296"/>
      <c r="F21" s="296"/>
      <c r="G21" s="296"/>
      <c r="H21" s="297">
        <v>0.114</v>
      </c>
      <c r="I21" s="298">
        <v>0.114</v>
      </c>
      <c r="J21" s="296"/>
      <c r="K21" s="296"/>
      <c r="L21" s="296"/>
      <c r="M21" s="296"/>
      <c r="N21" s="296"/>
      <c r="O21" s="296"/>
      <c r="P21" s="299">
        <f t="shared" si="2"/>
        <v>0</v>
      </c>
      <c r="Q21" s="299">
        <f t="shared" si="2"/>
        <v>0</v>
      </c>
      <c r="R21" s="300"/>
      <c r="S21" s="300"/>
      <c r="T21" s="287"/>
    </row>
    <row r="22" spans="2:20" s="271" customFormat="1" ht="18.75" customHeight="1">
      <c r="B22" s="294" t="s">
        <v>580</v>
      </c>
      <c r="C22" s="295" t="s">
        <v>581</v>
      </c>
      <c r="D22" s="296">
        <f>SUM(D23:D26)</f>
        <v>30</v>
      </c>
      <c r="E22" s="296">
        <f>SUM(E23:E26)</f>
        <v>0</v>
      </c>
      <c r="F22" s="296">
        <f>SUM(F23:F26)</f>
        <v>30</v>
      </c>
      <c r="G22" s="296">
        <f>SUM(G23:G26)</f>
        <v>0</v>
      </c>
      <c r="H22" s="297">
        <f t="shared" ref="H22:O22" si="3">SUM(H23:H26)</f>
        <v>17</v>
      </c>
      <c r="I22" s="298">
        <f t="shared" si="3"/>
        <v>2</v>
      </c>
      <c r="J22" s="296">
        <f t="shared" si="3"/>
        <v>20</v>
      </c>
      <c r="K22" s="296">
        <f t="shared" si="3"/>
        <v>0</v>
      </c>
      <c r="L22" s="296">
        <f t="shared" si="3"/>
        <v>20</v>
      </c>
      <c r="M22" s="296">
        <f t="shared" si="3"/>
        <v>0</v>
      </c>
      <c r="N22" s="296">
        <f t="shared" si="3"/>
        <v>20</v>
      </c>
      <c r="O22" s="296">
        <f t="shared" si="3"/>
        <v>0</v>
      </c>
      <c r="P22" s="299">
        <f t="shared" si="2"/>
        <v>-10</v>
      </c>
      <c r="Q22" s="299">
        <f t="shared" si="2"/>
        <v>0</v>
      </c>
      <c r="R22" s="300">
        <f t="shared" ref="R22:R30" si="4">J22/D22</f>
        <v>0.66666666666666663</v>
      </c>
      <c r="S22" s="300"/>
      <c r="T22" s="287"/>
    </row>
    <row r="23" spans="2:20" s="270" customFormat="1" ht="18.75" hidden="1" customHeight="1">
      <c r="B23" s="294" t="s">
        <v>51</v>
      </c>
      <c r="C23" s="295" t="s">
        <v>582</v>
      </c>
      <c r="D23" s="296"/>
      <c r="E23" s="296"/>
      <c r="F23" s="296"/>
      <c r="G23" s="296"/>
      <c r="H23" s="297"/>
      <c r="I23" s="298"/>
      <c r="J23" s="296"/>
      <c r="K23" s="296"/>
      <c r="L23" s="296"/>
      <c r="M23" s="296"/>
      <c r="N23" s="296"/>
      <c r="O23" s="296"/>
      <c r="P23" s="285">
        <f t="shared" si="2"/>
        <v>0</v>
      </c>
      <c r="Q23" s="285">
        <f t="shared" si="2"/>
        <v>0</v>
      </c>
      <c r="R23" s="300" t="e">
        <f t="shared" si="4"/>
        <v>#DIV/0!</v>
      </c>
      <c r="S23" s="300"/>
      <c r="T23" s="287"/>
    </row>
    <row r="24" spans="2:20" s="270" customFormat="1" ht="18.75" hidden="1" customHeight="1">
      <c r="B24" s="294" t="s">
        <v>51</v>
      </c>
      <c r="C24" s="295" t="s">
        <v>583</v>
      </c>
      <c r="D24" s="291"/>
      <c r="E24" s="291"/>
      <c r="F24" s="291"/>
      <c r="G24" s="291"/>
      <c r="H24" s="292"/>
      <c r="I24" s="293"/>
      <c r="J24" s="291"/>
      <c r="K24" s="291"/>
      <c r="L24" s="291"/>
      <c r="M24" s="291"/>
      <c r="N24" s="291"/>
      <c r="O24" s="291"/>
      <c r="P24" s="285">
        <f t="shared" si="2"/>
        <v>0</v>
      </c>
      <c r="Q24" s="285">
        <f t="shared" si="2"/>
        <v>0</v>
      </c>
      <c r="R24" s="300" t="e">
        <f t="shared" si="4"/>
        <v>#DIV/0!</v>
      </c>
      <c r="S24" s="300"/>
      <c r="T24" s="287"/>
    </row>
    <row r="25" spans="2:20" s="270" customFormat="1" ht="18.75" customHeight="1">
      <c r="B25" s="294" t="s">
        <v>51</v>
      </c>
      <c r="C25" s="295" t="s">
        <v>584</v>
      </c>
      <c r="D25" s="296">
        <v>30</v>
      </c>
      <c r="E25" s="296"/>
      <c r="F25" s="296">
        <v>30</v>
      </c>
      <c r="G25" s="296"/>
      <c r="H25" s="303">
        <f>15+2</f>
        <v>17</v>
      </c>
      <c r="I25" s="298">
        <v>2</v>
      </c>
      <c r="J25" s="296">
        <v>20</v>
      </c>
      <c r="K25" s="296"/>
      <c r="L25" s="296">
        <v>20</v>
      </c>
      <c r="M25" s="296"/>
      <c r="N25" s="296">
        <v>20</v>
      </c>
      <c r="O25" s="296"/>
      <c r="P25" s="299">
        <f t="shared" si="2"/>
        <v>-10</v>
      </c>
      <c r="Q25" s="285">
        <f t="shared" si="2"/>
        <v>0</v>
      </c>
      <c r="R25" s="300">
        <f t="shared" si="4"/>
        <v>0.66666666666666663</v>
      </c>
      <c r="S25" s="300"/>
      <c r="T25" s="287"/>
    </row>
    <row r="26" spans="2:20" s="270" customFormat="1" ht="18.75" hidden="1" customHeight="1">
      <c r="B26" s="294" t="s">
        <v>51</v>
      </c>
      <c r="C26" s="295" t="s">
        <v>585</v>
      </c>
      <c r="D26" s="291"/>
      <c r="E26" s="291"/>
      <c r="F26" s="291"/>
      <c r="G26" s="291"/>
      <c r="H26" s="292"/>
      <c r="I26" s="293"/>
      <c r="J26" s="291"/>
      <c r="K26" s="291"/>
      <c r="L26" s="291"/>
      <c r="M26" s="291"/>
      <c r="N26" s="291"/>
      <c r="O26" s="291"/>
      <c r="P26" s="285">
        <f t="shared" si="2"/>
        <v>0</v>
      </c>
      <c r="Q26" s="285">
        <f t="shared" si="2"/>
        <v>0</v>
      </c>
      <c r="R26" s="300" t="e">
        <f t="shared" si="4"/>
        <v>#DIV/0!</v>
      </c>
      <c r="S26" s="300" t="e">
        <f>K26/E26</f>
        <v>#DIV/0!</v>
      </c>
      <c r="T26" s="287"/>
    </row>
    <row r="27" spans="2:20" s="270" customFormat="1" ht="18.75" hidden="1" customHeight="1">
      <c r="B27" s="294" t="s">
        <v>586</v>
      </c>
      <c r="C27" s="295" t="s">
        <v>587</v>
      </c>
      <c r="D27" s="296"/>
      <c r="E27" s="296"/>
      <c r="F27" s="296"/>
      <c r="G27" s="296"/>
      <c r="H27" s="297"/>
      <c r="I27" s="298"/>
      <c r="J27" s="296"/>
      <c r="K27" s="296"/>
      <c r="L27" s="296"/>
      <c r="M27" s="296"/>
      <c r="N27" s="296"/>
      <c r="O27" s="296"/>
      <c r="P27" s="285">
        <f t="shared" si="2"/>
        <v>0</v>
      </c>
      <c r="Q27" s="285">
        <f t="shared" si="2"/>
        <v>0</v>
      </c>
      <c r="R27" s="300" t="e">
        <f t="shared" si="4"/>
        <v>#DIV/0!</v>
      </c>
      <c r="S27" s="300" t="e">
        <f>K27/E27</f>
        <v>#DIV/0!</v>
      </c>
      <c r="T27" s="287"/>
    </row>
    <row r="28" spans="2:20" s="288" customFormat="1" ht="40.5" customHeight="1">
      <c r="B28" s="289" t="s">
        <v>588</v>
      </c>
      <c r="C28" s="290" t="s">
        <v>589</v>
      </c>
      <c r="D28" s="291">
        <f t="shared" ref="D28:O28" si="5">D29+D30+D31+D32+D36</f>
        <v>290</v>
      </c>
      <c r="E28" s="304">
        <f t="shared" si="5"/>
        <v>250</v>
      </c>
      <c r="F28" s="291">
        <f t="shared" si="5"/>
        <v>290</v>
      </c>
      <c r="G28" s="304">
        <f t="shared" si="5"/>
        <v>250</v>
      </c>
      <c r="H28" s="292">
        <f t="shared" si="5"/>
        <v>390</v>
      </c>
      <c r="I28" s="293">
        <f t="shared" si="5"/>
        <v>250</v>
      </c>
      <c r="J28" s="291">
        <f t="shared" si="5"/>
        <v>350</v>
      </c>
      <c r="K28" s="304">
        <f t="shared" si="5"/>
        <v>250</v>
      </c>
      <c r="L28" s="291">
        <f t="shared" si="5"/>
        <v>350</v>
      </c>
      <c r="M28" s="304">
        <f t="shared" si="5"/>
        <v>250</v>
      </c>
      <c r="N28" s="291">
        <f t="shared" si="5"/>
        <v>350</v>
      </c>
      <c r="O28" s="304">
        <f t="shared" si="5"/>
        <v>250</v>
      </c>
      <c r="P28" s="285">
        <f t="shared" si="2"/>
        <v>60</v>
      </c>
      <c r="Q28" s="285">
        <f t="shared" si="2"/>
        <v>0</v>
      </c>
      <c r="R28" s="286">
        <f t="shared" si="4"/>
        <v>1.2068965517241379</v>
      </c>
      <c r="S28" s="286">
        <f>K28/E28</f>
        <v>1</v>
      </c>
      <c r="T28" s="305"/>
    </row>
    <row r="29" spans="2:20" s="271" customFormat="1" ht="18.75" customHeight="1">
      <c r="B29" s="294" t="s">
        <v>53</v>
      </c>
      <c r="C29" s="295" t="s">
        <v>577</v>
      </c>
      <c r="D29" s="296">
        <v>90</v>
      </c>
      <c r="E29" s="296">
        <v>90</v>
      </c>
      <c r="F29" s="296">
        <v>90</v>
      </c>
      <c r="G29" s="296">
        <v>90</v>
      </c>
      <c r="H29" s="298">
        <f>170</f>
        <v>170</v>
      </c>
      <c r="I29" s="298">
        <v>170</v>
      </c>
      <c r="J29" s="296">
        <f>170</f>
        <v>170</v>
      </c>
      <c r="K29" s="296">
        <v>170</v>
      </c>
      <c r="L29" s="296">
        <f>170</f>
        <v>170</v>
      </c>
      <c r="M29" s="296">
        <v>170</v>
      </c>
      <c r="N29" s="296">
        <f>170</f>
        <v>170</v>
      </c>
      <c r="O29" s="296">
        <v>170</v>
      </c>
      <c r="P29" s="299">
        <f t="shared" si="2"/>
        <v>80</v>
      </c>
      <c r="Q29" s="299">
        <f t="shared" si="2"/>
        <v>80</v>
      </c>
      <c r="R29" s="300">
        <f t="shared" si="4"/>
        <v>1.8888888888888888</v>
      </c>
      <c r="S29" s="300">
        <f>K29/E29</f>
        <v>1.8888888888888888</v>
      </c>
      <c r="T29" s="287"/>
    </row>
    <row r="30" spans="2:20" s="271" customFormat="1" ht="18.75" customHeight="1">
      <c r="B30" s="294" t="s">
        <v>56</v>
      </c>
      <c r="C30" s="295" t="s">
        <v>579</v>
      </c>
      <c r="D30" s="296">
        <f>40+30</f>
        <v>70</v>
      </c>
      <c r="E30" s="296">
        <v>30</v>
      </c>
      <c r="F30" s="296">
        <f>40+30</f>
        <v>70</v>
      </c>
      <c r="G30" s="296">
        <v>30</v>
      </c>
      <c r="H30" s="298">
        <f>30+140</f>
        <v>170</v>
      </c>
      <c r="I30" s="298">
        <v>30</v>
      </c>
      <c r="J30" s="296">
        <f>100+30</f>
        <v>130</v>
      </c>
      <c r="K30" s="296">
        <v>30</v>
      </c>
      <c r="L30" s="296">
        <f>100+30</f>
        <v>130</v>
      </c>
      <c r="M30" s="296">
        <v>30</v>
      </c>
      <c r="N30" s="296">
        <f>100+30</f>
        <v>130</v>
      </c>
      <c r="O30" s="296">
        <v>30</v>
      </c>
      <c r="P30" s="299">
        <f t="shared" si="2"/>
        <v>60</v>
      </c>
      <c r="Q30" s="299">
        <f t="shared" si="2"/>
        <v>0</v>
      </c>
      <c r="R30" s="300">
        <f t="shared" si="4"/>
        <v>1.8571428571428572</v>
      </c>
      <c r="S30" s="300">
        <f>K30/E30</f>
        <v>1</v>
      </c>
      <c r="T30" s="287"/>
    </row>
    <row r="31" spans="2:20" s="271" customFormat="1" ht="18.75" customHeight="1">
      <c r="B31" s="294" t="s">
        <v>590</v>
      </c>
      <c r="C31" s="295" t="s">
        <v>591</v>
      </c>
      <c r="D31" s="296"/>
      <c r="E31" s="296"/>
      <c r="F31" s="296"/>
      <c r="G31" s="296"/>
      <c r="H31" s="298"/>
      <c r="I31" s="298"/>
      <c r="J31" s="296"/>
      <c r="K31" s="296"/>
      <c r="L31" s="296"/>
      <c r="M31" s="296"/>
      <c r="N31" s="296"/>
      <c r="O31" s="296"/>
      <c r="P31" s="299">
        <f t="shared" si="2"/>
        <v>0</v>
      </c>
      <c r="Q31" s="299">
        <f t="shared" si="2"/>
        <v>0</v>
      </c>
      <c r="R31" s="300"/>
      <c r="S31" s="300"/>
      <c r="T31" s="287"/>
    </row>
    <row r="32" spans="2:20" s="271" customFormat="1" ht="18.75" customHeight="1">
      <c r="B32" s="294" t="s">
        <v>590</v>
      </c>
      <c r="C32" s="295" t="s">
        <v>581</v>
      </c>
      <c r="D32" s="296">
        <f>SUM(D33:D35)</f>
        <v>130</v>
      </c>
      <c r="E32" s="296">
        <f>SUM(E33:E35)</f>
        <v>130</v>
      </c>
      <c r="F32" s="296">
        <f>SUM(F33:F35)</f>
        <v>130</v>
      </c>
      <c r="G32" s="296">
        <f>SUM(G33:G35)</f>
        <v>130</v>
      </c>
      <c r="H32" s="298">
        <f t="shared" ref="H32:O32" si="6">SUM(H33:H35)</f>
        <v>50</v>
      </c>
      <c r="I32" s="298">
        <f t="shared" si="6"/>
        <v>50</v>
      </c>
      <c r="J32" s="296">
        <f t="shared" si="6"/>
        <v>50</v>
      </c>
      <c r="K32" s="296">
        <f t="shared" si="6"/>
        <v>50</v>
      </c>
      <c r="L32" s="296">
        <f t="shared" si="6"/>
        <v>50</v>
      </c>
      <c r="M32" s="296">
        <f t="shared" si="6"/>
        <v>50</v>
      </c>
      <c r="N32" s="296">
        <f t="shared" si="6"/>
        <v>50</v>
      </c>
      <c r="O32" s="296">
        <f t="shared" si="6"/>
        <v>50</v>
      </c>
      <c r="P32" s="299">
        <f t="shared" si="2"/>
        <v>-80</v>
      </c>
      <c r="Q32" s="299">
        <f t="shared" si="2"/>
        <v>-80</v>
      </c>
      <c r="R32" s="300">
        <f t="shared" ref="R32:S35" si="7">J32/D32</f>
        <v>0.38461538461538464</v>
      </c>
      <c r="S32" s="300">
        <f t="shared" si="7"/>
        <v>0.38461538461538464</v>
      </c>
      <c r="T32" s="287"/>
    </row>
    <row r="33" spans="2:20" s="271" customFormat="1" ht="18.75" customHeight="1">
      <c r="B33" s="294" t="s">
        <v>51</v>
      </c>
      <c r="C33" s="295" t="s">
        <v>583</v>
      </c>
      <c r="D33" s="296">
        <v>130</v>
      </c>
      <c r="E33" s="296">
        <f>D33</f>
        <v>130</v>
      </c>
      <c r="F33" s="296">
        <v>130</v>
      </c>
      <c r="G33" s="296">
        <f>F33</f>
        <v>130</v>
      </c>
      <c r="H33" s="298">
        <f>50</f>
        <v>50</v>
      </c>
      <c r="I33" s="298">
        <v>50</v>
      </c>
      <c r="J33" s="296">
        <f>50</f>
        <v>50</v>
      </c>
      <c r="K33" s="296">
        <f>50</f>
        <v>50</v>
      </c>
      <c r="L33" s="296">
        <f>50</f>
        <v>50</v>
      </c>
      <c r="M33" s="296">
        <f>50</f>
        <v>50</v>
      </c>
      <c r="N33" s="296">
        <f>50</f>
        <v>50</v>
      </c>
      <c r="O33" s="296">
        <f>50</f>
        <v>50</v>
      </c>
      <c r="P33" s="299">
        <f t="shared" si="2"/>
        <v>-80</v>
      </c>
      <c r="Q33" s="299">
        <f t="shared" si="2"/>
        <v>-80</v>
      </c>
      <c r="R33" s="300">
        <f t="shared" si="7"/>
        <v>0.38461538461538464</v>
      </c>
      <c r="S33" s="300">
        <f t="shared" si="7"/>
        <v>0.38461538461538464</v>
      </c>
      <c r="T33" s="287"/>
    </row>
    <row r="34" spans="2:20" s="271" customFormat="1" ht="18.75" hidden="1" customHeight="1">
      <c r="B34" s="294" t="s">
        <v>51</v>
      </c>
      <c r="C34" s="295" t="s">
        <v>584</v>
      </c>
      <c r="D34" s="296"/>
      <c r="E34" s="296"/>
      <c r="F34" s="296"/>
      <c r="G34" s="296"/>
      <c r="H34" s="298"/>
      <c r="I34" s="298"/>
      <c r="J34" s="296"/>
      <c r="K34" s="296"/>
      <c r="L34" s="296"/>
      <c r="M34" s="296"/>
      <c r="N34" s="296"/>
      <c r="O34" s="296"/>
      <c r="P34" s="299">
        <f t="shared" si="2"/>
        <v>0</v>
      </c>
      <c r="Q34" s="299">
        <f t="shared" si="2"/>
        <v>0</v>
      </c>
      <c r="R34" s="300" t="e">
        <f t="shared" si="7"/>
        <v>#DIV/0!</v>
      </c>
      <c r="S34" s="300" t="e">
        <f t="shared" si="7"/>
        <v>#DIV/0!</v>
      </c>
      <c r="T34" s="287"/>
    </row>
    <row r="35" spans="2:20" s="271" customFormat="1" ht="18.75" hidden="1" customHeight="1">
      <c r="B35" s="294" t="s">
        <v>51</v>
      </c>
      <c r="C35" s="295" t="s">
        <v>585</v>
      </c>
      <c r="D35" s="296"/>
      <c r="E35" s="296"/>
      <c r="F35" s="296"/>
      <c r="G35" s="296"/>
      <c r="H35" s="298"/>
      <c r="I35" s="298"/>
      <c r="J35" s="296"/>
      <c r="K35" s="296"/>
      <c r="L35" s="296"/>
      <c r="M35" s="296"/>
      <c r="N35" s="296"/>
      <c r="O35" s="296"/>
      <c r="P35" s="299">
        <f t="shared" si="2"/>
        <v>0</v>
      </c>
      <c r="Q35" s="299">
        <f t="shared" si="2"/>
        <v>0</v>
      </c>
      <c r="R35" s="300" t="e">
        <f t="shared" si="7"/>
        <v>#DIV/0!</v>
      </c>
      <c r="S35" s="300" t="e">
        <f t="shared" si="7"/>
        <v>#DIV/0!</v>
      </c>
      <c r="T35" s="287"/>
    </row>
    <row r="36" spans="2:20" s="271" customFormat="1" ht="18.75" customHeight="1">
      <c r="B36" s="294" t="s">
        <v>592</v>
      </c>
      <c r="C36" s="295" t="s">
        <v>587</v>
      </c>
      <c r="D36" s="296"/>
      <c r="E36" s="296"/>
      <c r="F36" s="296"/>
      <c r="G36" s="296"/>
      <c r="H36" s="298"/>
      <c r="I36" s="298"/>
      <c r="J36" s="296"/>
      <c r="K36" s="296"/>
      <c r="L36" s="296"/>
      <c r="M36" s="296"/>
      <c r="N36" s="296"/>
      <c r="O36" s="296"/>
      <c r="P36" s="299">
        <f t="shared" si="2"/>
        <v>0</v>
      </c>
      <c r="Q36" s="299">
        <f t="shared" si="2"/>
        <v>0</v>
      </c>
      <c r="R36" s="300"/>
      <c r="S36" s="300"/>
      <c r="T36" s="287"/>
    </row>
    <row r="37" spans="2:20" s="270" customFormat="1" ht="35.25" customHeight="1">
      <c r="B37" s="289" t="s">
        <v>593</v>
      </c>
      <c r="C37" s="290" t="s">
        <v>594</v>
      </c>
      <c r="D37" s="296">
        <f t="shared" ref="D37:O37" si="8">D38+D39+D40+D43+D44</f>
        <v>0</v>
      </c>
      <c r="E37" s="296">
        <f t="shared" si="8"/>
        <v>0</v>
      </c>
      <c r="F37" s="296">
        <f t="shared" si="8"/>
        <v>0</v>
      </c>
      <c r="G37" s="296">
        <f t="shared" si="8"/>
        <v>0</v>
      </c>
      <c r="H37" s="298">
        <f t="shared" si="8"/>
        <v>0</v>
      </c>
      <c r="I37" s="298">
        <f t="shared" si="8"/>
        <v>0</v>
      </c>
      <c r="J37" s="296">
        <f t="shared" si="8"/>
        <v>0</v>
      </c>
      <c r="K37" s="296">
        <f t="shared" si="8"/>
        <v>0</v>
      </c>
      <c r="L37" s="296">
        <f t="shared" si="8"/>
        <v>0</v>
      </c>
      <c r="M37" s="296">
        <f t="shared" si="8"/>
        <v>0</v>
      </c>
      <c r="N37" s="296">
        <f t="shared" si="8"/>
        <v>0</v>
      </c>
      <c r="O37" s="296">
        <f t="shared" si="8"/>
        <v>0</v>
      </c>
      <c r="P37" s="285">
        <f t="shared" si="2"/>
        <v>0</v>
      </c>
      <c r="Q37" s="285">
        <f t="shared" si="2"/>
        <v>0</v>
      </c>
      <c r="R37" s="286"/>
      <c r="S37" s="286"/>
      <c r="T37" s="287"/>
    </row>
    <row r="38" spans="2:20" s="270" customFormat="1" ht="18.75" hidden="1" customHeight="1">
      <c r="B38" s="294" t="s">
        <v>61</v>
      </c>
      <c r="C38" s="295" t="s">
        <v>577</v>
      </c>
      <c r="D38" s="291"/>
      <c r="E38" s="291"/>
      <c r="F38" s="291"/>
      <c r="G38" s="291"/>
      <c r="H38" s="293"/>
      <c r="I38" s="293"/>
      <c r="J38" s="291"/>
      <c r="K38" s="291"/>
      <c r="L38" s="291"/>
      <c r="M38" s="291"/>
      <c r="N38" s="291"/>
      <c r="O38" s="291"/>
      <c r="P38" s="285">
        <f t="shared" si="2"/>
        <v>0</v>
      </c>
      <c r="Q38" s="285">
        <f t="shared" si="2"/>
        <v>0</v>
      </c>
      <c r="R38" s="300" t="e">
        <f t="shared" ref="R38:S47" si="9">J38/D38</f>
        <v>#DIV/0!</v>
      </c>
      <c r="S38" s="300" t="e">
        <f t="shared" si="9"/>
        <v>#DIV/0!</v>
      </c>
      <c r="T38" s="287"/>
    </row>
    <row r="39" spans="2:20" s="270" customFormat="1" ht="18.75" hidden="1" customHeight="1">
      <c r="B39" s="294" t="s">
        <v>63</v>
      </c>
      <c r="C39" s="295" t="s">
        <v>595</v>
      </c>
      <c r="D39" s="296"/>
      <c r="E39" s="296"/>
      <c r="F39" s="296"/>
      <c r="G39" s="296"/>
      <c r="H39" s="298"/>
      <c r="I39" s="298"/>
      <c r="J39" s="296"/>
      <c r="K39" s="296"/>
      <c r="L39" s="296"/>
      <c r="M39" s="296"/>
      <c r="N39" s="296"/>
      <c r="O39" s="296"/>
      <c r="P39" s="285">
        <f t="shared" si="2"/>
        <v>0</v>
      </c>
      <c r="Q39" s="285">
        <f t="shared" si="2"/>
        <v>0</v>
      </c>
      <c r="R39" s="300" t="e">
        <f t="shared" si="9"/>
        <v>#DIV/0!</v>
      </c>
      <c r="S39" s="300" t="e">
        <f t="shared" si="9"/>
        <v>#DIV/0!</v>
      </c>
      <c r="T39" s="287"/>
    </row>
    <row r="40" spans="2:20" s="270" customFormat="1" ht="18.75" hidden="1" customHeight="1">
      <c r="B40" s="294" t="s">
        <v>596</v>
      </c>
      <c r="C40" s="295" t="s">
        <v>581</v>
      </c>
      <c r="D40" s="291">
        <f>SUM(D41:D42)</f>
        <v>0</v>
      </c>
      <c r="E40" s="291">
        <f>SUM(E41:E42)</f>
        <v>0</v>
      </c>
      <c r="F40" s="291">
        <f>SUM(F41:F42)</f>
        <v>0</v>
      </c>
      <c r="G40" s="291">
        <f>SUM(G41:G42)</f>
        <v>0</v>
      </c>
      <c r="H40" s="293">
        <f t="shared" ref="H40:O40" si="10">SUM(H41:H42)</f>
        <v>0</v>
      </c>
      <c r="I40" s="293">
        <f t="shared" si="10"/>
        <v>0</v>
      </c>
      <c r="J40" s="291">
        <f t="shared" si="10"/>
        <v>0</v>
      </c>
      <c r="K40" s="291">
        <f t="shared" si="10"/>
        <v>0</v>
      </c>
      <c r="L40" s="291">
        <f t="shared" si="10"/>
        <v>0</v>
      </c>
      <c r="M40" s="291">
        <f t="shared" si="10"/>
        <v>0</v>
      </c>
      <c r="N40" s="291">
        <f t="shared" si="10"/>
        <v>0</v>
      </c>
      <c r="O40" s="291">
        <f t="shared" si="10"/>
        <v>0</v>
      </c>
      <c r="P40" s="285">
        <f t="shared" si="2"/>
        <v>0</v>
      </c>
      <c r="Q40" s="285">
        <f t="shared" si="2"/>
        <v>0</v>
      </c>
      <c r="R40" s="300" t="e">
        <f t="shared" si="9"/>
        <v>#DIV/0!</v>
      </c>
      <c r="S40" s="300" t="e">
        <f t="shared" si="9"/>
        <v>#DIV/0!</v>
      </c>
      <c r="T40" s="287"/>
    </row>
    <row r="41" spans="2:20" s="270" customFormat="1" ht="18.75" hidden="1" customHeight="1">
      <c r="B41" s="294" t="s">
        <v>51</v>
      </c>
      <c r="C41" s="295" t="s">
        <v>583</v>
      </c>
      <c r="D41" s="296"/>
      <c r="E41" s="296"/>
      <c r="F41" s="296"/>
      <c r="G41" s="296"/>
      <c r="H41" s="298"/>
      <c r="I41" s="298"/>
      <c r="J41" s="296"/>
      <c r="K41" s="296"/>
      <c r="L41" s="296"/>
      <c r="M41" s="296"/>
      <c r="N41" s="296"/>
      <c r="O41" s="296"/>
      <c r="P41" s="285">
        <f t="shared" si="2"/>
        <v>0</v>
      </c>
      <c r="Q41" s="285">
        <f t="shared" si="2"/>
        <v>0</v>
      </c>
      <c r="R41" s="300" t="e">
        <f t="shared" si="9"/>
        <v>#DIV/0!</v>
      </c>
      <c r="S41" s="300" t="e">
        <f t="shared" si="9"/>
        <v>#DIV/0!</v>
      </c>
      <c r="T41" s="287"/>
    </row>
    <row r="42" spans="2:20" s="270" customFormat="1" ht="18.75" hidden="1" customHeight="1">
      <c r="B42" s="294" t="s">
        <v>51</v>
      </c>
      <c r="C42" s="295" t="s">
        <v>585</v>
      </c>
      <c r="D42" s="291"/>
      <c r="E42" s="291"/>
      <c r="F42" s="291"/>
      <c r="G42" s="291"/>
      <c r="H42" s="293"/>
      <c r="I42" s="293"/>
      <c r="J42" s="291"/>
      <c r="K42" s="291"/>
      <c r="L42" s="291"/>
      <c r="M42" s="291"/>
      <c r="N42" s="291"/>
      <c r="O42" s="291"/>
      <c r="P42" s="285">
        <f t="shared" si="2"/>
        <v>0</v>
      </c>
      <c r="Q42" s="285">
        <f t="shared" si="2"/>
        <v>0</v>
      </c>
      <c r="R42" s="300" t="e">
        <f t="shared" si="9"/>
        <v>#DIV/0!</v>
      </c>
      <c r="S42" s="300" t="e">
        <f t="shared" si="9"/>
        <v>#DIV/0!</v>
      </c>
      <c r="T42" s="287"/>
    </row>
    <row r="43" spans="2:20" s="270" customFormat="1" ht="18.75" hidden="1" customHeight="1">
      <c r="B43" s="294" t="s">
        <v>597</v>
      </c>
      <c r="C43" s="295" t="s">
        <v>598</v>
      </c>
      <c r="D43" s="296"/>
      <c r="E43" s="296"/>
      <c r="F43" s="296"/>
      <c r="G43" s="296"/>
      <c r="H43" s="298"/>
      <c r="I43" s="298"/>
      <c r="J43" s="296"/>
      <c r="K43" s="296"/>
      <c r="L43" s="296"/>
      <c r="M43" s="296"/>
      <c r="N43" s="296"/>
      <c r="O43" s="296"/>
      <c r="P43" s="285">
        <f t="shared" si="2"/>
        <v>0</v>
      </c>
      <c r="Q43" s="285">
        <f t="shared" si="2"/>
        <v>0</v>
      </c>
      <c r="R43" s="300" t="e">
        <f t="shared" si="9"/>
        <v>#DIV/0!</v>
      </c>
      <c r="S43" s="300" t="e">
        <f t="shared" si="9"/>
        <v>#DIV/0!</v>
      </c>
      <c r="T43" s="287"/>
    </row>
    <row r="44" spans="2:20" s="270" customFormat="1" ht="18.75" hidden="1" customHeight="1">
      <c r="B44" s="294" t="s">
        <v>599</v>
      </c>
      <c r="C44" s="295" t="s">
        <v>600</v>
      </c>
      <c r="D44" s="291"/>
      <c r="E44" s="291"/>
      <c r="F44" s="291"/>
      <c r="G44" s="291"/>
      <c r="H44" s="293"/>
      <c r="I44" s="293"/>
      <c r="J44" s="291"/>
      <c r="K44" s="291"/>
      <c r="L44" s="291"/>
      <c r="M44" s="291"/>
      <c r="N44" s="291"/>
      <c r="O44" s="291"/>
      <c r="P44" s="285">
        <f t="shared" si="2"/>
        <v>0</v>
      </c>
      <c r="Q44" s="285">
        <f t="shared" si="2"/>
        <v>0</v>
      </c>
      <c r="R44" s="300" t="e">
        <f t="shared" si="9"/>
        <v>#DIV/0!</v>
      </c>
      <c r="S44" s="300" t="e">
        <f t="shared" si="9"/>
        <v>#DIV/0!</v>
      </c>
      <c r="T44" s="287"/>
    </row>
    <row r="45" spans="2:20" s="288" customFormat="1" ht="37.5" customHeight="1">
      <c r="B45" s="289" t="s">
        <v>601</v>
      </c>
      <c r="C45" s="290" t="s">
        <v>602</v>
      </c>
      <c r="D45" s="291">
        <f t="shared" ref="D45:O45" si="11">D46+D50+D51+D52+D57</f>
        <v>63350</v>
      </c>
      <c r="E45" s="291">
        <f t="shared" si="11"/>
        <v>17500</v>
      </c>
      <c r="F45" s="291">
        <f t="shared" si="11"/>
        <v>63350</v>
      </c>
      <c r="G45" s="291">
        <f t="shared" si="11"/>
        <v>17500</v>
      </c>
      <c r="H45" s="292">
        <f t="shared" si="11"/>
        <v>71170.39</v>
      </c>
      <c r="I45" s="306">
        <f t="shared" si="11"/>
        <v>20000.39</v>
      </c>
      <c r="J45" s="291">
        <f t="shared" si="11"/>
        <v>66500</v>
      </c>
      <c r="K45" s="291">
        <f t="shared" si="11"/>
        <v>17500</v>
      </c>
      <c r="L45" s="291">
        <f t="shared" si="11"/>
        <v>71500</v>
      </c>
      <c r="M45" s="291">
        <f t="shared" si="11"/>
        <v>22500</v>
      </c>
      <c r="N45" s="291">
        <f t="shared" si="11"/>
        <v>71500</v>
      </c>
      <c r="O45" s="291">
        <f t="shared" si="11"/>
        <v>22500</v>
      </c>
      <c r="P45" s="285">
        <f t="shared" si="2"/>
        <v>3150</v>
      </c>
      <c r="Q45" s="285">
        <f t="shared" si="2"/>
        <v>0</v>
      </c>
      <c r="R45" s="286">
        <f t="shared" si="9"/>
        <v>1.0497237569060773</v>
      </c>
      <c r="S45" s="286">
        <f t="shared" si="9"/>
        <v>1</v>
      </c>
      <c r="T45" s="305">
        <f>J45-K45</f>
        <v>49000</v>
      </c>
    </row>
    <row r="46" spans="2:20" s="271" customFormat="1" ht="18.75" customHeight="1">
      <c r="B46" s="294" t="s">
        <v>1</v>
      </c>
      <c r="C46" s="295" t="s">
        <v>577</v>
      </c>
      <c r="D46" s="296">
        <f>45730+16630</f>
        <v>62360</v>
      </c>
      <c r="E46" s="296">
        <v>16630</v>
      </c>
      <c r="F46" s="296">
        <f>45730+16630</f>
        <v>62360</v>
      </c>
      <c r="G46" s="296">
        <v>16630</v>
      </c>
      <c r="H46" s="297">
        <f>51025+19060</f>
        <v>70085</v>
      </c>
      <c r="I46" s="298">
        <f>19060</f>
        <v>19060</v>
      </c>
      <c r="J46" s="296">
        <v>65620</v>
      </c>
      <c r="K46" s="296">
        <v>16760</v>
      </c>
      <c r="L46" s="296">
        <f>65620+5000</f>
        <v>70620</v>
      </c>
      <c r="M46" s="296">
        <f>16760+5000</f>
        <v>21760</v>
      </c>
      <c r="N46" s="296">
        <f>65620+5000</f>
        <v>70620</v>
      </c>
      <c r="O46" s="296">
        <f>16760+5000</f>
        <v>21760</v>
      </c>
      <c r="P46" s="299">
        <f t="shared" si="2"/>
        <v>3260</v>
      </c>
      <c r="Q46" s="299">
        <f t="shared" si="2"/>
        <v>130</v>
      </c>
      <c r="R46" s="300">
        <f t="shared" si="9"/>
        <v>1.0522771007055804</v>
      </c>
      <c r="S46" s="300">
        <f t="shared" si="9"/>
        <v>1.0078171978352375</v>
      </c>
      <c r="T46" s="287">
        <f>J46-K46</f>
        <v>48860</v>
      </c>
    </row>
    <row r="47" spans="2:20" s="271" customFormat="1" ht="18.75" hidden="1" customHeight="1">
      <c r="B47" s="301"/>
      <c r="C47" s="302" t="s">
        <v>17</v>
      </c>
      <c r="D47" s="296"/>
      <c r="E47" s="296"/>
      <c r="F47" s="296"/>
      <c r="G47" s="296"/>
      <c r="H47" s="298"/>
      <c r="I47" s="298"/>
      <c r="J47" s="296"/>
      <c r="K47" s="296"/>
      <c r="L47" s="296"/>
      <c r="M47" s="296"/>
      <c r="N47" s="296"/>
      <c r="O47" s="296"/>
      <c r="P47" s="299">
        <f t="shared" si="2"/>
        <v>0</v>
      </c>
      <c r="Q47" s="299">
        <f t="shared" si="2"/>
        <v>0</v>
      </c>
      <c r="R47" s="300" t="e">
        <f t="shared" si="9"/>
        <v>#DIV/0!</v>
      </c>
      <c r="S47" s="300" t="e">
        <f t="shared" si="9"/>
        <v>#DIV/0!</v>
      </c>
      <c r="T47" s="287"/>
    </row>
    <row r="48" spans="2:20" s="271" customFormat="1" ht="33" customHeight="1">
      <c r="B48" s="301"/>
      <c r="C48" s="302" t="s">
        <v>721</v>
      </c>
      <c r="D48" s="296">
        <v>45700</v>
      </c>
      <c r="E48" s="296"/>
      <c r="F48" s="296">
        <v>45700</v>
      </c>
      <c r="G48" s="296"/>
      <c r="H48" s="298">
        <v>50500</v>
      </c>
      <c r="I48" s="298"/>
      <c r="J48" s="296">
        <v>48500</v>
      </c>
      <c r="K48" s="296"/>
      <c r="L48" s="296">
        <v>48500</v>
      </c>
      <c r="M48" s="296"/>
      <c r="N48" s="296">
        <v>48500</v>
      </c>
      <c r="O48" s="296"/>
      <c r="P48" s="299">
        <f t="shared" si="2"/>
        <v>2800</v>
      </c>
      <c r="Q48" s="299">
        <f t="shared" si="2"/>
        <v>0</v>
      </c>
      <c r="R48" s="300">
        <f>J48/D48</f>
        <v>1.0612691466083151</v>
      </c>
      <c r="S48" s="300"/>
      <c r="T48" s="287">
        <f>L46-M46</f>
        <v>48860</v>
      </c>
    </row>
    <row r="49" spans="2:20" s="271" customFormat="1" ht="18.75" hidden="1" customHeight="1">
      <c r="B49" s="301"/>
      <c r="C49" s="302" t="s">
        <v>604</v>
      </c>
      <c r="D49" s="296"/>
      <c r="E49" s="296"/>
      <c r="F49" s="296"/>
      <c r="G49" s="296"/>
      <c r="H49" s="298"/>
      <c r="I49" s="298"/>
      <c r="J49" s="296"/>
      <c r="K49" s="296"/>
      <c r="L49" s="296"/>
      <c r="M49" s="296"/>
      <c r="N49" s="296"/>
      <c r="O49" s="296"/>
      <c r="P49" s="299">
        <f t="shared" si="2"/>
        <v>0</v>
      </c>
      <c r="Q49" s="299">
        <f t="shared" si="2"/>
        <v>0</v>
      </c>
      <c r="R49" s="300" t="e">
        <f>J49/D49</f>
        <v>#DIV/0!</v>
      </c>
      <c r="S49" s="300" t="e">
        <f>K49/E49</f>
        <v>#DIV/0!</v>
      </c>
      <c r="T49" s="287"/>
    </row>
    <row r="50" spans="2:20" s="271" customFormat="1" ht="18.75" customHeight="1">
      <c r="B50" s="294" t="s">
        <v>2</v>
      </c>
      <c r="C50" s="295" t="s">
        <v>595</v>
      </c>
      <c r="D50" s="296">
        <v>330</v>
      </c>
      <c r="E50" s="296">
        <v>330</v>
      </c>
      <c r="F50" s="296">
        <v>330</v>
      </c>
      <c r="G50" s="296">
        <v>330</v>
      </c>
      <c r="H50" s="298">
        <f>200+5</f>
        <v>205</v>
      </c>
      <c r="I50" s="298">
        <f>200</f>
        <v>200</v>
      </c>
      <c r="J50" s="296">
        <f>200</f>
        <v>200</v>
      </c>
      <c r="K50" s="296">
        <v>200</v>
      </c>
      <c r="L50" s="296">
        <f>200</f>
        <v>200</v>
      </c>
      <c r="M50" s="296">
        <v>200</v>
      </c>
      <c r="N50" s="296">
        <f>200</f>
        <v>200</v>
      </c>
      <c r="O50" s="296">
        <v>200</v>
      </c>
      <c r="P50" s="299">
        <f t="shared" ref="P50:Q81" si="12">J50-D50</f>
        <v>-130</v>
      </c>
      <c r="Q50" s="299">
        <f t="shared" si="12"/>
        <v>-130</v>
      </c>
      <c r="R50" s="300">
        <f>J50/D50</f>
        <v>0.60606060606060608</v>
      </c>
      <c r="S50" s="300">
        <f>K50/E50</f>
        <v>0.60606060606060608</v>
      </c>
      <c r="T50" s="287"/>
    </row>
    <row r="51" spans="2:20" s="271" customFormat="1" ht="18.75" customHeight="1">
      <c r="B51" s="294" t="s">
        <v>3</v>
      </c>
      <c r="C51" s="295" t="s">
        <v>605</v>
      </c>
      <c r="D51" s="296">
        <v>40</v>
      </c>
      <c r="E51" s="296">
        <v>40</v>
      </c>
      <c r="F51" s="296">
        <v>40</v>
      </c>
      <c r="G51" s="296">
        <v>40</v>
      </c>
      <c r="H51" s="298">
        <v>40.39</v>
      </c>
      <c r="I51" s="298">
        <f>H51</f>
        <v>40.39</v>
      </c>
      <c r="J51" s="296">
        <v>40</v>
      </c>
      <c r="K51" s="296">
        <v>40</v>
      </c>
      <c r="L51" s="296">
        <v>40</v>
      </c>
      <c r="M51" s="296">
        <v>40</v>
      </c>
      <c r="N51" s="296">
        <v>40</v>
      </c>
      <c r="O51" s="296">
        <v>40</v>
      </c>
      <c r="P51" s="299">
        <f t="shared" si="12"/>
        <v>0</v>
      </c>
      <c r="Q51" s="299">
        <f t="shared" si="12"/>
        <v>0</v>
      </c>
      <c r="R51" s="300">
        <f>J51/D51</f>
        <v>1</v>
      </c>
      <c r="S51" s="300">
        <f>K51/E51</f>
        <v>1</v>
      </c>
      <c r="T51" s="287"/>
    </row>
    <row r="52" spans="2:20" s="271" customFormat="1" ht="18.75" customHeight="1">
      <c r="B52" s="294" t="s">
        <v>606</v>
      </c>
      <c r="C52" s="295" t="s">
        <v>581</v>
      </c>
      <c r="D52" s="296">
        <f t="shared" ref="D52:O52" si="13">SUM(D53:D56)</f>
        <v>620</v>
      </c>
      <c r="E52" s="296">
        <f t="shared" si="13"/>
        <v>500</v>
      </c>
      <c r="F52" s="296">
        <f t="shared" si="13"/>
        <v>620</v>
      </c>
      <c r="G52" s="296">
        <f t="shared" si="13"/>
        <v>500</v>
      </c>
      <c r="H52" s="296">
        <f t="shared" si="13"/>
        <v>840</v>
      </c>
      <c r="I52" s="296">
        <f t="shared" si="13"/>
        <v>700</v>
      </c>
      <c r="J52" s="296">
        <f t="shared" si="13"/>
        <v>640</v>
      </c>
      <c r="K52" s="296">
        <f t="shared" si="13"/>
        <v>500</v>
      </c>
      <c r="L52" s="296">
        <f t="shared" si="13"/>
        <v>640</v>
      </c>
      <c r="M52" s="296">
        <f t="shared" si="13"/>
        <v>500</v>
      </c>
      <c r="N52" s="296">
        <f t="shared" si="13"/>
        <v>640</v>
      </c>
      <c r="O52" s="296">
        <f t="shared" si="13"/>
        <v>500</v>
      </c>
      <c r="P52" s="299">
        <f t="shared" si="12"/>
        <v>20</v>
      </c>
      <c r="Q52" s="299">
        <f t="shared" si="12"/>
        <v>0</v>
      </c>
      <c r="R52" s="300">
        <f>J52/D52</f>
        <v>1.032258064516129</v>
      </c>
      <c r="S52" s="300">
        <f>K52/E52</f>
        <v>1</v>
      </c>
      <c r="T52" s="287"/>
    </row>
    <row r="53" spans="2:20" s="271" customFormat="1" ht="18.75" customHeight="1">
      <c r="B53" s="294" t="s">
        <v>51</v>
      </c>
      <c r="C53" s="295" t="s">
        <v>582</v>
      </c>
      <c r="D53" s="296"/>
      <c r="E53" s="296"/>
      <c r="F53" s="296"/>
      <c r="G53" s="296"/>
      <c r="H53" s="298"/>
      <c r="I53" s="298"/>
      <c r="J53" s="296"/>
      <c r="K53" s="296"/>
      <c r="L53" s="296"/>
      <c r="M53" s="296"/>
      <c r="N53" s="296"/>
      <c r="O53" s="296"/>
      <c r="P53" s="299">
        <f t="shared" si="12"/>
        <v>0</v>
      </c>
      <c r="Q53" s="299">
        <f t="shared" si="12"/>
        <v>0</v>
      </c>
      <c r="R53" s="300"/>
      <c r="S53" s="300"/>
      <c r="T53" s="287"/>
    </row>
    <row r="54" spans="2:20" s="271" customFormat="1" ht="18.75" customHeight="1">
      <c r="B54" s="294" t="s">
        <v>51</v>
      </c>
      <c r="C54" s="295" t="s">
        <v>584</v>
      </c>
      <c r="D54" s="296">
        <f>120+500</f>
        <v>620</v>
      </c>
      <c r="E54" s="296">
        <v>500</v>
      </c>
      <c r="F54" s="296">
        <f>120+500</f>
        <v>620</v>
      </c>
      <c r="G54" s="296">
        <v>500</v>
      </c>
      <c r="H54" s="298">
        <f>140+700</f>
        <v>840</v>
      </c>
      <c r="I54" s="298">
        <v>700</v>
      </c>
      <c r="J54" s="296">
        <v>640</v>
      </c>
      <c r="K54" s="296">
        <v>500</v>
      </c>
      <c r="L54" s="296">
        <v>640</v>
      </c>
      <c r="M54" s="296">
        <v>500</v>
      </c>
      <c r="N54" s="296">
        <v>640</v>
      </c>
      <c r="O54" s="296">
        <v>500</v>
      </c>
      <c r="P54" s="299">
        <f t="shared" si="12"/>
        <v>20</v>
      </c>
      <c r="Q54" s="299">
        <f t="shared" si="12"/>
        <v>0</v>
      </c>
      <c r="R54" s="300">
        <f t="shared" ref="R54:S58" si="14">J54/D54</f>
        <v>1.032258064516129</v>
      </c>
      <c r="S54" s="300">
        <f t="shared" si="14"/>
        <v>1</v>
      </c>
      <c r="T54" s="287"/>
    </row>
    <row r="55" spans="2:20" s="271" customFormat="1" ht="18.75" hidden="1" customHeight="1">
      <c r="B55" s="294" t="s">
        <v>51</v>
      </c>
      <c r="C55" s="295" t="s">
        <v>583</v>
      </c>
      <c r="D55" s="296"/>
      <c r="E55" s="296"/>
      <c r="F55" s="296"/>
      <c r="G55" s="296"/>
      <c r="H55" s="298"/>
      <c r="I55" s="298"/>
      <c r="J55" s="296"/>
      <c r="K55" s="296"/>
      <c r="L55" s="296"/>
      <c r="M55" s="296"/>
      <c r="N55" s="296"/>
      <c r="O55" s="296"/>
      <c r="P55" s="285">
        <f t="shared" si="12"/>
        <v>0</v>
      </c>
      <c r="Q55" s="285">
        <f t="shared" si="12"/>
        <v>0</v>
      </c>
      <c r="R55" s="300" t="e">
        <f t="shared" si="14"/>
        <v>#DIV/0!</v>
      </c>
      <c r="S55" s="300" t="e">
        <f t="shared" si="14"/>
        <v>#DIV/0!</v>
      </c>
      <c r="T55" s="287"/>
    </row>
    <row r="56" spans="2:20" s="271" customFormat="1" ht="18.75" hidden="1" customHeight="1">
      <c r="B56" s="294" t="s">
        <v>51</v>
      </c>
      <c r="C56" s="295" t="s">
        <v>585</v>
      </c>
      <c r="D56" s="296"/>
      <c r="E56" s="296"/>
      <c r="F56" s="296"/>
      <c r="G56" s="296"/>
      <c r="H56" s="298"/>
      <c r="I56" s="298"/>
      <c r="J56" s="296"/>
      <c r="K56" s="296"/>
      <c r="L56" s="296"/>
      <c r="M56" s="296"/>
      <c r="N56" s="296"/>
      <c r="O56" s="296"/>
      <c r="P56" s="285">
        <f t="shared" si="12"/>
        <v>0</v>
      </c>
      <c r="Q56" s="285">
        <f t="shared" si="12"/>
        <v>0</v>
      </c>
      <c r="R56" s="300" t="e">
        <f t="shared" si="14"/>
        <v>#DIV/0!</v>
      </c>
      <c r="S56" s="300" t="e">
        <f t="shared" si="14"/>
        <v>#DIV/0!</v>
      </c>
      <c r="T56" s="287"/>
    </row>
    <row r="57" spans="2:20" s="271" customFormat="1" ht="18.75" hidden="1" customHeight="1">
      <c r="B57" s="294" t="s">
        <v>607</v>
      </c>
      <c r="C57" s="295" t="s">
        <v>608</v>
      </c>
      <c r="D57" s="296"/>
      <c r="E57" s="296"/>
      <c r="F57" s="296"/>
      <c r="G57" s="296"/>
      <c r="H57" s="298"/>
      <c r="I57" s="298"/>
      <c r="J57" s="296"/>
      <c r="K57" s="296"/>
      <c r="L57" s="296"/>
      <c r="M57" s="296"/>
      <c r="N57" s="296"/>
      <c r="O57" s="296"/>
      <c r="P57" s="285">
        <f t="shared" si="12"/>
        <v>0</v>
      </c>
      <c r="Q57" s="285">
        <f t="shared" si="12"/>
        <v>0</v>
      </c>
      <c r="R57" s="300" t="e">
        <f t="shared" si="14"/>
        <v>#DIV/0!</v>
      </c>
      <c r="S57" s="300" t="e">
        <f t="shared" si="14"/>
        <v>#DIV/0!</v>
      </c>
      <c r="T57" s="287"/>
    </row>
    <row r="58" spans="2:20" s="288" customFormat="1" ht="18.75" customHeight="1">
      <c r="B58" s="289" t="s">
        <v>609</v>
      </c>
      <c r="C58" s="290" t="s">
        <v>610</v>
      </c>
      <c r="D58" s="291">
        <v>4200</v>
      </c>
      <c r="E58" s="291">
        <v>4200</v>
      </c>
      <c r="F58" s="291">
        <v>4200</v>
      </c>
      <c r="G58" s="291">
        <v>4200</v>
      </c>
      <c r="H58" s="293">
        <v>3000</v>
      </c>
      <c r="I58" s="293">
        <v>3000</v>
      </c>
      <c r="J58" s="291">
        <v>4000</v>
      </c>
      <c r="K58" s="291">
        <v>4000</v>
      </c>
      <c r="L58" s="291">
        <v>4500</v>
      </c>
      <c r="M58" s="291">
        <v>4500</v>
      </c>
      <c r="N58" s="291">
        <v>4500</v>
      </c>
      <c r="O58" s="291">
        <v>4500</v>
      </c>
      <c r="P58" s="285">
        <f t="shared" si="12"/>
        <v>-200</v>
      </c>
      <c r="Q58" s="285">
        <f t="shared" si="12"/>
        <v>-200</v>
      </c>
      <c r="R58" s="286">
        <f t="shared" si="14"/>
        <v>0.95238095238095233</v>
      </c>
      <c r="S58" s="286">
        <f t="shared" si="14"/>
        <v>0.95238095238095233</v>
      </c>
      <c r="T58" s="287"/>
    </row>
    <row r="59" spans="2:20" s="288" customFormat="1" ht="18.75" customHeight="1">
      <c r="B59" s="289" t="s">
        <v>611</v>
      </c>
      <c r="C59" s="290" t="s">
        <v>612</v>
      </c>
      <c r="D59" s="291"/>
      <c r="E59" s="291"/>
      <c r="F59" s="291"/>
      <c r="G59" s="291"/>
      <c r="H59" s="293"/>
      <c r="I59" s="293"/>
      <c r="J59" s="291"/>
      <c r="K59" s="291"/>
      <c r="L59" s="291"/>
      <c r="M59" s="291"/>
      <c r="N59" s="291"/>
      <c r="O59" s="291"/>
      <c r="P59" s="285">
        <f t="shared" si="12"/>
        <v>0</v>
      </c>
      <c r="Q59" s="285">
        <f t="shared" si="12"/>
        <v>0</v>
      </c>
      <c r="R59" s="286"/>
      <c r="S59" s="286"/>
      <c r="T59" s="287"/>
    </row>
    <row r="60" spans="2:20" s="288" customFormat="1" ht="18.75" customHeight="1">
      <c r="B60" s="289" t="s">
        <v>613</v>
      </c>
      <c r="C60" s="290" t="s">
        <v>614</v>
      </c>
      <c r="D60" s="291">
        <v>30</v>
      </c>
      <c r="E60" s="291">
        <v>30</v>
      </c>
      <c r="F60" s="291">
        <v>30</v>
      </c>
      <c r="G60" s="291">
        <v>30</v>
      </c>
      <c r="H60" s="307">
        <v>28</v>
      </c>
      <c r="I60" s="307">
        <v>28</v>
      </c>
      <c r="J60" s="291">
        <v>30</v>
      </c>
      <c r="K60" s="291">
        <v>30</v>
      </c>
      <c r="L60" s="291">
        <v>30</v>
      </c>
      <c r="M60" s="291">
        <v>30</v>
      </c>
      <c r="N60" s="291">
        <v>30</v>
      </c>
      <c r="O60" s="291">
        <v>30</v>
      </c>
      <c r="P60" s="285">
        <f t="shared" si="12"/>
        <v>0</v>
      </c>
      <c r="Q60" s="285">
        <f t="shared" si="12"/>
        <v>0</v>
      </c>
      <c r="R60" s="286">
        <f>J60/D60</f>
        <v>1</v>
      </c>
      <c r="S60" s="286">
        <f>K60/E60</f>
        <v>1</v>
      </c>
      <c r="T60" s="287"/>
    </row>
    <row r="61" spans="2:20" s="288" customFormat="1" ht="18.75" customHeight="1">
      <c r="B61" s="289" t="s">
        <v>615</v>
      </c>
      <c r="C61" s="290" t="s">
        <v>616</v>
      </c>
      <c r="D61" s="308">
        <v>5000</v>
      </c>
      <c r="E61" s="291">
        <v>3800</v>
      </c>
      <c r="F61" s="308">
        <v>5000</v>
      </c>
      <c r="G61" s="291">
        <v>3800</v>
      </c>
      <c r="H61" s="293">
        <f>3800+1200</f>
        <v>5000</v>
      </c>
      <c r="I61" s="293">
        <v>3800</v>
      </c>
      <c r="J61" s="308">
        <v>5000</v>
      </c>
      <c r="K61" s="291">
        <v>3800</v>
      </c>
      <c r="L61" s="308">
        <v>5000</v>
      </c>
      <c r="M61" s="291">
        <v>3800</v>
      </c>
      <c r="N61" s="308">
        <v>5000</v>
      </c>
      <c r="O61" s="291">
        <v>3800</v>
      </c>
      <c r="P61" s="285">
        <f t="shared" si="12"/>
        <v>0</v>
      </c>
      <c r="Q61" s="285">
        <f t="shared" si="12"/>
        <v>0</v>
      </c>
      <c r="R61" s="286">
        <f>J61/D61</f>
        <v>1</v>
      </c>
      <c r="S61" s="286">
        <f>K61/E61</f>
        <v>1</v>
      </c>
      <c r="T61" s="305"/>
    </row>
    <row r="62" spans="2:20" s="288" customFormat="1" ht="18.75" customHeight="1">
      <c r="B62" s="289" t="s">
        <v>617</v>
      </c>
      <c r="C62" s="290" t="s">
        <v>618</v>
      </c>
      <c r="D62" s="291">
        <f t="shared" ref="D62:O62" si="15">SUM(D63:D64)</f>
        <v>0</v>
      </c>
      <c r="E62" s="291">
        <f t="shared" si="15"/>
        <v>0</v>
      </c>
      <c r="F62" s="291">
        <f t="shared" si="15"/>
        <v>0</v>
      </c>
      <c r="G62" s="291">
        <f t="shared" si="15"/>
        <v>0</v>
      </c>
      <c r="H62" s="293">
        <f t="shared" si="15"/>
        <v>0</v>
      </c>
      <c r="I62" s="293">
        <f t="shared" si="15"/>
        <v>0</v>
      </c>
      <c r="J62" s="291">
        <f t="shared" si="15"/>
        <v>0</v>
      </c>
      <c r="K62" s="291">
        <f t="shared" si="15"/>
        <v>0</v>
      </c>
      <c r="L62" s="291">
        <f t="shared" si="15"/>
        <v>0</v>
      </c>
      <c r="M62" s="291">
        <f t="shared" si="15"/>
        <v>0</v>
      </c>
      <c r="N62" s="291">
        <f t="shared" si="15"/>
        <v>0</v>
      </c>
      <c r="O62" s="291">
        <f t="shared" si="15"/>
        <v>0</v>
      </c>
      <c r="P62" s="285">
        <f t="shared" si="12"/>
        <v>0</v>
      </c>
      <c r="Q62" s="285">
        <f t="shared" si="12"/>
        <v>0</v>
      </c>
      <c r="R62" s="286"/>
      <c r="S62" s="286"/>
      <c r="T62" s="287"/>
    </row>
    <row r="63" spans="2:20" s="270" customFormat="1" ht="18.75" hidden="1" customHeight="1">
      <c r="B63" s="294" t="s">
        <v>11</v>
      </c>
      <c r="C63" s="295" t="s">
        <v>619</v>
      </c>
      <c r="D63" s="296"/>
      <c r="E63" s="296"/>
      <c r="F63" s="296"/>
      <c r="G63" s="296"/>
      <c r="H63" s="298"/>
      <c r="I63" s="298"/>
      <c r="J63" s="296"/>
      <c r="K63" s="296"/>
      <c r="L63" s="296"/>
      <c r="M63" s="296"/>
      <c r="N63" s="296"/>
      <c r="O63" s="296"/>
      <c r="P63" s="285">
        <f t="shared" si="12"/>
        <v>0</v>
      </c>
      <c r="Q63" s="285">
        <f t="shared" si="12"/>
        <v>0</v>
      </c>
      <c r="R63" s="286" t="e">
        <f t="shared" ref="R63:S65" si="16">J63/D63</f>
        <v>#DIV/0!</v>
      </c>
      <c r="S63" s="286" t="e">
        <f t="shared" si="16"/>
        <v>#DIV/0!</v>
      </c>
      <c r="T63" s="287"/>
    </row>
    <row r="64" spans="2:20" s="270" customFormat="1" ht="29.25" hidden="1" customHeight="1">
      <c r="B64" s="294" t="s">
        <v>11</v>
      </c>
      <c r="C64" s="295" t="s">
        <v>620</v>
      </c>
      <c r="D64" s="291"/>
      <c r="E64" s="291"/>
      <c r="F64" s="291"/>
      <c r="G64" s="291"/>
      <c r="H64" s="293"/>
      <c r="I64" s="293"/>
      <c r="J64" s="291"/>
      <c r="K64" s="291"/>
      <c r="L64" s="291"/>
      <c r="M64" s="291"/>
      <c r="N64" s="291"/>
      <c r="O64" s="291"/>
      <c r="P64" s="285">
        <f t="shared" si="12"/>
        <v>0</v>
      </c>
      <c r="Q64" s="285">
        <f t="shared" si="12"/>
        <v>0</v>
      </c>
      <c r="R64" s="286" t="e">
        <f t="shared" si="16"/>
        <v>#DIV/0!</v>
      </c>
      <c r="S64" s="286" t="e">
        <f t="shared" si="16"/>
        <v>#DIV/0!</v>
      </c>
      <c r="T64" s="287"/>
    </row>
    <row r="65" spans="2:20" s="288" customFormat="1" ht="18.75" customHeight="1">
      <c r="B65" s="289" t="s">
        <v>621</v>
      </c>
      <c r="C65" s="290" t="s">
        <v>622</v>
      </c>
      <c r="D65" s="291">
        <f t="shared" ref="D65:O65" si="17">D66+D67</f>
        <v>1140</v>
      </c>
      <c r="E65" s="304">
        <f t="shared" si="17"/>
        <v>1100</v>
      </c>
      <c r="F65" s="291">
        <f t="shared" si="17"/>
        <v>1140</v>
      </c>
      <c r="G65" s="304">
        <f t="shared" si="17"/>
        <v>1100</v>
      </c>
      <c r="H65" s="292">
        <f t="shared" si="17"/>
        <v>1150</v>
      </c>
      <c r="I65" s="292">
        <f t="shared" si="17"/>
        <v>1100.4100000000001</v>
      </c>
      <c r="J65" s="291">
        <f t="shared" si="17"/>
        <v>1250</v>
      </c>
      <c r="K65" s="304">
        <f t="shared" si="17"/>
        <v>1200</v>
      </c>
      <c r="L65" s="291">
        <f t="shared" si="17"/>
        <v>1250</v>
      </c>
      <c r="M65" s="304">
        <f t="shared" si="17"/>
        <v>1200</v>
      </c>
      <c r="N65" s="291">
        <f t="shared" si="17"/>
        <v>1250</v>
      </c>
      <c r="O65" s="304">
        <f t="shared" si="17"/>
        <v>1200</v>
      </c>
      <c r="P65" s="285">
        <f t="shared" si="12"/>
        <v>110</v>
      </c>
      <c r="Q65" s="285">
        <f t="shared" si="12"/>
        <v>100</v>
      </c>
      <c r="R65" s="286">
        <f t="shared" si="16"/>
        <v>1.0964912280701755</v>
      </c>
      <c r="S65" s="286">
        <f t="shared" si="16"/>
        <v>1.0909090909090908</v>
      </c>
      <c r="T65" s="305"/>
    </row>
    <row r="66" spans="2:20" s="271" customFormat="1" ht="18.75" customHeight="1">
      <c r="B66" s="309" t="s">
        <v>29</v>
      </c>
      <c r="C66" s="295" t="s">
        <v>623</v>
      </c>
      <c r="D66" s="296"/>
      <c r="E66" s="296"/>
      <c r="F66" s="296"/>
      <c r="G66" s="296"/>
      <c r="H66" s="298">
        <v>107.83</v>
      </c>
      <c r="I66" s="298">
        <v>107.83</v>
      </c>
      <c r="J66" s="296">
        <v>100</v>
      </c>
      <c r="K66" s="296">
        <v>100</v>
      </c>
      <c r="L66" s="296">
        <v>100</v>
      </c>
      <c r="M66" s="296">
        <v>100</v>
      </c>
      <c r="N66" s="296">
        <v>100</v>
      </c>
      <c r="O66" s="296">
        <v>100</v>
      </c>
      <c r="P66" s="299">
        <f t="shared" si="12"/>
        <v>100</v>
      </c>
      <c r="Q66" s="299">
        <f t="shared" si="12"/>
        <v>100</v>
      </c>
      <c r="R66" s="300"/>
      <c r="S66" s="300"/>
      <c r="T66" s="287"/>
    </row>
    <row r="67" spans="2:20" s="271" customFormat="1" ht="18.75" customHeight="1">
      <c r="B67" s="309" t="s">
        <v>30</v>
      </c>
      <c r="C67" s="295" t="s">
        <v>624</v>
      </c>
      <c r="D67" s="296">
        <f t="shared" ref="D67:O67" si="18">SUM(D68:D70)</f>
        <v>1140</v>
      </c>
      <c r="E67" s="296">
        <f t="shared" si="18"/>
        <v>1100</v>
      </c>
      <c r="F67" s="296">
        <f t="shared" si="18"/>
        <v>1140</v>
      </c>
      <c r="G67" s="296">
        <f t="shared" si="18"/>
        <v>1100</v>
      </c>
      <c r="H67" s="298">
        <f t="shared" si="18"/>
        <v>1042.17</v>
      </c>
      <c r="I67" s="298">
        <f t="shared" si="18"/>
        <v>992.58000000000015</v>
      </c>
      <c r="J67" s="296">
        <f t="shared" si="18"/>
        <v>1150</v>
      </c>
      <c r="K67" s="296">
        <f t="shared" si="18"/>
        <v>1100</v>
      </c>
      <c r="L67" s="296">
        <f t="shared" si="18"/>
        <v>1150</v>
      </c>
      <c r="M67" s="296">
        <f t="shared" si="18"/>
        <v>1100</v>
      </c>
      <c r="N67" s="296">
        <f t="shared" si="18"/>
        <v>1150</v>
      </c>
      <c r="O67" s="296">
        <f t="shared" si="18"/>
        <v>1100</v>
      </c>
      <c r="P67" s="299">
        <f t="shared" si="12"/>
        <v>10</v>
      </c>
      <c r="Q67" s="299">
        <f t="shared" si="12"/>
        <v>0</v>
      </c>
      <c r="R67" s="300">
        <f t="shared" ref="R67:S72" si="19">J67/D67</f>
        <v>1.0087719298245614</v>
      </c>
      <c r="S67" s="300">
        <f t="shared" si="19"/>
        <v>1</v>
      </c>
      <c r="T67" s="287"/>
    </row>
    <row r="68" spans="2:20" s="271" customFormat="1" ht="30" customHeight="1">
      <c r="B68" s="294" t="s">
        <v>11</v>
      </c>
      <c r="C68" s="295" t="s">
        <v>625</v>
      </c>
      <c r="D68" s="296">
        <v>334</v>
      </c>
      <c r="E68" s="296">
        <v>300</v>
      </c>
      <c r="F68" s="296">
        <v>334</v>
      </c>
      <c r="G68" s="296">
        <v>300</v>
      </c>
      <c r="H68" s="298">
        <v>300</v>
      </c>
      <c r="I68" s="298">
        <v>300.41000000000003</v>
      </c>
      <c r="J68" s="296">
        <v>440</v>
      </c>
      <c r="K68" s="296">
        <v>440</v>
      </c>
      <c r="L68" s="296">
        <v>300</v>
      </c>
      <c r="M68" s="296">
        <v>300</v>
      </c>
      <c r="N68" s="296">
        <v>300</v>
      </c>
      <c r="O68" s="296">
        <v>300</v>
      </c>
      <c r="P68" s="299">
        <f t="shared" si="12"/>
        <v>106</v>
      </c>
      <c r="Q68" s="299">
        <f t="shared" si="12"/>
        <v>140</v>
      </c>
      <c r="R68" s="300">
        <f t="shared" si="19"/>
        <v>1.3173652694610778</v>
      </c>
      <c r="S68" s="300">
        <f t="shared" si="19"/>
        <v>1.4666666666666666</v>
      </c>
      <c r="T68" s="287"/>
    </row>
    <row r="69" spans="2:20" s="271" customFormat="1" ht="18.75" customHeight="1">
      <c r="B69" s="294" t="s">
        <v>11</v>
      </c>
      <c r="C69" s="295" t="s">
        <v>626</v>
      </c>
      <c r="D69" s="296">
        <v>280</v>
      </c>
      <c r="E69" s="296">
        <v>280</v>
      </c>
      <c r="F69" s="296">
        <v>280</v>
      </c>
      <c r="G69" s="296">
        <v>280</v>
      </c>
      <c r="H69" s="298">
        <f>290+50</f>
        <v>340</v>
      </c>
      <c r="I69" s="298">
        <f>290</f>
        <v>290</v>
      </c>
      <c r="J69" s="296">
        <f>290+50</f>
        <v>340</v>
      </c>
      <c r="K69" s="296">
        <v>290</v>
      </c>
      <c r="L69" s="296">
        <f>290+50</f>
        <v>340</v>
      </c>
      <c r="M69" s="296">
        <v>290</v>
      </c>
      <c r="N69" s="296">
        <f>290+50</f>
        <v>340</v>
      </c>
      <c r="O69" s="296">
        <v>290</v>
      </c>
      <c r="P69" s="299">
        <f>J69-D69</f>
        <v>60</v>
      </c>
      <c r="Q69" s="299">
        <f>K69-E69</f>
        <v>10</v>
      </c>
      <c r="R69" s="300">
        <f t="shared" si="19"/>
        <v>1.2142857142857142</v>
      </c>
      <c r="S69" s="300">
        <f t="shared" si="19"/>
        <v>1.0357142857142858</v>
      </c>
      <c r="T69" s="287"/>
    </row>
    <row r="70" spans="2:20" s="271" customFormat="1" ht="18.75" customHeight="1">
      <c r="B70" s="294" t="s">
        <v>11</v>
      </c>
      <c r="C70" s="295" t="s">
        <v>627</v>
      </c>
      <c r="D70" s="296">
        <v>526</v>
      </c>
      <c r="E70" s="296">
        <v>520</v>
      </c>
      <c r="F70" s="296">
        <v>526</v>
      </c>
      <c r="G70" s="296">
        <v>520</v>
      </c>
      <c r="H70" s="298">
        <v>402.17</v>
      </c>
      <c r="I70" s="298">
        <f>H70</f>
        <v>402.17</v>
      </c>
      <c r="J70" s="296">
        <v>370</v>
      </c>
      <c r="K70" s="296">
        <v>370</v>
      </c>
      <c r="L70" s="296">
        <v>510</v>
      </c>
      <c r="M70" s="296">
        <v>510</v>
      </c>
      <c r="N70" s="296">
        <v>510</v>
      </c>
      <c r="O70" s="296">
        <v>510</v>
      </c>
      <c r="P70" s="299">
        <f t="shared" si="12"/>
        <v>-156</v>
      </c>
      <c r="Q70" s="299">
        <f t="shared" si="12"/>
        <v>-150</v>
      </c>
      <c r="R70" s="300">
        <f t="shared" si="19"/>
        <v>0.70342205323193918</v>
      </c>
      <c r="S70" s="300">
        <f t="shared" si="19"/>
        <v>0.71153846153846156</v>
      </c>
      <c r="T70" s="287"/>
    </row>
    <row r="71" spans="2:20" s="271" customFormat="1" ht="29.25" hidden="1" customHeight="1">
      <c r="B71" s="294"/>
      <c r="C71" s="295" t="s">
        <v>628</v>
      </c>
      <c r="D71" s="296"/>
      <c r="E71" s="296"/>
      <c r="F71" s="296"/>
      <c r="G71" s="296"/>
      <c r="H71" s="298"/>
      <c r="I71" s="298"/>
      <c r="J71" s="296"/>
      <c r="K71" s="296"/>
      <c r="L71" s="296"/>
      <c r="M71" s="296"/>
      <c r="N71" s="296"/>
      <c r="O71" s="296"/>
      <c r="P71" s="285">
        <f t="shared" si="12"/>
        <v>0</v>
      </c>
      <c r="Q71" s="285">
        <f t="shared" si="12"/>
        <v>0</v>
      </c>
      <c r="R71" s="300" t="e">
        <f t="shared" si="19"/>
        <v>#DIV/0!</v>
      </c>
      <c r="S71" s="300" t="e">
        <f t="shared" si="19"/>
        <v>#DIV/0!</v>
      </c>
      <c r="T71" s="287"/>
    </row>
    <row r="72" spans="2:20" s="288" customFormat="1" ht="18.75" customHeight="1">
      <c r="B72" s="289" t="s">
        <v>629</v>
      </c>
      <c r="C72" s="290" t="s">
        <v>630</v>
      </c>
      <c r="D72" s="291">
        <f t="shared" ref="D72:I72" si="20">SUM(D73:D74)</f>
        <v>4500</v>
      </c>
      <c r="E72" s="291">
        <f t="shared" si="20"/>
        <v>4500</v>
      </c>
      <c r="F72" s="291">
        <f t="shared" si="20"/>
        <v>63550</v>
      </c>
      <c r="G72" s="291">
        <f t="shared" si="20"/>
        <v>63550</v>
      </c>
      <c r="H72" s="293">
        <f t="shared" si="20"/>
        <v>35168.6</v>
      </c>
      <c r="I72" s="293">
        <f t="shared" si="20"/>
        <v>35168.6</v>
      </c>
      <c r="J72" s="291">
        <f t="shared" ref="J72:O72" si="21">SUM(J73:J74)</f>
        <v>3000</v>
      </c>
      <c r="K72" s="291">
        <f t="shared" si="21"/>
        <v>3000</v>
      </c>
      <c r="L72" s="291">
        <f t="shared" si="21"/>
        <v>50000</v>
      </c>
      <c r="M72" s="291">
        <f t="shared" si="21"/>
        <v>50000</v>
      </c>
      <c r="N72" s="291">
        <f t="shared" si="21"/>
        <v>40400</v>
      </c>
      <c r="O72" s="291">
        <f t="shared" si="21"/>
        <v>40400</v>
      </c>
      <c r="P72" s="285">
        <f t="shared" si="12"/>
        <v>-1500</v>
      </c>
      <c r="Q72" s="285">
        <f t="shared" si="12"/>
        <v>-1500</v>
      </c>
      <c r="R72" s="286">
        <f t="shared" si="19"/>
        <v>0.66666666666666663</v>
      </c>
      <c r="S72" s="286">
        <f t="shared" si="19"/>
        <v>0.66666666666666663</v>
      </c>
      <c r="T72" s="287">
        <f>L72-N72</f>
        <v>9600</v>
      </c>
    </row>
    <row r="73" spans="2:20" s="271" customFormat="1" ht="18.75" customHeight="1">
      <c r="B73" s="294" t="s">
        <v>11</v>
      </c>
      <c r="C73" s="295" t="s">
        <v>722</v>
      </c>
      <c r="D73" s="296"/>
      <c r="E73" s="296"/>
      <c r="F73" s="296"/>
      <c r="G73" s="296"/>
      <c r="H73" s="310">
        <v>7168.6</v>
      </c>
      <c r="I73" s="310">
        <v>7168.6</v>
      </c>
      <c r="J73" s="296"/>
      <c r="K73" s="296"/>
      <c r="L73" s="296"/>
      <c r="M73" s="296"/>
      <c r="N73" s="296"/>
      <c r="O73" s="296"/>
      <c r="P73" s="299">
        <f t="shared" si="12"/>
        <v>0</v>
      </c>
      <c r="Q73" s="299">
        <f t="shared" si="12"/>
        <v>0</v>
      </c>
      <c r="R73" s="300"/>
      <c r="S73" s="300"/>
      <c r="T73" s="287"/>
    </row>
    <row r="74" spans="2:20" s="271" customFormat="1" ht="18.75" customHeight="1">
      <c r="B74" s="294" t="s">
        <v>11</v>
      </c>
      <c r="C74" s="295" t="s">
        <v>632</v>
      </c>
      <c r="D74" s="296">
        <v>4500</v>
      </c>
      <c r="E74" s="296">
        <v>4500</v>
      </c>
      <c r="F74" s="296">
        <v>63550</v>
      </c>
      <c r="G74" s="296">
        <v>63550</v>
      </c>
      <c r="H74" s="298">
        <v>28000</v>
      </c>
      <c r="I74" s="298">
        <v>28000</v>
      </c>
      <c r="J74" s="296">
        <v>3000</v>
      </c>
      <c r="K74" s="296">
        <v>3000</v>
      </c>
      <c r="L74" s="296">
        <v>50000</v>
      </c>
      <c r="M74" s="296">
        <f>L74</f>
        <v>50000</v>
      </c>
      <c r="N74" s="296">
        <v>40400</v>
      </c>
      <c r="O74" s="296">
        <f>N74</f>
        <v>40400</v>
      </c>
      <c r="P74" s="299">
        <f t="shared" si="12"/>
        <v>-1500</v>
      </c>
      <c r="Q74" s="299">
        <f t="shared" si="12"/>
        <v>-1500</v>
      </c>
      <c r="R74" s="300">
        <f t="shared" ref="R74:S86" si="22">J74/D74</f>
        <v>0.66666666666666663</v>
      </c>
      <c r="S74" s="300">
        <f t="shared" si="22"/>
        <v>0.66666666666666663</v>
      </c>
      <c r="T74" s="287"/>
    </row>
    <row r="75" spans="2:20" s="288" customFormat="1" ht="24" customHeight="1">
      <c r="B75" s="289" t="s">
        <v>633</v>
      </c>
      <c r="C75" s="290" t="s">
        <v>634</v>
      </c>
      <c r="D75" s="291">
        <f>700+250</f>
        <v>950</v>
      </c>
      <c r="E75" s="291">
        <v>250</v>
      </c>
      <c r="F75" s="291">
        <f>700+250</f>
        <v>950</v>
      </c>
      <c r="G75" s="291">
        <v>250</v>
      </c>
      <c r="H75" s="293">
        <f>250+700</f>
        <v>950</v>
      </c>
      <c r="I75" s="293">
        <f>250</f>
        <v>250</v>
      </c>
      <c r="J75" s="291">
        <f>220+1500</f>
        <v>1720</v>
      </c>
      <c r="K75" s="291">
        <f>220</f>
        <v>220</v>
      </c>
      <c r="L75" s="291">
        <f>220+1500</f>
        <v>1720</v>
      </c>
      <c r="M75" s="291">
        <f>220</f>
        <v>220</v>
      </c>
      <c r="N75" s="291">
        <f>220+1500</f>
        <v>1720</v>
      </c>
      <c r="O75" s="291">
        <f>220</f>
        <v>220</v>
      </c>
      <c r="P75" s="299">
        <f t="shared" si="12"/>
        <v>770</v>
      </c>
      <c r="Q75" s="299">
        <f t="shared" si="12"/>
        <v>-30</v>
      </c>
      <c r="R75" s="300">
        <f t="shared" si="22"/>
        <v>1.8105263157894738</v>
      </c>
      <c r="S75" s="300">
        <f t="shared" si="22"/>
        <v>0.88</v>
      </c>
      <c r="T75" s="305"/>
    </row>
    <row r="76" spans="2:20" s="288" customFormat="1" ht="24" hidden="1" customHeight="1">
      <c r="B76" s="311" t="s">
        <v>635</v>
      </c>
      <c r="C76" s="312" t="s">
        <v>636</v>
      </c>
      <c r="D76" s="291">
        <f>SUM(D77:D78)</f>
        <v>0</v>
      </c>
      <c r="E76" s="291">
        <f>SUM(E77:E78)</f>
        <v>0</v>
      </c>
      <c r="F76" s="291">
        <f>SUM(F77:F78)</f>
        <v>0</v>
      </c>
      <c r="G76" s="291">
        <f>SUM(G77:G78)</f>
        <v>0</v>
      </c>
      <c r="H76" s="293">
        <f>SUM(H77:H78)</f>
        <v>0</v>
      </c>
      <c r="I76" s="293"/>
      <c r="J76" s="291">
        <f t="shared" ref="J76:O76" si="23">SUM(J77:J78)</f>
        <v>0</v>
      </c>
      <c r="K76" s="291">
        <f t="shared" si="23"/>
        <v>0</v>
      </c>
      <c r="L76" s="291">
        <f t="shared" si="23"/>
        <v>0</v>
      </c>
      <c r="M76" s="291">
        <f t="shared" si="23"/>
        <v>0</v>
      </c>
      <c r="N76" s="291">
        <f t="shared" si="23"/>
        <v>0</v>
      </c>
      <c r="O76" s="291">
        <f t="shared" si="23"/>
        <v>0</v>
      </c>
      <c r="P76" s="285">
        <f t="shared" si="12"/>
        <v>0</v>
      </c>
      <c r="Q76" s="285">
        <f t="shared" si="12"/>
        <v>0</v>
      </c>
      <c r="R76" s="300" t="e">
        <f t="shared" si="22"/>
        <v>#DIV/0!</v>
      </c>
      <c r="S76" s="300" t="e">
        <f t="shared" si="22"/>
        <v>#DIV/0!</v>
      </c>
      <c r="T76" s="287"/>
    </row>
    <row r="77" spans="2:20" s="270" customFormat="1" ht="12.75" hidden="1" customHeight="1">
      <c r="B77" s="313"/>
      <c r="C77" s="314" t="s">
        <v>637</v>
      </c>
      <c r="D77" s="296"/>
      <c r="E77" s="296"/>
      <c r="F77" s="296"/>
      <c r="G77" s="296"/>
      <c r="H77" s="298"/>
      <c r="I77" s="298"/>
      <c r="J77" s="296"/>
      <c r="K77" s="296"/>
      <c r="L77" s="296"/>
      <c r="M77" s="296"/>
      <c r="N77" s="296"/>
      <c r="O77" s="296"/>
      <c r="P77" s="285">
        <f t="shared" si="12"/>
        <v>0</v>
      </c>
      <c r="Q77" s="285">
        <f t="shared" si="12"/>
        <v>0</v>
      </c>
      <c r="R77" s="300" t="e">
        <f t="shared" si="22"/>
        <v>#DIV/0!</v>
      </c>
      <c r="S77" s="300" t="e">
        <f t="shared" si="22"/>
        <v>#DIV/0!</v>
      </c>
      <c r="T77" s="287"/>
    </row>
    <row r="78" spans="2:20" s="270" customFormat="1" ht="11.25" hidden="1" customHeight="1">
      <c r="B78" s="313"/>
      <c r="C78" s="314" t="s">
        <v>638</v>
      </c>
      <c r="D78" s="291"/>
      <c r="E78" s="291"/>
      <c r="F78" s="291"/>
      <c r="G78" s="291"/>
      <c r="H78" s="293"/>
      <c r="I78" s="293"/>
      <c r="J78" s="291"/>
      <c r="K78" s="291"/>
      <c r="L78" s="291"/>
      <c r="M78" s="291"/>
      <c r="N78" s="291"/>
      <c r="O78" s="291"/>
      <c r="P78" s="285">
        <f t="shared" si="12"/>
        <v>0</v>
      </c>
      <c r="Q78" s="285">
        <f t="shared" si="12"/>
        <v>0</v>
      </c>
      <c r="R78" s="300" t="e">
        <f t="shared" si="22"/>
        <v>#DIV/0!</v>
      </c>
      <c r="S78" s="300" t="e">
        <f t="shared" si="22"/>
        <v>#DIV/0!</v>
      </c>
      <c r="T78" s="287"/>
    </row>
    <row r="79" spans="2:20" s="288" customFormat="1" ht="39.75" hidden="1" customHeight="1">
      <c r="B79" s="311" t="s">
        <v>639</v>
      </c>
      <c r="C79" s="312" t="s">
        <v>640</v>
      </c>
      <c r="D79" s="291">
        <f t="shared" ref="D79:O79" si="24">SUM(D80:D81)</f>
        <v>0</v>
      </c>
      <c r="E79" s="291">
        <f t="shared" si="24"/>
        <v>0</v>
      </c>
      <c r="F79" s="291">
        <f t="shared" si="24"/>
        <v>0</v>
      </c>
      <c r="G79" s="291">
        <f t="shared" si="24"/>
        <v>0</v>
      </c>
      <c r="H79" s="293">
        <f t="shared" si="24"/>
        <v>0</v>
      </c>
      <c r="I79" s="293">
        <f t="shared" si="24"/>
        <v>0</v>
      </c>
      <c r="J79" s="291">
        <f t="shared" si="24"/>
        <v>0</v>
      </c>
      <c r="K79" s="291">
        <f t="shared" si="24"/>
        <v>0</v>
      </c>
      <c r="L79" s="291">
        <f t="shared" si="24"/>
        <v>0</v>
      </c>
      <c r="M79" s="291">
        <f t="shared" si="24"/>
        <v>0</v>
      </c>
      <c r="N79" s="291">
        <f t="shared" si="24"/>
        <v>0</v>
      </c>
      <c r="O79" s="291">
        <f t="shared" si="24"/>
        <v>0</v>
      </c>
      <c r="P79" s="285">
        <f t="shared" si="12"/>
        <v>0</v>
      </c>
      <c r="Q79" s="285">
        <f t="shared" si="12"/>
        <v>0</v>
      </c>
      <c r="R79" s="300" t="e">
        <f t="shared" si="22"/>
        <v>#DIV/0!</v>
      </c>
      <c r="S79" s="300" t="e">
        <f t="shared" si="22"/>
        <v>#DIV/0!</v>
      </c>
      <c r="T79" s="287"/>
    </row>
    <row r="80" spans="2:20" s="270" customFormat="1" ht="15" hidden="1" customHeight="1">
      <c r="B80" s="313"/>
      <c r="C80" s="314" t="s">
        <v>641</v>
      </c>
      <c r="D80" s="291"/>
      <c r="E80" s="291"/>
      <c r="F80" s="291"/>
      <c r="G80" s="291"/>
      <c r="H80" s="293"/>
      <c r="I80" s="293"/>
      <c r="J80" s="291"/>
      <c r="K80" s="291"/>
      <c r="L80" s="291"/>
      <c r="M80" s="291"/>
      <c r="N80" s="291"/>
      <c r="O80" s="291"/>
      <c r="P80" s="285">
        <f t="shared" si="12"/>
        <v>0</v>
      </c>
      <c r="Q80" s="285">
        <f t="shared" si="12"/>
        <v>0</v>
      </c>
      <c r="R80" s="300" t="e">
        <f t="shared" si="22"/>
        <v>#DIV/0!</v>
      </c>
      <c r="S80" s="300" t="e">
        <f t="shared" si="22"/>
        <v>#DIV/0!</v>
      </c>
      <c r="T80" s="287"/>
    </row>
    <row r="81" spans="2:20" s="270" customFormat="1" ht="14.25" hidden="1" customHeight="1">
      <c r="B81" s="313"/>
      <c r="C81" s="314" t="s">
        <v>642</v>
      </c>
      <c r="D81" s="296"/>
      <c r="E81" s="296"/>
      <c r="F81" s="296"/>
      <c r="G81" s="296"/>
      <c r="H81" s="298"/>
      <c r="I81" s="298"/>
      <c r="J81" s="296"/>
      <c r="K81" s="296"/>
      <c r="L81" s="296"/>
      <c r="M81" s="296"/>
      <c r="N81" s="296"/>
      <c r="O81" s="296"/>
      <c r="P81" s="285">
        <f t="shared" si="12"/>
        <v>0</v>
      </c>
      <c r="Q81" s="285">
        <f t="shared" si="12"/>
        <v>0</v>
      </c>
      <c r="R81" s="300" t="e">
        <f t="shared" si="22"/>
        <v>#DIV/0!</v>
      </c>
      <c r="S81" s="300" t="e">
        <f t="shared" si="22"/>
        <v>#DIV/0!</v>
      </c>
      <c r="T81" s="287"/>
    </row>
    <row r="82" spans="2:20" s="288" customFormat="1" ht="38.25" hidden="1" customHeight="1">
      <c r="B82" s="289" t="s">
        <v>643</v>
      </c>
      <c r="C82" s="315" t="s">
        <v>644</v>
      </c>
      <c r="D82" s="291"/>
      <c r="E82" s="291"/>
      <c r="F82" s="291"/>
      <c r="G82" s="291"/>
      <c r="H82" s="293"/>
      <c r="I82" s="293"/>
      <c r="J82" s="291"/>
      <c r="K82" s="291"/>
      <c r="L82" s="291"/>
      <c r="M82" s="291"/>
      <c r="N82" s="291"/>
      <c r="O82" s="291"/>
      <c r="P82" s="285">
        <f t="shared" ref="P82:Q96" si="25">J82-D82</f>
        <v>0</v>
      </c>
      <c r="Q82" s="285">
        <f t="shared" si="25"/>
        <v>0</v>
      </c>
      <c r="R82" s="300" t="e">
        <f t="shared" si="22"/>
        <v>#DIV/0!</v>
      </c>
      <c r="S82" s="300" t="e">
        <f t="shared" si="22"/>
        <v>#DIV/0!</v>
      </c>
      <c r="T82" s="287"/>
    </row>
    <row r="83" spans="2:20" s="288" customFormat="1" ht="18.75" customHeight="1">
      <c r="B83" s="289" t="s">
        <v>635</v>
      </c>
      <c r="C83" s="290" t="s">
        <v>600</v>
      </c>
      <c r="D83" s="291">
        <f t="shared" ref="D83:O83" si="26">D84+D91+D92</f>
        <v>1540</v>
      </c>
      <c r="E83" s="291">
        <f t="shared" si="26"/>
        <v>1500</v>
      </c>
      <c r="F83" s="291">
        <f t="shared" si="26"/>
        <v>1540</v>
      </c>
      <c r="G83" s="291">
        <f t="shared" si="26"/>
        <v>1500</v>
      </c>
      <c r="H83" s="292">
        <f t="shared" si="26"/>
        <v>1380</v>
      </c>
      <c r="I83" s="293">
        <f t="shared" si="26"/>
        <v>1300</v>
      </c>
      <c r="J83" s="291">
        <f t="shared" si="26"/>
        <v>1380</v>
      </c>
      <c r="K83" s="291">
        <f t="shared" si="26"/>
        <v>1300</v>
      </c>
      <c r="L83" s="291">
        <f t="shared" si="26"/>
        <v>1380</v>
      </c>
      <c r="M83" s="291">
        <f t="shared" si="26"/>
        <v>1300</v>
      </c>
      <c r="N83" s="291">
        <f t="shared" si="26"/>
        <v>1380</v>
      </c>
      <c r="O83" s="291">
        <f t="shared" si="26"/>
        <v>1300</v>
      </c>
      <c r="P83" s="285">
        <f t="shared" si="25"/>
        <v>-160</v>
      </c>
      <c r="Q83" s="285">
        <f t="shared" si="25"/>
        <v>-200</v>
      </c>
      <c r="R83" s="286">
        <f t="shared" si="22"/>
        <v>0.89610389610389607</v>
      </c>
      <c r="S83" s="286">
        <f t="shared" si="22"/>
        <v>0.8666666666666667</v>
      </c>
      <c r="T83" s="305"/>
    </row>
    <row r="84" spans="2:20" s="271" customFormat="1" ht="18.75" customHeight="1">
      <c r="B84" s="294" t="s">
        <v>645</v>
      </c>
      <c r="C84" s="316" t="s">
        <v>646</v>
      </c>
      <c r="D84" s="296">
        <f>D85+D88</f>
        <v>626</v>
      </c>
      <c r="E84" s="296">
        <f>E85+E88</f>
        <v>620</v>
      </c>
      <c r="F84" s="296">
        <f>F85+F88</f>
        <v>626</v>
      </c>
      <c r="G84" s="296">
        <f>G85+G88</f>
        <v>620</v>
      </c>
      <c r="H84" s="298">
        <f>H85+H88</f>
        <v>590</v>
      </c>
      <c r="I84" s="298">
        <f t="shared" ref="I84:O84" si="27">I85+I88</f>
        <v>580</v>
      </c>
      <c r="J84" s="296">
        <f t="shared" si="27"/>
        <v>590</v>
      </c>
      <c r="K84" s="296">
        <f t="shared" si="27"/>
        <v>580</v>
      </c>
      <c r="L84" s="296">
        <f t="shared" si="27"/>
        <v>590</v>
      </c>
      <c r="M84" s="296">
        <f t="shared" si="27"/>
        <v>580</v>
      </c>
      <c r="N84" s="296">
        <f t="shared" si="27"/>
        <v>590</v>
      </c>
      <c r="O84" s="296">
        <f t="shared" si="27"/>
        <v>580</v>
      </c>
      <c r="P84" s="299">
        <f t="shared" si="25"/>
        <v>-36</v>
      </c>
      <c r="Q84" s="299">
        <f t="shared" si="25"/>
        <v>-40</v>
      </c>
      <c r="R84" s="300">
        <f t="shared" si="22"/>
        <v>0.94249201277955275</v>
      </c>
      <c r="S84" s="300">
        <f t="shared" si="22"/>
        <v>0.93548387096774188</v>
      </c>
      <c r="T84" s="287"/>
    </row>
    <row r="85" spans="2:20" s="271" customFormat="1" ht="34.5" customHeight="1">
      <c r="B85" s="294" t="s">
        <v>29</v>
      </c>
      <c r="C85" s="316" t="s">
        <v>647</v>
      </c>
      <c r="D85" s="296">
        <f>SUM(D86:D87)</f>
        <v>400</v>
      </c>
      <c r="E85" s="296">
        <f>SUM(E86:E87)</f>
        <v>400</v>
      </c>
      <c r="F85" s="296">
        <f>SUM(F86:F87)</f>
        <v>400</v>
      </c>
      <c r="G85" s="296">
        <f>SUM(G86:G87)</f>
        <v>400</v>
      </c>
      <c r="H85" s="298">
        <f t="shared" ref="H85:O85" si="28">SUM(H86:H87)</f>
        <v>400</v>
      </c>
      <c r="I85" s="298">
        <f t="shared" si="28"/>
        <v>400</v>
      </c>
      <c r="J85" s="296">
        <f t="shared" si="28"/>
        <v>400</v>
      </c>
      <c r="K85" s="296">
        <f t="shared" si="28"/>
        <v>400</v>
      </c>
      <c r="L85" s="296">
        <f t="shared" si="28"/>
        <v>400</v>
      </c>
      <c r="M85" s="296">
        <f t="shared" si="28"/>
        <v>400</v>
      </c>
      <c r="N85" s="296">
        <f t="shared" si="28"/>
        <v>400</v>
      </c>
      <c r="O85" s="296">
        <f t="shared" si="28"/>
        <v>400</v>
      </c>
      <c r="P85" s="299">
        <f t="shared" si="25"/>
        <v>0</v>
      </c>
      <c r="Q85" s="299">
        <f t="shared" si="25"/>
        <v>0</v>
      </c>
      <c r="R85" s="300">
        <f t="shared" si="22"/>
        <v>1</v>
      </c>
      <c r="S85" s="300">
        <f t="shared" si="22"/>
        <v>1</v>
      </c>
      <c r="T85" s="287"/>
    </row>
    <row r="86" spans="2:20" s="271" customFormat="1" ht="18.75" customHeight="1">
      <c r="B86" s="294" t="s">
        <v>11</v>
      </c>
      <c r="C86" s="316" t="s">
        <v>648</v>
      </c>
      <c r="D86" s="296">
        <v>400</v>
      </c>
      <c r="E86" s="296">
        <v>400</v>
      </c>
      <c r="F86" s="296">
        <v>400</v>
      </c>
      <c r="G86" s="296">
        <v>400</v>
      </c>
      <c r="H86" s="298">
        <v>400</v>
      </c>
      <c r="I86" s="298">
        <v>400</v>
      </c>
      <c r="J86" s="296">
        <v>400</v>
      </c>
      <c r="K86" s="296">
        <v>400</v>
      </c>
      <c r="L86" s="296">
        <v>400</v>
      </c>
      <c r="M86" s="296">
        <v>400</v>
      </c>
      <c r="N86" s="296">
        <v>400</v>
      </c>
      <c r="O86" s="296">
        <v>400</v>
      </c>
      <c r="P86" s="299">
        <f t="shared" si="25"/>
        <v>0</v>
      </c>
      <c r="Q86" s="299">
        <f t="shared" si="25"/>
        <v>0</v>
      </c>
      <c r="R86" s="300">
        <f t="shared" si="22"/>
        <v>1</v>
      </c>
      <c r="S86" s="300">
        <f t="shared" si="22"/>
        <v>1</v>
      </c>
      <c r="T86" s="287"/>
    </row>
    <row r="87" spans="2:20" s="271" customFormat="1" ht="18.75" customHeight="1">
      <c r="B87" s="294" t="s">
        <v>11</v>
      </c>
      <c r="C87" s="316" t="s">
        <v>649</v>
      </c>
      <c r="D87" s="296"/>
      <c r="E87" s="296"/>
      <c r="F87" s="296"/>
      <c r="G87" s="296"/>
      <c r="H87" s="298"/>
      <c r="I87" s="298"/>
      <c r="J87" s="296"/>
      <c r="K87" s="296"/>
      <c r="L87" s="296"/>
      <c r="M87" s="296"/>
      <c r="N87" s="296"/>
      <c r="O87" s="296"/>
      <c r="P87" s="299">
        <f t="shared" si="25"/>
        <v>0</v>
      </c>
      <c r="Q87" s="299">
        <f t="shared" si="25"/>
        <v>0</v>
      </c>
      <c r="R87" s="300"/>
      <c r="S87" s="300"/>
      <c r="T87" s="287"/>
    </row>
    <row r="88" spans="2:20" s="271" customFormat="1" ht="33" customHeight="1">
      <c r="B88" s="294" t="s">
        <v>30</v>
      </c>
      <c r="C88" s="316" t="s">
        <v>650</v>
      </c>
      <c r="D88" s="296">
        <f t="shared" ref="D88:O88" si="29">SUM(D89:D90)</f>
        <v>226</v>
      </c>
      <c r="E88" s="296">
        <f t="shared" si="29"/>
        <v>220</v>
      </c>
      <c r="F88" s="296">
        <f t="shared" si="29"/>
        <v>226</v>
      </c>
      <c r="G88" s="296">
        <f t="shared" si="29"/>
        <v>220</v>
      </c>
      <c r="H88" s="298">
        <f t="shared" si="29"/>
        <v>190</v>
      </c>
      <c r="I88" s="298">
        <f t="shared" si="29"/>
        <v>180</v>
      </c>
      <c r="J88" s="296">
        <f t="shared" si="29"/>
        <v>190</v>
      </c>
      <c r="K88" s="296">
        <f t="shared" si="29"/>
        <v>180</v>
      </c>
      <c r="L88" s="296">
        <f t="shared" si="29"/>
        <v>190</v>
      </c>
      <c r="M88" s="296">
        <f t="shared" si="29"/>
        <v>180</v>
      </c>
      <c r="N88" s="296">
        <f t="shared" si="29"/>
        <v>190</v>
      </c>
      <c r="O88" s="296">
        <f t="shared" si="29"/>
        <v>180</v>
      </c>
      <c r="P88" s="299">
        <f t="shared" si="25"/>
        <v>-36</v>
      </c>
      <c r="Q88" s="299">
        <f t="shared" si="25"/>
        <v>-40</v>
      </c>
      <c r="R88" s="300">
        <f t="shared" ref="R88:S93" si="30">J88/D88</f>
        <v>0.84070796460176989</v>
      </c>
      <c r="S88" s="300">
        <f t="shared" si="30"/>
        <v>0.81818181818181823</v>
      </c>
      <c r="T88" s="287"/>
    </row>
    <row r="89" spans="2:20" s="271" customFormat="1" ht="18.75" customHeight="1">
      <c r="B89" s="294" t="s">
        <v>11</v>
      </c>
      <c r="C89" s="316" t="s">
        <v>648</v>
      </c>
      <c r="D89" s="296">
        <f>6+70</f>
        <v>76</v>
      </c>
      <c r="E89" s="296">
        <v>70</v>
      </c>
      <c r="F89" s="296">
        <f>6+70</f>
        <v>76</v>
      </c>
      <c r="G89" s="296">
        <v>70</v>
      </c>
      <c r="H89" s="298">
        <f>30+10</f>
        <v>40</v>
      </c>
      <c r="I89" s="298">
        <v>30</v>
      </c>
      <c r="J89" s="296">
        <f>40</f>
        <v>40</v>
      </c>
      <c r="K89" s="296">
        <v>30</v>
      </c>
      <c r="L89" s="296">
        <f>40</f>
        <v>40</v>
      </c>
      <c r="M89" s="296">
        <v>30</v>
      </c>
      <c r="N89" s="296">
        <f>40</f>
        <v>40</v>
      </c>
      <c r="O89" s="296">
        <v>30</v>
      </c>
      <c r="P89" s="299">
        <f t="shared" si="25"/>
        <v>-36</v>
      </c>
      <c r="Q89" s="299">
        <f t="shared" si="25"/>
        <v>-40</v>
      </c>
      <c r="R89" s="300">
        <f t="shared" si="30"/>
        <v>0.52631578947368418</v>
      </c>
      <c r="S89" s="300">
        <f t="shared" si="30"/>
        <v>0.42857142857142855</v>
      </c>
      <c r="T89" s="287"/>
    </row>
    <row r="90" spans="2:20" s="271" customFormat="1" ht="18.75" customHeight="1">
      <c r="B90" s="294" t="s">
        <v>11</v>
      </c>
      <c r="C90" s="316" t="s">
        <v>649</v>
      </c>
      <c r="D90" s="296">
        <v>150</v>
      </c>
      <c r="E90" s="296">
        <v>150</v>
      </c>
      <c r="F90" s="296">
        <v>150</v>
      </c>
      <c r="G90" s="296">
        <v>150</v>
      </c>
      <c r="H90" s="298">
        <f>150</f>
        <v>150</v>
      </c>
      <c r="I90" s="298">
        <f>150</f>
        <v>150</v>
      </c>
      <c r="J90" s="296">
        <v>150</v>
      </c>
      <c r="K90" s="296">
        <v>150</v>
      </c>
      <c r="L90" s="296">
        <v>150</v>
      </c>
      <c r="M90" s="296">
        <v>150</v>
      </c>
      <c r="N90" s="296">
        <v>150</v>
      </c>
      <c r="O90" s="296">
        <v>150</v>
      </c>
      <c r="P90" s="299">
        <f t="shared" si="25"/>
        <v>0</v>
      </c>
      <c r="Q90" s="299">
        <f t="shared" si="25"/>
        <v>0</v>
      </c>
      <c r="R90" s="300">
        <f t="shared" si="30"/>
        <v>1</v>
      </c>
      <c r="S90" s="300">
        <f t="shared" si="30"/>
        <v>1</v>
      </c>
      <c r="T90" s="287"/>
    </row>
    <row r="91" spans="2:20" s="271" customFormat="1" ht="38.25" hidden="1" customHeight="1">
      <c r="B91" s="294" t="s">
        <v>651</v>
      </c>
      <c r="C91" s="295" t="s">
        <v>652</v>
      </c>
      <c r="D91" s="296"/>
      <c r="E91" s="296"/>
      <c r="F91" s="296"/>
      <c r="G91" s="296"/>
      <c r="H91" s="298"/>
      <c r="I91" s="298"/>
      <c r="J91" s="296"/>
      <c r="K91" s="296"/>
      <c r="L91" s="296"/>
      <c r="M91" s="296"/>
      <c r="N91" s="296"/>
      <c r="O91" s="296"/>
      <c r="P91" s="299">
        <f t="shared" si="25"/>
        <v>0</v>
      </c>
      <c r="Q91" s="299">
        <f t="shared" si="25"/>
        <v>0</v>
      </c>
      <c r="R91" s="300" t="e">
        <f t="shared" si="30"/>
        <v>#DIV/0!</v>
      </c>
      <c r="S91" s="300" t="e">
        <f t="shared" si="30"/>
        <v>#DIV/0!</v>
      </c>
      <c r="T91" s="287"/>
    </row>
    <row r="92" spans="2:20" s="271" customFormat="1" ht="18.75" customHeight="1">
      <c r="B92" s="294" t="s">
        <v>653</v>
      </c>
      <c r="C92" s="295" t="s">
        <v>654</v>
      </c>
      <c r="D92" s="296">
        <f>880+34</f>
        <v>914</v>
      </c>
      <c r="E92" s="296">
        <v>880</v>
      </c>
      <c r="F92" s="296">
        <f>880+34</f>
        <v>914</v>
      </c>
      <c r="G92" s="296">
        <v>880</v>
      </c>
      <c r="H92" s="298">
        <f>720+70</f>
        <v>790</v>
      </c>
      <c r="I92" s="298">
        <f>720</f>
        <v>720</v>
      </c>
      <c r="J92" s="296">
        <f>720+70</f>
        <v>790</v>
      </c>
      <c r="K92" s="296">
        <v>720</v>
      </c>
      <c r="L92" s="296">
        <f>720+70</f>
        <v>790</v>
      </c>
      <c r="M92" s="296">
        <v>720</v>
      </c>
      <c r="N92" s="296">
        <f>720+70</f>
        <v>790</v>
      </c>
      <c r="O92" s="296">
        <v>720</v>
      </c>
      <c r="P92" s="299">
        <f t="shared" si="25"/>
        <v>-124</v>
      </c>
      <c r="Q92" s="299">
        <f t="shared" si="25"/>
        <v>-160</v>
      </c>
      <c r="R92" s="300">
        <f t="shared" si="30"/>
        <v>0.8643326039387309</v>
      </c>
      <c r="S92" s="300">
        <f t="shared" si="30"/>
        <v>0.81818181818181823</v>
      </c>
      <c r="T92" s="287"/>
    </row>
    <row r="93" spans="2:20" s="288" customFormat="1" ht="33.75" customHeight="1">
      <c r="B93" s="289" t="s">
        <v>639</v>
      </c>
      <c r="C93" s="317" t="s">
        <v>655</v>
      </c>
      <c r="D93" s="291">
        <f t="shared" ref="D93:O93" si="31">SUM(D94:D95)</f>
        <v>320</v>
      </c>
      <c r="E93" s="291">
        <f t="shared" si="31"/>
        <v>70</v>
      </c>
      <c r="F93" s="291">
        <f t="shared" si="31"/>
        <v>320</v>
      </c>
      <c r="G93" s="291">
        <f t="shared" si="31"/>
        <v>70</v>
      </c>
      <c r="H93" s="293">
        <f t="shared" si="31"/>
        <v>180</v>
      </c>
      <c r="I93" s="293">
        <f t="shared" si="31"/>
        <v>50</v>
      </c>
      <c r="J93" s="291">
        <f t="shared" si="31"/>
        <v>50</v>
      </c>
      <c r="K93" s="291">
        <f t="shared" si="31"/>
        <v>50</v>
      </c>
      <c r="L93" s="291">
        <f t="shared" si="31"/>
        <v>50</v>
      </c>
      <c r="M93" s="291">
        <f t="shared" si="31"/>
        <v>50</v>
      </c>
      <c r="N93" s="291">
        <f t="shared" si="31"/>
        <v>50</v>
      </c>
      <c r="O93" s="291">
        <f t="shared" si="31"/>
        <v>50</v>
      </c>
      <c r="P93" s="285">
        <f t="shared" si="25"/>
        <v>-270</v>
      </c>
      <c r="Q93" s="285">
        <f t="shared" si="25"/>
        <v>-20</v>
      </c>
      <c r="R93" s="286">
        <f t="shared" si="30"/>
        <v>0.15625</v>
      </c>
      <c r="S93" s="286">
        <f t="shared" si="30"/>
        <v>0.7142857142857143</v>
      </c>
      <c r="T93" s="287"/>
    </row>
    <row r="94" spans="2:20" s="270" customFormat="1" ht="18.75" customHeight="1">
      <c r="B94" s="294" t="s">
        <v>11</v>
      </c>
      <c r="C94" s="316" t="s">
        <v>656</v>
      </c>
      <c r="D94" s="291"/>
      <c r="E94" s="291"/>
      <c r="F94" s="291"/>
      <c r="G94" s="291"/>
      <c r="H94" s="293"/>
      <c r="I94" s="293"/>
      <c r="J94" s="291"/>
      <c r="K94" s="291"/>
      <c r="L94" s="291"/>
      <c r="M94" s="291"/>
      <c r="N94" s="291"/>
      <c r="O94" s="291"/>
      <c r="P94" s="299">
        <f t="shared" si="25"/>
        <v>0</v>
      </c>
      <c r="Q94" s="299">
        <f t="shared" si="25"/>
        <v>0</v>
      </c>
      <c r="R94" s="300"/>
      <c r="S94" s="300"/>
      <c r="T94" s="287"/>
    </row>
    <row r="95" spans="2:20" s="270" customFormat="1" ht="18.75" customHeight="1">
      <c r="B95" s="294" t="s">
        <v>11</v>
      </c>
      <c r="C95" s="316" t="s">
        <v>657</v>
      </c>
      <c r="D95" s="296">
        <f>250+70</f>
        <v>320</v>
      </c>
      <c r="E95" s="296">
        <v>70</v>
      </c>
      <c r="F95" s="296">
        <f>250+70</f>
        <v>320</v>
      </c>
      <c r="G95" s="296">
        <v>70</v>
      </c>
      <c r="H95" s="318">
        <f>130+50</f>
        <v>180</v>
      </c>
      <c r="I95" s="298">
        <v>50</v>
      </c>
      <c r="J95" s="296">
        <f>50</f>
        <v>50</v>
      </c>
      <c r="K95" s="296">
        <v>50</v>
      </c>
      <c r="L95" s="296">
        <f>50</f>
        <v>50</v>
      </c>
      <c r="M95" s="296">
        <v>50</v>
      </c>
      <c r="N95" s="296">
        <f>50</f>
        <v>50</v>
      </c>
      <c r="O95" s="296">
        <v>50</v>
      </c>
      <c r="P95" s="299">
        <f t="shared" si="25"/>
        <v>-270</v>
      </c>
      <c r="Q95" s="299">
        <f t="shared" si="25"/>
        <v>-20</v>
      </c>
      <c r="R95" s="300">
        <f>J95/D95</f>
        <v>0.15625</v>
      </c>
      <c r="S95" s="300">
        <f>K95/E95</f>
        <v>0.7142857142857143</v>
      </c>
      <c r="T95" s="287"/>
    </row>
    <row r="96" spans="2:20" s="288" customFormat="1" ht="33.75" customHeight="1">
      <c r="B96" s="311">
        <v>15</v>
      </c>
      <c r="C96" s="319" t="s">
        <v>658</v>
      </c>
      <c r="D96" s="291"/>
      <c r="E96" s="291"/>
      <c r="F96" s="291"/>
      <c r="G96" s="291"/>
      <c r="H96" s="293"/>
      <c r="I96" s="293"/>
      <c r="J96" s="291"/>
      <c r="K96" s="291"/>
      <c r="L96" s="291"/>
      <c r="M96" s="291"/>
      <c r="N96" s="291"/>
      <c r="O96" s="291"/>
      <c r="P96" s="285">
        <f t="shared" si="25"/>
        <v>0</v>
      </c>
      <c r="Q96" s="300"/>
      <c r="R96" s="300"/>
      <c r="S96" s="300"/>
      <c r="T96" s="287"/>
    </row>
    <row r="97" spans="2:19" s="288" customFormat="1" ht="37.5" customHeight="1">
      <c r="B97" s="311">
        <v>16</v>
      </c>
      <c r="C97" s="312" t="s">
        <v>659</v>
      </c>
      <c r="D97" s="291"/>
      <c r="E97" s="291"/>
      <c r="F97" s="291"/>
      <c r="G97" s="291"/>
      <c r="H97" s="293"/>
      <c r="I97" s="293"/>
      <c r="J97" s="291"/>
      <c r="K97" s="291"/>
      <c r="L97" s="291"/>
      <c r="M97" s="291"/>
      <c r="N97" s="291"/>
      <c r="O97" s="291"/>
      <c r="P97" s="300"/>
      <c r="Q97" s="300"/>
      <c r="R97" s="300"/>
      <c r="S97" s="300"/>
    </row>
    <row r="98" spans="2:19" s="288" customFormat="1" ht="18.75" customHeight="1">
      <c r="B98" s="320" t="s">
        <v>660</v>
      </c>
      <c r="C98" s="321" t="s">
        <v>661</v>
      </c>
      <c r="D98" s="322"/>
      <c r="E98" s="322"/>
      <c r="F98" s="322"/>
      <c r="G98" s="322"/>
      <c r="H98" s="322"/>
      <c r="I98" s="323"/>
      <c r="J98" s="324"/>
      <c r="K98" s="324"/>
      <c r="L98" s="324"/>
      <c r="M98" s="324"/>
      <c r="N98" s="324"/>
      <c r="O98" s="324"/>
      <c r="P98" s="325"/>
      <c r="Q98" s="325"/>
      <c r="R98" s="325"/>
      <c r="S98" s="325"/>
    </row>
    <row r="99" spans="2:19" s="270" customFormat="1" ht="15.75" customHeight="1"/>
    <row r="100" spans="2:19" s="270" customFormat="1" ht="18.75" hidden="1" customHeight="1">
      <c r="D100" s="326"/>
      <c r="E100" s="327"/>
      <c r="G100" s="628" t="s">
        <v>723</v>
      </c>
      <c r="H100" s="628"/>
      <c r="I100" s="628"/>
      <c r="J100" s="328"/>
      <c r="K100" s="328"/>
      <c r="L100" s="328"/>
      <c r="M100" s="328"/>
      <c r="N100" s="328"/>
      <c r="O100" s="328"/>
    </row>
    <row r="101" spans="2:19" s="270" customFormat="1" ht="18.75" hidden="1" customHeight="1">
      <c r="D101" s="329"/>
      <c r="G101" s="629" t="s">
        <v>700</v>
      </c>
      <c r="H101" s="629"/>
      <c r="I101" s="629"/>
      <c r="J101" s="330"/>
      <c r="K101" s="330"/>
      <c r="L101" s="330"/>
      <c r="M101" s="330"/>
      <c r="N101" s="330"/>
      <c r="O101" s="330"/>
    </row>
    <row r="102" spans="2:19" s="270" customFormat="1" ht="18.75" hidden="1" customHeight="1">
      <c r="G102" s="629" t="s">
        <v>701</v>
      </c>
      <c r="H102" s="629"/>
      <c r="I102" s="629"/>
      <c r="J102" s="330"/>
      <c r="K102" s="330"/>
      <c r="L102" s="330"/>
      <c r="M102" s="330"/>
      <c r="N102" s="330"/>
      <c r="O102" s="330"/>
    </row>
    <row r="103" spans="2:19" s="270" customFormat="1" ht="18.75" hidden="1" customHeight="1">
      <c r="G103" s="628" t="s">
        <v>702</v>
      </c>
      <c r="H103" s="628"/>
      <c r="I103" s="628"/>
      <c r="J103" s="328"/>
      <c r="K103" s="328"/>
      <c r="L103" s="328"/>
      <c r="M103" s="328"/>
      <c r="N103" s="328"/>
      <c r="O103" s="328"/>
    </row>
    <row r="104" spans="2:19" s="270" customFormat="1"/>
    <row r="105" spans="2:19" s="270" customFormat="1"/>
    <row r="106" spans="2:19" s="270" customFormat="1"/>
    <row r="107" spans="2:19" s="270" customFormat="1"/>
    <row r="108" spans="2:19" s="270" customFormat="1"/>
    <row r="109" spans="2:19" s="270" customFormat="1"/>
    <row r="110" spans="2:19" s="270" customFormat="1"/>
    <row r="111" spans="2:19" s="270" customFormat="1"/>
    <row r="112" spans="2:19" s="270" customFormat="1"/>
    <row r="113" s="270" customFormat="1"/>
    <row r="114" s="270" customFormat="1"/>
  </sheetData>
  <mergeCells count="47">
    <mergeCell ref="R14:R15"/>
    <mergeCell ref="S14:S15"/>
    <mergeCell ref="G100:I100"/>
    <mergeCell ref="G101:I101"/>
    <mergeCell ref="G102:I102"/>
    <mergeCell ref="P14:P15"/>
    <mergeCell ref="Q14:Q15"/>
    <mergeCell ref="G103:I103"/>
    <mergeCell ref="L14:L15"/>
    <mergeCell ref="M14:M15"/>
    <mergeCell ref="N14:N15"/>
    <mergeCell ref="O14:O15"/>
    <mergeCell ref="K14:K15"/>
    <mergeCell ref="P11:S11"/>
    <mergeCell ref="D12:E13"/>
    <mergeCell ref="F12:G12"/>
    <mergeCell ref="J12:K13"/>
    <mergeCell ref="L12:M12"/>
    <mergeCell ref="P12:Q12"/>
    <mergeCell ref="R12:S12"/>
    <mergeCell ref="L10:M10"/>
    <mergeCell ref="N10:O10"/>
    <mergeCell ref="B11:B15"/>
    <mergeCell ref="C11:C15"/>
    <mergeCell ref="D11:G11"/>
    <mergeCell ref="H11:I13"/>
    <mergeCell ref="J11:M11"/>
    <mergeCell ref="N11:O12"/>
    <mergeCell ref="D14:D15"/>
    <mergeCell ref="E14:E15"/>
    <mergeCell ref="J10:K10"/>
    <mergeCell ref="F14:F15"/>
    <mergeCell ref="G14:G15"/>
    <mergeCell ref="H14:H15"/>
    <mergeCell ref="I14:I15"/>
    <mergeCell ref="J14:J15"/>
    <mergeCell ref="B5:K5"/>
    <mergeCell ref="B6:K6"/>
    <mergeCell ref="B7:K7"/>
    <mergeCell ref="B8:I8"/>
    <mergeCell ref="B9:I9"/>
    <mergeCell ref="B4:K4"/>
    <mergeCell ref="B1:C1"/>
    <mergeCell ref="I1:K1"/>
    <mergeCell ref="Q1:S1"/>
    <mergeCell ref="B2:S2"/>
    <mergeCell ref="B3:K3"/>
  </mergeCells>
  <pageMargins left="0.70866141732283472" right="0.70866141732283472" top="0.74803149606299213" bottom="0.74803149606299213" header="0.31496062992125984" footer="0.31496062992125984"/>
  <pageSetup paperSize="9" scale="7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51"/>
  <sheetViews>
    <sheetView topLeftCell="B2" workbookViewId="0">
      <pane xSplit="3" ySplit="15" topLeftCell="H17" activePane="bottomRight" state="frozen"/>
      <selection activeCell="B2" sqref="B2"/>
      <selection pane="topRight" activeCell="E2" sqref="E2"/>
      <selection pane="bottomLeft" activeCell="B17" sqref="B17"/>
      <selection pane="bottomRight" activeCell="P16" sqref="P16"/>
    </sheetView>
  </sheetViews>
  <sheetFormatPr defaultRowHeight="15"/>
  <cols>
    <col min="1" max="1" width="2.85546875" customWidth="1"/>
    <col min="2" max="2" width="5.42578125" customWidth="1"/>
    <col min="3" max="3" width="38.28515625" customWidth="1"/>
    <col min="4" max="6" width="0" hidden="1" customWidth="1"/>
    <col min="7" max="7" width="9.7109375" hidden="1" customWidth="1"/>
    <col min="9" max="9" width="10.85546875" customWidth="1"/>
    <col min="10" max="11" width="11.28515625" customWidth="1"/>
    <col min="12" max="12" width="10.5703125" bestFit="1" customWidth="1"/>
  </cols>
  <sheetData>
    <row r="1" spans="1:40" ht="19.5" customHeight="1">
      <c r="B1" s="631" t="s">
        <v>81</v>
      </c>
      <c r="C1" s="631"/>
      <c r="G1" s="593" t="s">
        <v>665</v>
      </c>
      <c r="H1" s="593"/>
      <c r="I1" s="593"/>
      <c r="J1" s="131"/>
      <c r="K1" s="131"/>
    </row>
    <row r="2" spans="1:40" ht="23.25" customHeight="1">
      <c r="B2" s="594" t="s">
        <v>666</v>
      </c>
      <c r="C2" s="594"/>
      <c r="D2" s="594"/>
      <c r="E2" s="594"/>
      <c r="F2" s="594"/>
      <c r="G2" s="594"/>
      <c r="H2" s="594"/>
      <c r="I2" s="594"/>
      <c r="J2" s="594"/>
      <c r="K2" s="594"/>
    </row>
    <row r="3" spans="1:40" s="138" customFormat="1" ht="16.5" hidden="1">
      <c r="B3" s="632" t="s">
        <v>93</v>
      </c>
      <c r="C3" s="632"/>
      <c r="D3" s="632"/>
      <c r="E3" s="632"/>
      <c r="F3" s="632"/>
      <c r="G3" s="632"/>
      <c r="H3" s="137"/>
      <c r="I3" s="137"/>
      <c r="J3" s="137"/>
      <c r="K3" s="137"/>
    </row>
    <row r="4" spans="1:40" s="139" customFormat="1" ht="18.75" hidden="1">
      <c r="A4" s="145"/>
      <c r="B4" s="633" t="s">
        <v>550</v>
      </c>
      <c r="C4" s="633"/>
      <c r="D4" s="633"/>
      <c r="E4" s="633"/>
      <c r="F4" s="633"/>
      <c r="G4" s="633"/>
      <c r="H4" s="145"/>
      <c r="I4" s="145"/>
      <c r="J4" s="145"/>
      <c r="K4" s="145"/>
    </row>
    <row r="5" spans="1:40" s="133" customFormat="1" ht="18.75" hidden="1">
      <c r="B5" s="634" t="s">
        <v>549</v>
      </c>
      <c r="C5" s="634"/>
      <c r="D5" s="634"/>
      <c r="E5" s="634"/>
      <c r="F5" s="634"/>
      <c r="G5" s="634"/>
      <c r="H5" s="217"/>
      <c r="I5" s="217"/>
      <c r="J5" s="217"/>
      <c r="K5" s="217"/>
    </row>
    <row r="6" spans="1:40" s="136" customFormat="1" ht="20.25" hidden="1" customHeight="1">
      <c r="A6"/>
      <c r="B6" s="597" t="s">
        <v>667</v>
      </c>
      <c r="C6" s="597"/>
      <c r="D6" s="597"/>
      <c r="E6" s="597"/>
      <c r="F6" s="597"/>
      <c r="G6" s="597"/>
      <c r="H6" s="597"/>
      <c r="I6" s="597"/>
      <c r="J6" s="134"/>
      <c r="K6" s="134"/>
      <c r="L6"/>
      <c r="M6"/>
      <c r="N6"/>
      <c r="O6"/>
      <c r="P6"/>
      <c r="Q6"/>
      <c r="R6"/>
      <c r="S6"/>
      <c r="T6"/>
      <c r="U6"/>
      <c r="V6"/>
      <c r="W6"/>
      <c r="X6"/>
      <c r="Y6"/>
      <c r="Z6"/>
      <c r="AA6"/>
      <c r="AB6"/>
      <c r="AC6"/>
      <c r="AD6"/>
      <c r="AE6"/>
      <c r="AF6"/>
      <c r="AG6"/>
      <c r="AH6"/>
      <c r="AI6"/>
      <c r="AJ6"/>
      <c r="AK6" s="135"/>
      <c r="AL6" s="135"/>
      <c r="AM6" s="135"/>
      <c r="AN6" s="135"/>
    </row>
    <row r="7" spans="1:40" s="136" customFormat="1" ht="20.25" hidden="1" customHeight="1">
      <c r="A7"/>
      <c r="B7" s="634" t="s">
        <v>668</v>
      </c>
      <c r="C7" s="634"/>
      <c r="D7" s="634"/>
      <c r="E7" s="634"/>
      <c r="F7" s="634"/>
      <c r="G7" s="634"/>
      <c r="H7" s="634"/>
      <c r="I7" s="634"/>
      <c r="J7" s="132"/>
      <c r="K7" s="132"/>
      <c r="L7"/>
      <c r="M7"/>
      <c r="N7"/>
      <c r="O7"/>
      <c r="P7"/>
      <c r="Q7"/>
      <c r="R7"/>
      <c r="S7"/>
      <c r="T7"/>
      <c r="U7"/>
      <c r="V7"/>
      <c r="W7"/>
      <c r="X7"/>
      <c r="Y7"/>
      <c r="Z7"/>
      <c r="AA7"/>
      <c r="AB7"/>
      <c r="AC7"/>
      <c r="AD7"/>
      <c r="AE7"/>
      <c r="AF7"/>
      <c r="AG7"/>
      <c r="AH7"/>
      <c r="AI7"/>
      <c r="AJ7"/>
      <c r="AK7" s="135"/>
      <c r="AL7" s="135"/>
      <c r="AM7" s="135"/>
      <c r="AN7" s="135"/>
    </row>
    <row r="8" spans="1:40" s="136" customFormat="1" ht="20.25" hidden="1" customHeight="1">
      <c r="A8"/>
      <c r="B8" s="597" t="s">
        <v>669</v>
      </c>
      <c r="C8" s="597"/>
      <c r="D8" s="597"/>
      <c r="E8" s="597"/>
      <c r="F8" s="597"/>
      <c r="G8" s="597"/>
      <c r="H8"/>
      <c r="I8"/>
      <c r="J8"/>
      <c r="K8"/>
      <c r="L8"/>
      <c r="M8"/>
      <c r="N8"/>
      <c r="O8"/>
      <c r="P8"/>
      <c r="Q8"/>
      <c r="R8"/>
      <c r="S8"/>
      <c r="T8"/>
      <c r="U8"/>
      <c r="V8"/>
      <c r="W8"/>
      <c r="X8"/>
      <c r="Y8"/>
      <c r="Z8"/>
      <c r="AA8"/>
      <c r="AB8"/>
      <c r="AC8"/>
      <c r="AD8"/>
      <c r="AE8"/>
      <c r="AF8"/>
      <c r="AG8"/>
      <c r="AH8"/>
      <c r="AI8"/>
      <c r="AJ8"/>
      <c r="AK8" s="135"/>
      <c r="AL8" s="135"/>
      <c r="AM8" s="135"/>
      <c r="AN8" s="135"/>
    </row>
    <row r="9" spans="1:40" s="136" customFormat="1" ht="20.25" hidden="1" customHeight="1">
      <c r="A9"/>
      <c r="B9" s="597" t="s">
        <v>670</v>
      </c>
      <c r="C9" s="597"/>
      <c r="D9" s="597"/>
      <c r="E9" s="597"/>
      <c r="F9" s="597"/>
      <c r="G9" s="597"/>
      <c r="H9" s="597"/>
      <c r="I9" s="597"/>
      <c r="J9" s="134"/>
      <c r="K9" s="134"/>
      <c r="L9" s="132"/>
      <c r="M9"/>
      <c r="N9"/>
      <c r="O9"/>
      <c r="P9"/>
      <c r="Q9"/>
      <c r="R9"/>
      <c r="S9"/>
      <c r="T9"/>
      <c r="U9"/>
      <c r="V9"/>
      <c r="W9"/>
      <c r="X9"/>
      <c r="Y9"/>
      <c r="Z9"/>
      <c r="AA9"/>
      <c r="AB9"/>
      <c r="AC9"/>
      <c r="AD9"/>
      <c r="AE9"/>
      <c r="AF9"/>
      <c r="AG9"/>
      <c r="AH9"/>
      <c r="AI9"/>
      <c r="AJ9"/>
      <c r="AK9" s="135"/>
      <c r="AL9" s="135"/>
      <c r="AM9" s="135"/>
      <c r="AN9" s="135"/>
    </row>
    <row r="10" spans="1:40" hidden="1">
      <c r="B10" s="599" t="s">
        <v>671</v>
      </c>
      <c r="C10" s="599"/>
      <c r="D10" s="599"/>
      <c r="E10" s="599"/>
      <c r="F10" s="599"/>
      <c r="G10" s="599"/>
      <c r="H10" s="599"/>
      <c r="I10" s="599"/>
      <c r="J10" s="150"/>
      <c r="K10" s="150"/>
    </row>
    <row r="11" spans="1:40" hidden="1">
      <c r="B11" s="630" t="s">
        <v>563</v>
      </c>
      <c r="C11" s="630"/>
      <c r="D11" s="630"/>
      <c r="E11" s="630"/>
      <c r="F11" s="630"/>
      <c r="G11" s="630"/>
      <c r="H11" s="630"/>
      <c r="I11" s="630"/>
      <c r="J11" s="218"/>
      <c r="K11" s="218"/>
    </row>
    <row r="12" spans="1:40">
      <c r="G12" s="648"/>
      <c r="H12" s="648"/>
      <c r="I12" s="648"/>
      <c r="J12" s="635" t="s">
        <v>0</v>
      </c>
      <c r="K12" s="635"/>
      <c r="L12" s="219"/>
    </row>
    <row r="13" spans="1:40" s="220" customFormat="1" ht="54.75" customHeight="1">
      <c r="B13" s="636" t="s">
        <v>6</v>
      </c>
      <c r="C13" s="636" t="s">
        <v>7</v>
      </c>
      <c r="D13" s="637" t="s">
        <v>672</v>
      </c>
      <c r="E13" s="639" t="s">
        <v>551</v>
      </c>
      <c r="F13" s="640"/>
      <c r="G13" s="641"/>
      <c r="H13" s="642" t="s">
        <v>673</v>
      </c>
      <c r="I13" s="643"/>
      <c r="J13" s="644" t="s">
        <v>538</v>
      </c>
      <c r="K13" s="645"/>
    </row>
    <row r="14" spans="1:40" s="220" customFormat="1" ht="54" customHeight="1">
      <c r="B14" s="636"/>
      <c r="C14" s="636"/>
      <c r="D14" s="638"/>
      <c r="E14" s="221" t="s">
        <v>674</v>
      </c>
      <c r="F14" s="221" t="s">
        <v>675</v>
      </c>
      <c r="G14" s="221" t="s">
        <v>676</v>
      </c>
      <c r="H14" s="221" t="s">
        <v>674</v>
      </c>
      <c r="I14" s="221" t="s">
        <v>675</v>
      </c>
      <c r="J14" s="221" t="s">
        <v>674</v>
      </c>
      <c r="K14" s="221" t="s">
        <v>675</v>
      </c>
    </row>
    <row r="15" spans="1:40" ht="17.25" customHeight="1">
      <c r="B15" s="222" t="s">
        <v>8</v>
      </c>
      <c r="C15" s="222" t="s">
        <v>9</v>
      </c>
      <c r="D15" s="222">
        <v>1</v>
      </c>
      <c r="E15" s="222">
        <v>2</v>
      </c>
      <c r="F15" s="222">
        <v>2</v>
      </c>
      <c r="G15" s="222">
        <v>3</v>
      </c>
      <c r="H15" s="222">
        <v>6</v>
      </c>
      <c r="I15" s="222">
        <v>6</v>
      </c>
      <c r="J15" s="222">
        <v>6</v>
      </c>
      <c r="K15" s="222">
        <v>6</v>
      </c>
    </row>
    <row r="16" spans="1:40" s="223" customFormat="1" ht="22.5" customHeight="1">
      <c r="B16" s="224" t="s">
        <v>8</v>
      </c>
      <c r="C16" s="225" t="s">
        <v>677</v>
      </c>
      <c r="D16" s="226">
        <f>SUM(D17:D19)</f>
        <v>200169.91378800001</v>
      </c>
      <c r="E16" s="226">
        <f t="shared" ref="E16:K16" si="0">SUM(E17:E19)</f>
        <v>89750</v>
      </c>
      <c r="F16" s="226">
        <f t="shared" si="0"/>
        <v>148800</v>
      </c>
      <c r="G16" s="226">
        <f t="shared" si="0"/>
        <v>129893</v>
      </c>
      <c r="H16" s="226">
        <f t="shared" si="0"/>
        <v>91370</v>
      </c>
      <c r="I16" s="226">
        <f t="shared" si="0"/>
        <v>144370.39000000001</v>
      </c>
      <c r="J16" s="226">
        <f t="shared" si="0"/>
        <v>91370</v>
      </c>
      <c r="K16" s="226">
        <f t="shared" si="0"/>
        <v>134770.39000000001</v>
      </c>
      <c r="L16" s="227"/>
    </row>
    <row r="17" spans="2:13" ht="23.25" customHeight="1">
      <c r="B17" s="228">
        <v>1</v>
      </c>
      <c r="C17" s="229" t="s">
        <v>574</v>
      </c>
      <c r="D17" s="230">
        <v>200169.91378800001</v>
      </c>
      <c r="E17" s="231">
        <v>89750</v>
      </c>
      <c r="F17" s="231">
        <v>148800</v>
      </c>
      <c r="G17" s="231">
        <v>129893</v>
      </c>
      <c r="H17" s="231">
        <v>91370</v>
      </c>
      <c r="I17" s="231">
        <v>144370.39000000001</v>
      </c>
      <c r="J17" s="231">
        <v>91370</v>
      </c>
      <c r="K17" s="231">
        <f>'[7]bieu 16'!R18</f>
        <v>134770.39000000001</v>
      </c>
    </row>
    <row r="18" spans="2:13" ht="15.75" hidden="1" customHeight="1">
      <c r="B18" s="232">
        <v>2</v>
      </c>
      <c r="C18" s="229" t="s">
        <v>678</v>
      </c>
      <c r="D18" s="233">
        <v>0</v>
      </c>
      <c r="E18" s="234">
        <v>0</v>
      </c>
      <c r="F18" s="234">
        <v>0</v>
      </c>
      <c r="G18" s="233">
        <v>0</v>
      </c>
      <c r="H18" s="234">
        <v>0</v>
      </c>
      <c r="I18" s="234">
        <v>0</v>
      </c>
      <c r="J18" s="234">
        <v>0</v>
      </c>
      <c r="K18" s="234">
        <v>0</v>
      </c>
    </row>
    <row r="19" spans="2:13" ht="15.75" hidden="1" customHeight="1">
      <c r="B19" s="228">
        <v>3</v>
      </c>
      <c r="C19" s="229" t="s">
        <v>679</v>
      </c>
      <c r="D19" s="233">
        <v>0</v>
      </c>
      <c r="E19" s="234">
        <v>0</v>
      </c>
      <c r="F19" s="234">
        <v>0</v>
      </c>
      <c r="G19" s="233">
        <v>0</v>
      </c>
      <c r="H19" s="234">
        <v>0</v>
      </c>
      <c r="I19" s="234">
        <v>0</v>
      </c>
      <c r="J19" s="234">
        <v>0</v>
      </c>
      <c r="K19" s="234">
        <v>0</v>
      </c>
    </row>
    <row r="20" spans="2:13" s="223" customFormat="1" ht="27" customHeight="1">
      <c r="B20" s="235" t="s">
        <v>9</v>
      </c>
      <c r="C20" s="236" t="s">
        <v>680</v>
      </c>
      <c r="D20" s="237">
        <f>D21+D24+D28+D29+D30+D31</f>
        <v>562507.02810400003</v>
      </c>
      <c r="E20" s="237">
        <f>E21+E24+E28+E29+E30+E31</f>
        <v>392906</v>
      </c>
      <c r="F20" s="237">
        <f>F21+F24+F28+F29+F30+F31</f>
        <v>444870</v>
      </c>
      <c r="G20" s="237">
        <f>G21+G24+G27+G28+G29+G30+G31</f>
        <v>546048.38211000001</v>
      </c>
      <c r="H20" s="237">
        <f>H21+H24+H28+H29+H30+H31</f>
        <v>319343</v>
      </c>
      <c r="I20" s="237">
        <f>I21+I24+I28+I29+I30+I31</f>
        <v>366153</v>
      </c>
      <c r="J20" s="237">
        <f>J21+J24+J28+J29+J30+J31</f>
        <v>319343</v>
      </c>
      <c r="K20" s="237">
        <f>K21+K24+K28+K29+K30+K31</f>
        <v>357705</v>
      </c>
      <c r="L20" s="227"/>
    </row>
    <row r="21" spans="2:13" s="223" customFormat="1" ht="21" customHeight="1">
      <c r="B21" s="235" t="s">
        <v>10</v>
      </c>
      <c r="C21" s="236" t="s">
        <v>681</v>
      </c>
      <c r="D21" s="237">
        <f t="shared" ref="D21:K21" si="1">SUM(D22:D23)</f>
        <v>176156.475619</v>
      </c>
      <c r="E21" s="237">
        <f t="shared" si="1"/>
        <v>73901</v>
      </c>
      <c r="F21" s="237">
        <f t="shared" si="1"/>
        <v>125865</v>
      </c>
      <c r="G21" s="237">
        <f t="shared" si="1"/>
        <v>110150.49424299999</v>
      </c>
      <c r="H21" s="237">
        <f t="shared" si="1"/>
        <v>75491</v>
      </c>
      <c r="I21" s="237">
        <f t="shared" si="1"/>
        <v>122301</v>
      </c>
      <c r="J21" s="237">
        <f t="shared" si="1"/>
        <v>75491</v>
      </c>
      <c r="K21" s="237">
        <f t="shared" si="1"/>
        <v>113853</v>
      </c>
    </row>
    <row r="22" spans="2:13" ht="21" customHeight="1">
      <c r="B22" s="228">
        <v>1</v>
      </c>
      <c r="C22" s="229" t="s">
        <v>682</v>
      </c>
      <c r="D22" s="230">
        <v>6853.2047570000004</v>
      </c>
      <c r="E22" s="233">
        <v>12084</v>
      </c>
      <c r="F22" s="233">
        <v>12084</v>
      </c>
      <c r="G22" s="238">
        <v>4994</v>
      </c>
      <c r="H22" s="233">
        <v>6190</v>
      </c>
      <c r="I22" s="233">
        <v>6200</v>
      </c>
      <c r="J22" s="239">
        <v>6190</v>
      </c>
      <c r="K22" s="233">
        <v>6200</v>
      </c>
    </row>
    <row r="23" spans="2:13" ht="21" customHeight="1">
      <c r="B23" s="228">
        <v>2</v>
      </c>
      <c r="C23" s="229" t="s">
        <v>683</v>
      </c>
      <c r="D23" s="230">
        <v>169303.270862</v>
      </c>
      <c r="E23" s="233">
        <f>73901-E22</f>
        <v>61817</v>
      </c>
      <c r="F23" s="233">
        <v>113781</v>
      </c>
      <c r="G23" s="238">
        <v>105156.49424299999</v>
      </c>
      <c r="H23" s="233">
        <v>69301</v>
      </c>
      <c r="I23" s="233">
        <v>116101</v>
      </c>
      <c r="J23" s="233">
        <v>69301</v>
      </c>
      <c r="K23" s="233">
        <v>107653</v>
      </c>
      <c r="L23" s="240"/>
      <c r="M23" s="240"/>
    </row>
    <row r="24" spans="2:13" s="223" customFormat="1" ht="27" customHeight="1">
      <c r="B24" s="235" t="s">
        <v>12</v>
      </c>
      <c r="C24" s="236" t="s">
        <v>684</v>
      </c>
      <c r="D24" s="241">
        <f t="shared" ref="D24:I24" si="2">SUM(D25:D26)</f>
        <v>305562.08400000003</v>
      </c>
      <c r="E24" s="237">
        <f t="shared" si="2"/>
        <v>319005</v>
      </c>
      <c r="F24" s="237">
        <f t="shared" si="2"/>
        <v>319005</v>
      </c>
      <c r="G24" s="237">
        <f t="shared" si="2"/>
        <v>340021.55</v>
      </c>
      <c r="H24" s="237">
        <f t="shared" si="2"/>
        <v>243852</v>
      </c>
      <c r="I24" s="237">
        <f t="shared" si="2"/>
        <v>243852</v>
      </c>
      <c r="J24" s="237">
        <f>SUM(J25:J26)</f>
        <v>243852</v>
      </c>
      <c r="K24" s="237">
        <f>SUM(K25:K26)</f>
        <v>243852</v>
      </c>
    </row>
    <row r="25" spans="2:13" ht="21" customHeight="1">
      <c r="B25" s="228">
        <v>1</v>
      </c>
      <c r="C25" s="229" t="s">
        <v>685</v>
      </c>
      <c r="D25" s="230">
        <v>197470</v>
      </c>
      <c r="E25" s="233">
        <v>212136</v>
      </c>
      <c r="F25" s="233">
        <v>212136</v>
      </c>
      <c r="G25" s="233">
        <v>212136</v>
      </c>
      <c r="H25" s="233">
        <v>210681</v>
      </c>
      <c r="I25" s="233">
        <v>210681</v>
      </c>
      <c r="J25" s="233">
        <v>210681</v>
      </c>
      <c r="K25" s="233">
        <v>210681</v>
      </c>
    </row>
    <row r="26" spans="2:13" ht="21" customHeight="1">
      <c r="B26" s="228">
        <v>2</v>
      </c>
      <c r="C26" s="229" t="s">
        <v>686</v>
      </c>
      <c r="D26" s="230">
        <v>108092.084</v>
      </c>
      <c r="E26" s="242">
        <v>106869</v>
      </c>
      <c r="F26" s="242">
        <v>106869</v>
      </c>
      <c r="G26" s="243">
        <f>106869+21016.55</f>
        <v>127885.55</v>
      </c>
      <c r="H26" s="242">
        <v>33171</v>
      </c>
      <c r="I26" s="242">
        <v>33171</v>
      </c>
      <c r="J26" s="242">
        <v>33171</v>
      </c>
      <c r="K26" s="242">
        <v>33171</v>
      </c>
    </row>
    <row r="27" spans="2:13" s="223" customFormat="1" ht="18" customHeight="1">
      <c r="B27" s="235" t="s">
        <v>13</v>
      </c>
      <c r="C27" s="236" t="s">
        <v>687</v>
      </c>
      <c r="D27" s="237">
        <v>0</v>
      </c>
      <c r="E27" s="244">
        <v>0</v>
      </c>
      <c r="F27" s="244">
        <v>0</v>
      </c>
      <c r="G27" s="237">
        <v>0</v>
      </c>
      <c r="H27" s="244">
        <v>0</v>
      </c>
      <c r="I27" s="244">
        <v>0</v>
      </c>
      <c r="J27" s="244">
        <v>0</v>
      </c>
      <c r="K27" s="244">
        <v>0</v>
      </c>
    </row>
    <row r="28" spans="2:13" s="223" customFormat="1" ht="18" customHeight="1">
      <c r="B28" s="235" t="s">
        <v>18</v>
      </c>
      <c r="C28" s="236" t="s">
        <v>688</v>
      </c>
      <c r="D28" s="245">
        <v>261.27246000000002</v>
      </c>
      <c r="E28" s="244"/>
      <c r="F28" s="244"/>
      <c r="G28" s="246"/>
      <c r="H28" s="244"/>
      <c r="I28" s="244"/>
      <c r="J28" s="244"/>
      <c r="K28" s="244"/>
    </row>
    <row r="29" spans="2:13" s="223" customFormat="1" ht="21" customHeight="1">
      <c r="B29" s="235" t="s">
        <v>19</v>
      </c>
      <c r="C29" s="236" t="s">
        <v>689</v>
      </c>
      <c r="D29" s="247">
        <f>13273.661281+2097.739348</f>
        <v>15371.400629</v>
      </c>
      <c r="E29" s="244"/>
      <c r="F29" s="244"/>
      <c r="G29" s="248">
        <f>20254.024051+1424.141829</f>
        <v>21678.16588</v>
      </c>
      <c r="H29" s="244"/>
      <c r="I29" s="244"/>
      <c r="J29" s="244"/>
      <c r="K29" s="244"/>
    </row>
    <row r="30" spans="2:13" s="223" customFormat="1" ht="27" customHeight="1">
      <c r="B30" s="235" t="s">
        <v>21</v>
      </c>
      <c r="C30" s="236" t="s">
        <v>690</v>
      </c>
      <c r="D30" s="247">
        <f>62399.554902+2756.240494</f>
        <v>65155.795396000001</v>
      </c>
      <c r="E30" s="244"/>
      <c r="F30" s="244"/>
      <c r="G30" s="248">
        <f>70151.476987+4046.695</f>
        <v>74198.171987000009</v>
      </c>
      <c r="H30" s="244"/>
      <c r="I30" s="244"/>
      <c r="J30" s="244"/>
      <c r="K30" s="244"/>
    </row>
    <row r="31" spans="2:13" s="223" customFormat="1" ht="18.75" hidden="1" customHeight="1">
      <c r="B31" s="235" t="s">
        <v>19</v>
      </c>
      <c r="C31" s="236" t="s">
        <v>691</v>
      </c>
      <c r="D31" s="247"/>
      <c r="E31" s="244"/>
      <c r="F31" s="244"/>
      <c r="G31" s="249"/>
      <c r="H31" s="244"/>
      <c r="I31" s="244"/>
      <c r="J31" s="244"/>
      <c r="K31" s="244"/>
    </row>
    <row r="32" spans="2:13" s="223" customFormat="1" ht="24" customHeight="1">
      <c r="B32" s="235" t="s">
        <v>22</v>
      </c>
      <c r="C32" s="236" t="s">
        <v>65</v>
      </c>
      <c r="D32" s="249">
        <f>D33+D40+D44+D45</f>
        <v>540828.86222400004</v>
      </c>
      <c r="E32" s="249">
        <f t="shared" ref="E32:K32" si="3">E33+E40+E44</f>
        <v>392906</v>
      </c>
      <c r="F32" s="249">
        <f t="shared" si="3"/>
        <v>444870</v>
      </c>
      <c r="G32" s="249">
        <f t="shared" si="3"/>
        <v>537640.19177999999</v>
      </c>
      <c r="H32" s="249">
        <f t="shared" si="3"/>
        <v>319343</v>
      </c>
      <c r="I32" s="249">
        <f t="shared" si="3"/>
        <v>366153.23</v>
      </c>
      <c r="J32" s="249">
        <f t="shared" si="3"/>
        <v>319343</v>
      </c>
      <c r="K32" s="249">
        <f t="shared" si="3"/>
        <v>357705.23</v>
      </c>
    </row>
    <row r="33" spans="2:12" s="223" customFormat="1" ht="20.25" customHeight="1">
      <c r="B33" s="235" t="s">
        <v>10</v>
      </c>
      <c r="C33" s="236" t="s">
        <v>692</v>
      </c>
      <c r="D33" s="249">
        <f>D34+D35+D36+D37+D38+D39</f>
        <v>350702.01893900003</v>
      </c>
      <c r="E33" s="237">
        <f t="shared" ref="E33:K33" si="4">SUM(E34:E39)</f>
        <v>286037</v>
      </c>
      <c r="F33" s="237">
        <f t="shared" si="4"/>
        <v>338001</v>
      </c>
      <c r="G33" s="237">
        <f t="shared" si="4"/>
        <v>398597.61330000003</v>
      </c>
      <c r="H33" s="237">
        <f t="shared" si="4"/>
        <v>286172</v>
      </c>
      <c r="I33" s="237">
        <f t="shared" si="4"/>
        <v>332982.23</v>
      </c>
      <c r="J33" s="237">
        <f t="shared" si="4"/>
        <v>286172</v>
      </c>
      <c r="K33" s="237">
        <f t="shared" si="4"/>
        <v>324534.23</v>
      </c>
    </row>
    <row r="34" spans="2:12" ht="22.5" customHeight="1">
      <c r="B34" s="228">
        <v>1</v>
      </c>
      <c r="C34" s="229" t="s">
        <v>693</v>
      </c>
      <c r="D34" s="231">
        <v>97635.009000000005</v>
      </c>
      <c r="E34" s="233">
        <v>11792</v>
      </c>
      <c r="F34" s="233">
        <v>63756</v>
      </c>
      <c r="G34" s="250">
        <v>82529.36</v>
      </c>
      <c r="H34" s="233">
        <f>7832+2640</f>
        <v>10472</v>
      </c>
      <c r="I34" s="251">
        <f>10472+41360</f>
        <v>51832</v>
      </c>
      <c r="J34" s="233">
        <f>7832+2640</f>
        <v>10472</v>
      </c>
      <c r="K34" s="251">
        <f>10472+41360-8448</f>
        <v>43384</v>
      </c>
      <c r="L34" s="252"/>
    </row>
    <row r="35" spans="2:12" ht="22.5" customHeight="1">
      <c r="B35" s="228">
        <v>2</v>
      </c>
      <c r="C35" s="229" t="s">
        <v>25</v>
      </c>
      <c r="D35" s="231">
        <v>253067.00993900001</v>
      </c>
      <c r="E35" s="233">
        <v>268525</v>
      </c>
      <c r="F35" s="233">
        <v>268525</v>
      </c>
      <c r="G35" s="250">
        <v>279246.35330000002</v>
      </c>
      <c r="H35" s="251">
        <v>269970</v>
      </c>
      <c r="I35" s="251">
        <v>268645.92</v>
      </c>
      <c r="J35" s="251">
        <v>269970</v>
      </c>
      <c r="K35" s="251">
        <v>268645.92</v>
      </c>
    </row>
    <row r="36" spans="2:12" ht="15" hidden="1" customHeight="1">
      <c r="B36" s="228">
        <v>3</v>
      </c>
      <c r="C36" s="229" t="s">
        <v>694</v>
      </c>
      <c r="D36" s="233"/>
      <c r="E36" s="234"/>
      <c r="F36" s="234"/>
      <c r="G36" s="253"/>
      <c r="H36" s="234"/>
      <c r="I36" s="234"/>
      <c r="J36" s="234"/>
      <c r="K36" s="234"/>
    </row>
    <row r="37" spans="2:12" ht="15" hidden="1" customHeight="1">
      <c r="B37" s="228">
        <v>4</v>
      </c>
      <c r="C37" s="229" t="s">
        <v>27</v>
      </c>
      <c r="D37" s="233"/>
      <c r="E37" s="234"/>
      <c r="F37" s="234"/>
      <c r="G37" s="253"/>
      <c r="H37" s="234"/>
      <c r="I37" s="234"/>
      <c r="J37" s="234"/>
      <c r="K37" s="234"/>
    </row>
    <row r="38" spans="2:12" ht="22.5" customHeight="1">
      <c r="B38" s="228">
        <v>3</v>
      </c>
      <c r="C38" s="229" t="s">
        <v>20</v>
      </c>
      <c r="D38" s="233"/>
      <c r="E38" s="233">
        <v>5720</v>
      </c>
      <c r="F38" s="233">
        <v>5720</v>
      </c>
      <c r="G38" s="253">
        <v>5720</v>
      </c>
      <c r="H38" s="233">
        <v>5730</v>
      </c>
      <c r="I38" s="233">
        <v>5730</v>
      </c>
      <c r="J38" s="233">
        <v>5730</v>
      </c>
      <c r="K38" s="233">
        <v>5730</v>
      </c>
    </row>
    <row r="39" spans="2:12" ht="22.5" customHeight="1">
      <c r="B39" s="228">
        <v>4</v>
      </c>
      <c r="C39" s="229" t="s">
        <v>4</v>
      </c>
      <c r="D39" s="233"/>
      <c r="E39" s="254"/>
      <c r="F39" s="254"/>
      <c r="G39" s="140">
        <v>31101.9</v>
      </c>
      <c r="H39" s="254"/>
      <c r="I39" s="255">
        <v>6774.31</v>
      </c>
      <c r="J39" s="254"/>
      <c r="K39" s="255">
        <v>6774.31</v>
      </c>
    </row>
    <row r="40" spans="2:12" s="223" customFormat="1" ht="27" customHeight="1">
      <c r="B40" s="235" t="s">
        <v>12</v>
      </c>
      <c r="C40" s="236" t="s">
        <v>49</v>
      </c>
      <c r="D40" s="237">
        <f>SUM(D41:D43)</f>
        <v>104227.91556699999</v>
      </c>
      <c r="E40" s="237">
        <f t="shared" ref="E40:K40" si="5">SUM(E41:E43)</f>
        <v>106869</v>
      </c>
      <c r="F40" s="237">
        <f t="shared" si="5"/>
        <v>106869</v>
      </c>
      <c r="G40" s="256">
        <f t="shared" si="5"/>
        <v>139042.57848</v>
      </c>
      <c r="H40" s="237">
        <f t="shared" si="5"/>
        <v>33171</v>
      </c>
      <c r="I40" s="237">
        <f t="shared" si="5"/>
        <v>33171</v>
      </c>
      <c r="J40" s="237">
        <f t="shared" si="5"/>
        <v>33171</v>
      </c>
      <c r="K40" s="237">
        <f t="shared" si="5"/>
        <v>33171</v>
      </c>
    </row>
    <row r="41" spans="2:12" ht="28.5" customHeight="1">
      <c r="B41" s="228">
        <v>1</v>
      </c>
      <c r="C41" s="229" t="s">
        <v>695</v>
      </c>
      <c r="D41" s="233">
        <v>44042.635699999999</v>
      </c>
      <c r="E41" s="251">
        <f>15845-2300</f>
        <v>13545</v>
      </c>
      <c r="F41" s="251">
        <f>15845-2300</f>
        <v>13545</v>
      </c>
      <c r="G41" s="257">
        <f>28475.756+210</f>
        <v>28685.756000000001</v>
      </c>
      <c r="H41" s="251">
        <f>90+16873-6000</f>
        <v>10963</v>
      </c>
      <c r="I41" s="251">
        <f>90+16873-6000</f>
        <v>10963</v>
      </c>
      <c r="J41" s="251">
        <f>90+16873-6000</f>
        <v>10963</v>
      </c>
      <c r="K41" s="251">
        <f>90+16873-6000</f>
        <v>10963</v>
      </c>
    </row>
    <row r="42" spans="2:12" ht="24.75" customHeight="1">
      <c r="B42" s="228">
        <v>2</v>
      </c>
      <c r="C42" s="229" t="s">
        <v>696</v>
      </c>
      <c r="D42" s="233">
        <f>19290.39395</f>
        <v>19290.393950000001</v>
      </c>
      <c r="E42" s="251">
        <v>24919</v>
      </c>
      <c r="F42" s="251">
        <v>24919</v>
      </c>
      <c r="G42" s="257">
        <f>40774.315+151-71</f>
        <v>40854.315000000002</v>
      </c>
      <c r="H42" s="258">
        <f>7669+14539</f>
        <v>22208</v>
      </c>
      <c r="I42" s="258">
        <f>7669+14539</f>
        <v>22208</v>
      </c>
      <c r="J42" s="258">
        <f>7669+14539</f>
        <v>22208</v>
      </c>
      <c r="K42" s="258">
        <f>7669+14539</f>
        <v>22208</v>
      </c>
    </row>
    <row r="43" spans="2:12" ht="24.75" customHeight="1">
      <c r="B43" s="228">
        <v>3</v>
      </c>
      <c r="C43" s="229" t="s">
        <v>50</v>
      </c>
      <c r="D43" s="233">
        <v>40894.885917</v>
      </c>
      <c r="E43" s="251">
        <f>67905+500</f>
        <v>68405</v>
      </c>
      <c r="F43" s="251">
        <f>67905+500</f>
        <v>68405</v>
      </c>
      <c r="G43" s="259">
        <f>69502.50748</f>
        <v>69502.50748</v>
      </c>
      <c r="H43" s="251"/>
      <c r="I43" s="251"/>
      <c r="J43" s="251"/>
      <c r="K43" s="251"/>
    </row>
    <row r="44" spans="2:12" s="223" customFormat="1" ht="24.75" customHeight="1">
      <c r="B44" s="235" t="s">
        <v>13</v>
      </c>
      <c r="C44" s="236" t="s">
        <v>697</v>
      </c>
      <c r="D44" s="260">
        <v>74198.171986999994</v>
      </c>
      <c r="E44" s="244"/>
      <c r="F44" s="244"/>
      <c r="G44" s="237"/>
      <c r="H44" s="244"/>
      <c r="I44" s="244"/>
      <c r="J44" s="244"/>
      <c r="K44" s="244"/>
    </row>
    <row r="45" spans="2:12" ht="22.5" customHeight="1">
      <c r="B45" s="261" t="s">
        <v>18</v>
      </c>
      <c r="C45" s="262" t="s">
        <v>698</v>
      </c>
      <c r="D45" s="263">
        <v>11700.755730999999</v>
      </c>
      <c r="E45" s="264"/>
      <c r="F45" s="264"/>
      <c r="G45" s="264"/>
      <c r="H45" s="264"/>
      <c r="I45" s="264"/>
      <c r="J45" s="264"/>
      <c r="K45" s="264"/>
    </row>
    <row r="46" spans="2:12" ht="18.75" hidden="1" customHeight="1">
      <c r="C46" s="265"/>
      <c r="D46" s="240"/>
      <c r="E46" s="646" t="s">
        <v>699</v>
      </c>
      <c r="F46" s="646"/>
      <c r="G46" s="646"/>
    </row>
    <row r="47" spans="2:12" ht="18.75" hidden="1" customHeight="1">
      <c r="C47" s="266"/>
      <c r="E47" s="647" t="s">
        <v>700</v>
      </c>
      <c r="F47" s="647"/>
      <c r="G47" s="647"/>
    </row>
    <row r="48" spans="2:12" ht="18.75" hidden="1" customHeight="1">
      <c r="E48" s="647" t="s">
        <v>701</v>
      </c>
      <c r="F48" s="647"/>
      <c r="G48" s="647"/>
    </row>
    <row r="49" spans="5:7" ht="18.75" hidden="1" customHeight="1">
      <c r="E49" s="646" t="s">
        <v>702</v>
      </c>
      <c r="F49" s="646"/>
      <c r="G49" s="646"/>
    </row>
    <row r="51" spans="5:7" ht="15.75" customHeight="1"/>
  </sheetData>
  <mergeCells count="24">
    <mergeCell ref="E46:G46"/>
    <mergeCell ref="E47:G47"/>
    <mergeCell ref="E48:G48"/>
    <mergeCell ref="E49:G49"/>
    <mergeCell ref="G12:I12"/>
    <mergeCell ref="J12:K12"/>
    <mergeCell ref="B13:B14"/>
    <mergeCell ref="C13:C14"/>
    <mergeCell ref="D13:D14"/>
    <mergeCell ref="E13:G13"/>
    <mergeCell ref="H13:I13"/>
    <mergeCell ref="J13:K13"/>
    <mergeCell ref="B11:I11"/>
    <mergeCell ref="B1:C1"/>
    <mergeCell ref="G1:I1"/>
    <mergeCell ref="B2:K2"/>
    <mergeCell ref="B3:G3"/>
    <mergeCell ref="B4:G4"/>
    <mergeCell ref="B5:G5"/>
    <mergeCell ref="B6:I6"/>
    <mergeCell ref="B7:I7"/>
    <mergeCell ref="B8:G8"/>
    <mergeCell ref="B9:I9"/>
    <mergeCell ref="B10:I10"/>
  </mergeCells>
  <pageMargins left="0.70866141732283472" right="0.70866141732283472" top="0.74803149606299213" bottom="0.74803149606299213" header="0.31496062992125984" footer="0.31496062992125984"/>
  <pageSetup paperSize="9" scale="7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132"/>
  <sheetViews>
    <sheetView topLeftCell="B3" workbookViewId="0">
      <pane xSplit="9" ySplit="16" topLeftCell="K19" activePane="bottomRight" state="frozen"/>
      <selection activeCell="B3" sqref="B3"/>
      <selection pane="topRight" activeCell="K3" sqref="K3"/>
      <selection pane="bottomLeft" activeCell="B19" sqref="B19"/>
      <selection pane="bottomRight" activeCell="C47" sqref="C47"/>
    </sheetView>
  </sheetViews>
  <sheetFormatPr defaultRowHeight="15"/>
  <cols>
    <col min="1" max="1" width="9.140625" hidden="1" customWidth="1"/>
    <col min="2" max="2" width="6.140625" customWidth="1"/>
    <col min="3" max="3" width="24.85546875" customWidth="1"/>
    <col min="4" max="9" width="0" hidden="1" customWidth="1"/>
    <col min="13" max="13" width="9.7109375" bestFit="1" customWidth="1"/>
    <col min="19" max="19" width="9.7109375" bestFit="1" customWidth="1"/>
    <col min="22" max="22" width="9.85546875" bestFit="1" customWidth="1"/>
  </cols>
  <sheetData>
    <row r="1" spans="1:47" ht="24.75" customHeight="1">
      <c r="B1" s="650" t="s">
        <v>81</v>
      </c>
      <c r="C1" s="650"/>
      <c r="J1" s="141"/>
      <c r="K1" s="141"/>
      <c r="L1" s="141"/>
      <c r="M1" s="651"/>
      <c r="N1" s="651"/>
      <c r="O1" s="651"/>
      <c r="P1" s="141"/>
      <c r="Q1" s="141"/>
      <c r="R1" s="141"/>
      <c r="S1" s="651" t="s">
        <v>555</v>
      </c>
      <c r="T1" s="651"/>
      <c r="U1" s="651"/>
    </row>
    <row r="2" spans="1:47" ht="9" customHeight="1">
      <c r="A2" s="142"/>
    </row>
    <row r="3" spans="1:47" ht="23.25" customHeight="1">
      <c r="A3" s="143"/>
      <c r="B3" s="652" t="s">
        <v>556</v>
      </c>
      <c r="C3" s="652"/>
      <c r="D3" s="652"/>
      <c r="E3" s="652"/>
      <c r="F3" s="652"/>
      <c r="G3" s="652"/>
      <c r="H3" s="652"/>
      <c r="I3" s="652"/>
      <c r="J3" s="652"/>
      <c r="K3" s="652"/>
      <c r="L3" s="652"/>
      <c r="M3" s="652"/>
      <c r="N3" s="652"/>
      <c r="O3" s="652"/>
      <c r="P3" s="652"/>
      <c r="Q3" s="652"/>
      <c r="R3" s="652"/>
      <c r="S3" s="652"/>
      <c r="T3" s="652"/>
      <c r="U3" s="652"/>
    </row>
    <row r="4" spans="1:47" s="138" customFormat="1" ht="17.25" hidden="1" customHeight="1">
      <c r="B4" s="595" t="s">
        <v>557</v>
      </c>
      <c r="C4" s="595"/>
      <c r="D4" s="595"/>
      <c r="E4" s="595"/>
      <c r="F4" s="595"/>
      <c r="G4" s="595"/>
      <c r="H4" s="595"/>
      <c r="I4" s="595"/>
      <c r="J4" s="595"/>
      <c r="K4" s="595"/>
      <c r="L4" s="595"/>
      <c r="M4" s="595"/>
      <c r="N4" s="595"/>
      <c r="O4" s="595"/>
      <c r="P4" s="144"/>
      <c r="Q4" s="144"/>
      <c r="R4" s="144"/>
      <c r="S4" s="144"/>
      <c r="T4" s="144"/>
      <c r="U4" s="144"/>
    </row>
    <row r="5" spans="1:47" s="139" customFormat="1" ht="17.25" hidden="1" customHeight="1">
      <c r="A5" s="145"/>
      <c r="B5" s="591" t="s">
        <v>558</v>
      </c>
      <c r="C5" s="591"/>
      <c r="D5" s="591"/>
      <c r="E5" s="591"/>
      <c r="F5" s="591"/>
      <c r="G5" s="591"/>
      <c r="H5" s="591"/>
      <c r="I5" s="591"/>
      <c r="J5" s="591"/>
      <c r="K5" s="591"/>
      <c r="L5" s="591"/>
      <c r="M5" s="591"/>
      <c r="N5" s="591"/>
      <c r="O5" s="591"/>
      <c r="P5" s="145"/>
      <c r="Q5" s="145"/>
      <c r="R5" s="145"/>
      <c r="S5" s="145"/>
      <c r="T5" s="145"/>
      <c r="U5" s="145"/>
    </row>
    <row r="6" spans="1:47" s="146" customFormat="1" ht="17.25" hidden="1" customHeight="1">
      <c r="B6" s="653" t="s">
        <v>549</v>
      </c>
      <c r="C6" s="653"/>
      <c r="D6" s="653"/>
      <c r="E6" s="653"/>
      <c r="F6" s="653"/>
      <c r="G6" s="653"/>
      <c r="H6" s="653"/>
      <c r="I6" s="653"/>
      <c r="J6" s="653"/>
      <c r="K6" s="653"/>
      <c r="L6" s="147"/>
      <c r="M6" s="147"/>
      <c r="N6" s="147"/>
      <c r="O6" s="147"/>
      <c r="P6" s="147"/>
      <c r="Q6" s="147"/>
      <c r="R6" s="147"/>
      <c r="S6" s="147"/>
      <c r="T6" s="147"/>
      <c r="U6" s="147"/>
    </row>
    <row r="7" spans="1:47" s="136" customFormat="1" ht="17.25" hidden="1" customHeight="1">
      <c r="A7"/>
      <c r="B7" s="654" t="s">
        <v>559</v>
      </c>
      <c r="C7" s="654"/>
      <c r="D7" s="654"/>
      <c r="E7" s="654"/>
      <c r="F7" s="654"/>
      <c r="G7" s="654"/>
      <c r="H7" s="654"/>
      <c r="I7" s="654"/>
      <c r="J7" s="148"/>
      <c r="K7" s="148"/>
      <c r="L7" s="148"/>
      <c r="M7" s="148"/>
      <c r="N7" s="148"/>
      <c r="O7" s="148"/>
      <c r="P7" s="148"/>
      <c r="Q7" s="148"/>
      <c r="R7" s="148"/>
      <c r="S7" s="148"/>
      <c r="T7" s="148"/>
      <c r="U7" s="148"/>
      <c r="V7"/>
      <c r="W7"/>
      <c r="X7"/>
      <c r="Y7"/>
      <c r="Z7"/>
      <c r="AA7"/>
      <c r="AB7"/>
      <c r="AC7"/>
      <c r="AD7"/>
      <c r="AE7"/>
      <c r="AF7"/>
      <c r="AG7"/>
      <c r="AH7"/>
      <c r="AI7"/>
      <c r="AJ7"/>
      <c r="AK7"/>
      <c r="AL7"/>
      <c r="AM7"/>
      <c r="AN7"/>
      <c r="AO7"/>
      <c r="AP7"/>
      <c r="AQ7"/>
      <c r="AR7" s="135"/>
      <c r="AS7" s="135"/>
      <c r="AT7" s="135"/>
      <c r="AU7" s="135"/>
    </row>
    <row r="8" spans="1:47" s="146" customFormat="1" ht="17.25" hidden="1" customHeight="1">
      <c r="B8" s="653" t="s">
        <v>560</v>
      </c>
      <c r="C8" s="653"/>
      <c r="D8" s="653"/>
      <c r="E8" s="653"/>
      <c r="F8" s="653"/>
      <c r="G8" s="653"/>
      <c r="H8" s="653"/>
      <c r="I8" s="653"/>
      <c r="J8" s="653"/>
      <c r="K8" s="653"/>
      <c r="L8" s="653"/>
      <c r="M8" s="653"/>
      <c r="N8" s="653"/>
      <c r="O8" s="653"/>
      <c r="P8" s="147"/>
      <c r="Q8" s="147"/>
      <c r="R8" s="147"/>
      <c r="S8" s="147"/>
      <c r="T8" s="147"/>
      <c r="U8" s="147"/>
    </row>
    <row r="9" spans="1:47" s="136" customFormat="1" ht="17.25" hidden="1" customHeight="1">
      <c r="A9"/>
      <c r="B9" s="649" t="s">
        <v>561</v>
      </c>
      <c r="C9" s="649"/>
      <c r="D9" s="649"/>
      <c r="E9" s="649"/>
      <c r="F9" s="649"/>
      <c r="G9" s="649"/>
      <c r="H9" s="649"/>
      <c r="I9" s="649"/>
      <c r="J9" s="649"/>
      <c r="K9" s="649"/>
      <c r="L9" s="649"/>
      <c r="M9" s="649"/>
      <c r="N9" s="649"/>
      <c r="O9" s="649"/>
      <c r="P9" s="149"/>
      <c r="Q9" s="149"/>
      <c r="R9" s="149"/>
      <c r="S9" s="149"/>
      <c r="T9" s="149"/>
      <c r="U9" s="149"/>
      <c r="V9"/>
      <c r="W9"/>
      <c r="X9"/>
      <c r="Y9"/>
      <c r="Z9"/>
      <c r="AA9"/>
      <c r="AB9"/>
      <c r="AC9"/>
      <c r="AD9"/>
      <c r="AE9"/>
      <c r="AF9"/>
      <c r="AG9"/>
      <c r="AH9"/>
      <c r="AI9"/>
      <c r="AJ9"/>
      <c r="AK9"/>
      <c r="AL9"/>
      <c r="AM9"/>
      <c r="AN9"/>
      <c r="AO9"/>
      <c r="AP9"/>
      <c r="AQ9"/>
      <c r="AR9" s="135"/>
      <c r="AS9" s="135"/>
      <c r="AT9" s="135"/>
      <c r="AU9" s="135"/>
    </row>
    <row r="10" spans="1:47" s="136" customFormat="1" ht="17.25" hidden="1" customHeight="1">
      <c r="A10"/>
      <c r="B10" s="599" t="s">
        <v>562</v>
      </c>
      <c r="C10" s="599"/>
      <c r="D10" s="599"/>
      <c r="E10" s="599"/>
      <c r="F10" s="599"/>
      <c r="G10" s="599"/>
      <c r="H10" s="599"/>
      <c r="I10" s="599"/>
      <c r="J10" s="150"/>
      <c r="K10" s="150"/>
      <c r="L10" s="150"/>
      <c r="M10" s="150"/>
      <c r="N10" s="150"/>
      <c r="O10" s="150"/>
      <c r="P10" s="150"/>
      <c r="Q10" s="150"/>
      <c r="R10" s="150"/>
      <c r="S10" s="150"/>
      <c r="T10" s="150"/>
      <c r="U10" s="150"/>
      <c r="V10"/>
      <c r="W10"/>
      <c r="X10"/>
      <c r="Y10"/>
      <c r="Z10"/>
      <c r="AA10"/>
      <c r="AB10"/>
      <c r="AC10"/>
      <c r="AD10"/>
      <c r="AE10"/>
      <c r="AF10"/>
      <c r="AG10"/>
      <c r="AH10"/>
      <c r="AI10"/>
      <c r="AJ10"/>
      <c r="AK10"/>
      <c r="AL10"/>
      <c r="AM10"/>
      <c r="AN10"/>
      <c r="AO10"/>
      <c r="AP10" s="135"/>
      <c r="AQ10" s="135"/>
      <c r="AR10" s="135"/>
      <c r="AS10" s="135"/>
    </row>
    <row r="11" spans="1:47" s="151" customFormat="1" ht="17.25" hidden="1" customHeight="1">
      <c r="B11" s="649" t="s">
        <v>563</v>
      </c>
      <c r="C11" s="649"/>
      <c r="D11" s="649"/>
      <c r="E11" s="649"/>
      <c r="F11" s="649"/>
      <c r="G11" s="649"/>
      <c r="H11" s="649"/>
      <c r="I11" s="649"/>
      <c r="J11" s="149"/>
      <c r="K11" s="149"/>
      <c r="L11" s="149"/>
      <c r="M11" s="149"/>
      <c r="N11" s="149"/>
      <c r="O11" s="149"/>
      <c r="P11" s="149"/>
      <c r="Q11" s="149"/>
      <c r="R11" s="149"/>
      <c r="S11" s="149"/>
      <c r="T11" s="149"/>
      <c r="U11" s="149"/>
    </row>
    <row r="12" spans="1:47" s="152" customFormat="1" ht="17.25" customHeight="1">
      <c r="C12" s="153"/>
      <c r="D12" s="154"/>
      <c r="E12" s="155"/>
      <c r="G12" s="156"/>
      <c r="I12" s="157"/>
      <c r="J12" s="158"/>
      <c r="K12" s="158"/>
      <c r="L12" s="655"/>
      <c r="M12" s="655"/>
      <c r="N12" s="159"/>
      <c r="O12" s="160"/>
      <c r="P12" s="158"/>
      <c r="Q12" s="158"/>
      <c r="R12" s="648" t="s">
        <v>0</v>
      </c>
      <c r="S12" s="648"/>
      <c r="T12" s="648"/>
      <c r="U12" s="160"/>
    </row>
    <row r="13" spans="1:47" s="161" customFormat="1" ht="32.25" customHeight="1">
      <c r="B13" s="656" t="s">
        <v>6</v>
      </c>
      <c r="C13" s="657" t="s">
        <v>7</v>
      </c>
      <c r="D13" s="660" t="s">
        <v>551</v>
      </c>
      <c r="E13" s="661"/>
      <c r="F13" s="661"/>
      <c r="G13" s="662"/>
      <c r="H13" s="660" t="s">
        <v>552</v>
      </c>
      <c r="I13" s="662"/>
      <c r="J13" s="663" t="s">
        <v>564</v>
      </c>
      <c r="K13" s="664"/>
      <c r="L13" s="664"/>
      <c r="M13" s="664"/>
      <c r="N13" s="664"/>
      <c r="O13" s="665"/>
      <c r="P13" s="663" t="s">
        <v>565</v>
      </c>
      <c r="Q13" s="664"/>
      <c r="R13" s="664"/>
      <c r="S13" s="664"/>
      <c r="T13" s="664"/>
      <c r="U13" s="665"/>
    </row>
    <row r="14" spans="1:47" s="161" customFormat="1" ht="17.25" customHeight="1">
      <c r="B14" s="656"/>
      <c r="C14" s="658"/>
      <c r="D14" s="660" t="s">
        <v>566</v>
      </c>
      <c r="E14" s="662"/>
      <c r="F14" s="660" t="s">
        <v>554</v>
      </c>
      <c r="G14" s="662"/>
      <c r="H14" s="657" t="s">
        <v>567</v>
      </c>
      <c r="I14" s="657" t="s">
        <v>568</v>
      </c>
      <c r="J14" s="666" t="s">
        <v>569</v>
      </c>
      <c r="K14" s="667"/>
      <c r="L14" s="666" t="s">
        <v>570</v>
      </c>
      <c r="M14" s="667"/>
      <c r="N14" s="670" t="s">
        <v>17</v>
      </c>
      <c r="O14" s="671"/>
      <c r="P14" s="666" t="s">
        <v>569</v>
      </c>
      <c r="Q14" s="667"/>
      <c r="R14" s="666" t="s">
        <v>570</v>
      </c>
      <c r="S14" s="667"/>
      <c r="T14" s="670" t="s">
        <v>17</v>
      </c>
      <c r="U14" s="671"/>
    </row>
    <row r="15" spans="1:47" s="161" customFormat="1" ht="31.5" customHeight="1">
      <c r="B15" s="656"/>
      <c r="C15" s="658"/>
      <c r="D15" s="162" t="s">
        <v>567</v>
      </c>
      <c r="E15" s="162" t="s">
        <v>568</v>
      </c>
      <c r="F15" s="162" t="s">
        <v>567</v>
      </c>
      <c r="G15" s="162" t="s">
        <v>568</v>
      </c>
      <c r="H15" s="658"/>
      <c r="I15" s="658"/>
      <c r="J15" s="668"/>
      <c r="K15" s="669"/>
      <c r="L15" s="668"/>
      <c r="M15" s="669"/>
      <c r="N15" s="672"/>
      <c r="O15" s="673"/>
      <c r="P15" s="668"/>
      <c r="Q15" s="669"/>
      <c r="R15" s="668"/>
      <c r="S15" s="669"/>
      <c r="T15" s="672"/>
      <c r="U15" s="673"/>
    </row>
    <row r="16" spans="1:47" s="161" customFormat="1" ht="51" customHeight="1">
      <c r="B16" s="656"/>
      <c r="C16" s="659"/>
      <c r="D16" s="163"/>
      <c r="E16" s="163"/>
      <c r="F16" s="163"/>
      <c r="G16" s="163"/>
      <c r="H16" s="659"/>
      <c r="I16" s="659"/>
      <c r="J16" s="164" t="s">
        <v>571</v>
      </c>
      <c r="K16" s="164" t="s">
        <v>568</v>
      </c>
      <c r="L16" s="164" t="s">
        <v>571</v>
      </c>
      <c r="M16" s="164" t="s">
        <v>568</v>
      </c>
      <c r="N16" s="164" t="s">
        <v>84</v>
      </c>
      <c r="O16" s="164" t="s">
        <v>572</v>
      </c>
      <c r="P16" s="164" t="s">
        <v>571</v>
      </c>
      <c r="Q16" s="164" t="s">
        <v>568</v>
      </c>
      <c r="R16" s="164" t="s">
        <v>571</v>
      </c>
      <c r="S16" s="164" t="s">
        <v>568</v>
      </c>
      <c r="T16" s="164" t="s">
        <v>84</v>
      </c>
      <c r="U16" s="164" t="s">
        <v>572</v>
      </c>
    </row>
    <row r="17" spans="2:22" s="152" customFormat="1" ht="17.25" customHeight="1">
      <c r="B17" s="165" t="s">
        <v>8</v>
      </c>
      <c r="C17" s="165" t="s">
        <v>9</v>
      </c>
      <c r="D17" s="165">
        <v>1</v>
      </c>
      <c r="E17" s="165">
        <v>2</v>
      </c>
      <c r="F17" s="165">
        <v>3</v>
      </c>
      <c r="G17" s="165">
        <v>4</v>
      </c>
      <c r="H17" s="165">
        <v>5</v>
      </c>
      <c r="I17" s="165">
        <v>6</v>
      </c>
      <c r="J17" s="164">
        <v>7</v>
      </c>
      <c r="K17" s="164">
        <v>8</v>
      </c>
      <c r="L17" s="164">
        <v>9</v>
      </c>
      <c r="M17" s="164">
        <v>10</v>
      </c>
      <c r="N17" s="164">
        <v>11</v>
      </c>
      <c r="O17" s="164">
        <v>12</v>
      </c>
      <c r="P17" s="164">
        <v>7</v>
      </c>
      <c r="Q17" s="164">
        <v>8</v>
      </c>
      <c r="R17" s="164">
        <v>9</v>
      </c>
      <c r="S17" s="164">
        <v>10</v>
      </c>
      <c r="T17" s="164">
        <v>11</v>
      </c>
      <c r="U17" s="164">
        <v>12</v>
      </c>
    </row>
    <row r="18" spans="2:22" s="152" customFormat="1" ht="18" customHeight="1">
      <c r="B18" s="166"/>
      <c r="C18" s="167" t="s">
        <v>573</v>
      </c>
      <c r="D18" s="168">
        <f t="shared" ref="D18:R18" si="0">D19+D101+D102+D103</f>
        <v>89750.39</v>
      </c>
      <c r="E18" s="168">
        <f t="shared" si="0"/>
        <v>73901</v>
      </c>
      <c r="F18" s="168">
        <f t="shared" si="0"/>
        <v>148800.39000000001</v>
      </c>
      <c r="G18" s="168">
        <f t="shared" si="0"/>
        <v>125865</v>
      </c>
      <c r="H18" s="168">
        <f t="shared" si="0"/>
        <v>129892.764</v>
      </c>
      <c r="I18" s="168">
        <f t="shared" si="0"/>
        <v>110150.73940000001</v>
      </c>
      <c r="J18" s="168">
        <f t="shared" si="0"/>
        <v>91370.39</v>
      </c>
      <c r="K18" s="168">
        <f t="shared" si="0"/>
        <v>75491</v>
      </c>
      <c r="L18" s="169">
        <f t="shared" si="0"/>
        <v>144370.39000000001</v>
      </c>
      <c r="M18" s="168">
        <f>M19+M101+M102+M103</f>
        <v>122301</v>
      </c>
      <c r="N18" s="168">
        <f t="shared" si="0"/>
        <v>116042</v>
      </c>
      <c r="O18" s="168">
        <f t="shared" si="0"/>
        <v>6259</v>
      </c>
      <c r="P18" s="168">
        <f t="shared" si="0"/>
        <v>91370.39</v>
      </c>
      <c r="Q18" s="168">
        <f t="shared" si="0"/>
        <v>75491</v>
      </c>
      <c r="R18" s="169">
        <f t="shared" si="0"/>
        <v>134770.39000000001</v>
      </c>
      <c r="S18" s="168">
        <f>S19+S101+S102+S103</f>
        <v>113853</v>
      </c>
      <c r="T18" s="168">
        <f>T19+T101+T102+T103</f>
        <v>108554</v>
      </c>
      <c r="U18" s="168">
        <f>U19+U101+U102+U103</f>
        <v>5299</v>
      </c>
      <c r="V18" s="154">
        <f>9600*0.88</f>
        <v>8448</v>
      </c>
    </row>
    <row r="19" spans="2:22" s="173" customFormat="1" ht="18.75" customHeight="1">
      <c r="B19" s="170" t="s">
        <v>10</v>
      </c>
      <c r="C19" s="171" t="s">
        <v>574</v>
      </c>
      <c r="D19" s="172">
        <f>D20+D30+D39+D47+D60+D61+D62+D63+D64+D67++D74+D77+D78+D81+D84+D85++D95+D98+D99+D100</f>
        <v>89750.39</v>
      </c>
      <c r="E19" s="172">
        <f>E20+E30+E39+E47+E60+E61+E62+E63+E64+E67++E74+E77+E78+E81+E84+E85+E95+E98+E99+E100</f>
        <v>73901</v>
      </c>
      <c r="F19" s="172">
        <f>F20+F30+F39+F47+F60+F61+F62+F63+F64+F67++F74+F77+F78+F81+F84+F85++F95+F98+F99+F100</f>
        <v>148800.39000000001</v>
      </c>
      <c r="G19" s="172">
        <f>G20+G30+G39+G47+G60+G61+G62+G63+G64+G67++G74+G77+G78+G81+G84+G85+G95+G98+G99+G100</f>
        <v>125865</v>
      </c>
      <c r="H19" s="172">
        <f>H20+H30+H39+H47+H60+H61+H62+H63+H64+H67++H74+H77+H78+H81+H84+H85++H95+H98+H99+H100</f>
        <v>129892.764</v>
      </c>
      <c r="I19" s="172">
        <f>I20+I30+I39+I47+I60+I61+I62+I63+I64+I67++I74+I77+I78+I81+I84+I85+I95+I98+I99+I100</f>
        <v>110150.73940000001</v>
      </c>
      <c r="J19" s="172">
        <f t="shared" ref="J19:U19" si="1">J20+J30+J39+J47+J60+J61+J62+J63+J64+J67++J74+J77+J78+J81+J84+J85++J95+J98+J99+J100</f>
        <v>91370.39</v>
      </c>
      <c r="K19" s="172">
        <f t="shared" si="1"/>
        <v>75491</v>
      </c>
      <c r="L19" s="172">
        <f t="shared" si="1"/>
        <v>144370.39000000001</v>
      </c>
      <c r="M19" s="172">
        <f t="shared" si="1"/>
        <v>122301</v>
      </c>
      <c r="N19" s="172">
        <f t="shared" si="1"/>
        <v>116042</v>
      </c>
      <c r="O19" s="172">
        <f t="shared" si="1"/>
        <v>6259</v>
      </c>
      <c r="P19" s="172">
        <f t="shared" si="1"/>
        <v>91370.39</v>
      </c>
      <c r="Q19" s="172">
        <f t="shared" si="1"/>
        <v>75491</v>
      </c>
      <c r="R19" s="172">
        <f t="shared" si="1"/>
        <v>134770.39000000001</v>
      </c>
      <c r="S19" s="172">
        <f t="shared" si="1"/>
        <v>113853</v>
      </c>
      <c r="T19" s="172">
        <f t="shared" si="1"/>
        <v>108554</v>
      </c>
      <c r="U19" s="172">
        <f t="shared" si="1"/>
        <v>5299</v>
      </c>
    </row>
    <row r="20" spans="2:22" s="173" customFormat="1" ht="35.25" customHeight="1">
      <c r="B20" s="174" t="s">
        <v>575</v>
      </c>
      <c r="C20" s="175" t="s">
        <v>576</v>
      </c>
      <c r="D20" s="172">
        <f t="shared" ref="D20:U20" si="2">D21+D23+D24+D29</f>
        <v>8430</v>
      </c>
      <c r="E20" s="172">
        <f t="shared" si="2"/>
        <v>870</v>
      </c>
      <c r="F20" s="172">
        <f t="shared" si="2"/>
        <v>8430</v>
      </c>
      <c r="G20" s="172">
        <f t="shared" si="2"/>
        <v>870</v>
      </c>
      <c r="H20" s="172">
        <f t="shared" si="2"/>
        <v>6837.1139999999996</v>
      </c>
      <c r="I20" s="172">
        <f t="shared" si="2"/>
        <v>684.01139999999998</v>
      </c>
      <c r="J20" s="172">
        <f t="shared" si="2"/>
        <v>8090</v>
      </c>
      <c r="K20" s="172">
        <f t="shared" si="2"/>
        <v>827</v>
      </c>
      <c r="L20" s="172">
        <f t="shared" si="2"/>
        <v>8090</v>
      </c>
      <c r="M20" s="172">
        <f t="shared" si="2"/>
        <v>827</v>
      </c>
      <c r="N20" s="172">
        <f t="shared" si="2"/>
        <v>827</v>
      </c>
      <c r="O20" s="172">
        <f t="shared" si="2"/>
        <v>0</v>
      </c>
      <c r="P20" s="172">
        <f t="shared" si="2"/>
        <v>8090</v>
      </c>
      <c r="Q20" s="172">
        <f t="shared" si="2"/>
        <v>827</v>
      </c>
      <c r="R20" s="172">
        <f t="shared" si="2"/>
        <v>8090</v>
      </c>
      <c r="S20" s="172">
        <f t="shared" si="2"/>
        <v>827</v>
      </c>
      <c r="T20" s="172">
        <f t="shared" si="2"/>
        <v>827</v>
      </c>
      <c r="U20" s="172">
        <f t="shared" si="2"/>
        <v>0</v>
      </c>
      <c r="V20" s="176">
        <f>S18-M18</f>
        <v>-8448</v>
      </c>
    </row>
    <row r="21" spans="2:22" s="152" customFormat="1" ht="18.75" customHeight="1">
      <c r="B21" s="177" t="s">
        <v>32</v>
      </c>
      <c r="C21" s="178" t="s">
        <v>577</v>
      </c>
      <c r="D21" s="179">
        <v>8400</v>
      </c>
      <c r="E21" s="179">
        <f>D21*0.1</f>
        <v>840</v>
      </c>
      <c r="F21" s="179">
        <v>8400</v>
      </c>
      <c r="G21" s="179">
        <f>F21*0.1</f>
        <v>840</v>
      </c>
      <c r="H21" s="179">
        <v>6820</v>
      </c>
      <c r="I21" s="179">
        <f>H21*0.1</f>
        <v>682</v>
      </c>
      <c r="J21" s="179">
        <v>8070</v>
      </c>
      <c r="K21" s="179">
        <f>J21*0.1</f>
        <v>807</v>
      </c>
      <c r="L21" s="179">
        <v>8070</v>
      </c>
      <c r="M21" s="180">
        <v>807</v>
      </c>
      <c r="N21" s="179">
        <f>807</f>
        <v>807</v>
      </c>
      <c r="O21" s="179"/>
      <c r="P21" s="179">
        <v>8070</v>
      </c>
      <c r="Q21" s="179">
        <f>P21*0.1</f>
        <v>807</v>
      </c>
      <c r="R21" s="179">
        <v>8070</v>
      </c>
      <c r="S21" s="180">
        <v>807</v>
      </c>
      <c r="T21" s="179">
        <f>807</f>
        <v>807</v>
      </c>
      <c r="U21" s="179"/>
    </row>
    <row r="22" spans="2:22" s="152" customFormat="1" ht="27.75" customHeight="1">
      <c r="B22" s="181"/>
      <c r="C22" s="182" t="s">
        <v>578</v>
      </c>
      <c r="D22" s="172"/>
      <c r="E22" s="179">
        <f>D22*0.1</f>
        <v>0</v>
      </c>
      <c r="F22" s="172"/>
      <c r="G22" s="179">
        <f>F22*0.1</f>
        <v>0</v>
      </c>
      <c r="H22" s="172"/>
      <c r="I22" s="179">
        <f>H22*0.1</f>
        <v>0</v>
      </c>
      <c r="J22" s="172"/>
      <c r="K22" s="172"/>
      <c r="L22" s="172"/>
      <c r="M22" s="183"/>
      <c r="N22" s="172"/>
      <c r="O22" s="172"/>
      <c r="P22" s="172"/>
      <c r="Q22" s="172"/>
      <c r="R22" s="172"/>
      <c r="S22" s="183"/>
      <c r="T22" s="172"/>
      <c r="U22" s="172"/>
    </row>
    <row r="23" spans="2:22" s="152" customFormat="1" ht="18.75" customHeight="1">
      <c r="B23" s="177" t="s">
        <v>34</v>
      </c>
      <c r="C23" s="178" t="s">
        <v>579</v>
      </c>
      <c r="D23" s="179"/>
      <c r="E23" s="179">
        <f>D23*0.1</f>
        <v>0</v>
      </c>
      <c r="F23" s="179"/>
      <c r="G23" s="179">
        <f>F23*0.1</f>
        <v>0</v>
      </c>
      <c r="H23" s="179">
        <v>0.114</v>
      </c>
      <c r="I23" s="179">
        <f>H23*0.1</f>
        <v>1.14E-2</v>
      </c>
      <c r="J23" s="179"/>
      <c r="K23" s="179"/>
      <c r="L23" s="179"/>
      <c r="M23" s="180"/>
      <c r="N23" s="179"/>
      <c r="O23" s="179"/>
      <c r="P23" s="179"/>
      <c r="Q23" s="179"/>
      <c r="R23" s="179"/>
      <c r="S23" s="180"/>
      <c r="T23" s="179"/>
      <c r="U23" s="179"/>
    </row>
    <row r="24" spans="2:22" s="161" customFormat="1" ht="18.75" customHeight="1">
      <c r="B24" s="177" t="s">
        <v>580</v>
      </c>
      <c r="C24" s="178" t="s">
        <v>581</v>
      </c>
      <c r="D24" s="179">
        <f>SUM(D25:D28)</f>
        <v>30</v>
      </c>
      <c r="E24" s="179">
        <f>SUM(E25:E28)</f>
        <v>30</v>
      </c>
      <c r="F24" s="179">
        <f>SUM(F25:F28)</f>
        <v>30</v>
      </c>
      <c r="G24" s="179">
        <f t="shared" ref="G24:U24" si="3">SUM(G25:G28)</f>
        <v>30</v>
      </c>
      <c r="H24" s="179">
        <f>SUM(H25:H28)</f>
        <v>17</v>
      </c>
      <c r="I24" s="179">
        <f t="shared" si="3"/>
        <v>2</v>
      </c>
      <c r="J24" s="179">
        <f t="shared" si="3"/>
        <v>20</v>
      </c>
      <c r="K24" s="179">
        <f t="shared" si="3"/>
        <v>20</v>
      </c>
      <c r="L24" s="179">
        <f t="shared" si="3"/>
        <v>20</v>
      </c>
      <c r="M24" s="180">
        <f t="shared" si="3"/>
        <v>20</v>
      </c>
      <c r="N24" s="179">
        <f t="shared" si="3"/>
        <v>20</v>
      </c>
      <c r="O24" s="179">
        <f t="shared" si="3"/>
        <v>0</v>
      </c>
      <c r="P24" s="179">
        <f t="shared" si="3"/>
        <v>20</v>
      </c>
      <c r="Q24" s="179">
        <f t="shared" si="3"/>
        <v>20</v>
      </c>
      <c r="R24" s="179">
        <f t="shared" si="3"/>
        <v>20</v>
      </c>
      <c r="S24" s="180">
        <f t="shared" si="3"/>
        <v>20</v>
      </c>
      <c r="T24" s="179">
        <f t="shared" si="3"/>
        <v>20</v>
      </c>
      <c r="U24" s="179">
        <f t="shared" si="3"/>
        <v>0</v>
      </c>
    </row>
    <row r="25" spans="2:22" s="152" customFormat="1" ht="18.75" hidden="1" customHeight="1">
      <c r="B25" s="177" t="s">
        <v>51</v>
      </c>
      <c r="C25" s="178" t="s">
        <v>582</v>
      </c>
      <c r="D25" s="179"/>
      <c r="E25" s="179"/>
      <c r="F25" s="179"/>
      <c r="G25" s="179"/>
      <c r="H25" s="179"/>
      <c r="I25" s="179"/>
      <c r="J25" s="179"/>
      <c r="K25" s="179"/>
      <c r="L25" s="179"/>
      <c r="M25" s="180"/>
      <c r="N25" s="179"/>
      <c r="O25" s="179"/>
      <c r="P25" s="179"/>
      <c r="Q25" s="179"/>
      <c r="R25" s="179"/>
      <c r="S25" s="180"/>
      <c r="T25" s="179"/>
      <c r="U25" s="179"/>
    </row>
    <row r="26" spans="2:22" s="152" customFormat="1" ht="18.75" customHeight="1">
      <c r="B26" s="177" t="s">
        <v>51</v>
      </c>
      <c r="C26" s="178" t="s">
        <v>583</v>
      </c>
      <c r="D26" s="179">
        <v>30</v>
      </c>
      <c r="E26" s="172">
        <v>30</v>
      </c>
      <c r="F26" s="179">
        <v>30</v>
      </c>
      <c r="G26" s="172">
        <v>30</v>
      </c>
      <c r="H26" s="179">
        <v>15</v>
      </c>
      <c r="I26" s="172"/>
      <c r="J26" s="179">
        <v>20</v>
      </c>
      <c r="K26" s="179">
        <v>20</v>
      </c>
      <c r="L26" s="184">
        <v>20</v>
      </c>
      <c r="M26" s="180">
        <v>20</v>
      </c>
      <c r="N26" s="179">
        <v>20</v>
      </c>
      <c r="O26" s="172"/>
      <c r="P26" s="179">
        <v>20</v>
      </c>
      <c r="Q26" s="179">
        <v>20</v>
      </c>
      <c r="R26" s="184">
        <v>20</v>
      </c>
      <c r="S26" s="180">
        <v>20</v>
      </c>
      <c r="T26" s="179">
        <v>20</v>
      </c>
      <c r="U26" s="172"/>
    </row>
    <row r="27" spans="2:22" s="152" customFormat="1" ht="18.75" customHeight="1">
      <c r="B27" s="177" t="s">
        <v>51</v>
      </c>
      <c r="C27" s="178" t="s">
        <v>584</v>
      </c>
      <c r="D27" s="185"/>
      <c r="E27" s="179"/>
      <c r="F27" s="185"/>
      <c r="G27" s="179"/>
      <c r="H27" s="185">
        <v>2</v>
      </c>
      <c r="I27" s="179">
        <v>2</v>
      </c>
      <c r="J27" s="179"/>
      <c r="K27" s="179">
        <f>J27</f>
        <v>0</v>
      </c>
      <c r="L27" s="179"/>
      <c r="M27" s="180">
        <f>L27</f>
        <v>0</v>
      </c>
      <c r="N27" s="179"/>
      <c r="O27" s="179"/>
      <c r="P27" s="179"/>
      <c r="Q27" s="179">
        <f>P27</f>
        <v>0</v>
      </c>
      <c r="R27" s="179"/>
      <c r="S27" s="180">
        <f>R27</f>
        <v>0</v>
      </c>
      <c r="T27" s="179"/>
      <c r="U27" s="179"/>
    </row>
    <row r="28" spans="2:22" s="152" customFormat="1" ht="18.75" hidden="1" customHeight="1">
      <c r="B28" s="177" t="s">
        <v>51</v>
      </c>
      <c r="C28" s="178" t="s">
        <v>585</v>
      </c>
      <c r="D28" s="172"/>
      <c r="E28" s="172"/>
      <c r="F28" s="172"/>
      <c r="G28" s="172"/>
      <c r="H28" s="172"/>
      <c r="I28" s="172"/>
      <c r="J28" s="172"/>
      <c r="K28" s="172"/>
      <c r="L28" s="172"/>
      <c r="M28" s="183"/>
      <c r="N28" s="172"/>
      <c r="O28" s="172"/>
      <c r="P28" s="172"/>
      <c r="Q28" s="172"/>
      <c r="R28" s="172"/>
      <c r="S28" s="183"/>
      <c r="T28" s="172"/>
      <c r="U28" s="172"/>
    </row>
    <row r="29" spans="2:22" s="152" customFormat="1" ht="18.75" hidden="1" customHeight="1">
      <c r="B29" s="177" t="s">
        <v>586</v>
      </c>
      <c r="C29" s="178" t="s">
        <v>587</v>
      </c>
      <c r="D29" s="179"/>
      <c r="E29" s="179"/>
      <c r="F29" s="179"/>
      <c r="G29" s="179"/>
      <c r="H29" s="179"/>
      <c r="I29" s="179"/>
      <c r="J29" s="179"/>
      <c r="K29" s="179"/>
      <c r="L29" s="179"/>
      <c r="M29" s="180"/>
      <c r="N29" s="179"/>
      <c r="O29" s="179"/>
      <c r="P29" s="179"/>
      <c r="Q29" s="179"/>
      <c r="R29" s="179"/>
      <c r="S29" s="180"/>
      <c r="T29" s="179"/>
      <c r="U29" s="179"/>
    </row>
    <row r="30" spans="2:22" s="173" customFormat="1" ht="43.5" customHeight="1">
      <c r="B30" s="174" t="s">
        <v>588</v>
      </c>
      <c r="C30" s="175" t="s">
        <v>589</v>
      </c>
      <c r="D30" s="172">
        <f t="shared" ref="D30:U30" si="4">D31+D32+D33+D34+D38</f>
        <v>290</v>
      </c>
      <c r="E30" s="172">
        <f t="shared" si="4"/>
        <v>16</v>
      </c>
      <c r="F30" s="172">
        <f t="shared" si="4"/>
        <v>290</v>
      </c>
      <c r="G30" s="172">
        <f t="shared" si="4"/>
        <v>16</v>
      </c>
      <c r="H30" s="172">
        <f t="shared" si="4"/>
        <v>418</v>
      </c>
      <c r="I30" s="172">
        <f t="shared" si="4"/>
        <v>36.799999999999997</v>
      </c>
      <c r="J30" s="172">
        <f t="shared" si="4"/>
        <v>350</v>
      </c>
      <c r="K30" s="172">
        <f t="shared" si="4"/>
        <v>30</v>
      </c>
      <c r="L30" s="172">
        <f t="shared" si="4"/>
        <v>350</v>
      </c>
      <c r="M30" s="183">
        <f t="shared" si="4"/>
        <v>30</v>
      </c>
      <c r="N30" s="172">
        <f t="shared" si="4"/>
        <v>30</v>
      </c>
      <c r="O30" s="172">
        <f t="shared" si="4"/>
        <v>0</v>
      </c>
      <c r="P30" s="172">
        <f t="shared" si="4"/>
        <v>350</v>
      </c>
      <c r="Q30" s="172">
        <f t="shared" si="4"/>
        <v>30</v>
      </c>
      <c r="R30" s="172">
        <f t="shared" si="4"/>
        <v>350</v>
      </c>
      <c r="S30" s="183">
        <f t="shared" si="4"/>
        <v>30</v>
      </c>
      <c r="T30" s="172">
        <f t="shared" si="4"/>
        <v>30</v>
      </c>
      <c r="U30" s="172">
        <f t="shared" si="4"/>
        <v>0</v>
      </c>
    </row>
    <row r="31" spans="2:22" s="161" customFormat="1" ht="18.75" customHeight="1">
      <c r="B31" s="177" t="s">
        <v>53</v>
      </c>
      <c r="C31" s="178" t="s">
        <v>577</v>
      </c>
      <c r="D31" s="179">
        <v>90</v>
      </c>
      <c r="E31" s="179">
        <f>D31*0.1</f>
        <v>9</v>
      </c>
      <c r="F31" s="179">
        <v>90</v>
      </c>
      <c r="G31" s="179">
        <f>F31*0.1</f>
        <v>9</v>
      </c>
      <c r="H31" s="179">
        <f>170</f>
        <v>170</v>
      </c>
      <c r="I31" s="179">
        <f>H31*0.1</f>
        <v>17</v>
      </c>
      <c r="J31" s="179">
        <f>170</f>
        <v>170</v>
      </c>
      <c r="K31" s="179">
        <f>J31*0.1</f>
        <v>17</v>
      </c>
      <c r="L31" s="179">
        <f>170</f>
        <v>170</v>
      </c>
      <c r="M31" s="180">
        <v>17</v>
      </c>
      <c r="N31" s="179">
        <v>17</v>
      </c>
      <c r="O31" s="179"/>
      <c r="P31" s="179">
        <f>170</f>
        <v>170</v>
      </c>
      <c r="Q31" s="179">
        <f>P31*0.1</f>
        <v>17</v>
      </c>
      <c r="R31" s="179">
        <f>170</f>
        <v>170</v>
      </c>
      <c r="S31" s="180">
        <v>17</v>
      </c>
      <c r="T31" s="179">
        <v>17</v>
      </c>
      <c r="U31" s="179"/>
    </row>
    <row r="32" spans="2:22" s="161" customFormat="1" ht="18.75" customHeight="1">
      <c r="B32" s="177" t="s">
        <v>56</v>
      </c>
      <c r="C32" s="178" t="s">
        <v>579</v>
      </c>
      <c r="D32" s="179">
        <v>70</v>
      </c>
      <c r="E32" s="185">
        <f>D32*0.1</f>
        <v>7</v>
      </c>
      <c r="F32" s="179">
        <v>70</v>
      </c>
      <c r="G32" s="185">
        <f>F32*0.1</f>
        <v>7</v>
      </c>
      <c r="H32" s="179">
        <v>198</v>
      </c>
      <c r="I32" s="185">
        <f>H32*0.1</f>
        <v>19.8</v>
      </c>
      <c r="J32" s="179">
        <v>130</v>
      </c>
      <c r="K32" s="179">
        <f>J32*0.1</f>
        <v>13</v>
      </c>
      <c r="L32" s="179">
        <v>130</v>
      </c>
      <c r="M32" s="180">
        <v>13</v>
      </c>
      <c r="N32" s="179">
        <v>13</v>
      </c>
      <c r="O32" s="179"/>
      <c r="P32" s="179">
        <v>130</v>
      </c>
      <c r="Q32" s="179">
        <f>P32*0.1</f>
        <v>13</v>
      </c>
      <c r="R32" s="179">
        <v>130</v>
      </c>
      <c r="S32" s="180">
        <v>13</v>
      </c>
      <c r="T32" s="179">
        <v>13</v>
      </c>
      <c r="U32" s="179"/>
    </row>
    <row r="33" spans="2:21" s="161" customFormat="1" ht="18.75" customHeight="1">
      <c r="B33" s="177" t="s">
        <v>590</v>
      </c>
      <c r="C33" s="178" t="s">
        <v>591</v>
      </c>
      <c r="D33" s="179"/>
      <c r="E33" s="179">
        <f>D33*0.1</f>
        <v>0</v>
      </c>
      <c r="F33" s="179"/>
      <c r="G33" s="179">
        <f>F33*0.1</f>
        <v>0</v>
      </c>
      <c r="H33" s="179"/>
      <c r="I33" s="179">
        <f>H33*0.1</f>
        <v>0</v>
      </c>
      <c r="J33" s="179"/>
      <c r="K33" s="179"/>
      <c r="L33" s="179"/>
      <c r="M33" s="180"/>
      <c r="N33" s="179"/>
      <c r="O33" s="179"/>
      <c r="P33" s="179"/>
      <c r="Q33" s="179"/>
      <c r="R33" s="179"/>
      <c r="S33" s="180"/>
      <c r="T33" s="179"/>
      <c r="U33" s="179"/>
    </row>
    <row r="34" spans="2:21" s="161" customFormat="1" ht="18.75" customHeight="1">
      <c r="B34" s="177" t="s">
        <v>590</v>
      </c>
      <c r="C34" s="178" t="s">
        <v>581</v>
      </c>
      <c r="D34" s="179">
        <f t="shared" ref="D34:O34" si="5">SUM(D35:D37)</f>
        <v>130</v>
      </c>
      <c r="E34" s="179">
        <f t="shared" si="5"/>
        <v>0</v>
      </c>
      <c r="F34" s="179">
        <f t="shared" si="5"/>
        <v>130</v>
      </c>
      <c r="G34" s="179">
        <f t="shared" si="5"/>
        <v>0</v>
      </c>
      <c r="H34" s="179">
        <f t="shared" si="5"/>
        <v>50</v>
      </c>
      <c r="I34" s="179">
        <f t="shared" si="5"/>
        <v>0</v>
      </c>
      <c r="J34" s="179">
        <f t="shared" si="5"/>
        <v>50</v>
      </c>
      <c r="K34" s="179">
        <f t="shared" si="5"/>
        <v>0</v>
      </c>
      <c r="L34" s="179">
        <f t="shared" si="5"/>
        <v>50</v>
      </c>
      <c r="M34" s="180">
        <f t="shared" si="5"/>
        <v>0</v>
      </c>
      <c r="N34" s="179">
        <f t="shared" si="5"/>
        <v>0</v>
      </c>
      <c r="O34" s="179">
        <f t="shared" si="5"/>
        <v>0</v>
      </c>
      <c r="P34" s="179">
        <f t="shared" ref="P34:U34" si="6">SUM(P35:P37)</f>
        <v>50</v>
      </c>
      <c r="Q34" s="179">
        <f t="shared" si="6"/>
        <v>0</v>
      </c>
      <c r="R34" s="179">
        <f t="shared" si="6"/>
        <v>50</v>
      </c>
      <c r="S34" s="180">
        <f t="shared" si="6"/>
        <v>0</v>
      </c>
      <c r="T34" s="179">
        <f t="shared" si="6"/>
        <v>0</v>
      </c>
      <c r="U34" s="179">
        <f t="shared" si="6"/>
        <v>0</v>
      </c>
    </row>
    <row r="35" spans="2:21" s="161" customFormat="1" ht="18.75" customHeight="1">
      <c r="B35" s="177" t="s">
        <v>51</v>
      </c>
      <c r="C35" s="178" t="s">
        <v>583</v>
      </c>
      <c r="D35" s="179">
        <v>130</v>
      </c>
      <c r="E35" s="179">
        <v>0</v>
      </c>
      <c r="F35" s="179">
        <v>130</v>
      </c>
      <c r="G35" s="179">
        <v>0</v>
      </c>
      <c r="H35" s="179">
        <f>50</f>
        <v>50</v>
      </c>
      <c r="I35" s="179">
        <v>0</v>
      </c>
      <c r="J35" s="179">
        <f>50</f>
        <v>50</v>
      </c>
      <c r="K35" s="179">
        <v>0</v>
      </c>
      <c r="L35" s="179">
        <f>50</f>
        <v>50</v>
      </c>
      <c r="M35" s="180">
        <v>0</v>
      </c>
      <c r="N35" s="179"/>
      <c r="O35" s="179"/>
      <c r="P35" s="179">
        <f>50</f>
        <v>50</v>
      </c>
      <c r="Q35" s="179">
        <v>0</v>
      </c>
      <c r="R35" s="179">
        <f>50</f>
        <v>50</v>
      </c>
      <c r="S35" s="180">
        <v>0</v>
      </c>
      <c r="T35" s="179"/>
      <c r="U35" s="179"/>
    </row>
    <row r="36" spans="2:21" s="161" customFormat="1" ht="18.75" hidden="1" customHeight="1">
      <c r="B36" s="177" t="s">
        <v>51</v>
      </c>
      <c r="C36" s="178" t="s">
        <v>584</v>
      </c>
      <c r="D36" s="179"/>
      <c r="E36" s="179"/>
      <c r="F36" s="179"/>
      <c r="G36" s="179"/>
      <c r="H36" s="179"/>
      <c r="I36" s="179"/>
      <c r="J36" s="179"/>
      <c r="K36" s="179"/>
      <c r="L36" s="179"/>
      <c r="M36" s="180"/>
      <c r="N36" s="179"/>
      <c r="O36" s="179"/>
      <c r="P36" s="179"/>
      <c r="Q36" s="179"/>
      <c r="R36" s="179"/>
      <c r="S36" s="180"/>
      <c r="T36" s="179"/>
      <c r="U36" s="179"/>
    </row>
    <row r="37" spans="2:21" s="161" customFormat="1" ht="18.75" hidden="1" customHeight="1">
      <c r="B37" s="177" t="s">
        <v>51</v>
      </c>
      <c r="C37" s="178" t="s">
        <v>585</v>
      </c>
      <c r="D37" s="179"/>
      <c r="E37" s="179"/>
      <c r="F37" s="179"/>
      <c r="G37" s="179"/>
      <c r="H37" s="179"/>
      <c r="I37" s="179"/>
      <c r="J37" s="179"/>
      <c r="K37" s="179"/>
      <c r="L37" s="179"/>
      <c r="M37" s="180"/>
      <c r="N37" s="179"/>
      <c r="O37" s="179"/>
      <c r="P37" s="179"/>
      <c r="Q37" s="179"/>
      <c r="R37" s="179"/>
      <c r="S37" s="180"/>
      <c r="T37" s="179"/>
      <c r="U37" s="179"/>
    </row>
    <row r="38" spans="2:21" s="161" customFormat="1" ht="18.75" hidden="1" customHeight="1">
      <c r="B38" s="177" t="s">
        <v>592</v>
      </c>
      <c r="C38" s="178" t="s">
        <v>587</v>
      </c>
      <c r="D38" s="179"/>
      <c r="E38" s="179"/>
      <c r="F38" s="179"/>
      <c r="G38" s="179"/>
      <c r="H38" s="179"/>
      <c r="I38" s="179"/>
      <c r="J38" s="179"/>
      <c r="K38" s="179"/>
      <c r="L38" s="179"/>
      <c r="M38" s="180"/>
      <c r="N38" s="179"/>
      <c r="O38" s="179"/>
      <c r="P38" s="179"/>
      <c r="Q38" s="179"/>
      <c r="R38" s="179"/>
      <c r="S38" s="180"/>
      <c r="T38" s="179"/>
      <c r="U38" s="179"/>
    </row>
    <row r="39" spans="2:21" s="152" customFormat="1" ht="30" customHeight="1">
      <c r="B39" s="174" t="s">
        <v>593</v>
      </c>
      <c r="C39" s="175" t="s">
        <v>594</v>
      </c>
      <c r="D39" s="179">
        <f t="shared" ref="D39:I39" si="7">D40+D41+D42+D45+D46</f>
        <v>0</v>
      </c>
      <c r="E39" s="179">
        <f t="shared" si="7"/>
        <v>0</v>
      </c>
      <c r="F39" s="179">
        <f t="shared" si="7"/>
        <v>0</v>
      </c>
      <c r="G39" s="179">
        <f t="shared" si="7"/>
        <v>0</v>
      </c>
      <c r="H39" s="179">
        <f t="shared" si="7"/>
        <v>0</v>
      </c>
      <c r="I39" s="179">
        <f t="shared" si="7"/>
        <v>0</v>
      </c>
      <c r="J39" s="179">
        <f>J40+J41+J42+J45+J46</f>
        <v>0</v>
      </c>
      <c r="K39" s="179">
        <f>K40+K41+K42+K45+K46</f>
        <v>0</v>
      </c>
      <c r="L39" s="179">
        <f>L40+L41+L42+L45+L46</f>
        <v>0</v>
      </c>
      <c r="M39" s="180">
        <f>M40+M41+M42+M45+M46</f>
        <v>0</v>
      </c>
      <c r="N39" s="179"/>
      <c r="O39" s="179"/>
      <c r="P39" s="179">
        <f>P40+P41+P42+P45+P46</f>
        <v>0</v>
      </c>
      <c r="Q39" s="179">
        <f>Q40+Q41+Q42+Q45+Q46</f>
        <v>0</v>
      </c>
      <c r="R39" s="179">
        <f>R40+R41+R42+R45+R46</f>
        <v>0</v>
      </c>
      <c r="S39" s="180">
        <f>S40+S41+S42+S45+S46</f>
        <v>0</v>
      </c>
      <c r="T39" s="179"/>
      <c r="U39" s="179"/>
    </row>
    <row r="40" spans="2:21" s="152" customFormat="1" ht="18.75" hidden="1" customHeight="1">
      <c r="B40" s="177" t="s">
        <v>61</v>
      </c>
      <c r="C40" s="178" t="s">
        <v>577</v>
      </c>
      <c r="D40" s="172"/>
      <c r="E40" s="172"/>
      <c r="F40" s="172"/>
      <c r="G40" s="172"/>
      <c r="H40" s="172"/>
      <c r="I40" s="172"/>
      <c r="J40" s="172"/>
      <c r="K40" s="172"/>
      <c r="L40" s="172"/>
      <c r="M40" s="183"/>
      <c r="N40" s="172"/>
      <c r="O40" s="172"/>
      <c r="P40" s="172"/>
      <c r="Q40" s="172"/>
      <c r="R40" s="172"/>
      <c r="S40" s="183"/>
      <c r="T40" s="172"/>
      <c r="U40" s="172"/>
    </row>
    <row r="41" spans="2:21" s="152" customFormat="1" ht="18.75" hidden="1" customHeight="1">
      <c r="B41" s="177" t="s">
        <v>63</v>
      </c>
      <c r="C41" s="178" t="s">
        <v>595</v>
      </c>
      <c r="D41" s="179"/>
      <c r="E41" s="179"/>
      <c r="F41" s="179"/>
      <c r="G41" s="179"/>
      <c r="H41" s="179"/>
      <c r="I41" s="179"/>
      <c r="J41" s="179"/>
      <c r="K41" s="179"/>
      <c r="L41" s="179"/>
      <c r="M41" s="180"/>
      <c r="N41" s="179"/>
      <c r="O41" s="179"/>
      <c r="P41" s="179"/>
      <c r="Q41" s="179"/>
      <c r="R41" s="179"/>
      <c r="S41" s="180"/>
      <c r="T41" s="179"/>
      <c r="U41" s="179"/>
    </row>
    <row r="42" spans="2:21" s="152" customFormat="1" ht="18.75" hidden="1" customHeight="1">
      <c r="B42" s="177" t="s">
        <v>596</v>
      </c>
      <c r="C42" s="178" t="s">
        <v>581</v>
      </c>
      <c r="D42" s="172">
        <f t="shared" ref="D42:O42" si="8">SUM(D43:D44)</f>
        <v>0</v>
      </c>
      <c r="E42" s="172">
        <f t="shared" si="8"/>
        <v>0</v>
      </c>
      <c r="F42" s="172">
        <f t="shared" si="8"/>
        <v>0</v>
      </c>
      <c r="G42" s="172">
        <f t="shared" si="8"/>
        <v>0</v>
      </c>
      <c r="H42" s="172">
        <f t="shared" si="8"/>
        <v>0</v>
      </c>
      <c r="I42" s="172">
        <f t="shared" si="8"/>
        <v>0</v>
      </c>
      <c r="J42" s="172">
        <f t="shared" si="8"/>
        <v>0</v>
      </c>
      <c r="K42" s="172">
        <f t="shared" si="8"/>
        <v>0</v>
      </c>
      <c r="L42" s="172">
        <f t="shared" si="8"/>
        <v>0</v>
      </c>
      <c r="M42" s="183">
        <f t="shared" si="8"/>
        <v>0</v>
      </c>
      <c r="N42" s="172">
        <f t="shared" si="8"/>
        <v>0</v>
      </c>
      <c r="O42" s="172">
        <f t="shared" si="8"/>
        <v>0</v>
      </c>
      <c r="P42" s="172">
        <f t="shared" ref="P42:U42" si="9">SUM(P43:P44)</f>
        <v>0</v>
      </c>
      <c r="Q42" s="172">
        <f t="shared" si="9"/>
        <v>0</v>
      </c>
      <c r="R42" s="172">
        <f t="shared" si="9"/>
        <v>0</v>
      </c>
      <c r="S42" s="183">
        <f t="shared" si="9"/>
        <v>0</v>
      </c>
      <c r="T42" s="172">
        <f t="shared" si="9"/>
        <v>0</v>
      </c>
      <c r="U42" s="172">
        <f t="shared" si="9"/>
        <v>0</v>
      </c>
    </row>
    <row r="43" spans="2:21" s="152" customFormat="1" ht="18.75" hidden="1" customHeight="1">
      <c r="B43" s="177" t="s">
        <v>51</v>
      </c>
      <c r="C43" s="178" t="s">
        <v>583</v>
      </c>
      <c r="D43" s="179"/>
      <c r="E43" s="179"/>
      <c r="F43" s="179"/>
      <c r="G43" s="179"/>
      <c r="H43" s="179"/>
      <c r="I43" s="179"/>
      <c r="J43" s="179"/>
      <c r="K43" s="179"/>
      <c r="L43" s="179"/>
      <c r="M43" s="180"/>
      <c r="N43" s="179"/>
      <c r="O43" s="179"/>
      <c r="P43" s="179"/>
      <c r="Q43" s="179"/>
      <c r="R43" s="179"/>
      <c r="S43" s="180"/>
      <c r="T43" s="179"/>
      <c r="U43" s="179"/>
    </row>
    <row r="44" spans="2:21" s="152" customFormat="1" ht="18.75" hidden="1" customHeight="1">
      <c r="B44" s="177" t="s">
        <v>51</v>
      </c>
      <c r="C44" s="178" t="s">
        <v>585</v>
      </c>
      <c r="D44" s="172"/>
      <c r="E44" s="172"/>
      <c r="F44" s="172"/>
      <c r="G44" s="172"/>
      <c r="H44" s="172"/>
      <c r="I44" s="172"/>
      <c r="J44" s="172"/>
      <c r="K44" s="172"/>
      <c r="L44" s="172"/>
      <c r="M44" s="183"/>
      <c r="N44" s="172"/>
      <c r="O44" s="172"/>
      <c r="P44" s="172"/>
      <c r="Q44" s="172"/>
      <c r="R44" s="172"/>
      <c r="S44" s="183"/>
      <c r="T44" s="172"/>
      <c r="U44" s="172"/>
    </row>
    <row r="45" spans="2:21" s="152" customFormat="1" ht="18.75" hidden="1" customHeight="1">
      <c r="B45" s="177" t="s">
        <v>597</v>
      </c>
      <c r="C45" s="178" t="s">
        <v>598</v>
      </c>
      <c r="D45" s="179"/>
      <c r="E45" s="179"/>
      <c r="F45" s="179"/>
      <c r="G45" s="179"/>
      <c r="H45" s="179"/>
      <c r="I45" s="179"/>
      <c r="J45" s="179"/>
      <c r="K45" s="179"/>
      <c r="L45" s="179"/>
      <c r="M45" s="180"/>
      <c r="N45" s="179"/>
      <c r="O45" s="179"/>
      <c r="P45" s="179"/>
      <c r="Q45" s="179"/>
      <c r="R45" s="179"/>
      <c r="S45" s="180"/>
      <c r="T45" s="179"/>
      <c r="U45" s="179"/>
    </row>
    <row r="46" spans="2:21" s="152" customFormat="1" ht="18.75" hidden="1" customHeight="1">
      <c r="B46" s="177" t="s">
        <v>599</v>
      </c>
      <c r="C46" s="178" t="s">
        <v>600</v>
      </c>
      <c r="D46" s="172"/>
      <c r="E46" s="172"/>
      <c r="F46" s="172"/>
      <c r="G46" s="172"/>
      <c r="H46" s="172"/>
      <c r="I46" s="172"/>
      <c r="J46" s="172"/>
      <c r="K46" s="172"/>
      <c r="L46" s="172"/>
      <c r="M46" s="183"/>
      <c r="N46" s="172"/>
      <c r="O46" s="172"/>
      <c r="P46" s="172"/>
      <c r="Q46" s="172"/>
      <c r="R46" s="172"/>
      <c r="S46" s="183"/>
      <c r="T46" s="172"/>
      <c r="U46" s="172"/>
    </row>
    <row r="47" spans="2:21" s="173" customFormat="1" ht="45.75" customHeight="1">
      <c r="B47" s="174" t="s">
        <v>601</v>
      </c>
      <c r="C47" s="175" t="s">
        <v>602</v>
      </c>
      <c r="D47" s="172">
        <f>D48+D52+D53+D54+D59</f>
        <v>63350.39</v>
      </c>
      <c r="E47" s="172">
        <f>E48+E52+E53+E54+E59</f>
        <v>57081</v>
      </c>
      <c r="F47" s="172">
        <f t="shared" ref="F47:Q47" si="10">F48+F52+F53+F54+F59</f>
        <v>63350.39</v>
      </c>
      <c r="G47" s="172">
        <f>G48+G52+G53+G54+G59</f>
        <v>57081</v>
      </c>
      <c r="H47" s="172">
        <f t="shared" si="10"/>
        <v>75763.39</v>
      </c>
      <c r="I47" s="172">
        <f t="shared" si="10"/>
        <v>68227.56</v>
      </c>
      <c r="J47" s="172">
        <f t="shared" si="10"/>
        <v>66500.39</v>
      </c>
      <c r="K47" s="172">
        <f t="shared" si="10"/>
        <v>59918</v>
      </c>
      <c r="L47" s="186">
        <f>L48+L52+L53+L54+L59</f>
        <v>71500.39</v>
      </c>
      <c r="M47" s="183">
        <f t="shared" si="10"/>
        <v>64418</v>
      </c>
      <c r="N47" s="172">
        <f t="shared" si="10"/>
        <v>64418</v>
      </c>
      <c r="O47" s="172">
        <f t="shared" si="10"/>
        <v>0</v>
      </c>
      <c r="P47" s="172">
        <f t="shared" si="10"/>
        <v>66500.39</v>
      </c>
      <c r="Q47" s="172">
        <f t="shared" si="10"/>
        <v>59918</v>
      </c>
      <c r="R47" s="186">
        <f>R48+R52+R53+R54+R59</f>
        <v>71500.39</v>
      </c>
      <c r="S47" s="183">
        <f>S48+S52+S53+S54+S59</f>
        <v>64418</v>
      </c>
      <c r="T47" s="172">
        <f>T48+T52+T53+T54+T59</f>
        <v>64418</v>
      </c>
      <c r="U47" s="172">
        <f>U48+U52+U53+U54+U59</f>
        <v>0</v>
      </c>
    </row>
    <row r="48" spans="2:21" s="161" customFormat="1" ht="18.75" customHeight="1">
      <c r="B48" s="177" t="s">
        <v>1</v>
      </c>
      <c r="C48" s="178" t="s">
        <v>577</v>
      </c>
      <c r="D48" s="179">
        <v>62360</v>
      </c>
      <c r="E48" s="180">
        <f>D48*0.9</f>
        <v>56124</v>
      </c>
      <c r="F48" s="179">
        <v>62360</v>
      </c>
      <c r="G48" s="180">
        <f>F48*0.9</f>
        <v>56124</v>
      </c>
      <c r="H48" s="179">
        <v>74625</v>
      </c>
      <c r="I48" s="180">
        <f>H48*0.9</f>
        <v>67162.5</v>
      </c>
      <c r="J48" s="179">
        <v>65620</v>
      </c>
      <c r="K48" s="179">
        <f>J48*0.9</f>
        <v>59058</v>
      </c>
      <c r="L48" s="187">
        <f>65620+5000</f>
        <v>70620</v>
      </c>
      <c r="M48" s="180">
        <v>63558</v>
      </c>
      <c r="N48" s="179">
        <f>M48</f>
        <v>63558</v>
      </c>
      <c r="O48" s="179"/>
      <c r="P48" s="179">
        <v>65620</v>
      </c>
      <c r="Q48" s="179">
        <f>P48*0.9</f>
        <v>59058</v>
      </c>
      <c r="R48" s="187">
        <f>65620+5000</f>
        <v>70620</v>
      </c>
      <c r="S48" s="180">
        <v>63558</v>
      </c>
      <c r="T48" s="179">
        <f>S48</f>
        <v>63558</v>
      </c>
      <c r="U48" s="179"/>
    </row>
    <row r="49" spans="2:21" s="161" customFormat="1" ht="18.75" hidden="1" customHeight="1">
      <c r="B49" s="181"/>
      <c r="C49" s="182"/>
      <c r="D49" s="179"/>
      <c r="E49" s="180">
        <f>D49*0.9</f>
        <v>0</v>
      </c>
      <c r="F49" s="179"/>
      <c r="G49" s="180">
        <f>F49*0.9</f>
        <v>0</v>
      </c>
      <c r="H49" s="179"/>
      <c r="I49" s="180">
        <f>H49*0.9</f>
        <v>0</v>
      </c>
      <c r="J49" s="179"/>
      <c r="K49" s="179">
        <f>J49*0.9</f>
        <v>0</v>
      </c>
      <c r="L49" s="179"/>
      <c r="M49" s="180">
        <f>L49*0.9</f>
        <v>0</v>
      </c>
      <c r="N49" s="179"/>
      <c r="O49" s="179"/>
      <c r="P49" s="179"/>
      <c r="Q49" s="179">
        <f>P49*0.9</f>
        <v>0</v>
      </c>
      <c r="R49" s="179"/>
      <c r="S49" s="180">
        <f>R49*0.9</f>
        <v>0</v>
      </c>
      <c r="T49" s="179"/>
      <c r="U49" s="179"/>
    </row>
    <row r="50" spans="2:21" s="161" customFormat="1" ht="37.5" customHeight="1">
      <c r="B50" s="181"/>
      <c r="C50" s="182" t="s">
        <v>603</v>
      </c>
      <c r="D50" s="179">
        <v>45700</v>
      </c>
      <c r="E50" s="180">
        <f>D50*0.9</f>
        <v>41130</v>
      </c>
      <c r="F50" s="179">
        <v>45700</v>
      </c>
      <c r="G50" s="180">
        <f>F50*0.9</f>
        <v>41130</v>
      </c>
      <c r="H50" s="179">
        <v>48105</v>
      </c>
      <c r="I50" s="180">
        <f>H50*0.9</f>
        <v>43294.5</v>
      </c>
      <c r="J50" s="179">
        <v>48500</v>
      </c>
      <c r="K50" s="179">
        <f>J50*0.9</f>
        <v>43650</v>
      </c>
      <c r="L50" s="179">
        <v>48500</v>
      </c>
      <c r="M50" s="180">
        <v>43650</v>
      </c>
      <c r="N50" s="179">
        <v>43650</v>
      </c>
      <c r="O50" s="179"/>
      <c r="P50" s="179">
        <v>48500</v>
      </c>
      <c r="Q50" s="179">
        <f>P50*0.9</f>
        <v>43650</v>
      </c>
      <c r="R50" s="179">
        <v>48500</v>
      </c>
      <c r="S50" s="180">
        <v>43650</v>
      </c>
      <c r="T50" s="179">
        <v>43650</v>
      </c>
      <c r="U50" s="179"/>
    </row>
    <row r="51" spans="2:21" s="161" customFormat="1" ht="18.75" hidden="1" customHeight="1">
      <c r="B51" s="181"/>
      <c r="C51" s="182" t="s">
        <v>604</v>
      </c>
      <c r="D51" s="179"/>
      <c r="E51" s="179"/>
      <c r="F51" s="179"/>
      <c r="G51" s="179"/>
      <c r="H51" s="179"/>
      <c r="I51" s="179"/>
      <c r="J51" s="179"/>
      <c r="K51" s="179">
        <f>J51*0.9</f>
        <v>0</v>
      </c>
      <c r="L51" s="179"/>
      <c r="M51" s="180">
        <f>L51*0.9</f>
        <v>0</v>
      </c>
      <c r="N51" s="179"/>
      <c r="O51" s="179"/>
      <c r="P51" s="179"/>
      <c r="Q51" s="179">
        <f>P51*0.9</f>
        <v>0</v>
      </c>
      <c r="R51" s="179"/>
      <c r="S51" s="180">
        <f>R51*0.9</f>
        <v>0</v>
      </c>
      <c r="T51" s="179"/>
      <c r="U51" s="179"/>
    </row>
    <row r="52" spans="2:21" s="161" customFormat="1" ht="18.75" customHeight="1">
      <c r="B52" s="177" t="s">
        <v>2</v>
      </c>
      <c r="C52" s="178" t="s">
        <v>595</v>
      </c>
      <c r="D52" s="179">
        <v>330</v>
      </c>
      <c r="E52" s="179">
        <f>D52*0.9</f>
        <v>297</v>
      </c>
      <c r="F52" s="179">
        <v>330</v>
      </c>
      <c r="G52" s="179">
        <f>F52*0.9</f>
        <v>297</v>
      </c>
      <c r="H52" s="179">
        <v>241</v>
      </c>
      <c r="I52" s="179">
        <f>H52*0.9</f>
        <v>216.9</v>
      </c>
      <c r="J52" s="179">
        <f>200</f>
        <v>200</v>
      </c>
      <c r="K52" s="179">
        <f>J52*0.9</f>
        <v>180</v>
      </c>
      <c r="L52" s="179">
        <f>200</f>
        <v>200</v>
      </c>
      <c r="M52" s="180">
        <v>180</v>
      </c>
      <c r="N52" s="179">
        <v>180</v>
      </c>
      <c r="O52" s="179"/>
      <c r="P52" s="179">
        <f>200</f>
        <v>200</v>
      </c>
      <c r="Q52" s="179">
        <f>P52*0.9</f>
        <v>180</v>
      </c>
      <c r="R52" s="179">
        <f>200</f>
        <v>200</v>
      </c>
      <c r="S52" s="180">
        <v>180</v>
      </c>
      <c r="T52" s="179">
        <v>180</v>
      </c>
      <c r="U52" s="179"/>
    </row>
    <row r="53" spans="2:21" s="161" customFormat="1" ht="18.75" customHeight="1">
      <c r="B53" s="177" t="s">
        <v>3</v>
      </c>
      <c r="C53" s="178" t="s">
        <v>605</v>
      </c>
      <c r="D53" s="179">
        <v>40.39</v>
      </c>
      <c r="E53" s="179">
        <v>40</v>
      </c>
      <c r="F53" s="179">
        <v>40.39</v>
      </c>
      <c r="G53" s="179">
        <v>40</v>
      </c>
      <c r="H53" s="179">
        <v>40.39</v>
      </c>
      <c r="I53" s="179">
        <v>40</v>
      </c>
      <c r="J53" s="179">
        <v>40.39</v>
      </c>
      <c r="K53" s="179">
        <v>40</v>
      </c>
      <c r="L53" s="179">
        <v>40.39</v>
      </c>
      <c r="M53" s="180">
        <v>40</v>
      </c>
      <c r="N53" s="179">
        <v>40</v>
      </c>
      <c r="O53" s="179"/>
      <c r="P53" s="179">
        <v>40.39</v>
      </c>
      <c r="Q53" s="179">
        <v>40</v>
      </c>
      <c r="R53" s="179">
        <v>40.39</v>
      </c>
      <c r="S53" s="180">
        <v>40</v>
      </c>
      <c r="T53" s="179">
        <v>40</v>
      </c>
      <c r="U53" s="179"/>
    </row>
    <row r="54" spans="2:21" s="161" customFormat="1" ht="18.75" customHeight="1">
      <c r="B54" s="177" t="s">
        <v>606</v>
      </c>
      <c r="C54" s="178" t="s">
        <v>581</v>
      </c>
      <c r="D54" s="179">
        <f t="shared" ref="D54:O54" si="11">SUM(D55:D58)</f>
        <v>620</v>
      </c>
      <c r="E54" s="179">
        <f t="shared" si="11"/>
        <v>620</v>
      </c>
      <c r="F54" s="179">
        <f t="shared" si="11"/>
        <v>620</v>
      </c>
      <c r="G54" s="179">
        <f t="shared" si="11"/>
        <v>620</v>
      </c>
      <c r="H54" s="179">
        <f t="shared" si="11"/>
        <v>857</v>
      </c>
      <c r="I54" s="179">
        <f t="shared" si="11"/>
        <v>808.16</v>
      </c>
      <c r="J54" s="179">
        <f t="shared" si="11"/>
        <v>640</v>
      </c>
      <c r="K54" s="179">
        <f t="shared" si="11"/>
        <v>640</v>
      </c>
      <c r="L54" s="179">
        <f t="shared" si="11"/>
        <v>640</v>
      </c>
      <c r="M54" s="180">
        <f t="shared" si="11"/>
        <v>640</v>
      </c>
      <c r="N54" s="179">
        <f t="shared" si="11"/>
        <v>640</v>
      </c>
      <c r="O54" s="179">
        <f t="shared" si="11"/>
        <v>0</v>
      </c>
      <c r="P54" s="179">
        <f t="shared" ref="P54:U54" si="12">SUM(P55:P58)</f>
        <v>640</v>
      </c>
      <c r="Q54" s="179">
        <f t="shared" si="12"/>
        <v>640</v>
      </c>
      <c r="R54" s="179">
        <f t="shared" si="12"/>
        <v>640</v>
      </c>
      <c r="S54" s="180">
        <f t="shared" si="12"/>
        <v>640</v>
      </c>
      <c r="T54" s="179">
        <f t="shared" si="12"/>
        <v>640</v>
      </c>
      <c r="U54" s="179">
        <f t="shared" si="12"/>
        <v>0</v>
      </c>
    </row>
    <row r="55" spans="2:21" s="161" customFormat="1" ht="18.75" hidden="1" customHeight="1">
      <c r="B55" s="177" t="s">
        <v>51</v>
      </c>
      <c r="C55" s="178" t="s">
        <v>582</v>
      </c>
      <c r="D55" s="179"/>
      <c r="E55" s="179"/>
      <c r="F55" s="179"/>
      <c r="G55" s="179"/>
      <c r="H55" s="179"/>
      <c r="I55" s="179"/>
      <c r="J55" s="179"/>
      <c r="K55" s="179"/>
      <c r="L55" s="179"/>
      <c r="M55" s="180"/>
      <c r="N55" s="179"/>
      <c r="O55" s="179"/>
      <c r="P55" s="179"/>
      <c r="Q55" s="179"/>
      <c r="R55" s="179"/>
      <c r="S55" s="180"/>
      <c r="T55" s="179"/>
      <c r="U55" s="179"/>
    </row>
    <row r="56" spans="2:21" s="161" customFormat="1" ht="18.75" customHeight="1">
      <c r="B56" s="177" t="s">
        <v>51</v>
      </c>
      <c r="C56" s="178" t="s">
        <v>584</v>
      </c>
      <c r="D56" s="179">
        <v>620</v>
      </c>
      <c r="E56" s="188">
        <v>620</v>
      </c>
      <c r="F56" s="179">
        <v>620</v>
      </c>
      <c r="G56" s="188">
        <v>620</v>
      </c>
      <c r="H56" s="179">
        <v>857</v>
      </c>
      <c r="I56" s="188">
        <v>808.16</v>
      </c>
      <c r="J56" s="179">
        <f>500+140</f>
        <v>640</v>
      </c>
      <c r="K56" s="179">
        <v>640</v>
      </c>
      <c r="L56" s="179">
        <f>500+140</f>
        <v>640</v>
      </c>
      <c r="M56" s="180">
        <v>640</v>
      </c>
      <c r="N56" s="179">
        <v>640</v>
      </c>
      <c r="O56" s="179"/>
      <c r="P56" s="179">
        <f>500+140</f>
        <v>640</v>
      </c>
      <c r="Q56" s="179">
        <v>640</v>
      </c>
      <c r="R56" s="179">
        <f>500+140</f>
        <v>640</v>
      </c>
      <c r="S56" s="180">
        <v>640</v>
      </c>
      <c r="T56" s="179">
        <v>640</v>
      </c>
      <c r="U56" s="179"/>
    </row>
    <row r="57" spans="2:21" s="161" customFormat="1" ht="18.75" hidden="1" customHeight="1">
      <c r="B57" s="177" t="s">
        <v>51</v>
      </c>
      <c r="C57" s="178" t="s">
        <v>583</v>
      </c>
      <c r="D57" s="179"/>
      <c r="E57" s="179"/>
      <c r="F57" s="179"/>
      <c r="G57" s="179"/>
      <c r="H57" s="179"/>
      <c r="I57" s="179"/>
      <c r="J57" s="179"/>
      <c r="K57" s="179"/>
      <c r="L57" s="179"/>
      <c r="M57" s="180"/>
      <c r="N57" s="179"/>
      <c r="O57" s="179"/>
      <c r="P57" s="179"/>
      <c r="Q57" s="179"/>
      <c r="R57" s="179"/>
      <c r="S57" s="180"/>
      <c r="T57" s="179"/>
      <c r="U57" s="179"/>
    </row>
    <row r="58" spans="2:21" s="161" customFormat="1" ht="18.75" hidden="1" customHeight="1">
      <c r="B58" s="177" t="s">
        <v>51</v>
      </c>
      <c r="C58" s="178" t="s">
        <v>585</v>
      </c>
      <c r="D58" s="179"/>
      <c r="E58" s="179"/>
      <c r="F58" s="179"/>
      <c r="G58" s="179"/>
      <c r="H58" s="179"/>
      <c r="I58" s="179"/>
      <c r="J58" s="179"/>
      <c r="K58" s="179"/>
      <c r="L58" s="179"/>
      <c r="M58" s="180"/>
      <c r="N58" s="179"/>
      <c r="O58" s="179"/>
      <c r="P58" s="179"/>
      <c r="Q58" s="179"/>
      <c r="R58" s="179"/>
      <c r="S58" s="180"/>
      <c r="T58" s="179"/>
      <c r="U58" s="179"/>
    </row>
    <row r="59" spans="2:21" s="161" customFormat="1" ht="18.75" hidden="1" customHeight="1">
      <c r="B59" s="177" t="s">
        <v>607</v>
      </c>
      <c r="C59" s="178" t="s">
        <v>608</v>
      </c>
      <c r="D59" s="179"/>
      <c r="E59" s="179"/>
      <c r="F59" s="179"/>
      <c r="G59" s="179"/>
      <c r="H59" s="179"/>
      <c r="I59" s="179"/>
      <c r="J59" s="179"/>
      <c r="K59" s="179"/>
      <c r="L59" s="179"/>
      <c r="M59" s="180"/>
      <c r="N59" s="179"/>
      <c r="O59" s="179"/>
      <c r="P59" s="179"/>
      <c r="Q59" s="179"/>
      <c r="R59" s="179"/>
      <c r="S59" s="180"/>
      <c r="T59" s="179"/>
      <c r="U59" s="179"/>
    </row>
    <row r="60" spans="2:21" s="173" customFormat="1" ht="17.25" customHeight="1">
      <c r="B60" s="174" t="s">
        <v>609</v>
      </c>
      <c r="C60" s="175" t="s">
        <v>610</v>
      </c>
      <c r="D60" s="172">
        <v>4200</v>
      </c>
      <c r="E60" s="172">
        <f>D60</f>
        <v>4200</v>
      </c>
      <c r="F60" s="172">
        <v>4200</v>
      </c>
      <c r="G60" s="172">
        <f>F60</f>
        <v>4200</v>
      </c>
      <c r="H60" s="172">
        <f>3000</f>
        <v>3000</v>
      </c>
      <c r="I60" s="172">
        <f>H60</f>
        <v>3000</v>
      </c>
      <c r="J60" s="172">
        <v>4000</v>
      </c>
      <c r="K60" s="172">
        <f>J60</f>
        <v>4000</v>
      </c>
      <c r="L60" s="189">
        <f>4000+500</f>
        <v>4500</v>
      </c>
      <c r="M60" s="183">
        <f>L60</f>
        <v>4500</v>
      </c>
      <c r="N60" s="172">
        <f>3800+210</f>
        <v>4010</v>
      </c>
      <c r="O60" s="172">
        <v>490</v>
      </c>
      <c r="P60" s="172">
        <v>4000</v>
      </c>
      <c r="Q60" s="172">
        <f>P60</f>
        <v>4000</v>
      </c>
      <c r="R60" s="189">
        <f>4000+500</f>
        <v>4500</v>
      </c>
      <c r="S60" s="183">
        <f>R60</f>
        <v>4500</v>
      </c>
      <c r="T60" s="172">
        <f>3800+210</f>
        <v>4010</v>
      </c>
      <c r="U60" s="172">
        <v>490</v>
      </c>
    </row>
    <row r="61" spans="2:21" s="173" customFormat="1" ht="17.25" customHeight="1">
      <c r="B61" s="174" t="s">
        <v>611</v>
      </c>
      <c r="C61" s="175" t="s">
        <v>612</v>
      </c>
      <c r="D61" s="172"/>
      <c r="E61" s="172"/>
      <c r="F61" s="172"/>
      <c r="G61" s="172"/>
      <c r="H61" s="172"/>
      <c r="I61" s="172"/>
      <c r="J61" s="172"/>
      <c r="K61" s="172"/>
      <c r="L61" s="172"/>
      <c r="M61" s="183"/>
      <c r="N61" s="172"/>
      <c r="O61" s="172"/>
      <c r="P61" s="172"/>
      <c r="Q61" s="172"/>
      <c r="R61" s="172"/>
      <c r="S61" s="183"/>
      <c r="T61" s="172"/>
      <c r="U61" s="172"/>
    </row>
    <row r="62" spans="2:21" s="173" customFormat="1" ht="17.25" customHeight="1">
      <c r="B62" s="174" t="s">
        <v>613</v>
      </c>
      <c r="C62" s="175" t="s">
        <v>614</v>
      </c>
      <c r="D62" s="172">
        <v>30</v>
      </c>
      <c r="E62" s="172">
        <f>D62</f>
        <v>30</v>
      </c>
      <c r="F62" s="172">
        <v>30</v>
      </c>
      <c r="G62" s="172">
        <f>F62</f>
        <v>30</v>
      </c>
      <c r="H62" s="172">
        <v>28</v>
      </c>
      <c r="I62" s="172">
        <v>28</v>
      </c>
      <c r="J62" s="172">
        <v>30</v>
      </c>
      <c r="K62" s="172">
        <v>30</v>
      </c>
      <c r="L62" s="172">
        <v>30</v>
      </c>
      <c r="M62" s="183">
        <v>30</v>
      </c>
      <c r="N62" s="172"/>
      <c r="O62" s="172">
        <v>30</v>
      </c>
      <c r="P62" s="172">
        <v>30</v>
      </c>
      <c r="Q62" s="172">
        <v>30</v>
      </c>
      <c r="R62" s="172">
        <v>30</v>
      </c>
      <c r="S62" s="183">
        <v>30</v>
      </c>
      <c r="T62" s="172"/>
      <c r="U62" s="172">
        <v>30</v>
      </c>
    </row>
    <row r="63" spans="2:21" s="173" customFormat="1" ht="17.25" customHeight="1">
      <c r="B63" s="174" t="s">
        <v>615</v>
      </c>
      <c r="C63" s="175" t="s">
        <v>616</v>
      </c>
      <c r="D63" s="172">
        <f>5000</f>
        <v>5000</v>
      </c>
      <c r="E63" s="172">
        <f>D63*0.9</f>
        <v>4500</v>
      </c>
      <c r="F63" s="172">
        <f>5000</f>
        <v>5000</v>
      </c>
      <c r="G63" s="172">
        <f>F63*0.9</f>
        <v>4500</v>
      </c>
      <c r="H63" s="172">
        <f>3800+1200</f>
        <v>5000</v>
      </c>
      <c r="I63" s="172">
        <f>H63*0.9</f>
        <v>4500</v>
      </c>
      <c r="J63" s="172">
        <v>5000</v>
      </c>
      <c r="K63" s="172">
        <f>J63*0.9</f>
        <v>4500</v>
      </c>
      <c r="L63" s="190">
        <f>5000+500</f>
        <v>5500</v>
      </c>
      <c r="M63" s="183">
        <v>4950</v>
      </c>
      <c r="N63" s="172">
        <f>L63*0.9</f>
        <v>4950</v>
      </c>
      <c r="O63" s="172"/>
      <c r="P63" s="172">
        <v>5000</v>
      </c>
      <c r="Q63" s="172">
        <f>P63*0.9</f>
        <v>4500</v>
      </c>
      <c r="R63" s="190">
        <f>5000+500</f>
        <v>5500</v>
      </c>
      <c r="S63" s="183">
        <v>4950</v>
      </c>
      <c r="T63" s="172">
        <f>R63*0.9</f>
        <v>4950</v>
      </c>
      <c r="U63" s="172"/>
    </row>
    <row r="64" spans="2:21" s="173" customFormat="1" ht="17.25" customHeight="1">
      <c r="B64" s="174" t="s">
        <v>617</v>
      </c>
      <c r="C64" s="175" t="s">
        <v>618</v>
      </c>
      <c r="D64" s="172">
        <f t="shared" ref="D64:I64" si="13">SUM(D65:D66)</f>
        <v>0</v>
      </c>
      <c r="E64" s="172">
        <f t="shared" si="13"/>
        <v>0</v>
      </c>
      <c r="F64" s="172">
        <f t="shared" si="13"/>
        <v>0</v>
      </c>
      <c r="G64" s="172">
        <f t="shared" si="13"/>
        <v>0</v>
      </c>
      <c r="H64" s="172">
        <f t="shared" si="13"/>
        <v>0</v>
      </c>
      <c r="I64" s="172">
        <f t="shared" si="13"/>
        <v>0</v>
      </c>
      <c r="J64" s="172">
        <f>SUM(J65:J66)</f>
        <v>0</v>
      </c>
      <c r="K64" s="172">
        <f>SUM(K65:K66)</f>
        <v>0</v>
      </c>
      <c r="L64" s="172">
        <f>SUM(L65:L66)</f>
        <v>0</v>
      </c>
      <c r="M64" s="183">
        <f>SUM(M65:M66)</f>
        <v>0</v>
      </c>
      <c r="N64" s="172"/>
      <c r="O64" s="172">
        <f>SUM(O65:O66)</f>
        <v>0</v>
      </c>
      <c r="P64" s="172">
        <f>SUM(P65:P66)</f>
        <v>0</v>
      </c>
      <c r="Q64" s="172">
        <f>SUM(Q65:Q66)</f>
        <v>0</v>
      </c>
      <c r="R64" s="172">
        <f>SUM(R65:R66)</f>
        <v>0</v>
      </c>
      <c r="S64" s="183">
        <f>SUM(S65:S66)</f>
        <v>0</v>
      </c>
      <c r="T64" s="172"/>
      <c r="U64" s="172">
        <f>SUM(U65:U66)</f>
        <v>0</v>
      </c>
    </row>
    <row r="65" spans="2:22" s="152" customFormat="1" ht="17.25" hidden="1" customHeight="1">
      <c r="B65" s="177" t="s">
        <v>11</v>
      </c>
      <c r="C65" s="178" t="s">
        <v>619</v>
      </c>
      <c r="D65" s="179"/>
      <c r="E65" s="179"/>
      <c r="F65" s="179"/>
      <c r="G65" s="179"/>
      <c r="H65" s="179"/>
      <c r="I65" s="179"/>
      <c r="J65" s="179"/>
      <c r="K65" s="179"/>
      <c r="L65" s="179"/>
      <c r="M65" s="180"/>
      <c r="N65" s="179"/>
      <c r="O65" s="179"/>
      <c r="P65" s="179"/>
      <c r="Q65" s="179"/>
      <c r="R65" s="179"/>
      <c r="S65" s="180"/>
      <c r="T65" s="179"/>
      <c r="U65" s="179"/>
    </row>
    <row r="66" spans="2:22" s="152" customFormat="1" ht="17.25" hidden="1" customHeight="1">
      <c r="B66" s="177" t="s">
        <v>11</v>
      </c>
      <c r="C66" s="178" t="s">
        <v>620</v>
      </c>
      <c r="D66" s="172"/>
      <c r="E66" s="172"/>
      <c r="F66" s="172"/>
      <c r="G66" s="172"/>
      <c r="H66" s="172"/>
      <c r="I66" s="172"/>
      <c r="J66" s="172"/>
      <c r="K66" s="172"/>
      <c r="L66" s="172"/>
      <c r="M66" s="183"/>
      <c r="N66" s="172"/>
      <c r="O66" s="172"/>
      <c r="P66" s="172"/>
      <c r="Q66" s="172"/>
      <c r="R66" s="172"/>
      <c r="S66" s="183"/>
      <c r="T66" s="172"/>
      <c r="U66" s="172"/>
    </row>
    <row r="67" spans="2:22" s="173" customFormat="1" ht="17.25" customHeight="1">
      <c r="B67" s="174" t="s">
        <v>621</v>
      </c>
      <c r="C67" s="175" t="s">
        <v>622</v>
      </c>
      <c r="D67" s="172">
        <f t="shared" ref="D67:U67" si="14">D68+D69</f>
        <v>1140</v>
      </c>
      <c r="E67" s="183">
        <f t="shared" si="14"/>
        <v>1134</v>
      </c>
      <c r="F67" s="172">
        <f t="shared" si="14"/>
        <v>1140</v>
      </c>
      <c r="G67" s="183">
        <f t="shared" si="14"/>
        <v>1134</v>
      </c>
      <c r="H67" s="172">
        <f t="shared" si="14"/>
        <v>1151.6600000000001</v>
      </c>
      <c r="I67" s="183">
        <f t="shared" si="14"/>
        <v>946</v>
      </c>
      <c r="J67" s="172">
        <f t="shared" si="14"/>
        <v>1250</v>
      </c>
      <c r="K67" s="172">
        <f t="shared" si="14"/>
        <v>1250</v>
      </c>
      <c r="L67" s="172">
        <f t="shared" si="14"/>
        <v>1250</v>
      </c>
      <c r="M67" s="183">
        <f t="shared" si="14"/>
        <v>1250</v>
      </c>
      <c r="N67" s="172">
        <f t="shared" si="14"/>
        <v>710</v>
      </c>
      <c r="O67" s="172">
        <f t="shared" si="14"/>
        <v>540</v>
      </c>
      <c r="P67" s="172">
        <f t="shared" si="14"/>
        <v>1250</v>
      </c>
      <c r="Q67" s="172">
        <f t="shared" si="14"/>
        <v>1250</v>
      </c>
      <c r="R67" s="172">
        <f t="shared" si="14"/>
        <v>1250</v>
      </c>
      <c r="S67" s="183">
        <f t="shared" si="14"/>
        <v>1250</v>
      </c>
      <c r="T67" s="172">
        <f t="shared" si="14"/>
        <v>710</v>
      </c>
      <c r="U67" s="172">
        <f t="shared" si="14"/>
        <v>540</v>
      </c>
    </row>
    <row r="68" spans="2:22" s="161" customFormat="1" ht="32.25" customHeight="1">
      <c r="B68" s="191" t="s">
        <v>29</v>
      </c>
      <c r="C68" s="178" t="s">
        <v>623</v>
      </c>
      <c r="D68" s="179"/>
      <c r="E68" s="179"/>
      <c r="F68" s="179"/>
      <c r="G68" s="179"/>
      <c r="H68" s="179">
        <v>211.66</v>
      </c>
      <c r="I68" s="179">
        <v>6</v>
      </c>
      <c r="J68" s="179"/>
      <c r="K68" s="179"/>
      <c r="L68" s="179"/>
      <c r="M68" s="180"/>
      <c r="N68" s="179"/>
      <c r="O68" s="179"/>
      <c r="P68" s="179"/>
      <c r="Q68" s="179"/>
      <c r="R68" s="179"/>
      <c r="S68" s="180"/>
      <c r="T68" s="179"/>
      <c r="U68" s="179"/>
    </row>
    <row r="69" spans="2:22" s="161" customFormat="1" ht="18.75" customHeight="1">
      <c r="B69" s="191" t="s">
        <v>30</v>
      </c>
      <c r="C69" s="178" t="s">
        <v>624</v>
      </c>
      <c r="D69" s="179">
        <f>SUM(D70:D72)</f>
        <v>1140</v>
      </c>
      <c r="E69" s="179">
        <f>SUM(E70:E72)</f>
        <v>1134</v>
      </c>
      <c r="F69" s="179">
        <f>SUM(F70:F72)</f>
        <v>1140</v>
      </c>
      <c r="G69" s="179">
        <f t="shared" ref="G69:U69" si="15">SUM(G70:G72)</f>
        <v>1134</v>
      </c>
      <c r="H69" s="179">
        <f>SUM(H70:H72)</f>
        <v>940</v>
      </c>
      <c r="I69" s="179">
        <f t="shared" si="15"/>
        <v>940</v>
      </c>
      <c r="J69" s="179">
        <f t="shared" si="15"/>
        <v>1250</v>
      </c>
      <c r="K69" s="179">
        <f t="shared" si="15"/>
        <v>1250</v>
      </c>
      <c r="L69" s="179">
        <f t="shared" si="15"/>
        <v>1250</v>
      </c>
      <c r="M69" s="180">
        <f t="shared" si="15"/>
        <v>1250</v>
      </c>
      <c r="N69" s="179">
        <f t="shared" si="15"/>
        <v>710</v>
      </c>
      <c r="O69" s="179">
        <f t="shared" si="15"/>
        <v>540</v>
      </c>
      <c r="P69" s="179">
        <f t="shared" si="15"/>
        <v>1250</v>
      </c>
      <c r="Q69" s="179">
        <f t="shared" si="15"/>
        <v>1250</v>
      </c>
      <c r="R69" s="179">
        <f t="shared" si="15"/>
        <v>1250</v>
      </c>
      <c r="S69" s="180">
        <f t="shared" si="15"/>
        <v>1250</v>
      </c>
      <c r="T69" s="179">
        <f t="shared" si="15"/>
        <v>710</v>
      </c>
      <c r="U69" s="179">
        <f t="shared" si="15"/>
        <v>540</v>
      </c>
    </row>
    <row r="70" spans="2:22" s="161" customFormat="1" ht="33.75" customHeight="1">
      <c r="B70" s="177" t="s">
        <v>11</v>
      </c>
      <c r="C70" s="178" t="s">
        <v>625</v>
      </c>
      <c r="D70" s="179">
        <v>334</v>
      </c>
      <c r="E70" s="179">
        <v>334</v>
      </c>
      <c r="F70" s="179">
        <v>334</v>
      </c>
      <c r="G70" s="179">
        <v>334</v>
      </c>
      <c r="H70" s="179">
        <v>300</v>
      </c>
      <c r="I70" s="179">
        <v>300</v>
      </c>
      <c r="J70" s="179">
        <v>440</v>
      </c>
      <c r="K70" s="179">
        <v>440</v>
      </c>
      <c r="L70" s="179">
        <v>440</v>
      </c>
      <c r="M70" s="180">
        <v>440</v>
      </c>
      <c r="N70" s="179">
        <v>440</v>
      </c>
      <c r="O70" s="179"/>
      <c r="P70" s="179">
        <v>440</v>
      </c>
      <c r="Q70" s="179">
        <v>440</v>
      </c>
      <c r="R70" s="179">
        <v>440</v>
      </c>
      <c r="S70" s="180">
        <v>440</v>
      </c>
      <c r="T70" s="179">
        <v>440</v>
      </c>
      <c r="U70" s="179"/>
    </row>
    <row r="71" spans="2:22" s="161" customFormat="1" ht="17.25" customHeight="1">
      <c r="B71" s="177" t="s">
        <v>11</v>
      </c>
      <c r="C71" s="178" t="s">
        <v>626</v>
      </c>
      <c r="D71" s="179">
        <v>280</v>
      </c>
      <c r="E71" s="179">
        <f>D71</f>
        <v>280</v>
      </c>
      <c r="F71" s="179">
        <v>280</v>
      </c>
      <c r="G71" s="179">
        <f>F71</f>
        <v>280</v>
      </c>
      <c r="H71" s="179">
        <f>290+50</f>
        <v>340</v>
      </c>
      <c r="I71" s="179">
        <f>H71</f>
        <v>340</v>
      </c>
      <c r="J71" s="179">
        <f>290+50</f>
        <v>340</v>
      </c>
      <c r="K71" s="179">
        <f>J71</f>
        <v>340</v>
      </c>
      <c r="L71" s="179">
        <f>290+50</f>
        <v>340</v>
      </c>
      <c r="M71" s="180">
        <f>L71</f>
        <v>340</v>
      </c>
      <c r="N71" s="179"/>
      <c r="O71" s="179">
        <v>340</v>
      </c>
      <c r="P71" s="179">
        <f>290+50</f>
        <v>340</v>
      </c>
      <c r="Q71" s="179">
        <f>P71</f>
        <v>340</v>
      </c>
      <c r="R71" s="179">
        <f>290+50</f>
        <v>340</v>
      </c>
      <c r="S71" s="180">
        <f>R71</f>
        <v>340</v>
      </c>
      <c r="T71" s="179"/>
      <c r="U71" s="179">
        <v>340</v>
      </c>
    </row>
    <row r="72" spans="2:22" s="161" customFormat="1" ht="17.25" customHeight="1">
      <c r="B72" s="177" t="s">
        <v>11</v>
      </c>
      <c r="C72" s="178" t="s">
        <v>627</v>
      </c>
      <c r="D72" s="179">
        <v>526</v>
      </c>
      <c r="E72" s="179">
        <v>520</v>
      </c>
      <c r="F72" s="179">
        <v>526</v>
      </c>
      <c r="G72" s="179">
        <v>520</v>
      </c>
      <c r="H72" s="179">
        <v>300</v>
      </c>
      <c r="I72" s="179">
        <f>H72</f>
        <v>300</v>
      </c>
      <c r="J72" s="179">
        <v>470</v>
      </c>
      <c r="K72" s="179">
        <v>470</v>
      </c>
      <c r="L72" s="179">
        <v>470</v>
      </c>
      <c r="M72" s="180">
        <v>470</v>
      </c>
      <c r="N72" s="179">
        <v>270</v>
      </c>
      <c r="O72" s="179">
        <v>200</v>
      </c>
      <c r="P72" s="179">
        <v>470</v>
      </c>
      <c r="Q72" s="179">
        <v>470</v>
      </c>
      <c r="R72" s="179">
        <v>470</v>
      </c>
      <c r="S72" s="180">
        <v>470</v>
      </c>
      <c r="T72" s="179">
        <v>270</v>
      </c>
      <c r="U72" s="179">
        <v>200</v>
      </c>
    </row>
    <row r="73" spans="2:22" s="161" customFormat="1" ht="29.25" hidden="1" customHeight="1">
      <c r="B73" s="177"/>
      <c r="C73" s="178" t="s">
        <v>628</v>
      </c>
      <c r="D73" s="179"/>
      <c r="E73" s="179"/>
      <c r="F73" s="179"/>
      <c r="G73" s="179"/>
      <c r="H73" s="179"/>
      <c r="I73" s="179"/>
      <c r="J73" s="179"/>
      <c r="K73" s="179"/>
      <c r="L73" s="179"/>
      <c r="M73" s="180"/>
      <c r="N73" s="179"/>
      <c r="O73" s="179"/>
      <c r="P73" s="179"/>
      <c r="Q73" s="179"/>
      <c r="R73" s="179"/>
      <c r="S73" s="180"/>
      <c r="T73" s="179"/>
      <c r="U73" s="179"/>
    </row>
    <row r="74" spans="2:22" s="173" customFormat="1" ht="17.25" customHeight="1">
      <c r="B74" s="174" t="s">
        <v>629</v>
      </c>
      <c r="C74" s="175" t="s">
        <v>630</v>
      </c>
      <c r="D74" s="172">
        <f t="shared" ref="D74:U74" si="16">SUM(D75:D76)</f>
        <v>4500</v>
      </c>
      <c r="E74" s="172">
        <f t="shared" si="16"/>
        <v>3960</v>
      </c>
      <c r="F74" s="172">
        <f t="shared" si="16"/>
        <v>63550</v>
      </c>
      <c r="G74" s="172">
        <f t="shared" si="16"/>
        <v>55924</v>
      </c>
      <c r="H74" s="172">
        <f t="shared" si="16"/>
        <v>35168.6</v>
      </c>
      <c r="I74" s="172">
        <f t="shared" si="16"/>
        <v>30948.368000000002</v>
      </c>
      <c r="J74" s="172">
        <f t="shared" si="16"/>
        <v>3000</v>
      </c>
      <c r="K74" s="172">
        <f t="shared" si="16"/>
        <v>2640</v>
      </c>
      <c r="L74" s="172">
        <f t="shared" si="16"/>
        <v>50000</v>
      </c>
      <c r="M74" s="183">
        <f t="shared" si="16"/>
        <v>44000</v>
      </c>
      <c r="N74" s="172">
        <f t="shared" si="16"/>
        <v>39000</v>
      </c>
      <c r="O74" s="172">
        <f t="shared" si="16"/>
        <v>5000</v>
      </c>
      <c r="P74" s="172">
        <f t="shared" si="16"/>
        <v>3000</v>
      </c>
      <c r="Q74" s="172">
        <f t="shared" si="16"/>
        <v>2640</v>
      </c>
      <c r="R74" s="172">
        <f t="shared" si="16"/>
        <v>40400</v>
      </c>
      <c r="S74" s="172">
        <f t="shared" si="16"/>
        <v>35552</v>
      </c>
      <c r="T74" s="172">
        <f t="shared" si="16"/>
        <v>31512</v>
      </c>
      <c r="U74" s="172">
        <f t="shared" si="16"/>
        <v>4040</v>
      </c>
      <c r="V74" s="176"/>
    </row>
    <row r="75" spans="2:22" s="161" customFormat="1" ht="17.25" customHeight="1">
      <c r="B75" s="177" t="s">
        <v>11</v>
      </c>
      <c r="C75" s="178" t="s">
        <v>631</v>
      </c>
      <c r="D75" s="184"/>
      <c r="E75" s="179">
        <f>D75*0.88</f>
        <v>0</v>
      </c>
      <c r="F75" s="184"/>
      <c r="G75" s="179">
        <f>F75*0.88</f>
        <v>0</v>
      </c>
      <c r="H75" s="184">
        <v>7168.6</v>
      </c>
      <c r="I75" s="179">
        <f>H75*0.88</f>
        <v>6308.3680000000004</v>
      </c>
      <c r="J75" s="179"/>
      <c r="K75" s="179"/>
      <c r="L75" s="179"/>
      <c r="M75" s="180"/>
      <c r="N75" s="179"/>
      <c r="O75" s="179"/>
      <c r="P75" s="179"/>
      <c r="Q75" s="179"/>
      <c r="R75" s="179"/>
      <c r="S75" s="180"/>
      <c r="T75" s="179"/>
      <c r="U75" s="179"/>
      <c r="V75" s="192"/>
    </row>
    <row r="76" spans="2:22" s="161" customFormat="1" ht="17.25" customHeight="1">
      <c r="B76" s="177" t="s">
        <v>11</v>
      </c>
      <c r="C76" s="178" t="s">
        <v>632</v>
      </c>
      <c r="D76" s="179">
        <v>4500</v>
      </c>
      <c r="E76" s="179">
        <f>D76*0.88</f>
        <v>3960</v>
      </c>
      <c r="F76" s="179">
        <v>63550</v>
      </c>
      <c r="G76" s="179">
        <f>F76*0.88</f>
        <v>55924</v>
      </c>
      <c r="H76" s="179">
        <v>28000</v>
      </c>
      <c r="I76" s="179">
        <f>H76*0.88</f>
        <v>24640</v>
      </c>
      <c r="J76" s="179">
        <v>3000</v>
      </c>
      <c r="K76" s="179">
        <f>J76*0.88</f>
        <v>2640</v>
      </c>
      <c r="L76" s="179">
        <v>50000</v>
      </c>
      <c r="M76" s="180">
        <v>44000</v>
      </c>
      <c r="N76" s="179">
        <f>L76*0.78</f>
        <v>39000</v>
      </c>
      <c r="O76" s="179">
        <f>L76*0.1</f>
        <v>5000</v>
      </c>
      <c r="P76" s="179">
        <v>3000</v>
      </c>
      <c r="Q76" s="179">
        <f>P76*0.88</f>
        <v>2640</v>
      </c>
      <c r="R76" s="179">
        <v>40400</v>
      </c>
      <c r="S76" s="172">
        <v>35552</v>
      </c>
      <c r="T76" s="172">
        <v>31512</v>
      </c>
      <c r="U76" s="172">
        <v>4040</v>
      </c>
      <c r="V76" s="193">
        <f>M76-S76</f>
        <v>8448</v>
      </c>
    </row>
    <row r="77" spans="2:22" s="173" customFormat="1" ht="22.5" customHeight="1">
      <c r="B77" s="174" t="s">
        <v>633</v>
      </c>
      <c r="C77" s="175" t="s">
        <v>634</v>
      </c>
      <c r="D77" s="172">
        <v>950</v>
      </c>
      <c r="E77" s="172">
        <f>D77*0.8</f>
        <v>760</v>
      </c>
      <c r="F77" s="172">
        <v>950</v>
      </c>
      <c r="G77" s="172">
        <f>F77*0.8</f>
        <v>760</v>
      </c>
      <c r="H77" s="172">
        <v>950</v>
      </c>
      <c r="I77" s="172">
        <f>H77*0.8</f>
        <v>760</v>
      </c>
      <c r="J77" s="172">
        <f>220+1500</f>
        <v>1720</v>
      </c>
      <c r="K77" s="172">
        <f>J77*0.8</f>
        <v>1376</v>
      </c>
      <c r="L77" s="172">
        <f>220+1500</f>
        <v>1720</v>
      </c>
      <c r="M77" s="183">
        <f>L77*0.8</f>
        <v>1376</v>
      </c>
      <c r="N77" s="172">
        <v>1376</v>
      </c>
      <c r="O77" s="172"/>
      <c r="P77" s="172">
        <f>220+1500</f>
        <v>1720</v>
      </c>
      <c r="Q77" s="172">
        <f>P77*0.8</f>
        <v>1376</v>
      </c>
      <c r="R77" s="172">
        <f>220+1500</f>
        <v>1720</v>
      </c>
      <c r="S77" s="183">
        <f>R77*0.8</f>
        <v>1376</v>
      </c>
      <c r="T77" s="172">
        <v>1376</v>
      </c>
      <c r="U77" s="172"/>
    </row>
    <row r="78" spans="2:22" s="173" customFormat="1" ht="24.75" hidden="1" customHeight="1">
      <c r="B78" s="194" t="s">
        <v>635</v>
      </c>
      <c r="C78" s="195" t="s">
        <v>636</v>
      </c>
      <c r="D78" s="172">
        <f>SUM(D79:D80)</f>
        <v>0</v>
      </c>
      <c r="E78" s="172"/>
      <c r="F78" s="172">
        <f>SUM(F79:F80)</f>
        <v>0</v>
      </c>
      <c r="G78" s="172"/>
      <c r="H78" s="172">
        <f>SUM(H79:H80)</f>
        <v>0</v>
      </c>
      <c r="I78" s="172"/>
      <c r="J78" s="172">
        <f t="shared" ref="J78:U78" si="17">SUM(J79:J80)</f>
        <v>0</v>
      </c>
      <c r="K78" s="172">
        <f t="shared" si="17"/>
        <v>0</v>
      </c>
      <c r="L78" s="172">
        <f t="shared" si="17"/>
        <v>0</v>
      </c>
      <c r="M78" s="183">
        <f t="shared" si="17"/>
        <v>0</v>
      </c>
      <c r="N78" s="172">
        <f t="shared" si="17"/>
        <v>0</v>
      </c>
      <c r="O78" s="172">
        <f t="shared" si="17"/>
        <v>0</v>
      </c>
      <c r="P78" s="172">
        <f t="shared" si="17"/>
        <v>0</v>
      </c>
      <c r="Q78" s="172">
        <f t="shared" si="17"/>
        <v>0</v>
      </c>
      <c r="R78" s="172">
        <f t="shared" si="17"/>
        <v>0</v>
      </c>
      <c r="S78" s="183">
        <f t="shared" si="17"/>
        <v>0</v>
      </c>
      <c r="T78" s="172">
        <f t="shared" si="17"/>
        <v>0</v>
      </c>
      <c r="U78" s="172">
        <f t="shared" si="17"/>
        <v>0</v>
      </c>
    </row>
    <row r="79" spans="2:22" s="152" customFormat="1" ht="12.75" hidden="1" customHeight="1">
      <c r="B79" s="196"/>
      <c r="C79" s="197" t="s">
        <v>637</v>
      </c>
      <c r="D79" s="179"/>
      <c r="E79" s="179"/>
      <c r="F79" s="179"/>
      <c r="G79" s="179"/>
      <c r="H79" s="179"/>
      <c r="I79" s="179"/>
      <c r="J79" s="179"/>
      <c r="K79" s="179"/>
      <c r="L79" s="179"/>
      <c r="M79" s="180"/>
      <c r="N79" s="179"/>
      <c r="O79" s="179"/>
      <c r="P79" s="179"/>
      <c r="Q79" s="179"/>
      <c r="R79" s="179"/>
      <c r="S79" s="180"/>
      <c r="T79" s="179"/>
      <c r="U79" s="179"/>
    </row>
    <row r="80" spans="2:22" s="152" customFormat="1" ht="11.25" hidden="1" customHeight="1">
      <c r="B80" s="196"/>
      <c r="C80" s="197" t="s">
        <v>638</v>
      </c>
      <c r="D80" s="172"/>
      <c r="E80" s="172"/>
      <c r="F80" s="172"/>
      <c r="G80" s="172"/>
      <c r="H80" s="172"/>
      <c r="I80" s="172"/>
      <c r="J80" s="172"/>
      <c r="K80" s="172"/>
      <c r="L80" s="172"/>
      <c r="M80" s="183"/>
      <c r="N80" s="172"/>
      <c r="O80" s="172"/>
      <c r="P80" s="172"/>
      <c r="Q80" s="172"/>
      <c r="R80" s="172"/>
      <c r="S80" s="183"/>
      <c r="T80" s="172"/>
      <c r="U80" s="172"/>
    </row>
    <row r="81" spans="2:21" s="173" customFormat="1" ht="36" hidden="1" customHeight="1">
      <c r="B81" s="194" t="s">
        <v>639</v>
      </c>
      <c r="C81" s="195" t="s">
        <v>640</v>
      </c>
      <c r="D81" s="172">
        <f t="shared" ref="D81:U81" si="18">SUM(D82:D83)</f>
        <v>0</v>
      </c>
      <c r="E81" s="172">
        <f t="shared" si="18"/>
        <v>0</v>
      </c>
      <c r="F81" s="172">
        <f t="shared" si="18"/>
        <v>0</v>
      </c>
      <c r="G81" s="172">
        <f t="shared" si="18"/>
        <v>0</v>
      </c>
      <c r="H81" s="172">
        <f t="shared" si="18"/>
        <v>0</v>
      </c>
      <c r="I81" s="172">
        <f t="shared" si="18"/>
        <v>0</v>
      </c>
      <c r="J81" s="172">
        <f t="shared" si="18"/>
        <v>0</v>
      </c>
      <c r="K81" s="172">
        <f t="shared" si="18"/>
        <v>0</v>
      </c>
      <c r="L81" s="172">
        <f t="shared" si="18"/>
        <v>0</v>
      </c>
      <c r="M81" s="183">
        <f t="shared" si="18"/>
        <v>0</v>
      </c>
      <c r="N81" s="172">
        <f t="shared" si="18"/>
        <v>0</v>
      </c>
      <c r="O81" s="172">
        <f t="shared" si="18"/>
        <v>0</v>
      </c>
      <c r="P81" s="172">
        <f t="shared" si="18"/>
        <v>0</v>
      </c>
      <c r="Q81" s="172">
        <f t="shared" si="18"/>
        <v>0</v>
      </c>
      <c r="R81" s="172">
        <f t="shared" si="18"/>
        <v>0</v>
      </c>
      <c r="S81" s="183">
        <f t="shared" si="18"/>
        <v>0</v>
      </c>
      <c r="T81" s="172">
        <f t="shared" si="18"/>
        <v>0</v>
      </c>
      <c r="U81" s="172">
        <f t="shared" si="18"/>
        <v>0</v>
      </c>
    </row>
    <row r="82" spans="2:21" s="152" customFormat="1" ht="15" hidden="1" customHeight="1">
      <c r="B82" s="196"/>
      <c r="C82" s="197" t="s">
        <v>641</v>
      </c>
      <c r="D82" s="172"/>
      <c r="E82" s="172"/>
      <c r="F82" s="172"/>
      <c r="G82" s="172"/>
      <c r="H82" s="172"/>
      <c r="I82" s="172"/>
      <c r="J82" s="172"/>
      <c r="K82" s="172"/>
      <c r="L82" s="172"/>
      <c r="M82" s="183"/>
      <c r="N82" s="172"/>
      <c r="O82" s="172"/>
      <c r="P82" s="172"/>
      <c r="Q82" s="172"/>
      <c r="R82" s="172"/>
      <c r="S82" s="183"/>
      <c r="T82" s="172"/>
      <c r="U82" s="172"/>
    </row>
    <row r="83" spans="2:21" s="152" customFormat="1" ht="14.25" hidden="1" customHeight="1">
      <c r="B83" s="196"/>
      <c r="C83" s="197" t="s">
        <v>642</v>
      </c>
      <c r="D83" s="179"/>
      <c r="E83" s="179"/>
      <c r="F83" s="179"/>
      <c r="G83" s="179"/>
      <c r="H83" s="179"/>
      <c r="I83" s="179"/>
      <c r="J83" s="179"/>
      <c r="K83" s="179"/>
      <c r="L83" s="179"/>
      <c r="M83" s="180"/>
      <c r="N83" s="179"/>
      <c r="O83" s="179"/>
      <c r="P83" s="179"/>
      <c r="Q83" s="179"/>
      <c r="R83" s="179"/>
      <c r="S83" s="180"/>
      <c r="T83" s="179"/>
      <c r="U83" s="179"/>
    </row>
    <row r="84" spans="2:21" s="173" customFormat="1" ht="33" hidden="1" customHeight="1">
      <c r="B84" s="174" t="s">
        <v>643</v>
      </c>
      <c r="C84" s="198" t="s">
        <v>644</v>
      </c>
      <c r="D84" s="172"/>
      <c r="E84" s="172"/>
      <c r="F84" s="172"/>
      <c r="G84" s="172"/>
      <c r="H84" s="172"/>
      <c r="I84" s="172"/>
      <c r="J84" s="172"/>
      <c r="K84" s="172"/>
      <c r="L84" s="172"/>
      <c r="M84" s="183"/>
      <c r="N84" s="172"/>
      <c r="O84" s="172"/>
      <c r="P84" s="172"/>
      <c r="Q84" s="172"/>
      <c r="R84" s="172"/>
      <c r="S84" s="183"/>
      <c r="T84" s="172"/>
      <c r="U84" s="172"/>
    </row>
    <row r="85" spans="2:21" s="173" customFormat="1" ht="18.75" customHeight="1">
      <c r="B85" s="174" t="s">
        <v>635</v>
      </c>
      <c r="C85" s="175" t="s">
        <v>600</v>
      </c>
      <c r="D85" s="172">
        <f t="shared" ref="D85:U85" si="19">D86+D93+D94</f>
        <v>1540</v>
      </c>
      <c r="E85" s="172">
        <f t="shared" si="19"/>
        <v>1030</v>
      </c>
      <c r="F85" s="172">
        <f t="shared" si="19"/>
        <v>1540</v>
      </c>
      <c r="G85" s="172">
        <f t="shared" si="19"/>
        <v>1030</v>
      </c>
      <c r="H85" s="172">
        <f t="shared" si="19"/>
        <v>1396</v>
      </c>
      <c r="I85" s="172">
        <f t="shared" si="19"/>
        <v>840</v>
      </c>
      <c r="J85" s="172">
        <f t="shared" si="19"/>
        <v>1380</v>
      </c>
      <c r="K85" s="172">
        <f t="shared" si="19"/>
        <v>870</v>
      </c>
      <c r="L85" s="172">
        <f t="shared" si="19"/>
        <v>1380</v>
      </c>
      <c r="M85" s="183">
        <f t="shared" si="19"/>
        <v>870</v>
      </c>
      <c r="N85" s="172">
        <f t="shared" si="19"/>
        <v>671</v>
      </c>
      <c r="O85" s="172">
        <f t="shared" si="19"/>
        <v>199</v>
      </c>
      <c r="P85" s="172">
        <f t="shared" si="19"/>
        <v>1380</v>
      </c>
      <c r="Q85" s="172">
        <f t="shared" si="19"/>
        <v>870</v>
      </c>
      <c r="R85" s="172">
        <f t="shared" si="19"/>
        <v>1380</v>
      </c>
      <c r="S85" s="183">
        <f t="shared" si="19"/>
        <v>870</v>
      </c>
      <c r="T85" s="172">
        <f t="shared" si="19"/>
        <v>671</v>
      </c>
      <c r="U85" s="172">
        <f t="shared" si="19"/>
        <v>199</v>
      </c>
    </row>
    <row r="86" spans="2:21" s="161" customFormat="1" ht="18.75" customHeight="1">
      <c r="B86" s="177" t="s">
        <v>645</v>
      </c>
      <c r="C86" s="199" t="s">
        <v>646</v>
      </c>
      <c r="D86" s="179">
        <f t="shared" ref="D86:S86" si="20">D87+D90</f>
        <v>626</v>
      </c>
      <c r="E86" s="179">
        <f t="shared" si="20"/>
        <v>150</v>
      </c>
      <c r="F86" s="179">
        <f t="shared" si="20"/>
        <v>626</v>
      </c>
      <c r="G86" s="179">
        <f t="shared" si="20"/>
        <v>150</v>
      </c>
      <c r="H86" s="179">
        <f t="shared" si="20"/>
        <v>596</v>
      </c>
      <c r="I86" s="179">
        <f t="shared" si="20"/>
        <v>100</v>
      </c>
      <c r="J86" s="179">
        <f t="shared" si="20"/>
        <v>590</v>
      </c>
      <c r="K86" s="179">
        <f t="shared" si="20"/>
        <v>150</v>
      </c>
      <c r="L86" s="179">
        <f t="shared" si="20"/>
        <v>590</v>
      </c>
      <c r="M86" s="180">
        <f t="shared" si="20"/>
        <v>150</v>
      </c>
      <c r="N86" s="179">
        <f>N87+N90</f>
        <v>150</v>
      </c>
      <c r="O86" s="179">
        <f t="shared" si="20"/>
        <v>0</v>
      </c>
      <c r="P86" s="179">
        <f t="shared" si="20"/>
        <v>590</v>
      </c>
      <c r="Q86" s="179">
        <f t="shared" si="20"/>
        <v>150</v>
      </c>
      <c r="R86" s="179">
        <f t="shared" si="20"/>
        <v>590</v>
      </c>
      <c r="S86" s="180">
        <f t="shared" si="20"/>
        <v>150</v>
      </c>
      <c r="T86" s="179">
        <f>T87+T90</f>
        <v>150</v>
      </c>
      <c r="U86" s="179">
        <f>U87+U90</f>
        <v>0</v>
      </c>
    </row>
    <row r="87" spans="2:21" s="161" customFormat="1" ht="27" customHeight="1">
      <c r="B87" s="177" t="s">
        <v>29</v>
      </c>
      <c r="C87" s="199" t="s">
        <v>647</v>
      </c>
      <c r="D87" s="179">
        <f>SUM(D88:D89)</f>
        <v>400</v>
      </c>
      <c r="E87" s="179">
        <f>SUM(E88:E89)</f>
        <v>0</v>
      </c>
      <c r="F87" s="179">
        <f>SUM(F88:F89)</f>
        <v>400</v>
      </c>
      <c r="G87" s="179">
        <f>SUM(G88:G89)</f>
        <v>0</v>
      </c>
      <c r="H87" s="179">
        <f>SUM(H88:H89)</f>
        <v>400</v>
      </c>
      <c r="I87" s="179">
        <f t="shared" ref="I87:U87" si="21">SUM(I88:I89)</f>
        <v>0</v>
      </c>
      <c r="J87" s="179">
        <f t="shared" si="21"/>
        <v>400</v>
      </c>
      <c r="K87" s="179">
        <f t="shared" si="21"/>
        <v>0</v>
      </c>
      <c r="L87" s="179">
        <f t="shared" si="21"/>
        <v>400</v>
      </c>
      <c r="M87" s="180">
        <f t="shared" si="21"/>
        <v>0</v>
      </c>
      <c r="N87" s="179">
        <f t="shared" si="21"/>
        <v>0</v>
      </c>
      <c r="O87" s="179">
        <f t="shared" si="21"/>
        <v>0</v>
      </c>
      <c r="P87" s="179">
        <f t="shared" si="21"/>
        <v>400</v>
      </c>
      <c r="Q87" s="179">
        <f t="shared" si="21"/>
        <v>0</v>
      </c>
      <c r="R87" s="179">
        <f t="shared" si="21"/>
        <v>400</v>
      </c>
      <c r="S87" s="180">
        <f t="shared" si="21"/>
        <v>0</v>
      </c>
      <c r="T87" s="179">
        <f t="shared" si="21"/>
        <v>0</v>
      </c>
      <c r="U87" s="179">
        <f t="shared" si="21"/>
        <v>0</v>
      </c>
    </row>
    <row r="88" spans="2:21" s="161" customFormat="1" ht="18.75" customHeight="1">
      <c r="B88" s="177" t="s">
        <v>11</v>
      </c>
      <c r="C88" s="199" t="s">
        <v>648</v>
      </c>
      <c r="D88" s="179">
        <v>400</v>
      </c>
      <c r="E88" s="179"/>
      <c r="F88" s="179">
        <v>400</v>
      </c>
      <c r="G88" s="179"/>
      <c r="H88" s="179">
        <v>400</v>
      </c>
      <c r="I88" s="179"/>
      <c r="J88" s="179">
        <v>400</v>
      </c>
      <c r="K88" s="179"/>
      <c r="L88" s="179">
        <v>400</v>
      </c>
      <c r="M88" s="180"/>
      <c r="N88" s="179"/>
      <c r="O88" s="179"/>
      <c r="P88" s="179">
        <v>400</v>
      </c>
      <c r="Q88" s="179"/>
      <c r="R88" s="179">
        <v>400</v>
      </c>
      <c r="S88" s="180"/>
      <c r="T88" s="179"/>
      <c r="U88" s="179"/>
    </row>
    <row r="89" spans="2:21" s="161" customFormat="1" ht="18.75" customHeight="1">
      <c r="B89" s="177" t="s">
        <v>11</v>
      </c>
      <c r="C89" s="199" t="s">
        <v>649</v>
      </c>
      <c r="D89" s="179"/>
      <c r="E89" s="179"/>
      <c r="F89" s="179"/>
      <c r="G89" s="179"/>
      <c r="H89" s="179"/>
      <c r="I89" s="179"/>
      <c r="J89" s="179"/>
      <c r="K89" s="179"/>
      <c r="L89" s="179"/>
      <c r="M89" s="180"/>
      <c r="N89" s="179"/>
      <c r="O89" s="179"/>
      <c r="P89" s="179"/>
      <c r="Q89" s="179"/>
      <c r="R89" s="179"/>
      <c r="S89" s="180"/>
      <c r="T89" s="179"/>
      <c r="U89" s="179"/>
    </row>
    <row r="90" spans="2:21" s="161" customFormat="1" ht="28.5" customHeight="1">
      <c r="B90" s="177" t="s">
        <v>30</v>
      </c>
      <c r="C90" s="199" t="s">
        <v>650</v>
      </c>
      <c r="D90" s="179">
        <f t="shared" ref="D90:S90" si="22">SUM(D91:D92)</f>
        <v>226</v>
      </c>
      <c r="E90" s="179">
        <f t="shared" si="22"/>
        <v>150</v>
      </c>
      <c r="F90" s="179">
        <f t="shared" si="22"/>
        <v>226</v>
      </c>
      <c r="G90" s="179">
        <f t="shared" si="22"/>
        <v>150</v>
      </c>
      <c r="H90" s="179">
        <f t="shared" si="22"/>
        <v>196</v>
      </c>
      <c r="I90" s="179">
        <f t="shared" si="22"/>
        <v>100</v>
      </c>
      <c r="J90" s="179">
        <f t="shared" si="22"/>
        <v>190</v>
      </c>
      <c r="K90" s="179">
        <f t="shared" si="22"/>
        <v>150</v>
      </c>
      <c r="L90" s="179">
        <f t="shared" si="22"/>
        <v>190</v>
      </c>
      <c r="M90" s="180">
        <f t="shared" si="22"/>
        <v>150</v>
      </c>
      <c r="N90" s="179">
        <f>SUM(N91:N92)</f>
        <v>150</v>
      </c>
      <c r="O90" s="179">
        <f t="shared" si="22"/>
        <v>0</v>
      </c>
      <c r="P90" s="179">
        <f t="shared" si="22"/>
        <v>190</v>
      </c>
      <c r="Q90" s="179">
        <f t="shared" si="22"/>
        <v>150</v>
      </c>
      <c r="R90" s="179">
        <f t="shared" si="22"/>
        <v>190</v>
      </c>
      <c r="S90" s="180">
        <f t="shared" si="22"/>
        <v>150</v>
      </c>
      <c r="T90" s="179">
        <f>SUM(T91:T92)</f>
        <v>150</v>
      </c>
      <c r="U90" s="179">
        <f>SUM(U91:U92)</f>
        <v>0</v>
      </c>
    </row>
    <row r="91" spans="2:21" s="161" customFormat="1" ht="18.75" customHeight="1">
      <c r="B91" s="177" t="s">
        <v>11</v>
      </c>
      <c r="C91" s="199" t="s">
        <v>648</v>
      </c>
      <c r="D91" s="179">
        <v>76</v>
      </c>
      <c r="E91" s="179"/>
      <c r="F91" s="179">
        <v>76</v>
      </c>
      <c r="G91" s="179"/>
      <c r="H91" s="179">
        <v>46</v>
      </c>
      <c r="I91" s="179"/>
      <c r="J91" s="179">
        <v>40</v>
      </c>
      <c r="K91" s="179"/>
      <c r="L91" s="179">
        <v>40</v>
      </c>
      <c r="M91" s="180"/>
      <c r="N91" s="179"/>
      <c r="O91" s="179"/>
      <c r="P91" s="179">
        <v>40</v>
      </c>
      <c r="Q91" s="179"/>
      <c r="R91" s="179">
        <v>40</v>
      </c>
      <c r="S91" s="180"/>
      <c r="T91" s="179"/>
      <c r="U91" s="179"/>
    </row>
    <row r="92" spans="2:21" s="161" customFormat="1" ht="18.75" customHeight="1">
      <c r="B92" s="177" t="s">
        <v>11</v>
      </c>
      <c r="C92" s="199" t="s">
        <v>649</v>
      </c>
      <c r="D92" s="179">
        <v>150</v>
      </c>
      <c r="E92" s="179">
        <v>150</v>
      </c>
      <c r="F92" s="179">
        <v>150</v>
      </c>
      <c r="G92" s="179">
        <v>150</v>
      </c>
      <c r="H92" s="179">
        <v>150</v>
      </c>
      <c r="I92" s="179">
        <v>100</v>
      </c>
      <c r="J92" s="179">
        <v>150</v>
      </c>
      <c r="K92" s="179">
        <v>150</v>
      </c>
      <c r="L92" s="179">
        <v>150</v>
      </c>
      <c r="M92" s="180">
        <v>150</v>
      </c>
      <c r="N92" s="179">
        <v>150</v>
      </c>
      <c r="O92" s="179"/>
      <c r="P92" s="179">
        <v>150</v>
      </c>
      <c r="Q92" s="179">
        <v>150</v>
      </c>
      <c r="R92" s="179">
        <v>150</v>
      </c>
      <c r="S92" s="180">
        <v>150</v>
      </c>
      <c r="T92" s="179">
        <v>150</v>
      </c>
      <c r="U92" s="179"/>
    </row>
    <row r="93" spans="2:21" s="161" customFormat="1" ht="38.25" hidden="1" customHeight="1">
      <c r="B93" s="177" t="s">
        <v>651</v>
      </c>
      <c r="C93" s="178" t="s">
        <v>652</v>
      </c>
      <c r="D93" s="179"/>
      <c r="E93" s="179"/>
      <c r="F93" s="179"/>
      <c r="G93" s="179"/>
      <c r="H93" s="179"/>
      <c r="I93" s="179"/>
      <c r="J93" s="179"/>
      <c r="K93" s="179"/>
      <c r="L93" s="179"/>
      <c r="M93" s="180"/>
      <c r="N93" s="179"/>
      <c r="O93" s="179"/>
      <c r="P93" s="179"/>
      <c r="Q93" s="179"/>
      <c r="R93" s="179"/>
      <c r="S93" s="180"/>
      <c r="T93" s="179"/>
      <c r="U93" s="179"/>
    </row>
    <row r="94" spans="2:21" s="161" customFormat="1" ht="17.25" customHeight="1">
      <c r="B94" s="177" t="s">
        <v>653</v>
      </c>
      <c r="C94" s="178" t="s">
        <v>654</v>
      </c>
      <c r="D94" s="179">
        <v>914</v>
      </c>
      <c r="E94" s="179">
        <v>880</v>
      </c>
      <c r="F94" s="179">
        <v>914</v>
      </c>
      <c r="G94" s="179">
        <v>880</v>
      </c>
      <c r="H94" s="179">
        <v>800</v>
      </c>
      <c r="I94" s="179">
        <v>740</v>
      </c>
      <c r="J94" s="179">
        <v>790</v>
      </c>
      <c r="K94" s="179">
        <v>720</v>
      </c>
      <c r="L94" s="179">
        <v>790</v>
      </c>
      <c r="M94" s="180">
        <v>720</v>
      </c>
      <c r="N94" s="179">
        <v>521</v>
      </c>
      <c r="O94" s="179">
        <v>199</v>
      </c>
      <c r="P94" s="179">
        <v>790</v>
      </c>
      <c r="Q94" s="179">
        <v>720</v>
      </c>
      <c r="R94" s="179">
        <v>790</v>
      </c>
      <c r="S94" s="180">
        <v>720</v>
      </c>
      <c r="T94" s="179">
        <v>521</v>
      </c>
      <c r="U94" s="179">
        <v>199</v>
      </c>
    </row>
    <row r="95" spans="2:21" s="173" customFormat="1" ht="31.5" customHeight="1">
      <c r="B95" s="174" t="s">
        <v>639</v>
      </c>
      <c r="C95" s="171" t="s">
        <v>655</v>
      </c>
      <c r="D95" s="172">
        <f t="shared" ref="D95:I95" si="23">D97</f>
        <v>320</v>
      </c>
      <c r="E95" s="172">
        <f t="shared" si="23"/>
        <v>320</v>
      </c>
      <c r="F95" s="172">
        <f t="shared" si="23"/>
        <v>320</v>
      </c>
      <c r="G95" s="172">
        <f t="shared" si="23"/>
        <v>320</v>
      </c>
      <c r="H95" s="172">
        <f t="shared" si="23"/>
        <v>180</v>
      </c>
      <c r="I95" s="172">
        <f t="shared" si="23"/>
        <v>180</v>
      </c>
      <c r="J95" s="172">
        <f t="shared" ref="J95:U95" si="24">SUM(J96:J97)</f>
        <v>50</v>
      </c>
      <c r="K95" s="172">
        <f t="shared" si="24"/>
        <v>50</v>
      </c>
      <c r="L95" s="172">
        <f t="shared" si="24"/>
        <v>50</v>
      </c>
      <c r="M95" s="183">
        <f t="shared" si="24"/>
        <v>50</v>
      </c>
      <c r="N95" s="172">
        <f t="shared" si="24"/>
        <v>50</v>
      </c>
      <c r="O95" s="172">
        <f t="shared" si="24"/>
        <v>0</v>
      </c>
      <c r="P95" s="172">
        <f t="shared" si="24"/>
        <v>50</v>
      </c>
      <c r="Q95" s="172">
        <f t="shared" si="24"/>
        <v>50</v>
      </c>
      <c r="R95" s="172">
        <f t="shared" si="24"/>
        <v>50</v>
      </c>
      <c r="S95" s="183">
        <f t="shared" si="24"/>
        <v>50</v>
      </c>
      <c r="T95" s="172">
        <f t="shared" si="24"/>
        <v>50</v>
      </c>
      <c r="U95" s="172">
        <f t="shared" si="24"/>
        <v>0</v>
      </c>
    </row>
    <row r="96" spans="2:21" s="152" customFormat="1" ht="18.75" hidden="1" customHeight="1">
      <c r="B96" s="177" t="s">
        <v>11</v>
      </c>
      <c r="C96" s="199" t="s">
        <v>656</v>
      </c>
      <c r="D96" s="172"/>
      <c r="E96" s="172"/>
      <c r="F96" s="172"/>
      <c r="G96" s="172"/>
      <c r="H96" s="172"/>
      <c r="I96" s="172"/>
      <c r="J96" s="172"/>
      <c r="K96" s="172"/>
      <c r="L96" s="172"/>
      <c r="M96" s="183"/>
      <c r="N96" s="172"/>
      <c r="O96" s="172"/>
      <c r="P96" s="172"/>
      <c r="Q96" s="172"/>
      <c r="R96" s="172"/>
      <c r="S96" s="183"/>
      <c r="T96" s="172"/>
      <c r="U96" s="172"/>
    </row>
    <row r="97" spans="2:21" s="161" customFormat="1" ht="29.25" customHeight="1">
      <c r="B97" s="200" t="s">
        <v>11</v>
      </c>
      <c r="C97" s="201" t="s">
        <v>657</v>
      </c>
      <c r="D97" s="202">
        <v>320</v>
      </c>
      <c r="E97" s="202">
        <f>D97</f>
        <v>320</v>
      </c>
      <c r="F97" s="202">
        <v>320</v>
      </c>
      <c r="G97" s="202">
        <f>F97</f>
        <v>320</v>
      </c>
      <c r="H97" s="202">
        <v>180</v>
      </c>
      <c r="I97" s="202">
        <v>180</v>
      </c>
      <c r="J97" s="202">
        <v>50</v>
      </c>
      <c r="K97" s="202">
        <f>J97</f>
        <v>50</v>
      </c>
      <c r="L97" s="202">
        <v>50</v>
      </c>
      <c r="M97" s="203">
        <f>L97</f>
        <v>50</v>
      </c>
      <c r="N97" s="202">
        <v>50</v>
      </c>
      <c r="O97" s="202"/>
      <c r="P97" s="202">
        <v>50</v>
      </c>
      <c r="Q97" s="202">
        <f>P97</f>
        <v>50</v>
      </c>
      <c r="R97" s="202">
        <v>50</v>
      </c>
      <c r="S97" s="203">
        <f>R97</f>
        <v>50</v>
      </c>
      <c r="T97" s="202">
        <v>50</v>
      </c>
      <c r="U97" s="202"/>
    </row>
    <row r="98" spans="2:21" s="173" customFormat="1" ht="40.5" hidden="1" customHeight="1">
      <c r="B98" s="204">
        <v>15</v>
      </c>
      <c r="C98" s="205" t="s">
        <v>658</v>
      </c>
      <c r="D98" s="206"/>
      <c r="E98" s="206"/>
      <c r="F98" s="206"/>
      <c r="G98" s="206"/>
      <c r="H98" s="206"/>
      <c r="I98" s="206"/>
      <c r="J98" s="206"/>
      <c r="K98" s="206"/>
      <c r="L98" s="206"/>
      <c r="M98" s="206"/>
      <c r="N98" s="206"/>
      <c r="O98" s="206"/>
      <c r="P98" s="206"/>
      <c r="Q98" s="206"/>
      <c r="R98" s="206"/>
      <c r="S98" s="206"/>
      <c r="T98" s="206"/>
      <c r="U98" s="206"/>
    </row>
    <row r="99" spans="2:21" s="173" customFormat="1" ht="30.75" hidden="1" customHeight="1">
      <c r="B99" s="207">
        <v>16</v>
      </c>
      <c r="C99" s="208" t="s">
        <v>659</v>
      </c>
      <c r="D99" s="209"/>
      <c r="E99" s="209"/>
      <c r="F99" s="209"/>
      <c r="G99" s="209"/>
      <c r="H99" s="209"/>
      <c r="I99" s="209"/>
      <c r="J99" s="209"/>
      <c r="K99" s="209"/>
      <c r="L99" s="209"/>
      <c r="M99" s="209"/>
      <c r="N99" s="206"/>
      <c r="O99" s="206"/>
      <c r="P99" s="209"/>
      <c r="Q99" s="209"/>
      <c r="R99" s="209"/>
      <c r="S99" s="209"/>
      <c r="T99" s="206"/>
      <c r="U99" s="206"/>
    </row>
    <row r="100" spans="2:21" s="173" customFormat="1" ht="18.75" hidden="1" customHeight="1">
      <c r="B100" s="174" t="s">
        <v>660</v>
      </c>
      <c r="C100" s="175" t="s">
        <v>661</v>
      </c>
      <c r="D100" s="209"/>
      <c r="E100" s="209"/>
      <c r="F100" s="209"/>
      <c r="G100" s="209"/>
      <c r="H100" s="209"/>
      <c r="I100" s="209"/>
      <c r="J100" s="209"/>
      <c r="K100" s="209"/>
      <c r="L100" s="209"/>
      <c r="M100" s="209"/>
      <c r="N100" s="206"/>
      <c r="O100" s="206"/>
      <c r="P100" s="209"/>
      <c r="Q100" s="209"/>
      <c r="R100" s="209"/>
      <c r="S100" s="209"/>
      <c r="T100" s="206"/>
      <c r="U100" s="206"/>
    </row>
    <row r="101" spans="2:21" s="173" customFormat="1" ht="18.75" hidden="1" customHeight="1">
      <c r="B101" s="174" t="s">
        <v>12</v>
      </c>
      <c r="C101" s="208" t="s">
        <v>662</v>
      </c>
      <c r="D101" s="209"/>
      <c r="E101" s="209"/>
      <c r="F101" s="209"/>
      <c r="G101" s="209"/>
      <c r="H101" s="209"/>
      <c r="I101" s="209"/>
      <c r="J101" s="209"/>
      <c r="K101" s="209"/>
      <c r="L101" s="209"/>
      <c r="M101" s="209"/>
      <c r="N101" s="206"/>
      <c r="O101" s="206"/>
      <c r="P101" s="209"/>
      <c r="Q101" s="209"/>
      <c r="R101" s="209"/>
      <c r="S101" s="209"/>
      <c r="T101" s="206"/>
      <c r="U101" s="206"/>
    </row>
    <row r="102" spans="2:21" s="173" customFormat="1" ht="28.5" hidden="1" customHeight="1">
      <c r="B102" s="174" t="s">
        <v>13</v>
      </c>
      <c r="C102" s="208" t="s">
        <v>663</v>
      </c>
      <c r="D102" s="209"/>
      <c r="E102" s="209"/>
      <c r="F102" s="209"/>
      <c r="G102" s="209"/>
      <c r="H102" s="209"/>
      <c r="I102" s="209"/>
      <c r="J102" s="209"/>
      <c r="K102" s="209"/>
      <c r="L102" s="209"/>
      <c r="M102" s="209"/>
      <c r="N102" s="206"/>
      <c r="O102" s="206"/>
      <c r="P102" s="209"/>
      <c r="Q102" s="209"/>
      <c r="R102" s="209"/>
      <c r="S102" s="209"/>
      <c r="T102" s="206"/>
      <c r="U102" s="206"/>
    </row>
    <row r="103" spans="2:21" s="152" customFormat="1" ht="15.75" hidden="1" customHeight="1">
      <c r="B103" s="210" t="s">
        <v>18</v>
      </c>
      <c r="C103" s="211" t="s">
        <v>664</v>
      </c>
      <c r="D103" s="212"/>
      <c r="E103" s="212"/>
      <c r="F103" s="212"/>
      <c r="G103" s="212"/>
      <c r="H103" s="212"/>
      <c r="I103" s="212"/>
      <c r="J103" s="212"/>
      <c r="K103" s="212"/>
      <c r="L103" s="212"/>
      <c r="M103" s="212"/>
      <c r="N103" s="213"/>
      <c r="O103" s="213"/>
      <c r="P103" s="212"/>
      <c r="Q103" s="212"/>
      <c r="R103" s="212"/>
      <c r="S103" s="212"/>
      <c r="T103" s="213"/>
      <c r="U103" s="213"/>
    </row>
    <row r="104" spans="2:21" s="152" customFormat="1" ht="18.75" hidden="1" customHeight="1">
      <c r="D104" s="675"/>
      <c r="E104" s="675"/>
      <c r="F104" s="675"/>
      <c r="G104" s="675"/>
      <c r="H104" s="675"/>
      <c r="I104" s="675"/>
      <c r="J104" s="214"/>
      <c r="K104" s="214"/>
      <c r="L104" s="214"/>
      <c r="M104" s="214"/>
      <c r="N104" s="214"/>
      <c r="O104" s="214"/>
      <c r="P104" s="214"/>
      <c r="Q104" s="214"/>
      <c r="R104" s="214"/>
      <c r="S104" s="214"/>
      <c r="T104" s="214"/>
      <c r="U104" s="214"/>
    </row>
    <row r="105" spans="2:21" s="152" customFormat="1" ht="18.75" hidden="1" customHeight="1">
      <c r="D105" s="674"/>
      <c r="E105" s="674"/>
      <c r="F105" s="674"/>
      <c r="G105" s="674"/>
      <c r="H105" s="674"/>
      <c r="I105" s="674"/>
      <c r="J105" s="215"/>
      <c r="K105" s="215"/>
      <c r="L105" s="215"/>
      <c r="M105" s="215"/>
      <c r="N105" s="215"/>
      <c r="O105" s="215"/>
      <c r="P105" s="215"/>
      <c r="Q105" s="215"/>
      <c r="R105" s="215"/>
      <c r="S105" s="215"/>
      <c r="T105" s="215"/>
      <c r="U105" s="215"/>
    </row>
    <row r="106" spans="2:21" s="152" customFormat="1" ht="18.75" hidden="1" customHeight="1">
      <c r="D106" s="674"/>
      <c r="E106" s="674"/>
      <c r="F106" s="674"/>
      <c r="G106" s="674"/>
      <c r="H106" s="674"/>
      <c r="I106" s="674"/>
      <c r="J106" s="215"/>
      <c r="K106" s="215"/>
      <c r="L106" s="215"/>
      <c r="M106" s="215"/>
      <c r="N106" s="215"/>
      <c r="O106" s="215"/>
      <c r="P106" s="215"/>
      <c r="Q106" s="215"/>
      <c r="R106" s="215"/>
      <c r="S106" s="215"/>
      <c r="T106" s="215"/>
      <c r="U106" s="215"/>
    </row>
    <row r="107" spans="2:21" s="152" customFormat="1" ht="18.75" hidden="1" customHeight="1">
      <c r="D107" s="676"/>
      <c r="E107" s="676"/>
      <c r="F107" s="676"/>
      <c r="G107" s="676"/>
      <c r="H107" s="676"/>
      <c r="I107" s="676"/>
      <c r="J107" s="214"/>
      <c r="K107" s="214"/>
      <c r="L107" s="214"/>
      <c r="M107" s="214"/>
      <c r="N107" s="214"/>
      <c r="O107" s="214"/>
      <c r="P107" s="214"/>
      <c r="Q107" s="214"/>
      <c r="R107" s="214"/>
      <c r="S107" s="214"/>
      <c r="T107" s="214"/>
      <c r="U107" s="214"/>
    </row>
    <row r="108" spans="2:21" s="152" customFormat="1"/>
    <row r="109" spans="2:21" s="152" customFormat="1">
      <c r="C109" s="216"/>
    </row>
    <row r="110" spans="2:21" s="152" customFormat="1">
      <c r="E110" s="154"/>
      <c r="G110" s="154"/>
      <c r="N110" s="154"/>
      <c r="T110" s="154"/>
    </row>
    <row r="111" spans="2:21" s="152" customFormat="1"/>
    <row r="112" spans="2:21" s="152" customFormat="1">
      <c r="E112" s="154"/>
      <c r="G112" s="154"/>
    </row>
    <row r="113" s="152" customFormat="1"/>
    <row r="114" s="152" customFormat="1"/>
    <row r="115" s="152" customFormat="1"/>
    <row r="116" s="152" customFormat="1"/>
    <row r="117" s="152" customFormat="1"/>
    <row r="118" s="152" customFormat="1"/>
    <row r="119" s="152" customFormat="1"/>
    <row r="120" s="152" customFormat="1"/>
    <row r="121" s="152" customFormat="1"/>
    <row r="122" s="152" customFormat="1"/>
    <row r="123" s="152" customFormat="1"/>
    <row r="124" s="152" customFormat="1"/>
    <row r="125" s="152" customFormat="1"/>
    <row r="126" s="152" customFormat="1"/>
    <row r="127" s="152" customFormat="1"/>
    <row r="128" s="152" customFormat="1"/>
    <row r="129" s="152" customFormat="1"/>
    <row r="130" s="152" customFormat="1"/>
    <row r="131" s="152" customFormat="1"/>
    <row r="132" s="152" customFormat="1"/>
  </sheetData>
  <mergeCells count="42">
    <mergeCell ref="D106:E106"/>
    <mergeCell ref="F106:G106"/>
    <mergeCell ref="H106:I106"/>
    <mergeCell ref="D107:E107"/>
    <mergeCell ref="F107:G107"/>
    <mergeCell ref="H107:I107"/>
    <mergeCell ref="D105:E105"/>
    <mergeCell ref="F105:G105"/>
    <mergeCell ref="H105:I105"/>
    <mergeCell ref="H14:H16"/>
    <mergeCell ref="I14:I16"/>
    <mergeCell ref="D104:E104"/>
    <mergeCell ref="F104:G104"/>
    <mergeCell ref="H104:I104"/>
    <mergeCell ref="L12:M12"/>
    <mergeCell ref="R12:T12"/>
    <mergeCell ref="B13:B16"/>
    <mergeCell ref="C13:C16"/>
    <mergeCell ref="D13:G13"/>
    <mergeCell ref="H13:I13"/>
    <mergeCell ref="J13:O13"/>
    <mergeCell ref="P13:U13"/>
    <mergeCell ref="D14:E14"/>
    <mergeCell ref="F14:G14"/>
    <mergeCell ref="R14:S15"/>
    <mergeCell ref="T14:U15"/>
    <mergeCell ref="J14:K15"/>
    <mergeCell ref="L14:M15"/>
    <mergeCell ref="N14:O15"/>
    <mergeCell ref="P14:Q15"/>
    <mergeCell ref="B11:I11"/>
    <mergeCell ref="B1:C1"/>
    <mergeCell ref="M1:O1"/>
    <mergeCell ref="S1:U1"/>
    <mergeCell ref="B3:U3"/>
    <mergeCell ref="B4:O4"/>
    <mergeCell ref="B5:O5"/>
    <mergeCell ref="B6:K6"/>
    <mergeCell ref="B7:I7"/>
    <mergeCell ref="B8:O8"/>
    <mergeCell ref="B9:O9"/>
    <mergeCell ref="B10:I10"/>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8"/>
  <sheetViews>
    <sheetView view="pageBreakPreview" zoomScale="80" zoomScaleNormal="100" zoomScaleSheetLayoutView="80" workbookViewId="0">
      <selection activeCell="M10" sqref="M10"/>
    </sheetView>
  </sheetViews>
  <sheetFormatPr defaultColWidth="9.140625" defaultRowHeight="15"/>
  <cols>
    <col min="1" max="1" width="7.42578125" style="372" customWidth="1"/>
    <col min="2" max="2" width="59.85546875" style="372" customWidth="1"/>
    <col min="3" max="3" width="14.5703125" style="372" hidden="1" customWidth="1"/>
    <col min="4" max="4" width="15.7109375" style="372" hidden="1" customWidth="1"/>
    <col min="5" max="5" width="14.85546875" style="372" hidden="1" customWidth="1"/>
    <col min="6" max="6" width="15.42578125" style="373" customWidth="1"/>
    <col min="7" max="7" width="17.85546875" style="373" customWidth="1"/>
    <col min="8" max="8" width="14.42578125" style="373" customWidth="1"/>
    <col min="9" max="9" width="14.140625" style="416" customWidth="1"/>
    <col min="10" max="10" width="12.7109375" style="372" hidden="1" customWidth="1"/>
    <col min="11" max="11" width="13.140625" style="372" hidden="1" customWidth="1"/>
    <col min="12" max="12" width="10.5703125" style="372" bestFit="1" customWidth="1"/>
    <col min="13" max="16384" width="9.140625" style="372"/>
  </cols>
  <sheetData>
    <row r="1" spans="1:11" ht="18.75">
      <c r="A1" s="688" t="s">
        <v>81</v>
      </c>
      <c r="B1" s="688"/>
      <c r="C1" s="371"/>
      <c r="D1" s="371"/>
      <c r="H1" s="677" t="s">
        <v>548</v>
      </c>
      <c r="I1" s="677"/>
      <c r="J1" s="677"/>
    </row>
    <row r="2" spans="1:11" ht="18.75">
      <c r="A2" s="684" t="s">
        <v>724</v>
      </c>
      <c r="B2" s="684"/>
      <c r="C2" s="684"/>
      <c r="D2" s="684"/>
      <c r="E2" s="684"/>
      <c r="F2" s="684"/>
      <c r="G2" s="684"/>
      <c r="H2" s="684"/>
      <c r="I2" s="684"/>
    </row>
    <row r="3" spans="1:11" ht="18.75">
      <c r="A3" s="374"/>
      <c r="B3" s="374"/>
      <c r="C3" s="374"/>
      <c r="D3" s="374"/>
      <c r="E3" s="374"/>
      <c r="F3" s="375"/>
      <c r="G3" s="375"/>
      <c r="H3" s="375"/>
      <c r="I3" s="376"/>
    </row>
    <row r="4" spans="1:11" s="378" customFormat="1" ht="20.25" customHeight="1">
      <c r="A4" s="377"/>
      <c r="C4" s="379"/>
      <c r="D4" s="379"/>
      <c r="F4" s="380"/>
      <c r="G4" s="685" t="s">
        <v>0</v>
      </c>
      <c r="H4" s="685"/>
      <c r="I4" s="685"/>
      <c r="J4" s="379"/>
    </row>
    <row r="5" spans="1:11" s="378" customFormat="1" ht="55.5" customHeight="1">
      <c r="A5" s="678" t="s">
        <v>6</v>
      </c>
      <c r="B5" s="678" t="s">
        <v>7</v>
      </c>
      <c r="C5" s="680" t="s">
        <v>917</v>
      </c>
      <c r="D5" s="681"/>
      <c r="E5" s="678" t="s">
        <v>918</v>
      </c>
      <c r="F5" s="682" t="s">
        <v>945</v>
      </c>
      <c r="G5" s="683"/>
      <c r="H5" s="682" t="s">
        <v>538</v>
      </c>
      <c r="I5" s="683"/>
    </row>
    <row r="6" spans="1:11" s="378" customFormat="1" ht="30">
      <c r="A6" s="679"/>
      <c r="B6" s="679"/>
      <c r="C6" s="381" t="s">
        <v>553</v>
      </c>
      <c r="D6" s="381" t="s">
        <v>554</v>
      </c>
      <c r="E6" s="679"/>
      <c r="F6" s="382" t="s">
        <v>553</v>
      </c>
      <c r="G6" s="382" t="s">
        <v>554</v>
      </c>
      <c r="H6" s="382" t="s">
        <v>553</v>
      </c>
      <c r="I6" s="383" t="s">
        <v>554</v>
      </c>
    </row>
    <row r="7" spans="1:11" s="378" customFormat="1" ht="15.75">
      <c r="A7" s="381" t="s">
        <v>8</v>
      </c>
      <c r="B7" s="381" t="s">
        <v>9</v>
      </c>
      <c r="C7" s="384">
        <v>1</v>
      </c>
      <c r="D7" s="384">
        <v>2</v>
      </c>
      <c r="E7" s="384">
        <v>3</v>
      </c>
      <c r="F7" s="417">
        <v>1</v>
      </c>
      <c r="G7" s="417">
        <v>2</v>
      </c>
      <c r="H7" s="417">
        <v>3</v>
      </c>
      <c r="I7" s="417">
        <v>4</v>
      </c>
    </row>
    <row r="8" spans="1:11" s="389" customFormat="1" ht="30" customHeight="1">
      <c r="A8" s="385" t="s">
        <v>8</v>
      </c>
      <c r="B8" s="386" t="s">
        <v>67</v>
      </c>
      <c r="C8" s="387">
        <f t="shared" ref="C8:I8" si="0">C9+C42</f>
        <v>319343.2</v>
      </c>
      <c r="D8" s="387">
        <f t="shared" si="0"/>
        <v>366153.22499999998</v>
      </c>
      <c r="E8" s="387">
        <f t="shared" si="0"/>
        <v>478307.30200000003</v>
      </c>
      <c r="F8" s="418">
        <f t="shared" si="0"/>
        <v>361225</v>
      </c>
      <c r="G8" s="418">
        <f t="shared" si="0"/>
        <v>447546.74699999997</v>
      </c>
      <c r="H8" s="418">
        <f t="shared" si="0"/>
        <v>361225</v>
      </c>
      <c r="I8" s="418">
        <f t="shared" si="0"/>
        <v>447546.74702000001</v>
      </c>
      <c r="J8" s="388">
        <f>I8-G8</f>
        <v>2.0000035874545574E-5</v>
      </c>
      <c r="K8" s="582">
        <f>I8-G8</f>
        <v>2.0000035874545574E-5</v>
      </c>
    </row>
    <row r="9" spans="1:11" s="389" customFormat="1" ht="15.75">
      <c r="A9" s="390" t="s">
        <v>10</v>
      </c>
      <c r="B9" s="391" t="s">
        <v>31</v>
      </c>
      <c r="C9" s="392">
        <f t="shared" ref="C9:I9" si="1">C11+C24+C40+C41</f>
        <v>286172.2</v>
      </c>
      <c r="D9" s="392">
        <f t="shared" si="1"/>
        <v>332982.22499999998</v>
      </c>
      <c r="E9" s="392">
        <f t="shared" si="1"/>
        <v>419970.94200000004</v>
      </c>
      <c r="F9" s="419">
        <f t="shared" si="1"/>
        <v>353127</v>
      </c>
      <c r="G9" s="419">
        <f t="shared" si="1"/>
        <v>439448.74699999997</v>
      </c>
      <c r="H9" s="419">
        <f t="shared" si="1"/>
        <v>353127</v>
      </c>
      <c r="I9" s="419">
        <f t="shared" si="1"/>
        <v>439448.74702000001</v>
      </c>
    </row>
    <row r="10" spans="1:11" s="378" customFormat="1" ht="45" customHeight="1">
      <c r="A10" s="393"/>
      <c r="B10" s="394" t="s">
        <v>68</v>
      </c>
      <c r="C10" s="395"/>
      <c r="D10" s="395"/>
      <c r="E10" s="395"/>
      <c r="F10" s="420"/>
      <c r="G10" s="420"/>
      <c r="H10" s="420"/>
      <c r="I10" s="420"/>
    </row>
    <row r="11" spans="1:11" s="389" customFormat="1" ht="22.5" customHeight="1">
      <c r="A11" s="390">
        <v>1</v>
      </c>
      <c r="B11" s="391" t="s">
        <v>26</v>
      </c>
      <c r="C11" s="392">
        <f t="shared" ref="C11:I11" si="2">C12+C13</f>
        <v>10472</v>
      </c>
      <c r="D11" s="392">
        <f t="shared" si="2"/>
        <v>51832</v>
      </c>
      <c r="E11" s="392">
        <f t="shared" si="2"/>
        <v>62203.512000000002</v>
      </c>
      <c r="F11" s="419">
        <f t="shared" si="2"/>
        <v>18392</v>
      </c>
      <c r="G11" s="419">
        <f t="shared" si="2"/>
        <v>97064</v>
      </c>
      <c r="H11" s="419">
        <f t="shared" si="2"/>
        <v>18392</v>
      </c>
      <c r="I11" s="419">
        <f t="shared" si="2"/>
        <v>97064</v>
      </c>
    </row>
    <row r="12" spans="1:11" s="389" customFormat="1" ht="57">
      <c r="A12" s="390" t="s">
        <v>32</v>
      </c>
      <c r="B12" s="391" t="s">
        <v>33</v>
      </c>
      <c r="C12" s="392"/>
      <c r="D12" s="392"/>
      <c r="E12" s="392"/>
      <c r="F12" s="419"/>
      <c r="G12" s="419"/>
      <c r="H12" s="419"/>
      <c r="I12" s="419"/>
    </row>
    <row r="13" spans="1:11" s="389" customFormat="1" ht="15.75">
      <c r="A13" s="390" t="s">
        <v>34</v>
      </c>
      <c r="B13" s="391" t="s">
        <v>69</v>
      </c>
      <c r="C13" s="392">
        <f t="shared" ref="C13:I13" si="3">C15</f>
        <v>10472</v>
      </c>
      <c r="D13" s="392">
        <f t="shared" si="3"/>
        <v>51832</v>
      </c>
      <c r="E13" s="392">
        <f t="shared" si="3"/>
        <v>62203.512000000002</v>
      </c>
      <c r="F13" s="419">
        <f t="shared" si="3"/>
        <v>18392</v>
      </c>
      <c r="G13" s="419">
        <f t="shared" si="3"/>
        <v>97064</v>
      </c>
      <c r="H13" s="419">
        <f t="shared" si="3"/>
        <v>18392</v>
      </c>
      <c r="I13" s="419">
        <f t="shared" si="3"/>
        <v>97064</v>
      </c>
    </row>
    <row r="14" spans="1:11" s="389" customFormat="1" ht="15.75">
      <c r="A14" s="390"/>
      <c r="B14" s="391" t="s">
        <v>17</v>
      </c>
      <c r="C14" s="392"/>
      <c r="D14" s="392"/>
      <c r="E14" s="392"/>
      <c r="F14" s="419"/>
      <c r="G14" s="419"/>
      <c r="H14" s="419"/>
      <c r="I14" s="419"/>
    </row>
    <row r="15" spans="1:11" s="389" customFormat="1" ht="15.75">
      <c r="A15" s="390" t="s">
        <v>70</v>
      </c>
      <c r="B15" s="391" t="s">
        <v>71</v>
      </c>
      <c r="C15" s="392">
        <f t="shared" ref="C15:I15" si="4">SUM(C16:C17)</f>
        <v>10472</v>
      </c>
      <c r="D15" s="392">
        <f t="shared" si="4"/>
        <v>51832</v>
      </c>
      <c r="E15" s="392">
        <f t="shared" si="4"/>
        <v>62203.512000000002</v>
      </c>
      <c r="F15" s="419">
        <f t="shared" si="4"/>
        <v>18392</v>
      </c>
      <c r="G15" s="419">
        <f t="shared" si="4"/>
        <v>97064</v>
      </c>
      <c r="H15" s="419">
        <f t="shared" si="4"/>
        <v>18392</v>
      </c>
      <c r="I15" s="419">
        <f t="shared" si="4"/>
        <v>97064</v>
      </c>
    </row>
    <row r="16" spans="1:11" s="378" customFormat="1" ht="15.75">
      <c r="A16" s="393" t="s">
        <v>29</v>
      </c>
      <c r="B16" s="396" t="s">
        <v>35</v>
      </c>
      <c r="C16" s="395">
        <v>7832</v>
      </c>
      <c r="D16" s="395">
        <v>7832</v>
      </c>
      <c r="E16" s="395">
        <v>27993.03</v>
      </c>
      <c r="F16" s="420">
        <v>7832</v>
      </c>
      <c r="G16" s="420">
        <v>7832</v>
      </c>
      <c r="H16" s="420">
        <v>7832</v>
      </c>
      <c r="I16" s="420">
        <v>7832</v>
      </c>
    </row>
    <row r="17" spans="1:12" s="378" customFormat="1" ht="15.75">
      <c r="A17" s="393" t="s">
        <v>30</v>
      </c>
      <c r="B17" s="396" t="s">
        <v>28</v>
      </c>
      <c r="C17" s="395">
        <v>2640</v>
      </c>
      <c r="D17" s="395">
        <v>44000</v>
      </c>
      <c r="E17" s="395">
        <v>34210.482000000004</v>
      </c>
      <c r="F17" s="420">
        <v>10560</v>
      </c>
      <c r="G17" s="420">
        <v>89232</v>
      </c>
      <c r="H17" s="420">
        <v>10560</v>
      </c>
      <c r="I17" s="420">
        <v>89232</v>
      </c>
      <c r="J17" s="397"/>
    </row>
    <row r="18" spans="1:12" s="389" customFormat="1" ht="15" customHeight="1">
      <c r="A18" s="390" t="s">
        <v>72</v>
      </c>
      <c r="B18" s="391" t="s">
        <v>73</v>
      </c>
      <c r="C18" s="392">
        <f t="shared" ref="C18:I18" si="5">SUM(C19:C23)</f>
        <v>0</v>
      </c>
      <c r="D18" s="392">
        <f t="shared" si="5"/>
        <v>51832</v>
      </c>
      <c r="E18" s="392">
        <f t="shared" si="5"/>
        <v>61527.127868999996</v>
      </c>
      <c r="F18" s="419">
        <f t="shared" si="5"/>
        <v>18392</v>
      </c>
      <c r="G18" s="419">
        <f t="shared" si="5"/>
        <v>97064</v>
      </c>
      <c r="H18" s="419">
        <f t="shared" si="5"/>
        <v>18392</v>
      </c>
      <c r="I18" s="419">
        <f t="shared" si="5"/>
        <v>97064</v>
      </c>
      <c r="J18" s="398"/>
    </row>
    <row r="19" spans="1:12" s="378" customFormat="1" ht="15.75">
      <c r="A19" s="399" t="s">
        <v>29</v>
      </c>
      <c r="B19" s="394" t="s">
        <v>15</v>
      </c>
      <c r="C19" s="395"/>
      <c r="D19" s="395">
        <v>10880</v>
      </c>
      <c r="E19" s="395">
        <v>19599</v>
      </c>
      <c r="F19" s="420">
        <v>2602</v>
      </c>
      <c r="G19" s="420">
        <v>2602</v>
      </c>
      <c r="H19" s="420">
        <v>2602</v>
      </c>
      <c r="I19" s="420">
        <v>2602</v>
      </c>
      <c r="J19" s="400"/>
    </row>
    <row r="20" spans="1:12" s="378" customFormat="1" ht="15.75">
      <c r="A20" s="399" t="s">
        <v>30</v>
      </c>
      <c r="B20" s="394" t="s">
        <v>38</v>
      </c>
      <c r="C20" s="395"/>
      <c r="D20" s="395"/>
      <c r="E20" s="395">
        <v>78.25</v>
      </c>
      <c r="F20" s="420">
        <v>5700</v>
      </c>
      <c r="G20" s="420">
        <v>5700</v>
      </c>
      <c r="H20" s="420">
        <v>5700</v>
      </c>
      <c r="I20" s="420">
        <v>5700</v>
      </c>
    </row>
    <row r="21" spans="1:12" s="378" customFormat="1" ht="15.75">
      <c r="A21" s="399" t="s">
        <v>36</v>
      </c>
      <c r="B21" s="394" t="s">
        <v>39</v>
      </c>
      <c r="C21" s="395"/>
      <c r="D21" s="395">
        <v>40952</v>
      </c>
      <c r="E21" s="395">
        <f>39493.57+2258.377869+97.93</f>
        <v>41849.877868999996</v>
      </c>
      <c r="F21" s="420">
        <v>10090</v>
      </c>
      <c r="G21" s="420">
        <v>78870</v>
      </c>
      <c r="H21" s="420">
        <v>10090</v>
      </c>
      <c r="I21" s="420">
        <v>78870</v>
      </c>
      <c r="J21" s="400"/>
    </row>
    <row r="22" spans="1:12" s="378" customFormat="1" ht="15.75">
      <c r="A22" s="399" t="s">
        <v>37</v>
      </c>
      <c r="B22" s="394" t="s">
        <v>919</v>
      </c>
      <c r="C22" s="395"/>
      <c r="D22" s="395"/>
      <c r="E22" s="395"/>
      <c r="F22" s="420"/>
      <c r="G22" s="420">
        <v>6200</v>
      </c>
      <c r="H22" s="420"/>
      <c r="I22" s="420">
        <v>6200</v>
      </c>
      <c r="J22" s="400"/>
    </row>
    <row r="23" spans="1:12" s="378" customFormat="1" ht="19.5" customHeight="1">
      <c r="A23" s="399" t="s">
        <v>75</v>
      </c>
      <c r="B23" s="394" t="s">
        <v>41</v>
      </c>
      <c r="C23" s="395"/>
      <c r="D23" s="395"/>
      <c r="E23" s="395"/>
      <c r="F23" s="420"/>
      <c r="G23" s="420">
        <f>2271+1421</f>
        <v>3692</v>
      </c>
      <c r="H23" s="420"/>
      <c r="I23" s="420">
        <f>2271+1421</f>
        <v>3692</v>
      </c>
    </row>
    <row r="24" spans="1:12" s="389" customFormat="1" ht="19.5" customHeight="1">
      <c r="A24" s="390">
        <v>2</v>
      </c>
      <c r="B24" s="391" t="s">
        <v>25</v>
      </c>
      <c r="C24" s="392">
        <v>269970.2</v>
      </c>
      <c r="D24" s="392">
        <f t="shared" ref="D24:I24" si="6">SUM(D25:D28)</f>
        <v>268645.91499999998</v>
      </c>
      <c r="E24" s="392">
        <f t="shared" si="6"/>
        <v>267630.05000000005</v>
      </c>
      <c r="F24" s="419">
        <f t="shared" si="6"/>
        <v>327672</v>
      </c>
      <c r="G24" s="419">
        <f t="shared" si="6"/>
        <v>329966.74699999997</v>
      </c>
      <c r="H24" s="419">
        <f t="shared" si="6"/>
        <v>327672</v>
      </c>
      <c r="I24" s="419">
        <f t="shared" si="6"/>
        <v>325060.24702000001</v>
      </c>
      <c r="J24" s="388"/>
      <c r="K24" s="388">
        <f>I24-G24</f>
        <v>-4906.4999799999641</v>
      </c>
      <c r="L24" s="388"/>
    </row>
    <row r="25" spans="1:12" s="378" customFormat="1" ht="23.25" customHeight="1">
      <c r="A25" s="399" t="s">
        <v>29</v>
      </c>
      <c r="B25" s="394" t="s">
        <v>15</v>
      </c>
      <c r="C25" s="395">
        <v>159376.25</v>
      </c>
      <c r="D25" s="395">
        <v>159376.25</v>
      </c>
      <c r="E25" s="395">
        <v>158876.69</v>
      </c>
      <c r="F25" s="420">
        <v>196950</v>
      </c>
      <c r="G25" s="420">
        <v>196950</v>
      </c>
      <c r="H25" s="420">
        <v>196950</v>
      </c>
      <c r="I25" s="420">
        <f>'biểu 04'!J28</f>
        <v>194541.7</v>
      </c>
      <c r="J25" s="401"/>
    </row>
    <row r="26" spans="1:12" s="378" customFormat="1" ht="15.75">
      <c r="A26" s="399" t="s">
        <v>30</v>
      </c>
      <c r="B26" s="394" t="s">
        <v>16</v>
      </c>
      <c r="C26" s="395">
        <v>150</v>
      </c>
      <c r="D26" s="395">
        <v>150</v>
      </c>
      <c r="E26" s="395">
        <v>150</v>
      </c>
      <c r="F26" s="420">
        <v>150</v>
      </c>
      <c r="G26" s="420">
        <v>150</v>
      </c>
      <c r="H26" s="420">
        <v>150</v>
      </c>
      <c r="I26" s="420">
        <v>150</v>
      </c>
    </row>
    <row r="27" spans="1:12" s="378" customFormat="1" ht="15.75">
      <c r="A27" s="399" t="s">
        <v>36</v>
      </c>
      <c r="B27" s="394" t="s">
        <v>42</v>
      </c>
      <c r="C27" s="395">
        <v>2007</v>
      </c>
      <c r="D27" s="395">
        <v>2123.61</v>
      </c>
      <c r="E27" s="395">
        <v>2116.41</v>
      </c>
      <c r="F27" s="420">
        <v>6399</v>
      </c>
      <c r="G27" s="420">
        <v>6399</v>
      </c>
      <c r="H27" s="420">
        <v>6399</v>
      </c>
      <c r="I27" s="420">
        <f>'biểu 04'!J30</f>
        <v>6071.2</v>
      </c>
    </row>
    <row r="28" spans="1:12" s="378" customFormat="1" ht="15.75">
      <c r="A28" s="399" t="s">
        <v>37</v>
      </c>
      <c r="B28" s="394" t="s">
        <v>43</v>
      </c>
      <c r="C28" s="395">
        <v>108437</v>
      </c>
      <c r="D28" s="395">
        <f t="shared" ref="D28:H28" si="7">SUM(D29:D39)-D33-D34-D35</f>
        <v>106996.05500000001</v>
      </c>
      <c r="E28" s="395">
        <f t="shared" si="7"/>
        <v>106486.95000000001</v>
      </c>
      <c r="F28" s="420">
        <f t="shared" si="7"/>
        <v>124173</v>
      </c>
      <c r="G28" s="420">
        <f t="shared" si="7"/>
        <v>126467.747</v>
      </c>
      <c r="H28" s="420">
        <f t="shared" si="7"/>
        <v>124173</v>
      </c>
      <c r="I28" s="420">
        <f>SUM(I29:I39)-I33-I34-I35</f>
        <v>124297.34702</v>
      </c>
      <c r="J28" s="401"/>
    </row>
    <row r="29" spans="1:12" s="378" customFormat="1" ht="15.75">
      <c r="A29" s="402" t="s">
        <v>11</v>
      </c>
      <c r="B29" s="394" t="s">
        <v>23</v>
      </c>
      <c r="C29" s="395"/>
      <c r="D29" s="395">
        <v>8320.2199999999993</v>
      </c>
      <c r="E29" s="395">
        <v>8370.2199999999993</v>
      </c>
      <c r="F29" s="420">
        <v>8158</v>
      </c>
      <c r="G29" s="420">
        <v>8158</v>
      </c>
      <c r="H29" s="420">
        <v>8158</v>
      </c>
      <c r="I29" s="420">
        <f>'Mau 05 UB (2)'!V405+'08 XA'!C71-0.003</f>
        <v>8164.1190000000006</v>
      </c>
      <c r="J29" s="401">
        <f>I29-G29</f>
        <v>6.1190000000005966</v>
      </c>
    </row>
    <row r="30" spans="1:12" s="378" customFormat="1" ht="15.75">
      <c r="A30" s="402" t="s">
        <v>11</v>
      </c>
      <c r="B30" s="394" t="s">
        <v>38</v>
      </c>
      <c r="C30" s="395"/>
      <c r="D30" s="395">
        <f>1830+200</f>
        <v>2030</v>
      </c>
      <c r="E30" s="395">
        <v>1930</v>
      </c>
      <c r="F30" s="420">
        <v>4948</v>
      </c>
      <c r="G30" s="420">
        <v>2920</v>
      </c>
      <c r="H30" s="420">
        <v>4948</v>
      </c>
      <c r="I30" s="420">
        <f>'Mau 05 UB (2)'!V411+'08 XA'!C67</f>
        <v>2865</v>
      </c>
      <c r="J30" s="401">
        <f>I30-G30</f>
        <v>-55</v>
      </c>
    </row>
    <row r="31" spans="1:12" s="378" customFormat="1" ht="15.75">
      <c r="A31" s="402" t="s">
        <v>11</v>
      </c>
      <c r="B31" s="394" t="s">
        <v>44</v>
      </c>
      <c r="C31" s="395"/>
      <c r="D31" s="395"/>
      <c r="E31" s="395"/>
      <c r="F31" s="420">
        <v>941</v>
      </c>
      <c r="G31" s="420">
        <v>941</v>
      </c>
      <c r="H31" s="420">
        <v>941</v>
      </c>
      <c r="I31" s="420">
        <v>941</v>
      </c>
    </row>
    <row r="32" spans="1:12" s="378" customFormat="1" ht="15.75">
      <c r="A32" s="402" t="s">
        <v>11</v>
      </c>
      <c r="B32" s="403" t="s">
        <v>920</v>
      </c>
      <c r="C32" s="395"/>
      <c r="D32" s="395">
        <f t="shared" ref="D32:I32" si="8">D33+D34+D35</f>
        <v>3839.0299999999997</v>
      </c>
      <c r="E32" s="395">
        <f t="shared" si="8"/>
        <v>3625.39</v>
      </c>
      <c r="F32" s="420">
        <f t="shared" si="8"/>
        <v>3393</v>
      </c>
      <c r="G32" s="420">
        <f t="shared" si="8"/>
        <v>3443</v>
      </c>
      <c r="H32" s="420">
        <f t="shared" si="8"/>
        <v>3393</v>
      </c>
      <c r="I32" s="420">
        <f t="shared" si="8"/>
        <v>3337.2</v>
      </c>
      <c r="J32" s="404"/>
      <c r="K32" s="404"/>
      <c r="L32" s="404"/>
    </row>
    <row r="33" spans="1:12" s="378" customFormat="1" ht="15.75">
      <c r="A33" s="402" t="s">
        <v>51</v>
      </c>
      <c r="B33" s="394" t="s">
        <v>45</v>
      </c>
      <c r="C33" s="395"/>
      <c r="D33" s="395">
        <v>1962.26</v>
      </c>
      <c r="E33" s="395">
        <v>1919.02</v>
      </c>
      <c r="F33" s="420">
        <v>1627</v>
      </c>
      <c r="G33" s="420">
        <v>1627</v>
      </c>
      <c r="H33" s="420">
        <v>1627</v>
      </c>
      <c r="I33" s="420">
        <f>'Mau 05 UB (2)'!V125+'08 XA'!C33-51</f>
        <v>1642.3100000000002</v>
      </c>
      <c r="J33" s="405">
        <f>I33-G33</f>
        <v>15.310000000000173</v>
      </c>
      <c r="K33" s="401"/>
    </row>
    <row r="34" spans="1:12" s="378" customFormat="1" ht="15.75">
      <c r="A34" s="402" t="s">
        <v>51</v>
      </c>
      <c r="B34" s="394" t="s">
        <v>46</v>
      </c>
      <c r="C34" s="395"/>
      <c r="D34" s="395">
        <v>1173.77</v>
      </c>
      <c r="E34" s="395">
        <v>1132.3699999999999</v>
      </c>
      <c r="F34" s="420">
        <v>1208</v>
      </c>
      <c r="G34" s="420">
        <v>1208</v>
      </c>
      <c r="H34" s="420">
        <v>1208</v>
      </c>
      <c r="I34" s="420">
        <f>'Mau 05 UB (2)'!V135+'08 XA'!C36</f>
        <v>1042.19</v>
      </c>
      <c r="J34" s="405">
        <f t="shared" ref="J34:J39" si="9">I34-G34</f>
        <v>-165.80999999999995</v>
      </c>
    </row>
    <row r="35" spans="1:12" s="378" customFormat="1" ht="15.75">
      <c r="A35" s="402" t="s">
        <v>51</v>
      </c>
      <c r="B35" s="394" t="s">
        <v>47</v>
      </c>
      <c r="C35" s="395"/>
      <c r="D35" s="395">
        <v>703</v>
      </c>
      <c r="E35" s="395">
        <v>574</v>
      </c>
      <c r="F35" s="420">
        <v>558</v>
      </c>
      <c r="G35" s="420">
        <v>608</v>
      </c>
      <c r="H35" s="420">
        <v>558</v>
      </c>
      <c r="I35" s="420">
        <f>'Mau 05 UB (2)'!V134+'08 XA'!C35</f>
        <v>652.70000000000005</v>
      </c>
      <c r="J35" s="405">
        <f t="shared" si="9"/>
        <v>44.700000000000045</v>
      </c>
    </row>
    <row r="36" spans="1:12" s="378" customFormat="1" ht="15.75">
      <c r="A36" s="402" t="s">
        <v>11</v>
      </c>
      <c r="B36" s="394" t="s">
        <v>39</v>
      </c>
      <c r="C36" s="395"/>
      <c r="D36" s="395">
        <v>14533.805</v>
      </c>
      <c r="E36" s="395">
        <v>14417.12</v>
      </c>
      <c r="F36" s="420">
        <v>20336</v>
      </c>
      <c r="G36" s="420">
        <v>19460.212</v>
      </c>
      <c r="H36" s="420">
        <v>20336</v>
      </c>
      <c r="I36" s="420">
        <f>'Mau 05 UB (2)'!V86+'08 XA'!C15-620</f>
        <v>18671.712</v>
      </c>
      <c r="J36" s="405">
        <f t="shared" si="9"/>
        <v>-788.5</v>
      </c>
      <c r="K36" s="405"/>
    </row>
    <row r="37" spans="1:12" s="378" customFormat="1" ht="24.75" customHeight="1">
      <c r="A37" s="402" t="s">
        <v>11</v>
      </c>
      <c r="B37" s="394" t="s">
        <v>40</v>
      </c>
      <c r="C37" s="395"/>
      <c r="D37" s="395">
        <v>69525.868000000002</v>
      </c>
      <c r="E37" s="395">
        <f>69118.29+210</f>
        <v>69328.289999999994</v>
      </c>
      <c r="F37" s="420">
        <v>66344</v>
      </c>
      <c r="G37" s="420">
        <v>70993.755000000005</v>
      </c>
      <c r="H37" s="420">
        <v>66344</v>
      </c>
      <c r="I37" s="420">
        <f>'Mau 05 UB (2)'!V167+'08 XA'!C43-0.03</f>
        <v>69988.53602</v>
      </c>
      <c r="J37" s="405">
        <f t="shared" si="9"/>
        <v>-1005.2189800000051</v>
      </c>
      <c r="K37" s="404"/>
      <c r="L37" s="404"/>
    </row>
    <row r="38" spans="1:12" s="378" customFormat="1" ht="15.75">
      <c r="A38" s="402" t="s">
        <v>11</v>
      </c>
      <c r="B38" s="394" t="s">
        <v>24</v>
      </c>
      <c r="C38" s="395"/>
      <c r="D38" s="395">
        <v>7217.1319999999996</v>
      </c>
      <c r="E38" s="395">
        <v>7309.13</v>
      </c>
      <c r="F38" s="420">
        <v>17826</v>
      </c>
      <c r="G38" s="420">
        <v>17363.78</v>
      </c>
      <c r="H38" s="420">
        <v>17826</v>
      </c>
      <c r="I38" s="420">
        <f>'Mau 05 UB (2)'!V143+'08 XA'!C39</f>
        <v>17196.78</v>
      </c>
      <c r="J38" s="405">
        <f t="shared" si="9"/>
        <v>-167</v>
      </c>
    </row>
    <row r="39" spans="1:12" s="378" customFormat="1" ht="15.75">
      <c r="A39" s="402" t="s">
        <v>11</v>
      </c>
      <c r="B39" s="394" t="s">
        <v>41</v>
      </c>
      <c r="C39" s="395"/>
      <c r="D39" s="395">
        <v>1530</v>
      </c>
      <c r="E39" s="395">
        <v>1506.8</v>
      </c>
      <c r="F39" s="420">
        <v>2227</v>
      </c>
      <c r="G39" s="420">
        <v>3188</v>
      </c>
      <c r="H39" s="420">
        <v>2227</v>
      </c>
      <c r="I39" s="420">
        <f>'Mau 05 UB (2)'!V415+'08 XA'!C78</f>
        <v>3133</v>
      </c>
      <c r="J39" s="405">
        <f t="shared" si="9"/>
        <v>-55</v>
      </c>
    </row>
    <row r="40" spans="1:12" s="389" customFormat="1" ht="15.75">
      <c r="A40" s="390">
        <v>3</v>
      </c>
      <c r="B40" s="391" t="s">
        <v>20</v>
      </c>
      <c r="C40" s="392">
        <v>5730</v>
      </c>
      <c r="D40" s="392">
        <v>5730</v>
      </c>
      <c r="E40" s="392">
        <v>7629</v>
      </c>
      <c r="F40" s="419">
        <v>7063</v>
      </c>
      <c r="G40" s="419">
        <v>7063</v>
      </c>
      <c r="H40" s="419">
        <v>7063</v>
      </c>
      <c r="I40" s="419">
        <v>7063</v>
      </c>
    </row>
    <row r="41" spans="1:12" s="389" customFormat="1" ht="15.75">
      <c r="A41" s="390">
        <v>4</v>
      </c>
      <c r="B41" s="391" t="s">
        <v>48</v>
      </c>
      <c r="C41" s="392"/>
      <c r="D41" s="392">
        <f>[8]b15!E34</f>
        <v>6774.31</v>
      </c>
      <c r="E41" s="392">
        <v>82508.38</v>
      </c>
      <c r="F41" s="419">
        <f>[8]b15!G34</f>
        <v>0</v>
      </c>
      <c r="G41" s="419">
        <v>5355</v>
      </c>
      <c r="H41" s="419">
        <v>0</v>
      </c>
      <c r="I41" s="419">
        <f>'Mau 05 UB (2)'!V430</f>
        <v>10261.5</v>
      </c>
      <c r="K41" s="582">
        <f>I41-G41</f>
        <v>4906.5</v>
      </c>
    </row>
    <row r="42" spans="1:12" s="389" customFormat="1" ht="15.75">
      <c r="A42" s="390" t="s">
        <v>12</v>
      </c>
      <c r="B42" s="391" t="s">
        <v>921</v>
      </c>
      <c r="C42" s="392">
        <f t="shared" ref="C42:I42" si="10">C43+C44+C45</f>
        <v>33171</v>
      </c>
      <c r="D42" s="392">
        <f t="shared" si="10"/>
        <v>33171</v>
      </c>
      <c r="E42" s="392">
        <f t="shared" si="10"/>
        <v>58336.36</v>
      </c>
      <c r="F42" s="419">
        <f t="shared" si="10"/>
        <v>8098</v>
      </c>
      <c r="G42" s="419">
        <f t="shared" si="10"/>
        <v>8098</v>
      </c>
      <c r="H42" s="419">
        <f t="shared" si="10"/>
        <v>8098</v>
      </c>
      <c r="I42" s="419">
        <f t="shared" si="10"/>
        <v>8098</v>
      </c>
    </row>
    <row r="43" spans="1:12" s="389" customFormat="1" ht="15.75">
      <c r="A43" s="390">
        <v>1</v>
      </c>
      <c r="B43" s="391" t="s">
        <v>50</v>
      </c>
      <c r="C43" s="392"/>
      <c r="D43" s="392"/>
      <c r="E43" s="392">
        <v>1299.25</v>
      </c>
      <c r="F43" s="419">
        <v>0</v>
      </c>
      <c r="G43" s="419">
        <v>0</v>
      </c>
      <c r="H43" s="419">
        <v>0</v>
      </c>
      <c r="I43" s="419">
        <v>0</v>
      </c>
    </row>
    <row r="44" spans="1:12" s="389" customFormat="1" ht="28.5">
      <c r="A44" s="390">
        <v>2</v>
      </c>
      <c r="B44" s="391" t="s">
        <v>52</v>
      </c>
      <c r="C44" s="392">
        <v>10963</v>
      </c>
      <c r="D44" s="392">
        <v>10963</v>
      </c>
      <c r="E44" s="392">
        <v>22594.9</v>
      </c>
      <c r="F44" s="419">
        <v>8098</v>
      </c>
      <c r="G44" s="419">
        <v>8098</v>
      </c>
      <c r="H44" s="419">
        <v>8098</v>
      </c>
      <c r="I44" s="419">
        <v>8098</v>
      </c>
    </row>
    <row r="45" spans="1:12" s="389" customFormat="1" ht="32.25" customHeight="1">
      <c r="A45" s="390">
        <v>3</v>
      </c>
      <c r="B45" s="391" t="s">
        <v>60</v>
      </c>
      <c r="C45" s="392">
        <v>22208</v>
      </c>
      <c r="D45" s="392">
        <v>22208</v>
      </c>
      <c r="E45" s="392">
        <v>34442.21</v>
      </c>
      <c r="F45" s="419"/>
      <c r="G45" s="419"/>
      <c r="H45" s="419"/>
      <c r="I45" s="419"/>
    </row>
    <row r="46" spans="1:12" s="378" customFormat="1" ht="33.75" customHeight="1">
      <c r="A46" s="390" t="s">
        <v>9</v>
      </c>
      <c r="B46" s="391" t="s">
        <v>64</v>
      </c>
      <c r="C46" s="395"/>
      <c r="D46" s="395"/>
      <c r="E46" s="395"/>
      <c r="F46" s="420"/>
      <c r="G46" s="420"/>
      <c r="H46" s="420"/>
      <c r="I46" s="420"/>
    </row>
    <row r="47" spans="1:12" s="378" customFormat="1" ht="15.75">
      <c r="A47" s="406"/>
      <c r="B47" s="407"/>
      <c r="C47" s="408"/>
      <c r="D47" s="408"/>
      <c r="E47" s="408"/>
      <c r="F47" s="421"/>
      <c r="G47" s="421"/>
      <c r="H47" s="421"/>
      <c r="I47" s="421"/>
    </row>
    <row r="48" spans="1:12" s="378" customFormat="1" ht="15.75">
      <c r="A48" s="409"/>
      <c r="F48" s="380"/>
      <c r="G48" s="380"/>
      <c r="H48" s="380"/>
      <c r="I48" s="410"/>
    </row>
    <row r="49" spans="1:9" s="378" customFormat="1" ht="18.75" customHeight="1">
      <c r="C49" s="686"/>
      <c r="D49" s="686"/>
      <c r="E49" s="686"/>
      <c r="F49" s="686"/>
      <c r="G49" s="686"/>
      <c r="H49" s="411"/>
      <c r="I49" s="412"/>
    </row>
    <row r="50" spans="1:9" s="378" customFormat="1" ht="18.75" customHeight="1">
      <c r="C50" s="687"/>
      <c r="D50" s="687"/>
      <c r="E50" s="687"/>
      <c r="F50" s="687"/>
      <c r="G50" s="687"/>
      <c r="H50" s="413"/>
      <c r="I50" s="414"/>
    </row>
    <row r="51" spans="1:9" s="378" customFormat="1" ht="18.75" customHeight="1">
      <c r="C51" s="687"/>
      <c r="D51" s="687"/>
      <c r="E51" s="687"/>
      <c r="F51" s="687"/>
      <c r="G51" s="687"/>
      <c r="H51" s="413"/>
      <c r="I51" s="414"/>
    </row>
    <row r="52" spans="1:9" s="378" customFormat="1" ht="18.75" customHeight="1">
      <c r="C52" s="686"/>
      <c r="D52" s="686"/>
      <c r="E52" s="686"/>
      <c r="F52" s="686"/>
      <c r="G52" s="686"/>
      <c r="H52" s="411"/>
      <c r="I52" s="412"/>
    </row>
    <row r="53" spans="1:9" s="378" customFormat="1" ht="15.75">
      <c r="A53" s="415"/>
      <c r="F53" s="380"/>
      <c r="G53" s="380"/>
      <c r="H53" s="380"/>
      <c r="I53" s="410"/>
    </row>
    <row r="54" spans="1:9" s="378" customFormat="1" ht="15.75">
      <c r="A54" s="415"/>
      <c r="F54" s="380"/>
      <c r="G54" s="380"/>
      <c r="H54" s="380"/>
      <c r="I54" s="410"/>
    </row>
    <row r="55" spans="1:9" s="378" customFormat="1" ht="15.75">
      <c r="A55" s="415"/>
      <c r="F55" s="380"/>
      <c r="G55" s="380"/>
      <c r="H55" s="380"/>
      <c r="I55" s="410"/>
    </row>
    <row r="56" spans="1:9" s="378" customFormat="1" ht="15.75">
      <c r="A56" s="415"/>
      <c r="F56" s="380"/>
      <c r="G56" s="380"/>
      <c r="H56" s="380"/>
      <c r="I56" s="410"/>
    </row>
    <row r="57" spans="1:9" s="378" customFormat="1" ht="15.75">
      <c r="A57" s="415"/>
      <c r="F57" s="380"/>
      <c r="G57" s="380"/>
      <c r="H57" s="380"/>
      <c r="I57" s="410"/>
    </row>
    <row r="58" spans="1:9" s="378" customFormat="1" ht="15.75">
      <c r="A58" s="415"/>
      <c r="F58" s="380"/>
      <c r="G58" s="380"/>
      <c r="H58" s="380"/>
      <c r="I58" s="410"/>
    </row>
    <row r="59" spans="1:9" s="378" customFormat="1" ht="15.75">
      <c r="A59" s="415"/>
      <c r="F59" s="380"/>
      <c r="G59" s="380"/>
      <c r="H59" s="380"/>
      <c r="I59" s="410"/>
    </row>
    <row r="60" spans="1:9" s="378" customFormat="1" ht="15.75">
      <c r="A60" s="415"/>
      <c r="F60" s="380"/>
      <c r="G60" s="380"/>
      <c r="H60" s="380"/>
      <c r="I60" s="410"/>
    </row>
    <row r="61" spans="1:9" s="378" customFormat="1" ht="15.75">
      <c r="A61" s="415"/>
      <c r="F61" s="380"/>
      <c r="G61" s="380"/>
      <c r="H61" s="380"/>
      <c r="I61" s="410"/>
    </row>
    <row r="62" spans="1:9" s="378" customFormat="1" ht="15.75">
      <c r="A62" s="415"/>
      <c r="F62" s="380"/>
      <c r="G62" s="380"/>
      <c r="H62" s="380"/>
      <c r="I62" s="410"/>
    </row>
    <row r="63" spans="1:9" s="378" customFormat="1" ht="15.75">
      <c r="F63" s="380"/>
      <c r="G63" s="380"/>
      <c r="H63" s="380"/>
      <c r="I63" s="410"/>
    </row>
    <row r="64" spans="1:9" s="378" customFormat="1" ht="15.75">
      <c r="F64" s="380"/>
      <c r="G64" s="380"/>
      <c r="H64" s="380"/>
      <c r="I64" s="410"/>
    </row>
    <row r="65" spans="6:9" s="378" customFormat="1" ht="15.75">
      <c r="F65" s="380"/>
      <c r="G65" s="380"/>
      <c r="H65" s="380"/>
      <c r="I65" s="410"/>
    </row>
    <row r="66" spans="6:9" s="378" customFormat="1" ht="15.75">
      <c r="F66" s="380"/>
      <c r="G66" s="380"/>
      <c r="H66" s="380"/>
      <c r="I66" s="410"/>
    </row>
    <row r="67" spans="6:9" s="378" customFormat="1" ht="15.75">
      <c r="F67" s="380"/>
      <c r="G67" s="380"/>
      <c r="H67" s="380"/>
      <c r="I67" s="410"/>
    </row>
    <row r="68" spans="6:9" s="378" customFormat="1" ht="15.75">
      <c r="F68" s="380"/>
      <c r="G68" s="380"/>
      <c r="H68" s="380"/>
      <c r="I68" s="410"/>
    </row>
    <row r="69" spans="6:9" s="378" customFormat="1" ht="15.75">
      <c r="F69" s="380"/>
      <c r="G69" s="380"/>
      <c r="H69" s="380"/>
      <c r="I69" s="410"/>
    </row>
    <row r="70" spans="6:9" s="378" customFormat="1" ht="15.75">
      <c r="F70" s="380"/>
      <c r="G70" s="380"/>
      <c r="H70" s="380"/>
      <c r="I70" s="410"/>
    </row>
    <row r="71" spans="6:9" s="378" customFormat="1" ht="15.75">
      <c r="F71" s="380"/>
      <c r="G71" s="380"/>
      <c r="H71" s="380"/>
      <c r="I71" s="410"/>
    </row>
    <row r="72" spans="6:9" s="378" customFormat="1" ht="15.75">
      <c r="F72" s="380"/>
      <c r="G72" s="380"/>
      <c r="H72" s="380"/>
      <c r="I72" s="410"/>
    </row>
    <row r="73" spans="6:9" s="378" customFormat="1" ht="15.75">
      <c r="F73" s="380"/>
      <c r="G73" s="380"/>
      <c r="H73" s="380"/>
      <c r="I73" s="410"/>
    </row>
    <row r="74" spans="6:9" s="378" customFormat="1" ht="15.75">
      <c r="F74" s="380"/>
      <c r="G74" s="380"/>
      <c r="H74" s="380"/>
      <c r="I74" s="410"/>
    </row>
    <row r="75" spans="6:9" s="378" customFormat="1" ht="15.75">
      <c r="F75" s="380"/>
      <c r="G75" s="380"/>
      <c r="H75" s="380"/>
      <c r="I75" s="410"/>
    </row>
    <row r="76" spans="6:9" s="378" customFormat="1" ht="15.75">
      <c r="F76" s="380"/>
      <c r="G76" s="380"/>
      <c r="H76" s="380"/>
      <c r="I76" s="410"/>
    </row>
    <row r="77" spans="6:9" s="378" customFormat="1" ht="15.75">
      <c r="F77" s="380"/>
      <c r="G77" s="380"/>
      <c r="H77" s="380"/>
      <c r="I77" s="410"/>
    </row>
    <row r="78" spans="6:9" s="378" customFormat="1" ht="15.75">
      <c r="F78" s="380"/>
      <c r="G78" s="380"/>
      <c r="H78" s="380"/>
      <c r="I78" s="410"/>
    </row>
  </sheetData>
  <mergeCells count="14">
    <mergeCell ref="C49:G49"/>
    <mergeCell ref="C50:G50"/>
    <mergeCell ref="C51:G51"/>
    <mergeCell ref="C52:G52"/>
    <mergeCell ref="A1:B1"/>
    <mergeCell ref="H1:J1"/>
    <mergeCell ref="A5:A6"/>
    <mergeCell ref="B5:B6"/>
    <mergeCell ref="C5:D5"/>
    <mergeCell ref="E5:E6"/>
    <mergeCell ref="F5:G5"/>
    <mergeCell ref="A2:I2"/>
    <mergeCell ref="G4:I4"/>
    <mergeCell ref="H5:I5"/>
  </mergeCells>
  <printOptions horizontalCentered="1"/>
  <pageMargins left="0.43307086614173229" right="0.23622047244094491" top="0.31496062992125984" bottom="0.31496062992125984" header="0.31496062992125984" footer="0.31496062992125984"/>
  <pageSetup paperSize="9" scale="80"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108"/>
  <sheetViews>
    <sheetView workbookViewId="0">
      <pane xSplit="4" ySplit="7" topLeftCell="E9" activePane="bottomRight" state="frozen"/>
      <selection pane="topRight" activeCell="E1" sqref="E1"/>
      <selection pane="bottomLeft" activeCell="A8" sqref="A8"/>
      <selection pane="bottomRight" activeCell="S10" sqref="S10"/>
    </sheetView>
  </sheetViews>
  <sheetFormatPr defaultRowHeight="15"/>
  <cols>
    <col min="1" max="1" width="7" style="86" customWidth="1"/>
    <col min="2" max="2" width="50.28515625" style="86" customWidth="1"/>
    <col min="3" max="3" width="12.7109375" style="354" customWidth="1"/>
    <col min="4" max="4" width="12.85546875" style="354" customWidth="1"/>
    <col min="5" max="5" width="12.140625" style="354" customWidth="1"/>
    <col min="6" max="6" width="12.42578125" style="354" customWidth="1"/>
    <col min="7" max="7" width="16.85546875" style="354" hidden="1" customWidth="1"/>
    <col min="8" max="8" width="0" style="354" hidden="1" customWidth="1"/>
    <col min="9" max="9" width="12.7109375" style="354" customWidth="1"/>
    <col min="10" max="10" width="12.85546875" style="354" customWidth="1"/>
    <col min="11" max="11" width="12.140625" style="354" customWidth="1"/>
    <col min="12" max="12" width="12.42578125" style="354" customWidth="1"/>
    <col min="13" max="13" width="19.7109375" style="366" hidden="1" customWidth="1"/>
    <col min="14" max="14" width="14.140625" style="354" hidden="1" customWidth="1"/>
    <col min="15" max="15" width="12.28515625" style="86" hidden="1" customWidth="1"/>
    <col min="16" max="16" width="10" style="86" hidden="1" customWidth="1"/>
    <col min="17" max="17" width="0" style="86" hidden="1" customWidth="1"/>
    <col min="18" max="18" width="9.140625" style="86"/>
    <col min="19" max="19" width="9.42578125" style="86" bestFit="1" customWidth="1"/>
    <col min="20" max="16384" width="9.140625" style="86"/>
  </cols>
  <sheetData>
    <row r="1" spans="1:20">
      <c r="A1" s="691" t="s">
        <v>81</v>
      </c>
      <c r="B1" s="691"/>
      <c r="C1" s="353"/>
      <c r="D1" s="353"/>
      <c r="E1" s="692"/>
      <c r="F1" s="692"/>
      <c r="I1" s="353"/>
      <c r="J1" s="353"/>
      <c r="K1" s="692" t="s">
        <v>82</v>
      </c>
      <c r="L1" s="692"/>
    </row>
    <row r="2" spans="1:20">
      <c r="A2" s="690" t="s">
        <v>83</v>
      </c>
      <c r="B2" s="690"/>
      <c r="C2" s="690"/>
      <c r="D2" s="690"/>
      <c r="E2" s="690"/>
      <c r="F2" s="690"/>
      <c r="G2" s="690"/>
      <c r="H2" s="690"/>
      <c r="I2" s="690"/>
      <c r="J2" s="690"/>
      <c r="K2" s="690"/>
      <c r="L2" s="690"/>
    </row>
    <row r="3" spans="1:20">
      <c r="A3" s="690" t="s">
        <v>725</v>
      </c>
      <c r="B3" s="690"/>
      <c r="C3" s="690"/>
      <c r="D3" s="690"/>
      <c r="E3" s="690"/>
      <c r="F3" s="690"/>
      <c r="G3" s="690"/>
      <c r="H3" s="690"/>
      <c r="I3" s="690"/>
      <c r="J3" s="690"/>
      <c r="K3" s="690"/>
      <c r="L3" s="690"/>
    </row>
    <row r="4" spans="1:20" ht="20.25" customHeight="1">
      <c r="A4" s="331"/>
      <c r="C4" s="355"/>
      <c r="D4" s="355"/>
      <c r="E4" s="689"/>
      <c r="F4" s="689"/>
      <c r="I4" s="355"/>
      <c r="J4" s="355"/>
      <c r="K4" s="689" t="s">
        <v>14</v>
      </c>
      <c r="L4" s="689"/>
    </row>
    <row r="5" spans="1:20" ht="36.75" customHeight="1">
      <c r="A5" s="699" t="s">
        <v>6</v>
      </c>
      <c r="B5" s="699" t="s">
        <v>7</v>
      </c>
      <c r="C5" s="693" t="s">
        <v>944</v>
      </c>
      <c r="D5" s="694"/>
      <c r="E5" s="694"/>
      <c r="F5" s="695"/>
      <c r="I5" s="693" t="s">
        <v>538</v>
      </c>
      <c r="J5" s="694"/>
      <c r="K5" s="694"/>
      <c r="L5" s="695"/>
    </row>
    <row r="6" spans="1:20">
      <c r="A6" s="699"/>
      <c r="B6" s="699"/>
      <c r="C6" s="696" t="s">
        <v>922</v>
      </c>
      <c r="D6" s="696" t="s">
        <v>570</v>
      </c>
      <c r="E6" s="698" t="s">
        <v>79</v>
      </c>
      <c r="F6" s="698"/>
      <c r="I6" s="696" t="s">
        <v>922</v>
      </c>
      <c r="J6" s="696" t="s">
        <v>570</v>
      </c>
      <c r="K6" s="698" t="s">
        <v>79</v>
      </c>
      <c r="L6" s="698"/>
    </row>
    <row r="7" spans="1:20" ht="40.5" customHeight="1">
      <c r="A7" s="699"/>
      <c r="B7" s="699"/>
      <c r="C7" s="697"/>
      <c r="D7" s="697"/>
      <c r="E7" s="356" t="s">
        <v>84</v>
      </c>
      <c r="F7" s="356" t="s">
        <v>85</v>
      </c>
      <c r="I7" s="697"/>
      <c r="J7" s="697"/>
      <c r="K7" s="356" t="s">
        <v>84</v>
      </c>
      <c r="L7" s="356" t="s">
        <v>85</v>
      </c>
    </row>
    <row r="8" spans="1:20">
      <c r="A8" s="332" t="s">
        <v>8</v>
      </c>
      <c r="B8" s="332" t="s">
        <v>9</v>
      </c>
      <c r="C8" s="423">
        <v>1</v>
      </c>
      <c r="D8" s="422">
        <v>2</v>
      </c>
      <c r="E8" s="423">
        <v>3</v>
      </c>
      <c r="F8" s="423">
        <v>4</v>
      </c>
      <c r="G8" s="424"/>
      <c r="H8" s="424"/>
      <c r="I8" s="423">
        <v>5</v>
      </c>
      <c r="J8" s="422">
        <v>6</v>
      </c>
      <c r="K8" s="423">
        <v>7</v>
      </c>
      <c r="L8" s="423">
        <v>8</v>
      </c>
    </row>
    <row r="9" spans="1:20" s="335" customFormat="1" ht="32.25" customHeight="1">
      <c r="A9" s="333"/>
      <c r="B9" s="334" t="s">
        <v>65</v>
      </c>
      <c r="C9" s="358">
        <f>C10+C36</f>
        <v>361225</v>
      </c>
      <c r="D9" s="358">
        <f>D10+D36</f>
        <v>447546.74979999999</v>
      </c>
      <c r="E9" s="358">
        <f>E10+E36</f>
        <v>378521.97</v>
      </c>
      <c r="F9" s="358">
        <f>F10+F36</f>
        <v>69024.779799999989</v>
      </c>
      <c r="G9" s="359"/>
      <c r="H9" s="359"/>
      <c r="I9" s="358">
        <f>I10+I36</f>
        <v>361225</v>
      </c>
      <c r="J9" s="358">
        <f>J10+J36</f>
        <v>447546.75002000004</v>
      </c>
      <c r="K9" s="358">
        <f>K10+K36</f>
        <v>378297.01002000005</v>
      </c>
      <c r="L9" s="358">
        <f>L10+L36</f>
        <v>69249.740000000005</v>
      </c>
      <c r="M9" s="342">
        <f>K9-E9</f>
        <v>-224.95997999992687</v>
      </c>
      <c r="N9" s="359">
        <f>L9-F9</f>
        <v>224.9602000000159</v>
      </c>
      <c r="O9" s="580">
        <f>J9-D9</f>
        <v>2.2000004537403584E-4</v>
      </c>
      <c r="P9" s="580">
        <f>K9-E9</f>
        <v>-224.95997999992687</v>
      </c>
      <c r="Q9" s="580">
        <f>L9-F9</f>
        <v>224.9602000000159</v>
      </c>
      <c r="R9" s="580">
        <f>J9-D9</f>
        <v>2.2000004537403584E-4</v>
      </c>
      <c r="S9" s="580">
        <f>K9-E9</f>
        <v>-224.95997999992687</v>
      </c>
      <c r="T9" s="580">
        <f>L9-F9</f>
        <v>224.9602000000159</v>
      </c>
    </row>
    <row r="10" spans="1:20" s="335" customFormat="1" ht="32.25" customHeight="1">
      <c r="A10" s="336" t="s">
        <v>8</v>
      </c>
      <c r="B10" s="337" t="s">
        <v>31</v>
      </c>
      <c r="C10" s="360">
        <f>C12+C26+C32+C33+C34+C35</f>
        <v>353127</v>
      </c>
      <c r="D10" s="360">
        <f>D12+D26+D32+D33+D34+D35</f>
        <v>439448.74979999999</v>
      </c>
      <c r="E10" s="360">
        <f>E12+E26+E32+E33+E34+E35</f>
        <v>370474.97</v>
      </c>
      <c r="F10" s="360">
        <f>F12+F26+F32+F33+F34+F35</f>
        <v>68973.779799999989</v>
      </c>
      <c r="G10" s="359"/>
      <c r="H10" s="359"/>
      <c r="I10" s="360">
        <f>I12+I26+I32+I33+I34+I35</f>
        <v>353127</v>
      </c>
      <c r="J10" s="360">
        <f>J12+J26+J32+J33+J34+J35</f>
        <v>439448.75002000004</v>
      </c>
      <c r="K10" s="360">
        <f>K12+K26+K32+K33+K34+K35</f>
        <v>370250.01002000005</v>
      </c>
      <c r="L10" s="360">
        <f>L12+L26+L32+L33+L34+L35</f>
        <v>69198.740000000005</v>
      </c>
      <c r="M10" s="342"/>
      <c r="N10" s="359"/>
    </row>
    <row r="11" spans="1:20" ht="47.25" customHeight="1">
      <c r="A11" s="338"/>
      <c r="B11" s="339" t="s">
        <v>68</v>
      </c>
      <c r="C11" s="361"/>
      <c r="D11" s="361"/>
      <c r="E11" s="361"/>
      <c r="F11" s="361"/>
      <c r="I11" s="361"/>
      <c r="J11" s="361"/>
      <c r="K11" s="361"/>
      <c r="L11" s="361"/>
    </row>
    <row r="12" spans="1:20" s="335" customFormat="1" ht="32.25" customHeight="1">
      <c r="A12" s="336" t="s">
        <v>10</v>
      </c>
      <c r="B12" s="337" t="s">
        <v>26</v>
      </c>
      <c r="C12" s="360">
        <f>C13</f>
        <v>18392</v>
      </c>
      <c r="D12" s="360">
        <f>D13</f>
        <v>97064</v>
      </c>
      <c r="E12" s="360">
        <f>E13</f>
        <v>88424</v>
      </c>
      <c r="F12" s="360">
        <f>F13</f>
        <v>8640</v>
      </c>
      <c r="G12" s="359"/>
      <c r="H12" s="359"/>
      <c r="I12" s="360">
        <f>I13</f>
        <v>18392</v>
      </c>
      <c r="J12" s="360">
        <f>J13</f>
        <v>97064</v>
      </c>
      <c r="K12" s="360">
        <f>K13</f>
        <v>88424</v>
      </c>
      <c r="L12" s="360">
        <f>L13</f>
        <v>8640</v>
      </c>
      <c r="M12" s="342"/>
      <c r="N12" s="359"/>
    </row>
    <row r="13" spans="1:20" s="335" customFormat="1" ht="32.25" customHeight="1">
      <c r="A13" s="336">
        <v>1</v>
      </c>
      <c r="B13" s="337" t="s">
        <v>71</v>
      </c>
      <c r="C13" s="360">
        <f>SUM(C14:C17)</f>
        <v>18392</v>
      </c>
      <c r="D13" s="360">
        <f>SUM(D14:D17)</f>
        <v>97064</v>
      </c>
      <c r="E13" s="360">
        <f>SUM(E14:E17)</f>
        <v>88424</v>
      </c>
      <c r="F13" s="360">
        <f>SUM(F14:F17)</f>
        <v>8640</v>
      </c>
      <c r="G13" s="359">
        <f>E13-E19-E22-E23</f>
        <v>75930</v>
      </c>
      <c r="H13" s="359"/>
      <c r="I13" s="360">
        <f>SUM(I14:I17)</f>
        <v>18392</v>
      </c>
      <c r="J13" s="360">
        <f>SUM(J14:J17)</f>
        <v>97064</v>
      </c>
      <c r="K13" s="360">
        <f>SUM(K14:K17)</f>
        <v>88424</v>
      </c>
      <c r="L13" s="360">
        <f>SUM(L14:L17)</f>
        <v>8640</v>
      </c>
      <c r="M13" s="342"/>
      <c r="N13" s="359"/>
    </row>
    <row r="14" spans="1:20" ht="25.5" customHeight="1">
      <c r="A14" s="338" t="s">
        <v>29</v>
      </c>
      <c r="B14" s="340" t="s">
        <v>35</v>
      </c>
      <c r="C14" s="362">
        <f>7832</f>
        <v>7832</v>
      </c>
      <c r="D14" s="362">
        <f>SUM(E14:F14)</f>
        <v>7832</v>
      </c>
      <c r="E14" s="362">
        <f>7832</f>
        <v>7832</v>
      </c>
      <c r="F14" s="361"/>
      <c r="H14" s="354">
        <f>89232-F15</f>
        <v>80592</v>
      </c>
      <c r="I14" s="362">
        <f>7832</f>
        <v>7832</v>
      </c>
      <c r="J14" s="362">
        <f>SUM(K14:L14)</f>
        <v>7832</v>
      </c>
      <c r="K14" s="362">
        <f>7832</f>
        <v>7832</v>
      </c>
      <c r="L14" s="361"/>
    </row>
    <row r="15" spans="1:20" ht="25.5" customHeight="1">
      <c r="A15" s="338" t="s">
        <v>30</v>
      </c>
      <c r="B15" s="340" t="s">
        <v>28</v>
      </c>
      <c r="C15" s="362">
        <v>10560</v>
      </c>
      <c r="D15" s="362">
        <f>SUM(E15:F15)</f>
        <v>89232</v>
      </c>
      <c r="E15" s="362">
        <v>80592</v>
      </c>
      <c r="F15" s="362">
        <v>8640</v>
      </c>
      <c r="I15" s="362">
        <v>10560</v>
      </c>
      <c r="J15" s="362">
        <f>SUM(K15:L15)</f>
        <v>89232</v>
      </c>
      <c r="K15" s="362">
        <v>80592</v>
      </c>
      <c r="L15" s="362">
        <v>8640</v>
      </c>
    </row>
    <row r="16" spans="1:20" ht="32.25" hidden="1" customHeight="1">
      <c r="A16" s="338" t="s">
        <v>36</v>
      </c>
      <c r="B16" s="340" t="s">
        <v>86</v>
      </c>
      <c r="C16" s="362"/>
      <c r="D16" s="362"/>
      <c r="E16" s="362"/>
      <c r="F16" s="361"/>
      <c r="I16" s="362"/>
      <c r="J16" s="362"/>
      <c r="K16" s="362"/>
      <c r="L16" s="361"/>
    </row>
    <row r="17" spans="1:17" ht="32.25" hidden="1" customHeight="1">
      <c r="A17" s="338" t="s">
        <v>37</v>
      </c>
      <c r="B17" s="340" t="s">
        <v>87</v>
      </c>
      <c r="C17" s="362"/>
      <c r="D17" s="362"/>
      <c r="E17" s="362"/>
      <c r="F17" s="361"/>
      <c r="I17" s="362"/>
      <c r="J17" s="362"/>
      <c r="K17" s="362"/>
      <c r="L17" s="361"/>
    </row>
    <row r="18" spans="1:17" s="335" customFormat="1" ht="32.25" customHeight="1">
      <c r="A18" s="336" t="s">
        <v>32</v>
      </c>
      <c r="B18" s="337" t="s">
        <v>73</v>
      </c>
      <c r="C18" s="360">
        <f>SUM(C19:C23)</f>
        <v>0</v>
      </c>
      <c r="D18" s="360">
        <f>SUM(D19:D23)</f>
        <v>97064</v>
      </c>
      <c r="E18" s="360">
        <f>SUM(E19:E23)</f>
        <v>88424</v>
      </c>
      <c r="F18" s="360">
        <f>SUM(F19:F23)</f>
        <v>8640</v>
      </c>
      <c r="G18" s="359"/>
      <c r="H18" s="359"/>
      <c r="I18" s="360">
        <f>SUM(I19:I23)</f>
        <v>0</v>
      </c>
      <c r="J18" s="360">
        <f>SUM(J19:J23)</f>
        <v>97064</v>
      </c>
      <c r="K18" s="360">
        <f>SUM(K19:K23)</f>
        <v>88424</v>
      </c>
      <c r="L18" s="360">
        <f>SUM(L19:L23)</f>
        <v>8640</v>
      </c>
      <c r="M18" s="342"/>
      <c r="N18" s="359"/>
    </row>
    <row r="19" spans="1:17" ht="28.5" customHeight="1">
      <c r="A19" s="341" t="s">
        <v>29</v>
      </c>
      <c r="B19" s="339" t="s">
        <v>15</v>
      </c>
      <c r="C19" s="362"/>
      <c r="D19" s="362">
        <f>SUM(E19:F19)</f>
        <v>2602</v>
      </c>
      <c r="E19" s="362">
        <v>2602</v>
      </c>
      <c r="F19" s="361"/>
      <c r="G19" s="354">
        <f>E13-E19-E22-E23</f>
        <v>75930</v>
      </c>
      <c r="I19" s="362"/>
      <c r="J19" s="362">
        <f>SUM(K19:L19)</f>
        <v>2602</v>
      </c>
      <c r="K19" s="362">
        <v>2602</v>
      </c>
      <c r="L19" s="361"/>
    </row>
    <row r="20" spans="1:17" ht="28.5" customHeight="1">
      <c r="A20" s="341" t="s">
        <v>30</v>
      </c>
      <c r="B20" s="339" t="s">
        <v>38</v>
      </c>
      <c r="C20" s="362"/>
      <c r="D20" s="362">
        <f>SUM(E20:F20)</f>
        <v>5700</v>
      </c>
      <c r="E20" s="362">
        <v>5700</v>
      </c>
      <c r="F20" s="361"/>
      <c r="I20" s="362"/>
      <c r="J20" s="362">
        <f>SUM(K20:L20)</f>
        <v>5700</v>
      </c>
      <c r="K20" s="362">
        <v>5700</v>
      </c>
      <c r="L20" s="361"/>
    </row>
    <row r="21" spans="1:17" ht="22.5" customHeight="1">
      <c r="A21" s="341" t="s">
        <v>36</v>
      </c>
      <c r="B21" s="339" t="s">
        <v>39</v>
      </c>
      <c r="C21" s="362"/>
      <c r="D21" s="362">
        <f>SUM(E21:F21)</f>
        <v>78870</v>
      </c>
      <c r="E21" s="362">
        <v>70230</v>
      </c>
      <c r="F21" s="362">
        <f>F15</f>
        <v>8640</v>
      </c>
      <c r="I21" s="362"/>
      <c r="J21" s="362">
        <f>SUM(K21:L21)</f>
        <v>78870</v>
      </c>
      <c r="K21" s="362">
        <v>70230</v>
      </c>
      <c r="L21" s="362">
        <f>L15</f>
        <v>8640</v>
      </c>
    </row>
    <row r="22" spans="1:17" ht="36.75" customHeight="1">
      <c r="A22" s="341" t="s">
        <v>37</v>
      </c>
      <c r="B22" s="340" t="s">
        <v>919</v>
      </c>
      <c r="C22" s="362"/>
      <c r="D22" s="362">
        <f>SUM(E22:F22)</f>
        <v>6200</v>
      </c>
      <c r="E22" s="362">
        <v>6200</v>
      </c>
      <c r="F22" s="362"/>
      <c r="I22" s="362"/>
      <c r="J22" s="362">
        <f>SUM(K22:L22)</f>
        <v>6200</v>
      </c>
      <c r="K22" s="362">
        <v>6200</v>
      </c>
      <c r="L22" s="362"/>
    </row>
    <row r="23" spans="1:17" ht="21.75" customHeight="1">
      <c r="A23" s="341" t="s">
        <v>75</v>
      </c>
      <c r="B23" s="339" t="s">
        <v>41</v>
      </c>
      <c r="C23" s="362"/>
      <c r="D23" s="362">
        <f>SUM(E23:F23)</f>
        <v>3692</v>
      </c>
      <c r="E23" s="362">
        <v>3692</v>
      </c>
      <c r="F23" s="361"/>
      <c r="I23" s="362"/>
      <c r="J23" s="362">
        <f>SUM(K23:L23)</f>
        <v>3692</v>
      </c>
      <c r="K23" s="362">
        <v>3692</v>
      </c>
      <c r="L23" s="361"/>
    </row>
    <row r="24" spans="1:17" s="335" customFormat="1" ht="69.75" customHeight="1">
      <c r="A24" s="336">
        <v>2</v>
      </c>
      <c r="B24" s="337" t="s">
        <v>88</v>
      </c>
      <c r="C24" s="360">
        <v>0</v>
      </c>
      <c r="D24" s="360">
        <v>0</v>
      </c>
      <c r="E24" s="360">
        <v>0</v>
      </c>
      <c r="F24" s="363">
        <v>0</v>
      </c>
      <c r="G24" s="359"/>
      <c r="H24" s="359"/>
      <c r="I24" s="360">
        <v>0</v>
      </c>
      <c r="J24" s="360">
        <v>0</v>
      </c>
      <c r="K24" s="360">
        <v>0</v>
      </c>
      <c r="L24" s="363">
        <v>0</v>
      </c>
      <c r="M24" s="342"/>
      <c r="N24" s="359"/>
    </row>
    <row r="25" spans="1:17" s="335" customFormat="1" ht="32.25" hidden="1" customHeight="1">
      <c r="A25" s="336">
        <v>3</v>
      </c>
      <c r="B25" s="337" t="s">
        <v>66</v>
      </c>
      <c r="C25" s="363"/>
      <c r="D25" s="363"/>
      <c r="E25" s="363"/>
      <c r="F25" s="363"/>
      <c r="G25" s="359"/>
      <c r="H25" s="359"/>
      <c r="I25" s="363"/>
      <c r="J25" s="363"/>
      <c r="K25" s="363"/>
      <c r="L25" s="363"/>
      <c r="M25" s="342"/>
      <c r="N25" s="359"/>
    </row>
    <row r="26" spans="1:17" s="335" customFormat="1" ht="32.25" customHeight="1">
      <c r="A26" s="336" t="s">
        <v>12</v>
      </c>
      <c r="B26" s="337" t="s">
        <v>25</v>
      </c>
      <c r="C26" s="360">
        <v>327672</v>
      </c>
      <c r="D26" s="360">
        <f>SUM(E26:F26)</f>
        <v>329966.74979999999</v>
      </c>
      <c r="E26" s="360">
        <f>271466.97-620</f>
        <v>270846.96999999997</v>
      </c>
      <c r="F26" s="360">
        <v>59119.779799999997</v>
      </c>
      <c r="G26" s="359"/>
      <c r="H26" s="359"/>
      <c r="I26" s="360">
        <v>327672</v>
      </c>
      <c r="J26" s="360">
        <f>SUM(K26:L26)</f>
        <v>325060.25002000004</v>
      </c>
      <c r="K26" s="360">
        <f>K28+K29+K30+K31</f>
        <v>265715.51002000005</v>
      </c>
      <c r="L26" s="360">
        <f>L28+L29+L30+L31</f>
        <v>59344.740000000005</v>
      </c>
      <c r="M26" s="342">
        <f>276597</f>
        <v>276597</v>
      </c>
      <c r="N26" s="359">
        <f>K26-M26</f>
        <v>-10881.489979999955</v>
      </c>
      <c r="O26" s="581">
        <f>K26-E26</f>
        <v>-5131.4599799999269</v>
      </c>
      <c r="P26" s="581">
        <f>L26-F26</f>
        <v>224.96020000000863</v>
      </c>
      <c r="Q26" s="580">
        <f>L26-F26</f>
        <v>224.96020000000863</v>
      </c>
    </row>
    <row r="27" spans="1:17" s="335" customFormat="1" ht="14.25">
      <c r="A27" s="336"/>
      <c r="B27" s="337" t="s">
        <v>17</v>
      </c>
      <c r="C27" s="360"/>
      <c r="D27" s="360"/>
      <c r="E27" s="360"/>
      <c r="F27" s="360"/>
      <c r="G27" s="359"/>
      <c r="H27" s="359"/>
      <c r="I27" s="360"/>
      <c r="J27" s="360"/>
      <c r="K27" s="360"/>
      <c r="L27" s="360"/>
      <c r="M27" s="342"/>
      <c r="N27" s="359"/>
    </row>
    <row r="28" spans="1:17" ht="21.75" customHeight="1">
      <c r="A28" s="341">
        <v>1</v>
      </c>
      <c r="B28" s="339" t="s">
        <v>15</v>
      </c>
      <c r="C28" s="362">
        <v>199650</v>
      </c>
      <c r="D28" s="362">
        <f>SUM(E28:F28)</f>
        <v>196950</v>
      </c>
      <c r="E28" s="362">
        <v>196470</v>
      </c>
      <c r="F28" s="361">
        <v>480</v>
      </c>
      <c r="I28" s="362">
        <v>199650</v>
      </c>
      <c r="J28" s="362">
        <f>SUM(K28:L28)</f>
        <v>194541.7</v>
      </c>
      <c r="K28" s="362">
        <f>'Mau 05 UB (2)'!V26</f>
        <v>194061.7</v>
      </c>
      <c r="L28" s="361">
        <v>480</v>
      </c>
      <c r="M28" s="366">
        <f>K28-E28</f>
        <v>-2408.2999999999884</v>
      </c>
      <c r="N28" s="354">
        <f>F28-L28</f>
        <v>0</v>
      </c>
      <c r="O28" s="581">
        <f>K28-E28</f>
        <v>-2408.2999999999884</v>
      </c>
      <c r="P28" s="581">
        <f>L28-F28</f>
        <v>0</v>
      </c>
    </row>
    <row r="29" spans="1:17" ht="21.75" customHeight="1">
      <c r="A29" s="341">
        <v>2</v>
      </c>
      <c r="B29" s="339" t="s">
        <v>16</v>
      </c>
      <c r="C29" s="362">
        <v>150</v>
      </c>
      <c r="D29" s="362">
        <f>SUM(E29:F29)</f>
        <v>150</v>
      </c>
      <c r="E29" s="362">
        <v>150</v>
      </c>
      <c r="F29" s="361">
        <v>0</v>
      </c>
      <c r="I29" s="362">
        <v>150</v>
      </c>
      <c r="J29" s="362">
        <f>SUM(K29:L29)</f>
        <v>150</v>
      </c>
      <c r="K29" s="362">
        <v>150</v>
      </c>
      <c r="L29" s="361">
        <v>0</v>
      </c>
      <c r="O29" s="581">
        <f t="shared" ref="O29:O31" si="0">K29-E29</f>
        <v>0</v>
      </c>
      <c r="P29" s="581">
        <f t="shared" ref="P29:P30" si="1">L29-F29</f>
        <v>0</v>
      </c>
    </row>
    <row r="30" spans="1:17" ht="21.75" customHeight="1">
      <c r="A30" s="341">
        <v>3</v>
      </c>
      <c r="B30" s="339" t="s">
        <v>42</v>
      </c>
      <c r="C30" s="361">
        <v>6399</v>
      </c>
      <c r="D30" s="362">
        <f>SUM(E30:F30)</f>
        <v>6399</v>
      </c>
      <c r="E30" s="361">
        <v>5429</v>
      </c>
      <c r="F30" s="361">
        <v>970</v>
      </c>
      <c r="I30" s="361">
        <v>6399</v>
      </c>
      <c r="J30" s="362">
        <f>SUM(K30:L30)</f>
        <v>6071.2</v>
      </c>
      <c r="K30" s="361">
        <f>'Mau 05 UB (2)'!V65</f>
        <v>5101.2</v>
      </c>
      <c r="L30" s="361">
        <v>970</v>
      </c>
      <c r="M30" s="366">
        <f>K30-E30</f>
        <v>-327.80000000000018</v>
      </c>
      <c r="O30" s="581">
        <f t="shared" si="0"/>
        <v>-327.80000000000018</v>
      </c>
      <c r="P30" s="581">
        <f t="shared" si="1"/>
        <v>0</v>
      </c>
    </row>
    <row r="31" spans="1:17" ht="21.75" customHeight="1">
      <c r="A31" s="341">
        <v>4</v>
      </c>
      <c r="B31" s="339" t="s">
        <v>43</v>
      </c>
      <c r="C31" s="362">
        <f>108437</f>
        <v>108437</v>
      </c>
      <c r="D31" s="362">
        <f>E31+F31</f>
        <v>126467.74979999996</v>
      </c>
      <c r="E31" s="362">
        <f>E26-E28-E29-E30</f>
        <v>68797.969999999972</v>
      </c>
      <c r="F31" s="362">
        <v>57669.779799999997</v>
      </c>
      <c r="I31" s="362">
        <f>108437</f>
        <v>108437</v>
      </c>
      <c r="J31" s="362">
        <f>K31+L31</f>
        <v>124297.35002000001</v>
      </c>
      <c r="K31" s="362">
        <f>'Mau 05 UB (2)'!V82-'Mau 05 UB (2)'!V430-K47-K38-0.03</f>
        <v>66402.610020000007</v>
      </c>
      <c r="L31" s="362">
        <f>'08 XA'!D11-'08 XA'!D29-'08 XA'!D13</f>
        <v>57894.740000000005</v>
      </c>
      <c r="M31" s="366">
        <f>J31-D31</f>
        <v>-2170.3997799999488</v>
      </c>
      <c r="O31" s="581">
        <f t="shared" si="0"/>
        <v>-2395.3599799999647</v>
      </c>
      <c r="P31" s="581">
        <f>L31-F31</f>
        <v>224.96020000000863</v>
      </c>
    </row>
    <row r="32" spans="1:17" s="335" customFormat="1" ht="24.75" customHeight="1">
      <c r="A32" s="336" t="s">
        <v>13</v>
      </c>
      <c r="B32" s="337" t="s">
        <v>89</v>
      </c>
      <c r="C32" s="363"/>
      <c r="D32" s="361">
        <f>SUM(E32:F32)</f>
        <v>0</v>
      </c>
      <c r="E32" s="363"/>
      <c r="F32" s="363"/>
      <c r="G32" s="359"/>
      <c r="H32" s="359"/>
      <c r="I32" s="363"/>
      <c r="J32" s="361">
        <f>SUM(K32:L32)</f>
        <v>0</v>
      </c>
      <c r="K32" s="363"/>
      <c r="L32" s="363"/>
      <c r="M32" s="342">
        <f>'Mau 05 UB (2)'!E82-'Mau 05 UB (2)'!E430</f>
        <v>69418.000020000007</v>
      </c>
      <c r="N32" s="359"/>
    </row>
    <row r="33" spans="1:15" s="335" customFormat="1" ht="24.75" customHeight="1">
      <c r="A33" s="336" t="s">
        <v>18</v>
      </c>
      <c r="B33" s="337" t="s">
        <v>27</v>
      </c>
      <c r="C33" s="363"/>
      <c r="D33" s="361">
        <f>SUM(E33:F33)</f>
        <v>0</v>
      </c>
      <c r="E33" s="363"/>
      <c r="F33" s="363"/>
      <c r="G33" s="359"/>
      <c r="H33" s="359"/>
      <c r="I33" s="363"/>
      <c r="J33" s="361">
        <f>SUM(K33:L33)</f>
        <v>0</v>
      </c>
      <c r="K33" s="363"/>
      <c r="L33" s="363"/>
      <c r="M33" s="342"/>
      <c r="N33" s="359"/>
    </row>
    <row r="34" spans="1:15" s="335" customFormat="1" ht="24.75" customHeight="1">
      <c r="A34" s="336" t="s">
        <v>18</v>
      </c>
      <c r="B34" s="337" t="s">
        <v>20</v>
      </c>
      <c r="C34" s="360">
        <v>7063</v>
      </c>
      <c r="D34" s="360">
        <f>SUM(E34:F34)</f>
        <v>7063</v>
      </c>
      <c r="E34" s="360">
        <v>5849</v>
      </c>
      <c r="F34" s="360">
        <v>1214</v>
      </c>
      <c r="G34" s="359"/>
      <c r="H34" s="359"/>
      <c r="I34" s="360">
        <v>7063</v>
      </c>
      <c r="J34" s="360">
        <f>SUM(K34:L34)</f>
        <v>7063</v>
      </c>
      <c r="K34" s="360">
        <v>5849</v>
      </c>
      <c r="L34" s="360">
        <v>1214</v>
      </c>
      <c r="M34" s="342"/>
      <c r="N34" s="359"/>
    </row>
    <row r="35" spans="1:15" s="335" customFormat="1" ht="24.75" customHeight="1">
      <c r="A35" s="336" t="s">
        <v>19</v>
      </c>
      <c r="B35" s="337" t="s">
        <v>48</v>
      </c>
      <c r="C35" s="363"/>
      <c r="D35" s="360">
        <f>SUM(E35:F35)</f>
        <v>5355</v>
      </c>
      <c r="E35" s="369">
        <v>5355</v>
      </c>
      <c r="F35" s="369"/>
      <c r="G35" s="370"/>
      <c r="H35" s="370"/>
      <c r="I35" s="369"/>
      <c r="J35" s="360">
        <f>SUM(K35:L35)</f>
        <v>10261.5</v>
      </c>
      <c r="K35" s="369">
        <f>'Mau 05 UB (2)'!V430</f>
        <v>10261.5</v>
      </c>
      <c r="L35" s="363"/>
      <c r="M35" s="342"/>
      <c r="N35" s="359"/>
      <c r="O35" s="580"/>
    </row>
    <row r="36" spans="1:15" s="335" customFormat="1" ht="25.5" customHeight="1">
      <c r="A36" s="336" t="s">
        <v>9</v>
      </c>
      <c r="B36" s="337" t="s">
        <v>49</v>
      </c>
      <c r="C36" s="360">
        <f>C37+C50</f>
        <v>8098</v>
      </c>
      <c r="D36" s="360">
        <f>D37+D50</f>
        <v>8098</v>
      </c>
      <c r="E36" s="360">
        <f>E37+E50</f>
        <v>8047</v>
      </c>
      <c r="F36" s="360">
        <f>F37+F50</f>
        <v>51</v>
      </c>
      <c r="G36" s="359"/>
      <c r="H36" s="359"/>
      <c r="I36" s="360">
        <f>I37+I50</f>
        <v>8098</v>
      </c>
      <c r="J36" s="360">
        <f>J37+J50</f>
        <v>8098</v>
      </c>
      <c r="K36" s="360">
        <f>K37+K50</f>
        <v>8047</v>
      </c>
      <c r="L36" s="360">
        <f>L37+L50</f>
        <v>51</v>
      </c>
      <c r="M36" s="342"/>
      <c r="N36" s="359"/>
    </row>
    <row r="37" spans="1:15" s="335" customFormat="1" ht="32.25" customHeight="1">
      <c r="A37" s="336" t="s">
        <v>10</v>
      </c>
      <c r="B37" s="337" t="s">
        <v>52</v>
      </c>
      <c r="C37" s="360">
        <f>C38+C40</f>
        <v>8098</v>
      </c>
      <c r="D37" s="360">
        <f>D38+D40</f>
        <v>8098</v>
      </c>
      <c r="E37" s="360">
        <f>E38+E40</f>
        <v>8047</v>
      </c>
      <c r="F37" s="360">
        <f>F38+F40</f>
        <v>51</v>
      </c>
      <c r="G37" s="359"/>
      <c r="H37" s="359"/>
      <c r="I37" s="360">
        <f>I38+I40</f>
        <v>8098</v>
      </c>
      <c r="J37" s="360">
        <f>J38+J40</f>
        <v>8098</v>
      </c>
      <c r="K37" s="360">
        <f>K38+K40</f>
        <v>8047</v>
      </c>
      <c r="L37" s="360">
        <f>L38+L40</f>
        <v>51</v>
      </c>
      <c r="M37" s="342"/>
      <c r="N37" s="359"/>
    </row>
    <row r="38" spans="1:15" s="335" customFormat="1" ht="32.25" customHeight="1">
      <c r="A38" s="336">
        <v>1</v>
      </c>
      <c r="B38" s="337" t="s">
        <v>54</v>
      </c>
      <c r="C38" s="360">
        <f>SUM(C39)</f>
        <v>120</v>
      </c>
      <c r="D38" s="360">
        <f>SUM(D39)</f>
        <v>120</v>
      </c>
      <c r="E38" s="360">
        <f>SUM(E39)</f>
        <v>120</v>
      </c>
      <c r="F38" s="360">
        <f>SUM(F39)</f>
        <v>0</v>
      </c>
      <c r="G38" s="359"/>
      <c r="H38" s="359"/>
      <c r="I38" s="360">
        <f>SUM(I39)</f>
        <v>120</v>
      </c>
      <c r="J38" s="360">
        <f>SUM(J39)</f>
        <v>120</v>
      </c>
      <c r="K38" s="360">
        <f>SUM(K39)</f>
        <v>120</v>
      </c>
      <c r="L38" s="360">
        <f>SUM(L39)</f>
        <v>0</v>
      </c>
      <c r="M38" s="342">
        <f>500+120</f>
        <v>620</v>
      </c>
      <c r="N38" s="359"/>
    </row>
    <row r="39" spans="1:15" s="335" customFormat="1" ht="32.25" customHeight="1">
      <c r="A39" s="336" t="s">
        <v>923</v>
      </c>
      <c r="B39" s="343" t="s">
        <v>55</v>
      </c>
      <c r="C39" s="360">
        <v>120</v>
      </c>
      <c r="D39" s="362">
        <f>SUM(E39:F39)</f>
        <v>120</v>
      </c>
      <c r="E39" s="360">
        <v>120</v>
      </c>
      <c r="F39" s="360"/>
      <c r="G39" s="359"/>
      <c r="H39" s="359"/>
      <c r="I39" s="360">
        <v>120</v>
      </c>
      <c r="J39" s="362">
        <f>SUM(K39:L39)</f>
        <v>120</v>
      </c>
      <c r="K39" s="360">
        <v>120</v>
      </c>
      <c r="L39" s="360"/>
      <c r="M39" s="342"/>
      <c r="N39" s="359"/>
    </row>
    <row r="40" spans="1:15" s="335" customFormat="1" ht="32.25" customHeight="1">
      <c r="A40" s="336">
        <v>2</v>
      </c>
      <c r="B40" s="337" t="s">
        <v>57</v>
      </c>
      <c r="C40" s="360">
        <f>C41+C47</f>
        <v>7978</v>
      </c>
      <c r="D40" s="360">
        <f>D41+D47</f>
        <v>7978</v>
      </c>
      <c r="E40" s="360">
        <f>E41+E47</f>
        <v>7927</v>
      </c>
      <c r="F40" s="360">
        <f>F41+F47</f>
        <v>51</v>
      </c>
      <c r="G40" s="359"/>
      <c r="H40" s="359"/>
      <c r="I40" s="360">
        <f>I41+I47</f>
        <v>7978</v>
      </c>
      <c r="J40" s="360">
        <f>J41+J47</f>
        <v>7978</v>
      </c>
      <c r="K40" s="360">
        <f>K41+K47</f>
        <v>7927</v>
      </c>
      <c r="L40" s="360">
        <f>L41+L47</f>
        <v>51</v>
      </c>
      <c r="M40" s="342"/>
      <c r="N40" s="359"/>
    </row>
    <row r="41" spans="1:15" ht="19.5" customHeight="1">
      <c r="A41" s="338" t="s">
        <v>29</v>
      </c>
      <c r="B41" s="340" t="s">
        <v>95</v>
      </c>
      <c r="C41" s="362">
        <f>SUM(C42:C46)</f>
        <v>7427</v>
      </c>
      <c r="D41" s="362">
        <f>SUM(D42:D46)</f>
        <v>7427</v>
      </c>
      <c r="E41" s="362">
        <f>SUM(E42:E46)</f>
        <v>7427</v>
      </c>
      <c r="F41" s="362">
        <f>SUM(F42:F46)</f>
        <v>0</v>
      </c>
      <c r="I41" s="362">
        <f>SUM(I42:I46)</f>
        <v>7427</v>
      </c>
      <c r="J41" s="362">
        <f>SUM(J42:J46)</f>
        <v>7427</v>
      </c>
      <c r="K41" s="362">
        <f>SUM(K42:K46)</f>
        <v>7427</v>
      </c>
      <c r="L41" s="362">
        <f>SUM(L42:L46)</f>
        <v>0</v>
      </c>
      <c r="M41" s="366">
        <f>K41/2</f>
        <v>3713.5</v>
      </c>
    </row>
    <row r="42" spans="1:15" ht="40.5" customHeight="1">
      <c r="A42" s="344" t="s">
        <v>11</v>
      </c>
      <c r="B42" s="6" t="s">
        <v>80</v>
      </c>
      <c r="C42" s="362">
        <v>770</v>
      </c>
      <c r="D42" s="362">
        <f>SUM(E42:F42)</f>
        <v>770</v>
      </c>
      <c r="E42" s="362">
        <v>770</v>
      </c>
      <c r="F42" s="361"/>
      <c r="I42" s="362">
        <v>770</v>
      </c>
      <c r="J42" s="362">
        <f>SUM(K42:L42)</f>
        <v>770</v>
      </c>
      <c r="K42" s="362">
        <v>770</v>
      </c>
      <c r="L42" s="361"/>
      <c r="M42" s="366">
        <v>49501940</v>
      </c>
      <c r="N42" s="354">
        <v>51840000</v>
      </c>
    </row>
    <row r="43" spans="1:15" ht="21.75" customHeight="1">
      <c r="A43" s="344" t="s">
        <v>11</v>
      </c>
      <c r="B43" s="345" t="s">
        <v>58</v>
      </c>
      <c r="C43" s="362"/>
      <c r="D43" s="362">
        <f>SUM(E43:F43)</f>
        <v>0</v>
      </c>
      <c r="E43" s="362"/>
      <c r="F43" s="361"/>
      <c r="I43" s="362"/>
      <c r="J43" s="362">
        <f>SUM(K43:L43)</f>
        <v>0</v>
      </c>
      <c r="K43" s="362"/>
      <c r="L43" s="361"/>
      <c r="M43" s="366">
        <v>16200000</v>
      </c>
      <c r="N43" s="354">
        <f>96000000-N42</f>
        <v>44160000</v>
      </c>
    </row>
    <row r="44" spans="1:15" ht="21.75" customHeight="1">
      <c r="A44" s="344" t="s">
        <v>11</v>
      </c>
      <c r="B44" s="345" t="s">
        <v>924</v>
      </c>
      <c r="C44" s="362">
        <v>2500</v>
      </c>
      <c r="D44" s="362">
        <f>SUM(E44:F44)</f>
        <v>2500</v>
      </c>
      <c r="E44" s="362">
        <v>2500</v>
      </c>
      <c r="F44" s="361"/>
      <c r="I44" s="362">
        <v>2500</v>
      </c>
      <c r="J44" s="362">
        <f>SUM(K44:L44)</f>
        <v>2500</v>
      </c>
      <c r="K44" s="362">
        <v>2500</v>
      </c>
      <c r="L44" s="361"/>
      <c r="M44" s="367">
        <f>SUM(M42:M43)</f>
        <v>65701940</v>
      </c>
    </row>
    <row r="45" spans="1:15" ht="22.5" customHeight="1">
      <c r="A45" s="344" t="s">
        <v>11</v>
      </c>
      <c r="B45" s="345" t="s">
        <v>91</v>
      </c>
      <c r="C45" s="362">
        <v>2330</v>
      </c>
      <c r="D45" s="362">
        <f>SUM(E45:F45)</f>
        <v>2330</v>
      </c>
      <c r="E45" s="362">
        <v>2330</v>
      </c>
      <c r="F45" s="361"/>
      <c r="I45" s="362">
        <v>2330</v>
      </c>
      <c r="J45" s="362">
        <f>SUM(K45:L45)</f>
        <v>2330</v>
      </c>
      <c r="K45" s="362">
        <v>2330</v>
      </c>
      <c r="L45" s="361"/>
    </row>
    <row r="46" spans="1:15" ht="22.5" customHeight="1">
      <c r="A46" s="344" t="s">
        <v>11</v>
      </c>
      <c r="B46" s="345" t="s">
        <v>59</v>
      </c>
      <c r="C46" s="362">
        <v>1827</v>
      </c>
      <c r="D46" s="362">
        <f>SUM(E46:F46)</f>
        <v>1827</v>
      </c>
      <c r="E46" s="362">
        <v>1827</v>
      </c>
      <c r="F46" s="361"/>
      <c r="I46" s="362">
        <v>1827</v>
      </c>
      <c r="J46" s="362">
        <f>SUM(K46:L46)</f>
        <v>1827</v>
      </c>
      <c r="K46" s="362">
        <v>1827</v>
      </c>
      <c r="L46" s="361"/>
    </row>
    <row r="47" spans="1:15" ht="24" customHeight="1">
      <c r="A47" s="338" t="s">
        <v>30</v>
      </c>
      <c r="B47" s="340" t="s">
        <v>90</v>
      </c>
      <c r="C47" s="362">
        <f>SUM(C48:C49)</f>
        <v>551</v>
      </c>
      <c r="D47" s="362">
        <f>SUM(D48:D49)</f>
        <v>551</v>
      </c>
      <c r="E47" s="362">
        <f>SUM(E48:E49)</f>
        <v>500</v>
      </c>
      <c r="F47" s="362">
        <f>SUM(F48:F49)</f>
        <v>51</v>
      </c>
      <c r="I47" s="362">
        <f>SUM(I48:I49)</f>
        <v>551</v>
      </c>
      <c r="J47" s="362">
        <f>SUM(J48:J49)</f>
        <v>551</v>
      </c>
      <c r="K47" s="362">
        <f>SUM(K48:K49)</f>
        <v>500</v>
      </c>
      <c r="L47" s="362">
        <f>SUM(L48:L49)</f>
        <v>51</v>
      </c>
    </row>
    <row r="48" spans="1:15" ht="22.5" customHeight="1">
      <c r="A48" s="344" t="s">
        <v>11</v>
      </c>
      <c r="B48" s="346" t="s">
        <v>92</v>
      </c>
      <c r="C48" s="362">
        <v>500</v>
      </c>
      <c r="D48" s="362">
        <f>SUM(E48:F48)</f>
        <v>500</v>
      </c>
      <c r="E48" s="362">
        <v>500</v>
      </c>
      <c r="F48" s="361"/>
      <c r="I48" s="362">
        <v>500</v>
      </c>
      <c r="J48" s="362">
        <f>SUM(K48:L48)</f>
        <v>500</v>
      </c>
      <c r="K48" s="362">
        <v>500</v>
      </c>
      <c r="L48" s="361"/>
    </row>
    <row r="49" spans="1:14" ht="22.5" customHeight="1">
      <c r="A49" s="344" t="s">
        <v>11</v>
      </c>
      <c r="B49" s="346" t="s">
        <v>925</v>
      </c>
      <c r="C49" s="362">
        <v>51</v>
      </c>
      <c r="D49" s="362">
        <f>SUM(E49:F49)</f>
        <v>51</v>
      </c>
      <c r="E49" s="362"/>
      <c r="F49" s="361">
        <v>51</v>
      </c>
      <c r="I49" s="362">
        <v>51</v>
      </c>
      <c r="J49" s="362">
        <f>SUM(K49:L49)</f>
        <v>51</v>
      </c>
      <c r="K49" s="362"/>
      <c r="L49" s="361">
        <v>51</v>
      </c>
    </row>
    <row r="50" spans="1:14" s="335" customFormat="1" ht="32.25" customHeight="1">
      <c r="A50" s="347">
        <v>3</v>
      </c>
      <c r="B50" s="348" t="s">
        <v>60</v>
      </c>
      <c r="C50" s="364">
        <f>SUM(C51)</f>
        <v>0</v>
      </c>
      <c r="D50" s="364">
        <f>SUM(D51)</f>
        <v>0</v>
      </c>
      <c r="E50" s="364">
        <f>SUM(E51)</f>
        <v>0</v>
      </c>
      <c r="F50" s="364">
        <f>SUM(F51)</f>
        <v>0</v>
      </c>
      <c r="G50" s="359"/>
      <c r="H50" s="359"/>
      <c r="I50" s="364">
        <f>SUM(I51)</f>
        <v>0</v>
      </c>
      <c r="J50" s="364">
        <f>SUM(J51)</f>
        <v>0</v>
      </c>
      <c r="K50" s="364">
        <f>SUM(K51)</f>
        <v>0</v>
      </c>
      <c r="L50" s="364">
        <f>SUM(L51)</f>
        <v>0</v>
      </c>
      <c r="M50" s="342"/>
      <c r="N50" s="359"/>
    </row>
    <row r="51" spans="1:14" ht="32.25" hidden="1" customHeight="1">
      <c r="A51" s="332"/>
      <c r="B51" s="349"/>
      <c r="C51" s="365"/>
      <c r="D51" s="357"/>
      <c r="E51" s="365"/>
      <c r="F51" s="365"/>
      <c r="I51" s="365"/>
      <c r="J51" s="357"/>
      <c r="K51" s="365"/>
      <c r="L51" s="365"/>
    </row>
    <row r="52" spans="1:14">
      <c r="A52" s="350"/>
    </row>
    <row r="53" spans="1:14">
      <c r="A53" s="350"/>
    </row>
    <row r="54" spans="1:14">
      <c r="A54" s="350"/>
    </row>
    <row r="55" spans="1:14">
      <c r="A55" s="350"/>
    </row>
    <row r="56" spans="1:14">
      <c r="A56" s="350"/>
    </row>
    <row r="57" spans="1:14">
      <c r="A57" s="350"/>
    </row>
    <row r="58" spans="1:14">
      <c r="A58" s="350"/>
    </row>
    <row r="59" spans="1:14">
      <c r="A59" s="350"/>
    </row>
    <row r="60" spans="1:14">
      <c r="A60" s="350"/>
    </row>
    <row r="61" spans="1:14">
      <c r="A61" s="350"/>
    </row>
    <row r="62" spans="1:14">
      <c r="A62" s="350"/>
    </row>
    <row r="63" spans="1:14">
      <c r="A63" s="350"/>
    </row>
    <row r="64" spans="1:14">
      <c r="A64" s="350"/>
    </row>
    <row r="65" spans="1:1">
      <c r="A65" s="350"/>
    </row>
    <row r="66" spans="1:1" ht="18.75" customHeight="1"/>
    <row r="67" spans="1:1" ht="18.75" customHeight="1"/>
    <row r="68" spans="1:1" ht="18.75" customHeight="1"/>
    <row r="69" spans="1:1" ht="18.75" customHeight="1"/>
    <row r="70" spans="1:1">
      <c r="A70" s="351"/>
    </row>
    <row r="105" spans="1:1" ht="18.75" customHeight="1"/>
    <row r="106" spans="1:1" ht="18.75" customHeight="1"/>
    <row r="107" spans="1:1" ht="18.75" customHeight="1"/>
    <row r="108" spans="1:1">
      <c r="A108" s="351"/>
    </row>
  </sheetData>
  <mergeCells count="17">
    <mergeCell ref="I5:L5"/>
    <mergeCell ref="I6:I7"/>
    <mergeCell ref="J6:J7"/>
    <mergeCell ref="K6:L6"/>
    <mergeCell ref="A5:A7"/>
    <mergeCell ref="B5:B7"/>
    <mergeCell ref="C5:F5"/>
    <mergeCell ref="C6:C7"/>
    <mergeCell ref="D6:D7"/>
    <mergeCell ref="E6:F6"/>
    <mergeCell ref="E4:F4"/>
    <mergeCell ref="A2:L2"/>
    <mergeCell ref="A3:L3"/>
    <mergeCell ref="A1:B1"/>
    <mergeCell ref="E1:F1"/>
    <mergeCell ref="K1:L1"/>
    <mergeCell ref="K4:L4"/>
  </mergeCells>
  <printOptions horizontalCentered="1"/>
  <pageMargins left="0.31496062992125984" right="0.23622047244094491" top="0.27559055118110237" bottom="0.27559055118110237" header="0.31496062992125984" footer="0.31496062992125984"/>
  <pageSetup paperSize="9" scale="85" orientation="landscape"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11"/>
  <sheetViews>
    <sheetView workbookViewId="0">
      <pane xSplit="3" ySplit="8" topLeftCell="D33" activePane="bottomRight" state="frozen"/>
      <selection pane="topRight" activeCell="D1" sqref="D1"/>
      <selection pane="bottomLeft" activeCell="A10" sqref="A10"/>
      <selection pane="bottomRight" activeCell="F35" sqref="F35"/>
    </sheetView>
  </sheetViews>
  <sheetFormatPr defaultRowHeight="15.75"/>
  <cols>
    <col min="1" max="1" width="5.7109375" style="2" customWidth="1"/>
    <col min="2" max="2" width="55.140625" style="4" customWidth="1"/>
    <col min="3" max="3" width="9.5703125" style="8" customWidth="1"/>
    <col min="4" max="4" width="15.85546875" style="1" customWidth="1"/>
    <col min="5" max="5" width="11.42578125" style="3" customWidth="1"/>
    <col min="6" max="6" width="10.5703125" style="4" customWidth="1"/>
    <col min="7" max="7" width="13.5703125" style="4" customWidth="1"/>
    <col min="8" max="8" width="20.42578125" style="9" customWidth="1"/>
    <col min="9" max="9" width="14.85546875" style="9" bestFit="1" customWidth="1"/>
    <col min="10" max="13" width="9.140625" style="4"/>
    <col min="14" max="14" width="0" style="4" hidden="1" customWidth="1"/>
    <col min="15" max="19" width="9.140625" style="4"/>
    <col min="20" max="20" width="10.7109375" style="4" customWidth="1"/>
    <col min="21" max="256" width="9.140625" style="4"/>
    <col min="257" max="257" width="5.5703125" style="4" customWidth="1"/>
    <col min="258" max="258" width="55.140625" style="4" customWidth="1"/>
    <col min="259" max="259" width="8.140625" style="4" customWidth="1"/>
    <col min="260" max="260" width="15.42578125" style="4" customWidth="1"/>
    <col min="261" max="262" width="0" style="4" hidden="1" customWidth="1"/>
    <col min="263" max="263" width="12.28515625" style="4" customWidth="1"/>
    <col min="264" max="264" width="20.42578125" style="4" customWidth="1"/>
    <col min="265" max="265" width="14.85546875" style="4" bestFit="1" customWidth="1"/>
    <col min="266" max="269" width="9.140625" style="4"/>
    <col min="270" max="270" width="0" style="4" hidden="1" customWidth="1"/>
    <col min="271" max="275" width="9.140625" style="4"/>
    <col min="276" max="276" width="10.7109375" style="4" customWidth="1"/>
    <col min="277" max="512" width="9.140625" style="4"/>
    <col min="513" max="513" width="5.5703125" style="4" customWidth="1"/>
    <col min="514" max="514" width="55.140625" style="4" customWidth="1"/>
    <col min="515" max="515" width="8.140625" style="4" customWidth="1"/>
    <col min="516" max="516" width="15.42578125" style="4" customWidth="1"/>
    <col min="517" max="518" width="0" style="4" hidden="1" customWidth="1"/>
    <col min="519" max="519" width="12.28515625" style="4" customWidth="1"/>
    <col min="520" max="520" width="20.42578125" style="4" customWidth="1"/>
    <col min="521" max="521" width="14.85546875" style="4" bestFit="1" customWidth="1"/>
    <col min="522" max="525" width="9.140625" style="4"/>
    <col min="526" max="526" width="0" style="4" hidden="1" customWidth="1"/>
    <col min="527" max="531" width="9.140625" style="4"/>
    <col min="532" max="532" width="10.7109375" style="4" customWidth="1"/>
    <col min="533" max="768" width="9.140625" style="4"/>
    <col min="769" max="769" width="5.5703125" style="4" customWidth="1"/>
    <col min="770" max="770" width="55.140625" style="4" customWidth="1"/>
    <col min="771" max="771" width="8.140625" style="4" customWidth="1"/>
    <col min="772" max="772" width="15.42578125" style="4" customWidth="1"/>
    <col min="773" max="774" width="0" style="4" hidden="1" customWidth="1"/>
    <col min="775" max="775" width="12.28515625" style="4" customWidth="1"/>
    <col min="776" max="776" width="20.42578125" style="4" customWidth="1"/>
    <col min="777" max="777" width="14.85546875" style="4" bestFit="1" customWidth="1"/>
    <col min="778" max="781" width="9.140625" style="4"/>
    <col min="782" max="782" width="0" style="4" hidden="1" customWidth="1"/>
    <col min="783" max="787" width="9.140625" style="4"/>
    <col min="788" max="788" width="10.7109375" style="4" customWidth="1"/>
    <col min="789" max="1024" width="9.140625" style="4"/>
    <col min="1025" max="1025" width="5.5703125" style="4" customWidth="1"/>
    <col min="1026" max="1026" width="55.140625" style="4" customWidth="1"/>
    <col min="1027" max="1027" width="8.140625" style="4" customWidth="1"/>
    <col min="1028" max="1028" width="15.42578125" style="4" customWidth="1"/>
    <col min="1029" max="1030" width="0" style="4" hidden="1" customWidth="1"/>
    <col min="1031" max="1031" width="12.28515625" style="4" customWidth="1"/>
    <col min="1032" max="1032" width="20.42578125" style="4" customWidth="1"/>
    <col min="1033" max="1033" width="14.85546875" style="4" bestFit="1" customWidth="1"/>
    <col min="1034" max="1037" width="9.140625" style="4"/>
    <col min="1038" max="1038" width="0" style="4" hidden="1" customWidth="1"/>
    <col min="1039" max="1043" width="9.140625" style="4"/>
    <col min="1044" max="1044" width="10.7109375" style="4" customWidth="1"/>
    <col min="1045" max="1280" width="9.140625" style="4"/>
    <col min="1281" max="1281" width="5.5703125" style="4" customWidth="1"/>
    <col min="1282" max="1282" width="55.140625" style="4" customWidth="1"/>
    <col min="1283" max="1283" width="8.140625" style="4" customWidth="1"/>
    <col min="1284" max="1284" width="15.42578125" style="4" customWidth="1"/>
    <col min="1285" max="1286" width="0" style="4" hidden="1" customWidth="1"/>
    <col min="1287" max="1287" width="12.28515625" style="4" customWidth="1"/>
    <col min="1288" max="1288" width="20.42578125" style="4" customWidth="1"/>
    <col min="1289" max="1289" width="14.85546875" style="4" bestFit="1" customWidth="1"/>
    <col min="1290" max="1293" width="9.140625" style="4"/>
    <col min="1294" max="1294" width="0" style="4" hidden="1" customWidth="1"/>
    <col min="1295" max="1299" width="9.140625" style="4"/>
    <col min="1300" max="1300" width="10.7109375" style="4" customWidth="1"/>
    <col min="1301" max="1536" width="9.140625" style="4"/>
    <col min="1537" max="1537" width="5.5703125" style="4" customWidth="1"/>
    <col min="1538" max="1538" width="55.140625" style="4" customWidth="1"/>
    <col min="1539" max="1539" width="8.140625" style="4" customWidth="1"/>
    <col min="1540" max="1540" width="15.42578125" style="4" customWidth="1"/>
    <col min="1541" max="1542" width="0" style="4" hidden="1" customWidth="1"/>
    <col min="1543" max="1543" width="12.28515625" style="4" customWidth="1"/>
    <col min="1544" max="1544" width="20.42578125" style="4" customWidth="1"/>
    <col min="1545" max="1545" width="14.85546875" style="4" bestFit="1" customWidth="1"/>
    <col min="1546" max="1549" width="9.140625" style="4"/>
    <col min="1550" max="1550" width="0" style="4" hidden="1" customWidth="1"/>
    <col min="1551" max="1555" width="9.140625" style="4"/>
    <col min="1556" max="1556" width="10.7109375" style="4" customWidth="1"/>
    <col min="1557" max="1792" width="9.140625" style="4"/>
    <col min="1793" max="1793" width="5.5703125" style="4" customWidth="1"/>
    <col min="1794" max="1794" width="55.140625" style="4" customWidth="1"/>
    <col min="1795" max="1795" width="8.140625" style="4" customWidth="1"/>
    <col min="1796" max="1796" width="15.42578125" style="4" customWidth="1"/>
    <col min="1797" max="1798" width="0" style="4" hidden="1" customWidth="1"/>
    <col min="1799" max="1799" width="12.28515625" style="4" customWidth="1"/>
    <col min="1800" max="1800" width="20.42578125" style="4" customWidth="1"/>
    <col min="1801" max="1801" width="14.85546875" style="4" bestFit="1" customWidth="1"/>
    <col min="1802" max="1805" width="9.140625" style="4"/>
    <col min="1806" max="1806" width="0" style="4" hidden="1" customWidth="1"/>
    <col min="1807" max="1811" width="9.140625" style="4"/>
    <col min="1812" max="1812" width="10.7109375" style="4" customWidth="1"/>
    <col min="1813" max="2048" width="9.140625" style="4"/>
    <col min="2049" max="2049" width="5.5703125" style="4" customWidth="1"/>
    <col min="2050" max="2050" width="55.140625" style="4" customWidth="1"/>
    <col min="2051" max="2051" width="8.140625" style="4" customWidth="1"/>
    <col min="2052" max="2052" width="15.42578125" style="4" customWidth="1"/>
    <col min="2053" max="2054" width="0" style="4" hidden="1" customWidth="1"/>
    <col min="2055" max="2055" width="12.28515625" style="4" customWidth="1"/>
    <col min="2056" max="2056" width="20.42578125" style="4" customWidth="1"/>
    <col min="2057" max="2057" width="14.85546875" style="4" bestFit="1" customWidth="1"/>
    <col min="2058" max="2061" width="9.140625" style="4"/>
    <col min="2062" max="2062" width="0" style="4" hidden="1" customWidth="1"/>
    <col min="2063" max="2067" width="9.140625" style="4"/>
    <col min="2068" max="2068" width="10.7109375" style="4" customWidth="1"/>
    <col min="2069" max="2304" width="9.140625" style="4"/>
    <col min="2305" max="2305" width="5.5703125" style="4" customWidth="1"/>
    <col min="2306" max="2306" width="55.140625" style="4" customWidth="1"/>
    <col min="2307" max="2307" width="8.140625" style="4" customWidth="1"/>
    <col min="2308" max="2308" width="15.42578125" style="4" customWidth="1"/>
    <col min="2309" max="2310" width="0" style="4" hidden="1" customWidth="1"/>
    <col min="2311" max="2311" width="12.28515625" style="4" customWidth="1"/>
    <col min="2312" max="2312" width="20.42578125" style="4" customWidth="1"/>
    <col min="2313" max="2313" width="14.85546875" style="4" bestFit="1" customWidth="1"/>
    <col min="2314" max="2317" width="9.140625" style="4"/>
    <col min="2318" max="2318" width="0" style="4" hidden="1" customWidth="1"/>
    <col min="2319" max="2323" width="9.140625" style="4"/>
    <col min="2324" max="2324" width="10.7109375" style="4" customWidth="1"/>
    <col min="2325" max="2560" width="9.140625" style="4"/>
    <col min="2561" max="2561" width="5.5703125" style="4" customWidth="1"/>
    <col min="2562" max="2562" width="55.140625" style="4" customWidth="1"/>
    <col min="2563" max="2563" width="8.140625" style="4" customWidth="1"/>
    <col min="2564" max="2564" width="15.42578125" style="4" customWidth="1"/>
    <col min="2565" max="2566" width="0" style="4" hidden="1" customWidth="1"/>
    <col min="2567" max="2567" width="12.28515625" style="4" customWidth="1"/>
    <col min="2568" max="2568" width="20.42578125" style="4" customWidth="1"/>
    <col min="2569" max="2569" width="14.85546875" style="4" bestFit="1" customWidth="1"/>
    <col min="2570" max="2573" width="9.140625" style="4"/>
    <col min="2574" max="2574" width="0" style="4" hidden="1" customWidth="1"/>
    <col min="2575" max="2579" width="9.140625" style="4"/>
    <col min="2580" max="2580" width="10.7109375" style="4" customWidth="1"/>
    <col min="2581" max="2816" width="9.140625" style="4"/>
    <col min="2817" max="2817" width="5.5703125" style="4" customWidth="1"/>
    <col min="2818" max="2818" width="55.140625" style="4" customWidth="1"/>
    <col min="2819" max="2819" width="8.140625" style="4" customWidth="1"/>
    <col min="2820" max="2820" width="15.42578125" style="4" customWidth="1"/>
    <col min="2821" max="2822" width="0" style="4" hidden="1" customWidth="1"/>
    <col min="2823" max="2823" width="12.28515625" style="4" customWidth="1"/>
    <col min="2824" max="2824" width="20.42578125" style="4" customWidth="1"/>
    <col min="2825" max="2825" width="14.85546875" style="4" bestFit="1" customWidth="1"/>
    <col min="2826" max="2829" width="9.140625" style="4"/>
    <col min="2830" max="2830" width="0" style="4" hidden="1" customWidth="1"/>
    <col min="2831" max="2835" width="9.140625" style="4"/>
    <col min="2836" max="2836" width="10.7109375" style="4" customWidth="1"/>
    <col min="2837" max="3072" width="9.140625" style="4"/>
    <col min="3073" max="3073" width="5.5703125" style="4" customWidth="1"/>
    <col min="3074" max="3074" width="55.140625" style="4" customWidth="1"/>
    <col min="3075" max="3075" width="8.140625" style="4" customWidth="1"/>
    <col min="3076" max="3076" width="15.42578125" style="4" customWidth="1"/>
    <col min="3077" max="3078" width="0" style="4" hidden="1" customWidth="1"/>
    <col min="3079" max="3079" width="12.28515625" style="4" customWidth="1"/>
    <col min="3080" max="3080" width="20.42578125" style="4" customWidth="1"/>
    <col min="3081" max="3081" width="14.85546875" style="4" bestFit="1" customWidth="1"/>
    <col min="3082" max="3085" width="9.140625" style="4"/>
    <col min="3086" max="3086" width="0" style="4" hidden="1" customWidth="1"/>
    <col min="3087" max="3091" width="9.140625" style="4"/>
    <col min="3092" max="3092" width="10.7109375" style="4" customWidth="1"/>
    <col min="3093" max="3328" width="9.140625" style="4"/>
    <col min="3329" max="3329" width="5.5703125" style="4" customWidth="1"/>
    <col min="3330" max="3330" width="55.140625" style="4" customWidth="1"/>
    <col min="3331" max="3331" width="8.140625" style="4" customWidth="1"/>
    <col min="3332" max="3332" width="15.42578125" style="4" customWidth="1"/>
    <col min="3333" max="3334" width="0" style="4" hidden="1" customWidth="1"/>
    <col min="3335" max="3335" width="12.28515625" style="4" customWidth="1"/>
    <col min="3336" max="3336" width="20.42578125" style="4" customWidth="1"/>
    <col min="3337" max="3337" width="14.85546875" style="4" bestFit="1" customWidth="1"/>
    <col min="3338" max="3341" width="9.140625" style="4"/>
    <col min="3342" max="3342" width="0" style="4" hidden="1" customWidth="1"/>
    <col min="3343" max="3347" width="9.140625" style="4"/>
    <col min="3348" max="3348" width="10.7109375" style="4" customWidth="1"/>
    <col min="3349" max="3584" width="9.140625" style="4"/>
    <col min="3585" max="3585" width="5.5703125" style="4" customWidth="1"/>
    <col min="3586" max="3586" width="55.140625" style="4" customWidth="1"/>
    <col min="3587" max="3587" width="8.140625" style="4" customWidth="1"/>
    <col min="3588" max="3588" width="15.42578125" style="4" customWidth="1"/>
    <col min="3589" max="3590" width="0" style="4" hidden="1" customWidth="1"/>
    <col min="3591" max="3591" width="12.28515625" style="4" customWidth="1"/>
    <col min="3592" max="3592" width="20.42578125" style="4" customWidth="1"/>
    <col min="3593" max="3593" width="14.85546875" style="4" bestFit="1" customWidth="1"/>
    <col min="3594" max="3597" width="9.140625" style="4"/>
    <col min="3598" max="3598" width="0" style="4" hidden="1" customWidth="1"/>
    <col min="3599" max="3603" width="9.140625" style="4"/>
    <col min="3604" max="3604" width="10.7109375" style="4" customWidth="1"/>
    <col min="3605" max="3840" width="9.140625" style="4"/>
    <col min="3841" max="3841" width="5.5703125" style="4" customWidth="1"/>
    <col min="3842" max="3842" width="55.140625" style="4" customWidth="1"/>
    <col min="3843" max="3843" width="8.140625" style="4" customWidth="1"/>
    <col min="3844" max="3844" width="15.42578125" style="4" customWidth="1"/>
    <col min="3845" max="3846" width="0" style="4" hidden="1" customWidth="1"/>
    <col min="3847" max="3847" width="12.28515625" style="4" customWidth="1"/>
    <col min="3848" max="3848" width="20.42578125" style="4" customWidth="1"/>
    <col min="3849" max="3849" width="14.85546875" style="4" bestFit="1" customWidth="1"/>
    <col min="3850" max="3853" width="9.140625" style="4"/>
    <col min="3854" max="3854" width="0" style="4" hidden="1" customWidth="1"/>
    <col min="3855" max="3859" width="9.140625" style="4"/>
    <col min="3860" max="3860" width="10.7109375" style="4" customWidth="1"/>
    <col min="3861" max="4096" width="9.140625" style="4"/>
    <col min="4097" max="4097" width="5.5703125" style="4" customWidth="1"/>
    <col min="4098" max="4098" width="55.140625" style="4" customWidth="1"/>
    <col min="4099" max="4099" width="8.140625" style="4" customWidth="1"/>
    <col min="4100" max="4100" width="15.42578125" style="4" customWidth="1"/>
    <col min="4101" max="4102" width="0" style="4" hidden="1" customWidth="1"/>
    <col min="4103" max="4103" width="12.28515625" style="4" customWidth="1"/>
    <col min="4104" max="4104" width="20.42578125" style="4" customWidth="1"/>
    <col min="4105" max="4105" width="14.85546875" style="4" bestFit="1" customWidth="1"/>
    <col min="4106" max="4109" width="9.140625" style="4"/>
    <col min="4110" max="4110" width="0" style="4" hidden="1" customWidth="1"/>
    <col min="4111" max="4115" width="9.140625" style="4"/>
    <col min="4116" max="4116" width="10.7109375" style="4" customWidth="1"/>
    <col min="4117" max="4352" width="9.140625" style="4"/>
    <col min="4353" max="4353" width="5.5703125" style="4" customWidth="1"/>
    <col min="4354" max="4354" width="55.140625" style="4" customWidth="1"/>
    <col min="4355" max="4355" width="8.140625" style="4" customWidth="1"/>
    <col min="4356" max="4356" width="15.42578125" style="4" customWidth="1"/>
    <col min="4357" max="4358" width="0" style="4" hidden="1" customWidth="1"/>
    <col min="4359" max="4359" width="12.28515625" style="4" customWidth="1"/>
    <col min="4360" max="4360" width="20.42578125" style="4" customWidth="1"/>
    <col min="4361" max="4361" width="14.85546875" style="4" bestFit="1" customWidth="1"/>
    <col min="4362" max="4365" width="9.140625" style="4"/>
    <col min="4366" max="4366" width="0" style="4" hidden="1" customWidth="1"/>
    <col min="4367" max="4371" width="9.140625" style="4"/>
    <col min="4372" max="4372" width="10.7109375" style="4" customWidth="1"/>
    <col min="4373" max="4608" width="9.140625" style="4"/>
    <col min="4609" max="4609" width="5.5703125" style="4" customWidth="1"/>
    <col min="4610" max="4610" width="55.140625" style="4" customWidth="1"/>
    <col min="4611" max="4611" width="8.140625" style="4" customWidth="1"/>
    <col min="4612" max="4612" width="15.42578125" style="4" customWidth="1"/>
    <col min="4613" max="4614" width="0" style="4" hidden="1" customWidth="1"/>
    <col min="4615" max="4615" width="12.28515625" style="4" customWidth="1"/>
    <col min="4616" max="4616" width="20.42578125" style="4" customWidth="1"/>
    <col min="4617" max="4617" width="14.85546875" style="4" bestFit="1" customWidth="1"/>
    <col min="4618" max="4621" width="9.140625" style="4"/>
    <col min="4622" max="4622" width="0" style="4" hidden="1" customWidth="1"/>
    <col min="4623" max="4627" width="9.140625" style="4"/>
    <col min="4628" max="4628" width="10.7109375" style="4" customWidth="1"/>
    <col min="4629" max="4864" width="9.140625" style="4"/>
    <col min="4865" max="4865" width="5.5703125" style="4" customWidth="1"/>
    <col min="4866" max="4866" width="55.140625" style="4" customWidth="1"/>
    <col min="4867" max="4867" width="8.140625" style="4" customWidth="1"/>
    <col min="4868" max="4868" width="15.42578125" style="4" customWidth="1"/>
    <col min="4869" max="4870" width="0" style="4" hidden="1" customWidth="1"/>
    <col min="4871" max="4871" width="12.28515625" style="4" customWidth="1"/>
    <col min="4872" max="4872" width="20.42578125" style="4" customWidth="1"/>
    <col min="4873" max="4873" width="14.85546875" style="4" bestFit="1" customWidth="1"/>
    <col min="4874" max="4877" width="9.140625" style="4"/>
    <col min="4878" max="4878" width="0" style="4" hidden="1" customWidth="1"/>
    <col min="4879" max="4883" width="9.140625" style="4"/>
    <col min="4884" max="4884" width="10.7109375" style="4" customWidth="1"/>
    <col min="4885" max="5120" width="9.140625" style="4"/>
    <col min="5121" max="5121" width="5.5703125" style="4" customWidth="1"/>
    <col min="5122" max="5122" width="55.140625" style="4" customWidth="1"/>
    <col min="5123" max="5123" width="8.140625" style="4" customWidth="1"/>
    <col min="5124" max="5124" width="15.42578125" style="4" customWidth="1"/>
    <col min="5125" max="5126" width="0" style="4" hidden="1" customWidth="1"/>
    <col min="5127" max="5127" width="12.28515625" style="4" customWidth="1"/>
    <col min="5128" max="5128" width="20.42578125" style="4" customWidth="1"/>
    <col min="5129" max="5129" width="14.85546875" style="4" bestFit="1" customWidth="1"/>
    <col min="5130" max="5133" width="9.140625" style="4"/>
    <col min="5134" max="5134" width="0" style="4" hidden="1" customWidth="1"/>
    <col min="5135" max="5139" width="9.140625" style="4"/>
    <col min="5140" max="5140" width="10.7109375" style="4" customWidth="1"/>
    <col min="5141" max="5376" width="9.140625" style="4"/>
    <col min="5377" max="5377" width="5.5703125" style="4" customWidth="1"/>
    <col min="5378" max="5378" width="55.140625" style="4" customWidth="1"/>
    <col min="5379" max="5379" width="8.140625" style="4" customWidth="1"/>
    <col min="5380" max="5380" width="15.42578125" style="4" customWidth="1"/>
    <col min="5381" max="5382" width="0" style="4" hidden="1" customWidth="1"/>
    <col min="5383" max="5383" width="12.28515625" style="4" customWidth="1"/>
    <col min="5384" max="5384" width="20.42578125" style="4" customWidth="1"/>
    <col min="5385" max="5385" width="14.85546875" style="4" bestFit="1" customWidth="1"/>
    <col min="5386" max="5389" width="9.140625" style="4"/>
    <col min="5390" max="5390" width="0" style="4" hidden="1" customWidth="1"/>
    <col min="5391" max="5395" width="9.140625" style="4"/>
    <col min="5396" max="5396" width="10.7109375" style="4" customWidth="1"/>
    <col min="5397" max="5632" width="9.140625" style="4"/>
    <col min="5633" max="5633" width="5.5703125" style="4" customWidth="1"/>
    <col min="5634" max="5634" width="55.140625" style="4" customWidth="1"/>
    <col min="5635" max="5635" width="8.140625" style="4" customWidth="1"/>
    <col min="5636" max="5636" width="15.42578125" style="4" customWidth="1"/>
    <col min="5637" max="5638" width="0" style="4" hidden="1" customWidth="1"/>
    <col min="5639" max="5639" width="12.28515625" style="4" customWidth="1"/>
    <col min="5640" max="5640" width="20.42578125" style="4" customWidth="1"/>
    <col min="5641" max="5641" width="14.85546875" style="4" bestFit="1" customWidth="1"/>
    <col min="5642" max="5645" width="9.140625" style="4"/>
    <col min="5646" max="5646" width="0" style="4" hidden="1" customWidth="1"/>
    <col min="5647" max="5651" width="9.140625" style="4"/>
    <col min="5652" max="5652" width="10.7109375" style="4" customWidth="1"/>
    <col min="5653" max="5888" width="9.140625" style="4"/>
    <col min="5889" max="5889" width="5.5703125" style="4" customWidth="1"/>
    <col min="5890" max="5890" width="55.140625" style="4" customWidth="1"/>
    <col min="5891" max="5891" width="8.140625" style="4" customWidth="1"/>
    <col min="5892" max="5892" width="15.42578125" style="4" customWidth="1"/>
    <col min="5893" max="5894" width="0" style="4" hidden="1" customWidth="1"/>
    <col min="5895" max="5895" width="12.28515625" style="4" customWidth="1"/>
    <col min="5896" max="5896" width="20.42578125" style="4" customWidth="1"/>
    <col min="5897" max="5897" width="14.85546875" style="4" bestFit="1" customWidth="1"/>
    <col min="5898" max="5901" width="9.140625" style="4"/>
    <col min="5902" max="5902" width="0" style="4" hidden="1" customWidth="1"/>
    <col min="5903" max="5907" width="9.140625" style="4"/>
    <col min="5908" max="5908" width="10.7109375" style="4" customWidth="1"/>
    <col min="5909" max="6144" width="9.140625" style="4"/>
    <col min="6145" max="6145" width="5.5703125" style="4" customWidth="1"/>
    <col min="6146" max="6146" width="55.140625" style="4" customWidth="1"/>
    <col min="6147" max="6147" width="8.140625" style="4" customWidth="1"/>
    <col min="6148" max="6148" width="15.42578125" style="4" customWidth="1"/>
    <col min="6149" max="6150" width="0" style="4" hidden="1" customWidth="1"/>
    <col min="6151" max="6151" width="12.28515625" style="4" customWidth="1"/>
    <col min="6152" max="6152" width="20.42578125" style="4" customWidth="1"/>
    <col min="6153" max="6153" width="14.85546875" style="4" bestFit="1" customWidth="1"/>
    <col min="6154" max="6157" width="9.140625" style="4"/>
    <col min="6158" max="6158" width="0" style="4" hidden="1" customWidth="1"/>
    <col min="6159" max="6163" width="9.140625" style="4"/>
    <col min="6164" max="6164" width="10.7109375" style="4" customWidth="1"/>
    <col min="6165" max="6400" width="9.140625" style="4"/>
    <col min="6401" max="6401" width="5.5703125" style="4" customWidth="1"/>
    <col min="6402" max="6402" width="55.140625" style="4" customWidth="1"/>
    <col min="6403" max="6403" width="8.140625" style="4" customWidth="1"/>
    <col min="6404" max="6404" width="15.42578125" style="4" customWidth="1"/>
    <col min="6405" max="6406" width="0" style="4" hidden="1" customWidth="1"/>
    <col min="6407" max="6407" width="12.28515625" style="4" customWidth="1"/>
    <col min="6408" max="6408" width="20.42578125" style="4" customWidth="1"/>
    <col min="6409" max="6409" width="14.85546875" style="4" bestFit="1" customWidth="1"/>
    <col min="6410" max="6413" width="9.140625" style="4"/>
    <col min="6414" max="6414" width="0" style="4" hidden="1" customWidth="1"/>
    <col min="6415" max="6419" width="9.140625" style="4"/>
    <col min="6420" max="6420" width="10.7109375" style="4" customWidth="1"/>
    <col min="6421" max="6656" width="9.140625" style="4"/>
    <col min="6657" max="6657" width="5.5703125" style="4" customWidth="1"/>
    <col min="6658" max="6658" width="55.140625" style="4" customWidth="1"/>
    <col min="6659" max="6659" width="8.140625" style="4" customWidth="1"/>
    <col min="6660" max="6660" width="15.42578125" style="4" customWidth="1"/>
    <col min="6661" max="6662" width="0" style="4" hidden="1" customWidth="1"/>
    <col min="6663" max="6663" width="12.28515625" style="4" customWidth="1"/>
    <col min="6664" max="6664" width="20.42578125" style="4" customWidth="1"/>
    <col min="6665" max="6665" width="14.85546875" style="4" bestFit="1" customWidth="1"/>
    <col min="6666" max="6669" width="9.140625" style="4"/>
    <col min="6670" max="6670" width="0" style="4" hidden="1" customWidth="1"/>
    <col min="6671" max="6675" width="9.140625" style="4"/>
    <col min="6676" max="6676" width="10.7109375" style="4" customWidth="1"/>
    <col min="6677" max="6912" width="9.140625" style="4"/>
    <col min="6913" max="6913" width="5.5703125" style="4" customWidth="1"/>
    <col min="6914" max="6914" width="55.140625" style="4" customWidth="1"/>
    <col min="6915" max="6915" width="8.140625" style="4" customWidth="1"/>
    <col min="6916" max="6916" width="15.42578125" style="4" customWidth="1"/>
    <col min="6917" max="6918" width="0" style="4" hidden="1" customWidth="1"/>
    <col min="6919" max="6919" width="12.28515625" style="4" customWidth="1"/>
    <col min="6920" max="6920" width="20.42578125" style="4" customWidth="1"/>
    <col min="6921" max="6921" width="14.85546875" style="4" bestFit="1" customWidth="1"/>
    <col min="6922" max="6925" width="9.140625" style="4"/>
    <col min="6926" max="6926" width="0" style="4" hidden="1" customWidth="1"/>
    <col min="6927" max="6931" width="9.140625" style="4"/>
    <col min="6932" max="6932" width="10.7109375" style="4" customWidth="1"/>
    <col min="6933" max="7168" width="9.140625" style="4"/>
    <col min="7169" max="7169" width="5.5703125" style="4" customWidth="1"/>
    <col min="7170" max="7170" width="55.140625" style="4" customWidth="1"/>
    <col min="7171" max="7171" width="8.140625" style="4" customWidth="1"/>
    <col min="7172" max="7172" width="15.42578125" style="4" customWidth="1"/>
    <col min="7173" max="7174" width="0" style="4" hidden="1" customWidth="1"/>
    <col min="7175" max="7175" width="12.28515625" style="4" customWidth="1"/>
    <col min="7176" max="7176" width="20.42578125" style="4" customWidth="1"/>
    <col min="7177" max="7177" width="14.85546875" style="4" bestFit="1" customWidth="1"/>
    <col min="7178" max="7181" width="9.140625" style="4"/>
    <col min="7182" max="7182" width="0" style="4" hidden="1" customWidth="1"/>
    <col min="7183" max="7187" width="9.140625" style="4"/>
    <col min="7188" max="7188" width="10.7109375" style="4" customWidth="1"/>
    <col min="7189" max="7424" width="9.140625" style="4"/>
    <col min="7425" max="7425" width="5.5703125" style="4" customWidth="1"/>
    <col min="7426" max="7426" width="55.140625" style="4" customWidth="1"/>
    <col min="7427" max="7427" width="8.140625" style="4" customWidth="1"/>
    <col min="7428" max="7428" width="15.42578125" style="4" customWidth="1"/>
    <col min="7429" max="7430" width="0" style="4" hidden="1" customWidth="1"/>
    <col min="7431" max="7431" width="12.28515625" style="4" customWidth="1"/>
    <col min="7432" max="7432" width="20.42578125" style="4" customWidth="1"/>
    <col min="7433" max="7433" width="14.85546875" style="4" bestFit="1" customWidth="1"/>
    <col min="7434" max="7437" width="9.140625" style="4"/>
    <col min="7438" max="7438" width="0" style="4" hidden="1" customWidth="1"/>
    <col min="7439" max="7443" width="9.140625" style="4"/>
    <col min="7444" max="7444" width="10.7109375" style="4" customWidth="1"/>
    <col min="7445" max="7680" width="9.140625" style="4"/>
    <col min="7681" max="7681" width="5.5703125" style="4" customWidth="1"/>
    <col min="7682" max="7682" width="55.140625" style="4" customWidth="1"/>
    <col min="7683" max="7683" width="8.140625" style="4" customWidth="1"/>
    <col min="7684" max="7684" width="15.42578125" style="4" customWidth="1"/>
    <col min="7685" max="7686" width="0" style="4" hidden="1" customWidth="1"/>
    <col min="7687" max="7687" width="12.28515625" style="4" customWidth="1"/>
    <col min="7688" max="7688" width="20.42578125" style="4" customWidth="1"/>
    <col min="7689" max="7689" width="14.85546875" style="4" bestFit="1" customWidth="1"/>
    <col min="7690" max="7693" width="9.140625" style="4"/>
    <col min="7694" max="7694" width="0" style="4" hidden="1" customWidth="1"/>
    <col min="7695" max="7699" width="9.140625" style="4"/>
    <col min="7700" max="7700" width="10.7109375" style="4" customWidth="1"/>
    <col min="7701" max="7936" width="9.140625" style="4"/>
    <col min="7937" max="7937" width="5.5703125" style="4" customWidth="1"/>
    <col min="7938" max="7938" width="55.140625" style="4" customWidth="1"/>
    <col min="7939" max="7939" width="8.140625" style="4" customWidth="1"/>
    <col min="7940" max="7940" width="15.42578125" style="4" customWidth="1"/>
    <col min="7941" max="7942" width="0" style="4" hidden="1" customWidth="1"/>
    <col min="7943" max="7943" width="12.28515625" style="4" customWidth="1"/>
    <col min="7944" max="7944" width="20.42578125" style="4" customWidth="1"/>
    <col min="7945" max="7945" width="14.85546875" style="4" bestFit="1" customWidth="1"/>
    <col min="7946" max="7949" width="9.140625" style="4"/>
    <col min="7950" max="7950" width="0" style="4" hidden="1" customWidth="1"/>
    <col min="7951" max="7955" width="9.140625" style="4"/>
    <col min="7956" max="7956" width="10.7109375" style="4" customWidth="1"/>
    <col min="7957" max="8192" width="9.140625" style="4"/>
    <col min="8193" max="8193" width="5.5703125" style="4" customWidth="1"/>
    <col min="8194" max="8194" width="55.140625" style="4" customWidth="1"/>
    <col min="8195" max="8195" width="8.140625" style="4" customWidth="1"/>
    <col min="8196" max="8196" width="15.42578125" style="4" customWidth="1"/>
    <col min="8197" max="8198" width="0" style="4" hidden="1" customWidth="1"/>
    <col min="8199" max="8199" width="12.28515625" style="4" customWidth="1"/>
    <col min="8200" max="8200" width="20.42578125" style="4" customWidth="1"/>
    <col min="8201" max="8201" width="14.85546875" style="4" bestFit="1" customWidth="1"/>
    <col min="8202" max="8205" width="9.140625" style="4"/>
    <col min="8206" max="8206" width="0" style="4" hidden="1" customWidth="1"/>
    <col min="8207" max="8211" width="9.140625" style="4"/>
    <col min="8212" max="8212" width="10.7109375" style="4" customWidth="1"/>
    <col min="8213" max="8448" width="9.140625" style="4"/>
    <col min="8449" max="8449" width="5.5703125" style="4" customWidth="1"/>
    <col min="8450" max="8450" width="55.140625" style="4" customWidth="1"/>
    <col min="8451" max="8451" width="8.140625" style="4" customWidth="1"/>
    <col min="8452" max="8452" width="15.42578125" style="4" customWidth="1"/>
    <col min="8453" max="8454" width="0" style="4" hidden="1" customWidth="1"/>
    <col min="8455" max="8455" width="12.28515625" style="4" customWidth="1"/>
    <col min="8456" max="8456" width="20.42578125" style="4" customWidth="1"/>
    <col min="8457" max="8457" width="14.85546875" style="4" bestFit="1" customWidth="1"/>
    <col min="8458" max="8461" width="9.140625" style="4"/>
    <col min="8462" max="8462" width="0" style="4" hidden="1" customWidth="1"/>
    <col min="8463" max="8467" width="9.140625" style="4"/>
    <col min="8468" max="8468" width="10.7109375" style="4" customWidth="1"/>
    <col min="8469" max="8704" width="9.140625" style="4"/>
    <col min="8705" max="8705" width="5.5703125" style="4" customWidth="1"/>
    <col min="8706" max="8706" width="55.140625" style="4" customWidth="1"/>
    <col min="8707" max="8707" width="8.140625" style="4" customWidth="1"/>
    <col min="8708" max="8708" width="15.42578125" style="4" customWidth="1"/>
    <col min="8709" max="8710" width="0" style="4" hidden="1" customWidth="1"/>
    <col min="8711" max="8711" width="12.28515625" style="4" customWidth="1"/>
    <col min="8712" max="8712" width="20.42578125" style="4" customWidth="1"/>
    <col min="8713" max="8713" width="14.85546875" style="4" bestFit="1" customWidth="1"/>
    <col min="8714" max="8717" width="9.140625" style="4"/>
    <col min="8718" max="8718" width="0" style="4" hidden="1" customWidth="1"/>
    <col min="8719" max="8723" width="9.140625" style="4"/>
    <col min="8724" max="8724" width="10.7109375" style="4" customWidth="1"/>
    <col min="8725" max="8960" width="9.140625" style="4"/>
    <col min="8961" max="8961" width="5.5703125" style="4" customWidth="1"/>
    <col min="8962" max="8962" width="55.140625" style="4" customWidth="1"/>
    <col min="8963" max="8963" width="8.140625" style="4" customWidth="1"/>
    <col min="8964" max="8964" width="15.42578125" style="4" customWidth="1"/>
    <col min="8965" max="8966" width="0" style="4" hidden="1" customWidth="1"/>
    <col min="8967" max="8967" width="12.28515625" style="4" customWidth="1"/>
    <col min="8968" max="8968" width="20.42578125" style="4" customWidth="1"/>
    <col min="8969" max="8969" width="14.85546875" style="4" bestFit="1" customWidth="1"/>
    <col min="8970" max="8973" width="9.140625" style="4"/>
    <col min="8974" max="8974" width="0" style="4" hidden="1" customWidth="1"/>
    <col min="8975" max="8979" width="9.140625" style="4"/>
    <col min="8980" max="8980" width="10.7109375" style="4" customWidth="1"/>
    <col min="8981" max="9216" width="9.140625" style="4"/>
    <col min="9217" max="9217" width="5.5703125" style="4" customWidth="1"/>
    <col min="9218" max="9218" width="55.140625" style="4" customWidth="1"/>
    <col min="9219" max="9219" width="8.140625" style="4" customWidth="1"/>
    <col min="9220" max="9220" width="15.42578125" style="4" customWidth="1"/>
    <col min="9221" max="9222" width="0" style="4" hidden="1" customWidth="1"/>
    <col min="9223" max="9223" width="12.28515625" style="4" customWidth="1"/>
    <col min="9224" max="9224" width="20.42578125" style="4" customWidth="1"/>
    <col min="9225" max="9225" width="14.85546875" style="4" bestFit="1" customWidth="1"/>
    <col min="9226" max="9229" width="9.140625" style="4"/>
    <col min="9230" max="9230" width="0" style="4" hidden="1" customWidth="1"/>
    <col min="9231" max="9235" width="9.140625" style="4"/>
    <col min="9236" max="9236" width="10.7109375" style="4" customWidth="1"/>
    <col min="9237" max="9472" width="9.140625" style="4"/>
    <col min="9473" max="9473" width="5.5703125" style="4" customWidth="1"/>
    <col min="9474" max="9474" width="55.140625" style="4" customWidth="1"/>
    <col min="9475" max="9475" width="8.140625" style="4" customWidth="1"/>
    <col min="9476" max="9476" width="15.42578125" style="4" customWidth="1"/>
    <col min="9477" max="9478" width="0" style="4" hidden="1" customWidth="1"/>
    <col min="9479" max="9479" width="12.28515625" style="4" customWidth="1"/>
    <col min="9480" max="9480" width="20.42578125" style="4" customWidth="1"/>
    <col min="9481" max="9481" width="14.85546875" style="4" bestFit="1" customWidth="1"/>
    <col min="9482" max="9485" width="9.140625" style="4"/>
    <col min="9486" max="9486" width="0" style="4" hidden="1" customWidth="1"/>
    <col min="9487" max="9491" width="9.140625" style="4"/>
    <col min="9492" max="9492" width="10.7109375" style="4" customWidth="1"/>
    <col min="9493" max="9728" width="9.140625" style="4"/>
    <col min="9729" max="9729" width="5.5703125" style="4" customWidth="1"/>
    <col min="9730" max="9730" width="55.140625" style="4" customWidth="1"/>
    <col min="9731" max="9731" width="8.140625" style="4" customWidth="1"/>
    <col min="9732" max="9732" width="15.42578125" style="4" customWidth="1"/>
    <col min="9733" max="9734" width="0" style="4" hidden="1" customWidth="1"/>
    <col min="9735" max="9735" width="12.28515625" style="4" customWidth="1"/>
    <col min="9736" max="9736" width="20.42578125" style="4" customWidth="1"/>
    <col min="9737" max="9737" width="14.85546875" style="4" bestFit="1" customWidth="1"/>
    <col min="9738" max="9741" width="9.140625" style="4"/>
    <col min="9742" max="9742" width="0" style="4" hidden="1" customWidth="1"/>
    <col min="9743" max="9747" width="9.140625" style="4"/>
    <col min="9748" max="9748" width="10.7109375" style="4" customWidth="1"/>
    <col min="9749" max="9984" width="9.140625" style="4"/>
    <col min="9985" max="9985" width="5.5703125" style="4" customWidth="1"/>
    <col min="9986" max="9986" width="55.140625" style="4" customWidth="1"/>
    <col min="9987" max="9987" width="8.140625" style="4" customWidth="1"/>
    <col min="9988" max="9988" width="15.42578125" style="4" customWidth="1"/>
    <col min="9989" max="9990" width="0" style="4" hidden="1" customWidth="1"/>
    <col min="9991" max="9991" width="12.28515625" style="4" customWidth="1"/>
    <col min="9992" max="9992" width="20.42578125" style="4" customWidth="1"/>
    <col min="9993" max="9993" width="14.85546875" style="4" bestFit="1" customWidth="1"/>
    <col min="9994" max="9997" width="9.140625" style="4"/>
    <col min="9998" max="9998" width="0" style="4" hidden="1" customWidth="1"/>
    <col min="9999" max="10003" width="9.140625" style="4"/>
    <col min="10004" max="10004" width="10.7109375" style="4" customWidth="1"/>
    <col min="10005" max="10240" width="9.140625" style="4"/>
    <col min="10241" max="10241" width="5.5703125" style="4" customWidth="1"/>
    <col min="10242" max="10242" width="55.140625" style="4" customWidth="1"/>
    <col min="10243" max="10243" width="8.140625" style="4" customWidth="1"/>
    <col min="10244" max="10244" width="15.42578125" style="4" customWidth="1"/>
    <col min="10245" max="10246" width="0" style="4" hidden="1" customWidth="1"/>
    <col min="10247" max="10247" width="12.28515625" style="4" customWidth="1"/>
    <col min="10248" max="10248" width="20.42578125" style="4" customWidth="1"/>
    <col min="10249" max="10249" width="14.85546875" style="4" bestFit="1" customWidth="1"/>
    <col min="10250" max="10253" width="9.140625" style="4"/>
    <col min="10254" max="10254" width="0" style="4" hidden="1" customWidth="1"/>
    <col min="10255" max="10259" width="9.140625" style="4"/>
    <col min="10260" max="10260" width="10.7109375" style="4" customWidth="1"/>
    <col min="10261" max="10496" width="9.140625" style="4"/>
    <col min="10497" max="10497" width="5.5703125" style="4" customWidth="1"/>
    <col min="10498" max="10498" width="55.140625" style="4" customWidth="1"/>
    <col min="10499" max="10499" width="8.140625" style="4" customWidth="1"/>
    <col min="10500" max="10500" width="15.42578125" style="4" customWidth="1"/>
    <col min="10501" max="10502" width="0" style="4" hidden="1" customWidth="1"/>
    <col min="10503" max="10503" width="12.28515625" style="4" customWidth="1"/>
    <col min="10504" max="10504" width="20.42578125" style="4" customWidth="1"/>
    <col min="10505" max="10505" width="14.85546875" style="4" bestFit="1" customWidth="1"/>
    <col min="10506" max="10509" width="9.140625" style="4"/>
    <col min="10510" max="10510" width="0" style="4" hidden="1" customWidth="1"/>
    <col min="10511" max="10515" width="9.140625" style="4"/>
    <col min="10516" max="10516" width="10.7109375" style="4" customWidth="1"/>
    <col min="10517" max="10752" width="9.140625" style="4"/>
    <col min="10753" max="10753" width="5.5703125" style="4" customWidth="1"/>
    <col min="10754" max="10754" width="55.140625" style="4" customWidth="1"/>
    <col min="10755" max="10755" width="8.140625" style="4" customWidth="1"/>
    <col min="10756" max="10756" width="15.42578125" style="4" customWidth="1"/>
    <col min="10757" max="10758" width="0" style="4" hidden="1" customWidth="1"/>
    <col min="10759" max="10759" width="12.28515625" style="4" customWidth="1"/>
    <col min="10760" max="10760" width="20.42578125" style="4" customWidth="1"/>
    <col min="10761" max="10761" width="14.85546875" style="4" bestFit="1" customWidth="1"/>
    <col min="10762" max="10765" width="9.140625" style="4"/>
    <col min="10766" max="10766" width="0" style="4" hidden="1" customWidth="1"/>
    <col min="10767" max="10771" width="9.140625" style="4"/>
    <col min="10772" max="10772" width="10.7109375" style="4" customWidth="1"/>
    <col min="10773" max="11008" width="9.140625" style="4"/>
    <col min="11009" max="11009" width="5.5703125" style="4" customWidth="1"/>
    <col min="11010" max="11010" width="55.140625" style="4" customWidth="1"/>
    <col min="11011" max="11011" width="8.140625" style="4" customWidth="1"/>
    <col min="11012" max="11012" width="15.42578125" style="4" customWidth="1"/>
    <col min="11013" max="11014" width="0" style="4" hidden="1" customWidth="1"/>
    <col min="11015" max="11015" width="12.28515625" style="4" customWidth="1"/>
    <col min="11016" max="11016" width="20.42578125" style="4" customWidth="1"/>
    <col min="11017" max="11017" width="14.85546875" style="4" bestFit="1" customWidth="1"/>
    <col min="11018" max="11021" width="9.140625" style="4"/>
    <col min="11022" max="11022" width="0" style="4" hidden="1" customWidth="1"/>
    <col min="11023" max="11027" width="9.140625" style="4"/>
    <col min="11028" max="11028" width="10.7109375" style="4" customWidth="1"/>
    <col min="11029" max="11264" width="9.140625" style="4"/>
    <col min="11265" max="11265" width="5.5703125" style="4" customWidth="1"/>
    <col min="11266" max="11266" width="55.140625" style="4" customWidth="1"/>
    <col min="11267" max="11267" width="8.140625" style="4" customWidth="1"/>
    <col min="11268" max="11268" width="15.42578125" style="4" customWidth="1"/>
    <col min="11269" max="11270" width="0" style="4" hidden="1" customWidth="1"/>
    <col min="11271" max="11271" width="12.28515625" style="4" customWidth="1"/>
    <col min="11272" max="11272" width="20.42578125" style="4" customWidth="1"/>
    <col min="11273" max="11273" width="14.85546875" style="4" bestFit="1" customWidth="1"/>
    <col min="11274" max="11277" width="9.140625" style="4"/>
    <col min="11278" max="11278" width="0" style="4" hidden="1" customWidth="1"/>
    <col min="11279" max="11283" width="9.140625" style="4"/>
    <col min="11284" max="11284" width="10.7109375" style="4" customWidth="1"/>
    <col min="11285" max="11520" width="9.140625" style="4"/>
    <col min="11521" max="11521" width="5.5703125" style="4" customWidth="1"/>
    <col min="11522" max="11522" width="55.140625" style="4" customWidth="1"/>
    <col min="11523" max="11523" width="8.140625" style="4" customWidth="1"/>
    <col min="11524" max="11524" width="15.42578125" style="4" customWidth="1"/>
    <col min="11525" max="11526" width="0" style="4" hidden="1" customWidth="1"/>
    <col min="11527" max="11527" width="12.28515625" style="4" customWidth="1"/>
    <col min="11528" max="11528" width="20.42578125" style="4" customWidth="1"/>
    <col min="11529" max="11529" width="14.85546875" style="4" bestFit="1" customWidth="1"/>
    <col min="11530" max="11533" width="9.140625" style="4"/>
    <col min="11534" max="11534" width="0" style="4" hidden="1" customWidth="1"/>
    <col min="11535" max="11539" width="9.140625" style="4"/>
    <col min="11540" max="11540" width="10.7109375" style="4" customWidth="1"/>
    <col min="11541" max="11776" width="9.140625" style="4"/>
    <col min="11777" max="11777" width="5.5703125" style="4" customWidth="1"/>
    <col min="11778" max="11778" width="55.140625" style="4" customWidth="1"/>
    <col min="11779" max="11779" width="8.140625" style="4" customWidth="1"/>
    <col min="11780" max="11780" width="15.42578125" style="4" customWidth="1"/>
    <col min="11781" max="11782" width="0" style="4" hidden="1" customWidth="1"/>
    <col min="11783" max="11783" width="12.28515625" style="4" customWidth="1"/>
    <col min="11784" max="11784" width="20.42578125" style="4" customWidth="1"/>
    <col min="11785" max="11785" width="14.85546875" style="4" bestFit="1" customWidth="1"/>
    <col min="11786" max="11789" width="9.140625" style="4"/>
    <col min="11790" max="11790" width="0" style="4" hidden="1" customWidth="1"/>
    <col min="11791" max="11795" width="9.140625" style="4"/>
    <col min="11796" max="11796" width="10.7109375" style="4" customWidth="1"/>
    <col min="11797" max="12032" width="9.140625" style="4"/>
    <col min="12033" max="12033" width="5.5703125" style="4" customWidth="1"/>
    <col min="12034" max="12034" width="55.140625" style="4" customWidth="1"/>
    <col min="12035" max="12035" width="8.140625" style="4" customWidth="1"/>
    <col min="12036" max="12036" width="15.42578125" style="4" customWidth="1"/>
    <col min="12037" max="12038" width="0" style="4" hidden="1" customWidth="1"/>
    <col min="12039" max="12039" width="12.28515625" style="4" customWidth="1"/>
    <col min="12040" max="12040" width="20.42578125" style="4" customWidth="1"/>
    <col min="12041" max="12041" width="14.85546875" style="4" bestFit="1" customWidth="1"/>
    <col min="12042" max="12045" width="9.140625" style="4"/>
    <col min="12046" max="12046" width="0" style="4" hidden="1" customWidth="1"/>
    <col min="12047" max="12051" width="9.140625" style="4"/>
    <col min="12052" max="12052" width="10.7109375" style="4" customWidth="1"/>
    <col min="12053" max="12288" width="9.140625" style="4"/>
    <col min="12289" max="12289" width="5.5703125" style="4" customWidth="1"/>
    <col min="12290" max="12290" width="55.140625" style="4" customWidth="1"/>
    <col min="12291" max="12291" width="8.140625" style="4" customWidth="1"/>
    <col min="12292" max="12292" width="15.42578125" style="4" customWidth="1"/>
    <col min="12293" max="12294" width="0" style="4" hidden="1" customWidth="1"/>
    <col min="12295" max="12295" width="12.28515625" style="4" customWidth="1"/>
    <col min="12296" max="12296" width="20.42578125" style="4" customWidth="1"/>
    <col min="12297" max="12297" width="14.85546875" style="4" bestFit="1" customWidth="1"/>
    <col min="12298" max="12301" width="9.140625" style="4"/>
    <col min="12302" max="12302" width="0" style="4" hidden="1" customWidth="1"/>
    <col min="12303" max="12307" width="9.140625" style="4"/>
    <col min="12308" max="12308" width="10.7109375" style="4" customWidth="1"/>
    <col min="12309" max="12544" width="9.140625" style="4"/>
    <col min="12545" max="12545" width="5.5703125" style="4" customWidth="1"/>
    <col min="12546" max="12546" width="55.140625" style="4" customWidth="1"/>
    <col min="12547" max="12547" width="8.140625" style="4" customWidth="1"/>
    <col min="12548" max="12548" width="15.42578125" style="4" customWidth="1"/>
    <col min="12549" max="12550" width="0" style="4" hidden="1" customWidth="1"/>
    <col min="12551" max="12551" width="12.28515625" style="4" customWidth="1"/>
    <col min="12552" max="12552" width="20.42578125" style="4" customWidth="1"/>
    <col min="12553" max="12553" width="14.85546875" style="4" bestFit="1" customWidth="1"/>
    <col min="12554" max="12557" width="9.140625" style="4"/>
    <col min="12558" max="12558" width="0" style="4" hidden="1" customWidth="1"/>
    <col min="12559" max="12563" width="9.140625" style="4"/>
    <col min="12564" max="12564" width="10.7109375" style="4" customWidth="1"/>
    <col min="12565" max="12800" width="9.140625" style="4"/>
    <col min="12801" max="12801" width="5.5703125" style="4" customWidth="1"/>
    <col min="12802" max="12802" width="55.140625" style="4" customWidth="1"/>
    <col min="12803" max="12803" width="8.140625" style="4" customWidth="1"/>
    <col min="12804" max="12804" width="15.42578125" style="4" customWidth="1"/>
    <col min="12805" max="12806" width="0" style="4" hidden="1" customWidth="1"/>
    <col min="12807" max="12807" width="12.28515625" style="4" customWidth="1"/>
    <col min="12808" max="12808" width="20.42578125" style="4" customWidth="1"/>
    <col min="12809" max="12809" width="14.85546875" style="4" bestFit="1" customWidth="1"/>
    <col min="12810" max="12813" width="9.140625" style="4"/>
    <col min="12814" max="12814" width="0" style="4" hidden="1" customWidth="1"/>
    <col min="12815" max="12819" width="9.140625" style="4"/>
    <col min="12820" max="12820" width="10.7109375" style="4" customWidth="1"/>
    <col min="12821" max="13056" width="9.140625" style="4"/>
    <col min="13057" max="13057" width="5.5703125" style="4" customWidth="1"/>
    <col min="13058" max="13058" width="55.140625" style="4" customWidth="1"/>
    <col min="13059" max="13059" width="8.140625" style="4" customWidth="1"/>
    <col min="13060" max="13060" width="15.42578125" style="4" customWidth="1"/>
    <col min="13061" max="13062" width="0" style="4" hidden="1" customWidth="1"/>
    <col min="13063" max="13063" width="12.28515625" style="4" customWidth="1"/>
    <col min="13064" max="13064" width="20.42578125" style="4" customWidth="1"/>
    <col min="13065" max="13065" width="14.85546875" style="4" bestFit="1" customWidth="1"/>
    <col min="13066" max="13069" width="9.140625" style="4"/>
    <col min="13070" max="13070" width="0" style="4" hidden="1" customWidth="1"/>
    <col min="13071" max="13075" width="9.140625" style="4"/>
    <col min="13076" max="13076" width="10.7109375" style="4" customWidth="1"/>
    <col min="13077" max="13312" width="9.140625" style="4"/>
    <col min="13313" max="13313" width="5.5703125" style="4" customWidth="1"/>
    <col min="13314" max="13314" width="55.140625" style="4" customWidth="1"/>
    <col min="13315" max="13315" width="8.140625" style="4" customWidth="1"/>
    <col min="13316" max="13316" width="15.42578125" style="4" customWidth="1"/>
    <col min="13317" max="13318" width="0" style="4" hidden="1" customWidth="1"/>
    <col min="13319" max="13319" width="12.28515625" style="4" customWidth="1"/>
    <col min="13320" max="13320" width="20.42578125" style="4" customWidth="1"/>
    <col min="13321" max="13321" width="14.85546875" style="4" bestFit="1" customWidth="1"/>
    <col min="13322" max="13325" width="9.140625" style="4"/>
    <col min="13326" max="13326" width="0" style="4" hidden="1" customWidth="1"/>
    <col min="13327" max="13331" width="9.140625" style="4"/>
    <col min="13332" max="13332" width="10.7109375" style="4" customWidth="1"/>
    <col min="13333" max="13568" width="9.140625" style="4"/>
    <col min="13569" max="13569" width="5.5703125" style="4" customWidth="1"/>
    <col min="13570" max="13570" width="55.140625" style="4" customWidth="1"/>
    <col min="13571" max="13571" width="8.140625" style="4" customWidth="1"/>
    <col min="13572" max="13572" width="15.42578125" style="4" customWidth="1"/>
    <col min="13573" max="13574" width="0" style="4" hidden="1" customWidth="1"/>
    <col min="13575" max="13575" width="12.28515625" style="4" customWidth="1"/>
    <col min="13576" max="13576" width="20.42578125" style="4" customWidth="1"/>
    <col min="13577" max="13577" width="14.85546875" style="4" bestFit="1" customWidth="1"/>
    <col min="13578" max="13581" width="9.140625" style="4"/>
    <col min="13582" max="13582" width="0" style="4" hidden="1" customWidth="1"/>
    <col min="13583" max="13587" width="9.140625" style="4"/>
    <col min="13588" max="13588" width="10.7109375" style="4" customWidth="1"/>
    <col min="13589" max="13824" width="9.140625" style="4"/>
    <col min="13825" max="13825" width="5.5703125" style="4" customWidth="1"/>
    <col min="13826" max="13826" width="55.140625" style="4" customWidth="1"/>
    <col min="13827" max="13827" width="8.140625" style="4" customWidth="1"/>
    <col min="13828" max="13828" width="15.42578125" style="4" customWidth="1"/>
    <col min="13829" max="13830" width="0" style="4" hidden="1" customWidth="1"/>
    <col min="13831" max="13831" width="12.28515625" style="4" customWidth="1"/>
    <col min="13832" max="13832" width="20.42578125" style="4" customWidth="1"/>
    <col min="13833" max="13833" width="14.85546875" style="4" bestFit="1" customWidth="1"/>
    <col min="13834" max="13837" width="9.140625" style="4"/>
    <col min="13838" max="13838" width="0" style="4" hidden="1" customWidth="1"/>
    <col min="13839" max="13843" width="9.140625" style="4"/>
    <col min="13844" max="13844" width="10.7109375" style="4" customWidth="1"/>
    <col min="13845" max="14080" width="9.140625" style="4"/>
    <col min="14081" max="14081" width="5.5703125" style="4" customWidth="1"/>
    <col min="14082" max="14082" width="55.140625" style="4" customWidth="1"/>
    <col min="14083" max="14083" width="8.140625" style="4" customWidth="1"/>
    <col min="14084" max="14084" width="15.42578125" style="4" customWidth="1"/>
    <col min="14085" max="14086" width="0" style="4" hidden="1" customWidth="1"/>
    <col min="14087" max="14087" width="12.28515625" style="4" customWidth="1"/>
    <col min="14088" max="14088" width="20.42578125" style="4" customWidth="1"/>
    <col min="14089" max="14089" width="14.85546875" style="4" bestFit="1" customWidth="1"/>
    <col min="14090" max="14093" width="9.140625" style="4"/>
    <col min="14094" max="14094" width="0" style="4" hidden="1" customWidth="1"/>
    <col min="14095" max="14099" width="9.140625" style="4"/>
    <col min="14100" max="14100" width="10.7109375" style="4" customWidth="1"/>
    <col min="14101" max="14336" width="9.140625" style="4"/>
    <col min="14337" max="14337" width="5.5703125" style="4" customWidth="1"/>
    <col min="14338" max="14338" width="55.140625" style="4" customWidth="1"/>
    <col min="14339" max="14339" width="8.140625" style="4" customWidth="1"/>
    <col min="14340" max="14340" width="15.42578125" style="4" customWidth="1"/>
    <col min="14341" max="14342" width="0" style="4" hidden="1" customWidth="1"/>
    <col min="14343" max="14343" width="12.28515625" style="4" customWidth="1"/>
    <col min="14344" max="14344" width="20.42578125" style="4" customWidth="1"/>
    <col min="14345" max="14345" width="14.85546875" style="4" bestFit="1" customWidth="1"/>
    <col min="14346" max="14349" width="9.140625" style="4"/>
    <col min="14350" max="14350" width="0" style="4" hidden="1" customWidth="1"/>
    <col min="14351" max="14355" width="9.140625" style="4"/>
    <col min="14356" max="14356" width="10.7109375" style="4" customWidth="1"/>
    <col min="14357" max="14592" width="9.140625" style="4"/>
    <col min="14593" max="14593" width="5.5703125" style="4" customWidth="1"/>
    <col min="14594" max="14594" width="55.140625" style="4" customWidth="1"/>
    <col min="14595" max="14595" width="8.140625" style="4" customWidth="1"/>
    <col min="14596" max="14596" width="15.42578125" style="4" customWidth="1"/>
    <col min="14597" max="14598" width="0" style="4" hidden="1" customWidth="1"/>
    <col min="14599" max="14599" width="12.28515625" style="4" customWidth="1"/>
    <col min="14600" max="14600" width="20.42578125" style="4" customWidth="1"/>
    <col min="14601" max="14601" width="14.85546875" style="4" bestFit="1" customWidth="1"/>
    <col min="14602" max="14605" width="9.140625" style="4"/>
    <col min="14606" max="14606" width="0" style="4" hidden="1" customWidth="1"/>
    <col min="14607" max="14611" width="9.140625" style="4"/>
    <col min="14612" max="14612" width="10.7109375" style="4" customWidth="1"/>
    <col min="14613" max="14848" width="9.140625" style="4"/>
    <col min="14849" max="14849" width="5.5703125" style="4" customWidth="1"/>
    <col min="14850" max="14850" width="55.140625" style="4" customWidth="1"/>
    <col min="14851" max="14851" width="8.140625" style="4" customWidth="1"/>
    <col min="14852" max="14852" width="15.42578125" style="4" customWidth="1"/>
    <col min="14853" max="14854" width="0" style="4" hidden="1" customWidth="1"/>
    <col min="14855" max="14855" width="12.28515625" style="4" customWidth="1"/>
    <col min="14856" max="14856" width="20.42578125" style="4" customWidth="1"/>
    <col min="14857" max="14857" width="14.85546875" style="4" bestFit="1" customWidth="1"/>
    <col min="14858" max="14861" width="9.140625" style="4"/>
    <col min="14862" max="14862" width="0" style="4" hidden="1" customWidth="1"/>
    <col min="14863" max="14867" width="9.140625" style="4"/>
    <col min="14868" max="14868" width="10.7109375" style="4" customWidth="1"/>
    <col min="14869" max="15104" width="9.140625" style="4"/>
    <col min="15105" max="15105" width="5.5703125" style="4" customWidth="1"/>
    <col min="15106" max="15106" width="55.140625" style="4" customWidth="1"/>
    <col min="15107" max="15107" width="8.140625" style="4" customWidth="1"/>
    <col min="15108" max="15108" width="15.42578125" style="4" customWidth="1"/>
    <col min="15109" max="15110" width="0" style="4" hidden="1" customWidth="1"/>
    <col min="15111" max="15111" width="12.28515625" style="4" customWidth="1"/>
    <col min="15112" max="15112" width="20.42578125" style="4" customWidth="1"/>
    <col min="15113" max="15113" width="14.85546875" style="4" bestFit="1" customWidth="1"/>
    <col min="15114" max="15117" width="9.140625" style="4"/>
    <col min="15118" max="15118" width="0" style="4" hidden="1" customWidth="1"/>
    <col min="15119" max="15123" width="9.140625" style="4"/>
    <col min="15124" max="15124" width="10.7109375" style="4" customWidth="1"/>
    <col min="15125" max="15360" width="9.140625" style="4"/>
    <col min="15361" max="15361" width="5.5703125" style="4" customWidth="1"/>
    <col min="15362" max="15362" width="55.140625" style="4" customWidth="1"/>
    <col min="15363" max="15363" width="8.140625" style="4" customWidth="1"/>
    <col min="15364" max="15364" width="15.42578125" style="4" customWidth="1"/>
    <col min="15365" max="15366" width="0" style="4" hidden="1" customWidth="1"/>
    <col min="15367" max="15367" width="12.28515625" style="4" customWidth="1"/>
    <col min="15368" max="15368" width="20.42578125" style="4" customWidth="1"/>
    <col min="15369" max="15369" width="14.85546875" style="4" bestFit="1" customWidth="1"/>
    <col min="15370" max="15373" width="9.140625" style="4"/>
    <col min="15374" max="15374" width="0" style="4" hidden="1" customWidth="1"/>
    <col min="15375" max="15379" width="9.140625" style="4"/>
    <col min="15380" max="15380" width="10.7109375" style="4" customWidth="1"/>
    <col min="15381" max="15616" width="9.140625" style="4"/>
    <col min="15617" max="15617" width="5.5703125" style="4" customWidth="1"/>
    <col min="15618" max="15618" width="55.140625" style="4" customWidth="1"/>
    <col min="15619" max="15619" width="8.140625" style="4" customWidth="1"/>
    <col min="15620" max="15620" width="15.42578125" style="4" customWidth="1"/>
    <col min="15621" max="15622" width="0" style="4" hidden="1" customWidth="1"/>
    <col min="15623" max="15623" width="12.28515625" style="4" customWidth="1"/>
    <col min="15624" max="15624" width="20.42578125" style="4" customWidth="1"/>
    <col min="15625" max="15625" width="14.85546875" style="4" bestFit="1" customWidth="1"/>
    <col min="15626" max="15629" width="9.140625" style="4"/>
    <col min="15630" max="15630" width="0" style="4" hidden="1" customWidth="1"/>
    <col min="15631" max="15635" width="9.140625" style="4"/>
    <col min="15636" max="15636" width="10.7109375" style="4" customWidth="1"/>
    <col min="15637" max="15872" width="9.140625" style="4"/>
    <col min="15873" max="15873" width="5.5703125" style="4" customWidth="1"/>
    <col min="15874" max="15874" width="55.140625" style="4" customWidth="1"/>
    <col min="15875" max="15875" width="8.140625" style="4" customWidth="1"/>
    <col min="15876" max="15876" width="15.42578125" style="4" customWidth="1"/>
    <col min="15877" max="15878" width="0" style="4" hidden="1" customWidth="1"/>
    <col min="15879" max="15879" width="12.28515625" style="4" customWidth="1"/>
    <col min="15880" max="15880" width="20.42578125" style="4" customWidth="1"/>
    <col min="15881" max="15881" width="14.85546875" style="4" bestFit="1" customWidth="1"/>
    <col min="15882" max="15885" width="9.140625" style="4"/>
    <col min="15886" max="15886" width="0" style="4" hidden="1" customWidth="1"/>
    <col min="15887" max="15891" width="9.140625" style="4"/>
    <col min="15892" max="15892" width="10.7109375" style="4" customWidth="1"/>
    <col min="15893" max="16128" width="9.140625" style="4"/>
    <col min="16129" max="16129" width="5.5703125" style="4" customWidth="1"/>
    <col min="16130" max="16130" width="55.140625" style="4" customWidth="1"/>
    <col min="16131" max="16131" width="8.140625" style="4" customWidth="1"/>
    <col min="16132" max="16132" width="15.42578125" style="4" customWidth="1"/>
    <col min="16133" max="16134" width="0" style="4" hidden="1" customWidth="1"/>
    <col min="16135" max="16135" width="12.28515625" style="4" customWidth="1"/>
    <col min="16136" max="16136" width="20.42578125" style="4" customWidth="1"/>
    <col min="16137" max="16137" width="14.85546875" style="4" bestFit="1" customWidth="1"/>
    <col min="16138" max="16141" width="9.140625" style="4"/>
    <col min="16142" max="16142" width="0" style="4" hidden="1" customWidth="1"/>
    <col min="16143" max="16147" width="9.140625" style="4"/>
    <col min="16148" max="16148" width="10.7109375" style="4" customWidth="1"/>
    <col min="16149" max="16384" width="9.140625" style="4"/>
  </cols>
  <sheetData>
    <row r="1" spans="1:14" ht="18.75">
      <c r="A1" s="704" t="s">
        <v>539</v>
      </c>
      <c r="B1" s="704"/>
      <c r="C1" s="704"/>
      <c r="D1" s="704"/>
      <c r="E1" s="704"/>
      <c r="F1" s="704"/>
      <c r="G1" s="704"/>
    </row>
    <row r="2" spans="1:14" ht="18.75">
      <c r="A2" s="704" t="s">
        <v>390</v>
      </c>
      <c r="B2" s="704"/>
      <c r="C2" s="704"/>
      <c r="D2" s="704"/>
      <c r="E2" s="704"/>
      <c r="F2" s="704"/>
      <c r="G2" s="704"/>
    </row>
    <row r="3" spans="1:14">
      <c r="A3" s="10"/>
      <c r="B3" s="10"/>
      <c r="C3" s="10"/>
      <c r="D3" s="705" t="s">
        <v>0</v>
      </c>
      <c r="E3" s="705"/>
      <c r="F3" s="705"/>
      <c r="G3" s="705"/>
      <c r="I3" s="11"/>
    </row>
    <row r="4" spans="1:14" s="3" customFormat="1" ht="18" customHeight="1">
      <c r="A4" s="706" t="s">
        <v>6</v>
      </c>
      <c r="B4" s="706" t="s">
        <v>391</v>
      </c>
      <c r="C4" s="700" t="s">
        <v>392</v>
      </c>
      <c r="D4" s="700" t="s">
        <v>540</v>
      </c>
      <c r="E4" s="709" t="s">
        <v>541</v>
      </c>
      <c r="F4" s="710"/>
      <c r="G4" s="700" t="s">
        <v>546</v>
      </c>
      <c r="H4" s="12"/>
      <c r="I4" s="12"/>
    </row>
    <row r="5" spans="1:14" s="3" customFormat="1" ht="16.5" customHeight="1">
      <c r="A5" s="707"/>
      <c r="B5" s="707"/>
      <c r="C5" s="701"/>
      <c r="D5" s="701"/>
      <c r="E5" s="700" t="s">
        <v>542</v>
      </c>
      <c r="F5" s="700" t="s">
        <v>543</v>
      </c>
      <c r="G5" s="707"/>
      <c r="H5" s="13"/>
      <c r="I5" s="14"/>
    </row>
    <row r="6" spans="1:14" s="3" customFormat="1" ht="13.5" customHeight="1">
      <c r="A6" s="707"/>
      <c r="B6" s="707"/>
      <c r="C6" s="701"/>
      <c r="D6" s="701"/>
      <c r="E6" s="701"/>
      <c r="F6" s="701"/>
      <c r="G6" s="707"/>
      <c r="H6" s="14"/>
      <c r="I6" s="15"/>
    </row>
    <row r="7" spans="1:14" s="16" customFormat="1" ht="36" customHeight="1">
      <c r="A7" s="708"/>
      <c r="B7" s="708"/>
      <c r="C7" s="702"/>
      <c r="D7" s="702"/>
      <c r="E7" s="702"/>
      <c r="F7" s="702"/>
      <c r="G7" s="708"/>
      <c r="H7" s="14"/>
      <c r="I7" s="15"/>
      <c r="J7" s="3"/>
    </row>
    <row r="8" spans="1:14" s="22" customFormat="1" ht="14.25" customHeight="1">
      <c r="A8" s="17"/>
      <c r="B8" s="18" t="s">
        <v>389</v>
      </c>
      <c r="C8" s="19">
        <f>C10+C72+C110</f>
        <v>1013</v>
      </c>
      <c r="D8" s="101">
        <f>D9+D193</f>
        <v>175116.99600000004</v>
      </c>
      <c r="E8" s="102">
        <f>E9+E204</f>
        <v>1081.192</v>
      </c>
      <c r="F8" s="102">
        <f>F9+F204</f>
        <v>1081.192</v>
      </c>
      <c r="G8" s="101">
        <f>G9+G193</f>
        <v>175116.99600000001</v>
      </c>
      <c r="H8" s="96"/>
      <c r="I8" s="21"/>
    </row>
    <row r="9" spans="1:14" s="22" customFormat="1" ht="14.25">
      <c r="A9" s="23" t="s">
        <v>8</v>
      </c>
      <c r="B9" s="24" t="s">
        <v>393</v>
      </c>
      <c r="C9" s="25">
        <f>C10+C72+C110</f>
        <v>1013</v>
      </c>
      <c r="D9" s="99">
        <f>D10+D72+D110+D182</f>
        <v>159308.42000000004</v>
      </c>
      <c r="E9" s="103">
        <f>E10+E72+E110+E182+E193</f>
        <v>1081.192</v>
      </c>
      <c r="F9" s="103">
        <f>F10+F72+F110+F182+F193</f>
        <v>1081.192</v>
      </c>
      <c r="G9" s="99">
        <f>G10+G72+G110+G182</f>
        <v>159308.42000000001</v>
      </c>
      <c r="H9" s="20"/>
      <c r="I9" s="21"/>
      <c r="J9" s="26"/>
    </row>
    <row r="10" spans="1:14" s="30" customFormat="1" ht="14.25">
      <c r="A10" s="23" t="s">
        <v>10</v>
      </c>
      <c r="B10" s="27" t="s">
        <v>394</v>
      </c>
      <c r="C10" s="25">
        <f>C11+C16+C20+C25+C30+C34+C43+C47+C51+C55+C59+C63+C68+C39</f>
        <v>284</v>
      </c>
      <c r="D10" s="99">
        <f>D11+D16+D20+D25+D30+D34+D39+D43+D47+D51+D55+D59+D63+D68</f>
        <v>37856.080000000009</v>
      </c>
      <c r="E10" s="104">
        <f>E11+E16+E20+E25+E30+E34+E43+E47+E51+E55+E59+E63+E68+E39</f>
        <v>0</v>
      </c>
      <c r="F10" s="104">
        <f>F11+F16+F20+F25+F30+F34+F43+F47+F51+F55+F59+F63+F68+F39</f>
        <v>23.132999999999999</v>
      </c>
      <c r="G10" s="99">
        <f>G11+G16+G20+G25+G30+G34+G39+G43+G47+G51+G55+G59+G63+G68</f>
        <v>37832.947000000007</v>
      </c>
      <c r="H10" s="28"/>
      <c r="I10" s="29"/>
    </row>
    <row r="11" spans="1:14" s="30" customFormat="1" ht="14.25">
      <c r="A11" s="23">
        <v>1</v>
      </c>
      <c r="B11" s="27" t="s">
        <v>395</v>
      </c>
      <c r="C11" s="24">
        <v>29</v>
      </c>
      <c r="D11" s="99">
        <f>SUM(D12:D15)</f>
        <v>3343.47</v>
      </c>
      <c r="E11" s="103">
        <f>SUM(E12:E15)</f>
        <v>0</v>
      </c>
      <c r="F11" s="103">
        <f>SUM(F12:F15)</f>
        <v>0</v>
      </c>
      <c r="G11" s="99">
        <f>SUM(G12:G15)</f>
        <v>3343.47</v>
      </c>
      <c r="H11" s="28"/>
      <c r="I11" s="29"/>
    </row>
    <row r="12" spans="1:14" s="36" customFormat="1" ht="15.75" customHeight="1">
      <c r="A12" s="31" t="s">
        <v>11</v>
      </c>
      <c r="B12" s="32" t="s">
        <v>396</v>
      </c>
      <c r="C12" s="33"/>
      <c r="D12" s="105">
        <v>2925</v>
      </c>
      <c r="E12" s="95"/>
      <c r="F12" s="95"/>
      <c r="G12" s="95">
        <f>D12+E12-F12</f>
        <v>2925</v>
      </c>
      <c r="H12" s="34"/>
      <c r="I12" s="35"/>
      <c r="N12" s="36">
        <v>23</v>
      </c>
    </row>
    <row r="13" spans="1:14" s="36" customFormat="1" ht="15">
      <c r="A13" s="31" t="s">
        <v>11</v>
      </c>
      <c r="B13" s="37" t="s">
        <v>397</v>
      </c>
      <c r="C13" s="33"/>
      <c r="D13" s="105">
        <f>C11*11</f>
        <v>319</v>
      </c>
      <c r="E13" s="95"/>
      <c r="F13" s="95"/>
      <c r="G13" s="95">
        <f t="shared" ref="G13:G76" si="0">D13+E13-F13</f>
        <v>319</v>
      </c>
      <c r="H13" s="34"/>
      <c r="I13" s="38"/>
      <c r="N13" s="36">
        <v>10</v>
      </c>
    </row>
    <row r="14" spans="1:14" s="42" customFormat="1" ht="47.25" customHeight="1">
      <c r="A14" s="31" t="s">
        <v>11</v>
      </c>
      <c r="B14" s="39" t="s">
        <v>398</v>
      </c>
      <c r="C14" s="40"/>
      <c r="D14" s="106">
        <v>95</v>
      </c>
      <c r="E14" s="107"/>
      <c r="F14" s="107"/>
      <c r="G14" s="95">
        <f t="shared" si="0"/>
        <v>95</v>
      </c>
      <c r="H14" s="41"/>
      <c r="I14" s="41"/>
    </row>
    <row r="15" spans="1:14" s="36" customFormat="1" ht="30">
      <c r="A15" s="31" t="s">
        <v>11</v>
      </c>
      <c r="B15" s="37" t="s">
        <v>399</v>
      </c>
      <c r="C15" s="33"/>
      <c r="D15" s="105">
        <v>4.47</v>
      </c>
      <c r="E15" s="95"/>
      <c r="F15" s="95"/>
      <c r="G15" s="95">
        <f t="shared" si="0"/>
        <v>4.47</v>
      </c>
      <c r="H15" s="34"/>
      <c r="I15" s="38"/>
    </row>
    <row r="16" spans="1:14" s="47" customFormat="1" ht="14.25">
      <c r="A16" s="43">
        <v>2</v>
      </c>
      <c r="B16" s="44" t="s">
        <v>400</v>
      </c>
      <c r="C16" s="45">
        <v>29</v>
      </c>
      <c r="D16" s="108">
        <f>SUM(D17:D19)</f>
        <v>3591.47</v>
      </c>
      <c r="E16" s="109">
        <f>SUM(E17:E19)</f>
        <v>0</v>
      </c>
      <c r="F16" s="109">
        <f>F17</f>
        <v>0</v>
      </c>
      <c r="G16" s="95">
        <f t="shared" si="0"/>
        <v>3591.47</v>
      </c>
      <c r="H16" s="34"/>
      <c r="I16" s="46"/>
    </row>
    <row r="17" spans="1:16" s="36" customFormat="1" ht="15.75" customHeight="1">
      <c r="A17" s="48"/>
      <c r="B17" s="32" t="s">
        <v>401</v>
      </c>
      <c r="C17" s="33"/>
      <c r="D17" s="105">
        <v>3268</v>
      </c>
      <c r="E17" s="95"/>
      <c r="F17" s="95"/>
      <c r="G17" s="95">
        <f t="shared" si="0"/>
        <v>3268</v>
      </c>
      <c r="H17" s="34"/>
      <c r="I17" s="38"/>
    </row>
    <row r="18" spans="1:16" s="36" customFormat="1" ht="15">
      <c r="A18" s="48"/>
      <c r="B18" s="37" t="s">
        <v>402</v>
      </c>
      <c r="C18" s="33"/>
      <c r="D18" s="105">
        <f>C16*11</f>
        <v>319</v>
      </c>
      <c r="E18" s="95"/>
      <c r="F18" s="95"/>
      <c r="G18" s="95">
        <f t="shared" si="0"/>
        <v>319</v>
      </c>
      <c r="H18" s="34"/>
      <c r="I18" s="38"/>
      <c r="N18" s="36">
        <v>22</v>
      </c>
    </row>
    <row r="19" spans="1:16" s="36" customFormat="1" ht="30">
      <c r="A19" s="48"/>
      <c r="B19" s="37" t="s">
        <v>403</v>
      </c>
      <c r="C19" s="33"/>
      <c r="D19" s="105">
        <v>4.47</v>
      </c>
      <c r="E19" s="95"/>
      <c r="F19" s="95"/>
      <c r="G19" s="95">
        <f t="shared" si="0"/>
        <v>4.47</v>
      </c>
      <c r="H19" s="34"/>
      <c r="I19" s="38"/>
    </row>
    <row r="20" spans="1:16" s="47" customFormat="1" ht="14.25">
      <c r="A20" s="43">
        <v>3</v>
      </c>
      <c r="B20" s="44" t="s">
        <v>404</v>
      </c>
      <c r="C20" s="45">
        <v>24</v>
      </c>
      <c r="D20" s="108">
        <f>SUM(D21:D24)</f>
        <v>3269.47</v>
      </c>
      <c r="E20" s="109">
        <f>SUM(E21:E24)</f>
        <v>0</v>
      </c>
      <c r="F20" s="109">
        <f>F21</f>
        <v>0</v>
      </c>
      <c r="G20" s="95">
        <f t="shared" si="0"/>
        <v>3269.47</v>
      </c>
      <c r="H20" s="34"/>
      <c r="I20" s="46"/>
      <c r="N20" s="47">
        <v>10</v>
      </c>
    </row>
    <row r="21" spans="1:16" s="36" customFormat="1" ht="15.75" customHeight="1">
      <c r="A21" s="48"/>
      <c r="B21" s="32" t="s">
        <v>401</v>
      </c>
      <c r="C21" s="33"/>
      <c r="D21" s="105">
        <v>2971</v>
      </c>
      <c r="E21" s="95"/>
      <c r="F21" s="95"/>
      <c r="G21" s="95">
        <f t="shared" si="0"/>
        <v>2971</v>
      </c>
      <c r="H21" s="34"/>
      <c r="I21" s="38"/>
      <c r="N21" s="36">
        <v>15</v>
      </c>
    </row>
    <row r="22" spans="1:16" s="36" customFormat="1" ht="15">
      <c r="A22" s="48"/>
      <c r="B22" s="37" t="s">
        <v>405</v>
      </c>
      <c r="C22" s="33"/>
      <c r="D22" s="105">
        <f>C20*11</f>
        <v>264</v>
      </c>
      <c r="E22" s="95"/>
      <c r="F22" s="95"/>
      <c r="G22" s="95">
        <f t="shared" si="0"/>
        <v>264</v>
      </c>
      <c r="H22" s="34"/>
      <c r="I22" s="38"/>
      <c r="N22" s="36">
        <v>10</v>
      </c>
    </row>
    <row r="23" spans="1:16" s="36" customFormat="1" ht="15">
      <c r="A23" s="48"/>
      <c r="B23" s="37" t="s">
        <v>406</v>
      </c>
      <c r="C23" s="33"/>
      <c r="D23" s="105">
        <v>30</v>
      </c>
      <c r="E23" s="95"/>
      <c r="F23" s="95"/>
      <c r="G23" s="95">
        <f t="shared" si="0"/>
        <v>30</v>
      </c>
      <c r="H23" s="34"/>
      <c r="I23" s="38"/>
      <c r="N23" s="36">
        <v>7</v>
      </c>
    </row>
    <row r="24" spans="1:16" s="36" customFormat="1" ht="30">
      <c r="A24" s="48"/>
      <c r="B24" s="37" t="s">
        <v>403</v>
      </c>
      <c r="C24" s="33"/>
      <c r="D24" s="105">
        <v>4.47</v>
      </c>
      <c r="E24" s="95"/>
      <c r="F24" s="95"/>
      <c r="G24" s="95">
        <f t="shared" si="0"/>
        <v>4.47</v>
      </c>
      <c r="H24" s="34"/>
      <c r="I24" s="38"/>
    </row>
    <row r="25" spans="1:16" s="47" customFormat="1" ht="14.25">
      <c r="A25" s="43">
        <v>4</v>
      </c>
      <c r="B25" s="44" t="s">
        <v>407</v>
      </c>
      <c r="C25" s="45">
        <v>17</v>
      </c>
      <c r="D25" s="108">
        <f>SUM(D26:D29)</f>
        <v>2795.97</v>
      </c>
      <c r="E25" s="109">
        <f>SUM(E26:E29)</f>
        <v>0</v>
      </c>
      <c r="F25" s="109">
        <f>F26</f>
        <v>0</v>
      </c>
      <c r="G25" s="95">
        <f t="shared" si="0"/>
        <v>2795.97</v>
      </c>
      <c r="H25" s="34"/>
      <c r="I25" s="46"/>
    </row>
    <row r="26" spans="1:16" s="36" customFormat="1" ht="15.75" customHeight="1">
      <c r="A26" s="48"/>
      <c r="B26" s="32" t="s">
        <v>401</v>
      </c>
      <c r="C26" s="33"/>
      <c r="D26" s="105">
        <v>2566</v>
      </c>
      <c r="E26" s="95"/>
      <c r="F26" s="95"/>
      <c r="G26" s="95">
        <f t="shared" si="0"/>
        <v>2566</v>
      </c>
      <c r="H26" s="34"/>
      <c r="I26" s="38"/>
      <c r="N26" s="36">
        <v>6</v>
      </c>
    </row>
    <row r="27" spans="1:16" s="36" customFormat="1" ht="15">
      <c r="A27" s="48"/>
      <c r="B27" s="37" t="s">
        <v>408</v>
      </c>
      <c r="C27" s="33"/>
      <c r="D27" s="105">
        <f>C25*11.5</f>
        <v>195.5</v>
      </c>
      <c r="E27" s="95"/>
      <c r="F27" s="95"/>
      <c r="G27" s="95">
        <f t="shared" si="0"/>
        <v>195.5</v>
      </c>
      <c r="H27" s="34"/>
      <c r="I27" s="38"/>
    </row>
    <row r="28" spans="1:16" s="36" customFormat="1" ht="15">
      <c r="A28" s="48"/>
      <c r="B28" s="37" t="s">
        <v>406</v>
      </c>
      <c r="C28" s="33"/>
      <c r="D28" s="105">
        <v>30</v>
      </c>
      <c r="E28" s="95"/>
      <c r="F28" s="95"/>
      <c r="G28" s="95">
        <f t="shared" si="0"/>
        <v>30</v>
      </c>
      <c r="H28" s="34"/>
      <c r="I28" s="38"/>
    </row>
    <row r="29" spans="1:16" s="36" customFormat="1" ht="30">
      <c r="A29" s="48"/>
      <c r="B29" s="37" t="s">
        <v>403</v>
      </c>
      <c r="C29" s="33"/>
      <c r="D29" s="105">
        <v>4.47</v>
      </c>
      <c r="E29" s="95"/>
      <c r="F29" s="95"/>
      <c r="G29" s="95">
        <f t="shared" si="0"/>
        <v>4.47</v>
      </c>
      <c r="H29" s="34"/>
      <c r="I29" s="38"/>
      <c r="P29" s="36">
        <v>0.57199999999999995</v>
      </c>
    </row>
    <row r="30" spans="1:16" s="47" customFormat="1" ht="14.25">
      <c r="A30" s="43">
        <v>5</v>
      </c>
      <c r="B30" s="44" t="s">
        <v>409</v>
      </c>
      <c r="C30" s="45">
        <v>21</v>
      </c>
      <c r="D30" s="108">
        <f>SUM(D31:D33)</f>
        <v>2302.9699999999998</v>
      </c>
      <c r="E30" s="109">
        <f>SUM(E31:E33)</f>
        <v>0</v>
      </c>
      <c r="F30" s="109">
        <f>F31</f>
        <v>0</v>
      </c>
      <c r="G30" s="95">
        <f t="shared" si="0"/>
        <v>2302.9699999999998</v>
      </c>
      <c r="H30" s="34"/>
      <c r="I30" s="46"/>
    </row>
    <row r="31" spans="1:16" s="36" customFormat="1" ht="15.75" customHeight="1">
      <c r="A31" s="48"/>
      <c r="B31" s="32" t="s">
        <v>401</v>
      </c>
      <c r="C31" s="33"/>
      <c r="D31" s="105">
        <v>2057</v>
      </c>
      <c r="E31" s="95"/>
      <c r="F31" s="95"/>
      <c r="G31" s="95">
        <f t="shared" si="0"/>
        <v>2057</v>
      </c>
      <c r="H31" s="34"/>
      <c r="I31" s="38"/>
    </row>
    <row r="32" spans="1:16" s="36" customFormat="1" ht="15">
      <c r="A32" s="48"/>
      <c r="B32" s="37" t="s">
        <v>410</v>
      </c>
      <c r="C32" s="33"/>
      <c r="D32" s="105">
        <f>C30*11.5</f>
        <v>241.5</v>
      </c>
      <c r="E32" s="95"/>
      <c r="F32" s="95"/>
      <c r="G32" s="95">
        <f t="shared" si="0"/>
        <v>241.5</v>
      </c>
      <c r="H32" s="34"/>
      <c r="I32" s="38"/>
      <c r="P32" s="36">
        <v>0.1</v>
      </c>
    </row>
    <row r="33" spans="1:9" s="36" customFormat="1" ht="30">
      <c r="A33" s="48"/>
      <c r="B33" s="37" t="s">
        <v>403</v>
      </c>
      <c r="C33" s="33"/>
      <c r="D33" s="105">
        <v>4.47</v>
      </c>
      <c r="E33" s="95"/>
      <c r="F33" s="95"/>
      <c r="G33" s="95">
        <f t="shared" si="0"/>
        <v>4.47</v>
      </c>
      <c r="H33" s="34"/>
      <c r="I33" s="38"/>
    </row>
    <row r="34" spans="1:9" s="47" customFormat="1" ht="14.25">
      <c r="A34" s="43">
        <v>6</v>
      </c>
      <c r="B34" s="44" t="s">
        <v>411</v>
      </c>
      <c r="C34" s="45">
        <v>23</v>
      </c>
      <c r="D34" s="108">
        <f>SUM(D35:D38)</f>
        <v>3360.47</v>
      </c>
      <c r="E34" s="109">
        <f>SUM(E35:E38)</f>
        <v>0</v>
      </c>
      <c r="F34" s="109">
        <f>F35</f>
        <v>0</v>
      </c>
      <c r="G34" s="95">
        <f t="shared" si="0"/>
        <v>3360.47</v>
      </c>
      <c r="H34" s="34"/>
      <c r="I34" s="46"/>
    </row>
    <row r="35" spans="1:9" s="36" customFormat="1" ht="15.75" customHeight="1">
      <c r="A35" s="48"/>
      <c r="B35" s="32" t="s">
        <v>401</v>
      </c>
      <c r="C35" s="33"/>
      <c r="D35" s="105">
        <v>3073</v>
      </c>
      <c r="E35" s="95"/>
      <c r="F35" s="95"/>
      <c r="G35" s="95">
        <f t="shared" si="0"/>
        <v>3073</v>
      </c>
      <c r="H35" s="34"/>
      <c r="I35" s="38"/>
    </row>
    <row r="36" spans="1:9" s="36" customFormat="1" ht="15">
      <c r="A36" s="48"/>
      <c r="B36" s="37" t="s">
        <v>412</v>
      </c>
      <c r="C36" s="33"/>
      <c r="D36" s="105">
        <f>C34*11</f>
        <v>253</v>
      </c>
      <c r="E36" s="95"/>
      <c r="F36" s="95"/>
      <c r="G36" s="95">
        <f t="shared" si="0"/>
        <v>253</v>
      </c>
      <c r="H36" s="34"/>
      <c r="I36" s="38"/>
    </row>
    <row r="37" spans="1:9" s="36" customFormat="1" ht="15">
      <c r="A37" s="48"/>
      <c r="B37" s="37" t="s">
        <v>406</v>
      </c>
      <c r="C37" s="33"/>
      <c r="D37" s="105">
        <v>30</v>
      </c>
      <c r="E37" s="95"/>
      <c r="F37" s="95"/>
      <c r="G37" s="95">
        <f t="shared" si="0"/>
        <v>30</v>
      </c>
      <c r="H37" s="34"/>
      <c r="I37" s="38"/>
    </row>
    <row r="38" spans="1:9" s="36" customFormat="1" ht="30">
      <c r="A38" s="48"/>
      <c r="B38" s="37" t="s">
        <v>403</v>
      </c>
      <c r="C38" s="33"/>
      <c r="D38" s="105">
        <v>4.47</v>
      </c>
      <c r="E38" s="95"/>
      <c r="F38" s="95"/>
      <c r="G38" s="95">
        <f t="shared" si="0"/>
        <v>4.47</v>
      </c>
      <c r="H38" s="34"/>
      <c r="I38" s="38"/>
    </row>
    <row r="39" spans="1:9" s="47" customFormat="1" ht="14.25">
      <c r="A39" s="43">
        <v>7</v>
      </c>
      <c r="B39" s="44" t="s">
        <v>413</v>
      </c>
      <c r="C39" s="45">
        <v>27</v>
      </c>
      <c r="D39" s="108">
        <f>SUM(D40:D42)</f>
        <v>3745.47</v>
      </c>
      <c r="E39" s="109">
        <f>SUM(E40:E42)</f>
        <v>0</v>
      </c>
      <c r="F39" s="109">
        <f>F40</f>
        <v>0</v>
      </c>
      <c r="G39" s="95">
        <f t="shared" si="0"/>
        <v>3745.47</v>
      </c>
      <c r="H39" s="34"/>
      <c r="I39" s="46"/>
    </row>
    <row r="40" spans="1:9" s="36" customFormat="1" ht="15.75" customHeight="1">
      <c r="A40" s="48"/>
      <c r="B40" s="32" t="s">
        <v>401</v>
      </c>
      <c r="C40" s="33"/>
      <c r="D40" s="105">
        <v>3444</v>
      </c>
      <c r="E40" s="95"/>
      <c r="F40" s="95"/>
      <c r="G40" s="95">
        <f t="shared" si="0"/>
        <v>3444</v>
      </c>
      <c r="H40" s="34"/>
      <c r="I40" s="38"/>
    </row>
    <row r="41" spans="1:9" s="36" customFormat="1" ht="15">
      <c r="A41" s="48"/>
      <c r="B41" s="37" t="s">
        <v>414</v>
      </c>
      <c r="C41" s="33"/>
      <c r="D41" s="105">
        <f>C39*11</f>
        <v>297</v>
      </c>
      <c r="E41" s="95"/>
      <c r="F41" s="95"/>
      <c r="G41" s="95">
        <f t="shared" si="0"/>
        <v>297</v>
      </c>
      <c r="H41" s="34"/>
      <c r="I41" s="38"/>
    </row>
    <row r="42" spans="1:9" s="36" customFormat="1" ht="30">
      <c r="A42" s="48"/>
      <c r="B42" s="37" t="s">
        <v>403</v>
      </c>
      <c r="C42" s="33"/>
      <c r="D42" s="105">
        <v>4.47</v>
      </c>
      <c r="E42" s="95"/>
      <c r="F42" s="95"/>
      <c r="G42" s="95">
        <f t="shared" si="0"/>
        <v>4.47</v>
      </c>
      <c r="H42" s="34"/>
      <c r="I42" s="38"/>
    </row>
    <row r="43" spans="1:9" s="47" customFormat="1" ht="14.25">
      <c r="A43" s="43">
        <v>8</v>
      </c>
      <c r="B43" s="44" t="s">
        <v>415</v>
      </c>
      <c r="C43" s="45">
        <v>15</v>
      </c>
      <c r="D43" s="108">
        <f>SUM(D44:D46)</f>
        <v>2278.9699999999998</v>
      </c>
      <c r="E43" s="109">
        <f>SUM(E44:E46)</f>
        <v>0</v>
      </c>
      <c r="F43" s="109">
        <f>F44</f>
        <v>0</v>
      </c>
      <c r="G43" s="95">
        <f t="shared" si="0"/>
        <v>2278.9699999999998</v>
      </c>
      <c r="H43" s="34"/>
      <c r="I43" s="46"/>
    </row>
    <row r="44" spans="1:9" s="36" customFormat="1" ht="15.75" customHeight="1">
      <c r="A44" s="48"/>
      <c r="B44" s="32" t="s">
        <v>401</v>
      </c>
      <c r="C44" s="33"/>
      <c r="D44" s="105">
        <v>2102</v>
      </c>
      <c r="E44" s="95"/>
      <c r="F44" s="95"/>
      <c r="G44" s="95">
        <f t="shared" si="0"/>
        <v>2102</v>
      </c>
      <c r="H44" s="34"/>
      <c r="I44" s="38"/>
    </row>
    <row r="45" spans="1:9" s="36" customFormat="1" ht="15">
      <c r="A45" s="48"/>
      <c r="B45" s="37" t="s">
        <v>416</v>
      </c>
      <c r="C45" s="33"/>
      <c r="D45" s="105">
        <f>C43*11.5</f>
        <v>172.5</v>
      </c>
      <c r="E45" s="95"/>
      <c r="F45" s="95"/>
      <c r="G45" s="95">
        <f t="shared" si="0"/>
        <v>172.5</v>
      </c>
      <c r="H45" s="34"/>
      <c r="I45" s="38"/>
    </row>
    <row r="46" spans="1:9" s="36" customFormat="1" ht="30">
      <c r="A46" s="48"/>
      <c r="B46" s="37" t="s">
        <v>403</v>
      </c>
      <c r="C46" s="33"/>
      <c r="D46" s="105">
        <v>4.47</v>
      </c>
      <c r="E46" s="95"/>
      <c r="F46" s="95"/>
      <c r="G46" s="95">
        <f t="shared" si="0"/>
        <v>4.47</v>
      </c>
      <c r="H46" s="34"/>
      <c r="I46" s="38"/>
    </row>
    <row r="47" spans="1:9" s="47" customFormat="1" ht="14.25">
      <c r="A47" s="43">
        <v>9</v>
      </c>
      <c r="B47" s="44" t="s">
        <v>417</v>
      </c>
      <c r="C47" s="45">
        <v>16</v>
      </c>
      <c r="D47" s="108">
        <f>SUM(D48:D50)</f>
        <v>2392.4699999999998</v>
      </c>
      <c r="E47" s="109">
        <f>SUM(E48:E50)</f>
        <v>0</v>
      </c>
      <c r="F47" s="109">
        <f>F48</f>
        <v>0</v>
      </c>
      <c r="G47" s="95">
        <f t="shared" si="0"/>
        <v>2392.4699999999998</v>
      </c>
      <c r="H47" s="34"/>
      <c r="I47" s="46"/>
    </row>
    <row r="48" spans="1:9" s="36" customFormat="1" ht="15.75" customHeight="1">
      <c r="A48" s="48"/>
      <c r="B48" s="32" t="s">
        <v>401</v>
      </c>
      <c r="C48" s="33"/>
      <c r="D48" s="105">
        <v>2204</v>
      </c>
      <c r="E48" s="95"/>
      <c r="F48" s="95"/>
      <c r="G48" s="95">
        <f t="shared" si="0"/>
        <v>2204</v>
      </c>
      <c r="H48" s="34"/>
      <c r="I48" s="38"/>
    </row>
    <row r="49" spans="1:9" s="36" customFormat="1" ht="15">
      <c r="A49" s="48"/>
      <c r="B49" s="37" t="s">
        <v>418</v>
      </c>
      <c r="C49" s="33"/>
      <c r="D49" s="105">
        <f>C47*11.5</f>
        <v>184</v>
      </c>
      <c r="E49" s="95"/>
      <c r="F49" s="95"/>
      <c r="G49" s="95">
        <f t="shared" si="0"/>
        <v>184</v>
      </c>
      <c r="H49" s="34"/>
      <c r="I49" s="38"/>
    </row>
    <row r="50" spans="1:9" s="36" customFormat="1" ht="30">
      <c r="A50" s="48"/>
      <c r="B50" s="37" t="s">
        <v>403</v>
      </c>
      <c r="C50" s="33"/>
      <c r="D50" s="105">
        <v>4.47</v>
      </c>
      <c r="E50" s="95"/>
      <c r="F50" s="95"/>
      <c r="G50" s="95">
        <f t="shared" si="0"/>
        <v>4.47</v>
      </c>
      <c r="H50" s="34"/>
      <c r="I50" s="38"/>
    </row>
    <row r="51" spans="1:9" s="47" customFormat="1" ht="14.25">
      <c r="A51" s="43">
        <v>10</v>
      </c>
      <c r="B51" s="44" t="s">
        <v>419</v>
      </c>
      <c r="C51" s="45">
        <v>16</v>
      </c>
      <c r="D51" s="108">
        <f>SUM(D52:D54)</f>
        <v>1932.47</v>
      </c>
      <c r="E51" s="109">
        <f>SUM(E52:E54)</f>
        <v>0</v>
      </c>
      <c r="F51" s="109">
        <f>F52</f>
        <v>0</v>
      </c>
      <c r="G51" s="95">
        <f t="shared" si="0"/>
        <v>1932.47</v>
      </c>
      <c r="H51" s="34"/>
      <c r="I51" s="46"/>
    </row>
    <row r="52" spans="1:9" s="36" customFormat="1" ht="15.75" customHeight="1">
      <c r="A52" s="48"/>
      <c r="B52" s="32" t="s">
        <v>401</v>
      </c>
      <c r="C52" s="33"/>
      <c r="D52" s="105">
        <v>1744</v>
      </c>
      <c r="E52" s="95"/>
      <c r="F52" s="95"/>
      <c r="G52" s="95">
        <f t="shared" si="0"/>
        <v>1744</v>
      </c>
      <c r="H52" s="34"/>
      <c r="I52" s="38"/>
    </row>
    <row r="53" spans="1:9" s="36" customFormat="1" ht="15">
      <c r="A53" s="48"/>
      <c r="B53" s="37" t="s">
        <v>420</v>
      </c>
      <c r="C53" s="33"/>
      <c r="D53" s="105">
        <f>C51*11.5</f>
        <v>184</v>
      </c>
      <c r="E53" s="95"/>
      <c r="F53" s="95"/>
      <c r="G53" s="95">
        <f t="shared" si="0"/>
        <v>184</v>
      </c>
      <c r="H53" s="34"/>
      <c r="I53" s="38"/>
    </row>
    <row r="54" spans="1:9" s="36" customFormat="1" ht="30">
      <c r="A54" s="48"/>
      <c r="B54" s="37" t="s">
        <v>403</v>
      </c>
      <c r="C54" s="33"/>
      <c r="D54" s="105">
        <v>4.47</v>
      </c>
      <c r="E54" s="95"/>
      <c r="F54" s="95"/>
      <c r="G54" s="95">
        <f t="shared" si="0"/>
        <v>4.47</v>
      </c>
      <c r="H54" s="34"/>
      <c r="I54" s="38"/>
    </row>
    <row r="55" spans="1:9" s="54" customFormat="1" ht="14.25">
      <c r="A55" s="49">
        <v>11</v>
      </c>
      <c r="B55" s="50" t="s">
        <v>421</v>
      </c>
      <c r="C55" s="51">
        <v>19</v>
      </c>
      <c r="D55" s="100">
        <f>SUM(D56:D58)</f>
        <v>2188.4699999999998</v>
      </c>
      <c r="E55" s="110">
        <f>SUM(E56:E58)</f>
        <v>0</v>
      </c>
      <c r="F55" s="110">
        <f>F56</f>
        <v>23.132999999999999</v>
      </c>
      <c r="G55" s="95">
        <f t="shared" si="0"/>
        <v>2165.337</v>
      </c>
      <c r="H55" s="52"/>
      <c r="I55" s="53"/>
    </row>
    <row r="56" spans="1:9" s="58" customFormat="1" ht="15.75" customHeight="1">
      <c r="A56" s="40"/>
      <c r="B56" s="55" t="s">
        <v>401</v>
      </c>
      <c r="C56" s="56"/>
      <c r="D56" s="106">
        <v>1975</v>
      </c>
      <c r="E56" s="111"/>
      <c r="F56" s="111">
        <v>23.132999999999999</v>
      </c>
      <c r="G56" s="95">
        <f t="shared" si="0"/>
        <v>1951.867</v>
      </c>
      <c r="H56" s="52"/>
      <c r="I56" s="57"/>
    </row>
    <row r="57" spans="1:9" s="58" customFormat="1" ht="15">
      <c r="A57" s="40"/>
      <c r="B57" s="39" t="s">
        <v>422</v>
      </c>
      <c r="C57" s="56"/>
      <c r="D57" s="106">
        <f>C55*11</f>
        <v>209</v>
      </c>
      <c r="E57" s="111"/>
      <c r="F57" s="111"/>
      <c r="G57" s="95">
        <f t="shared" si="0"/>
        <v>209</v>
      </c>
      <c r="H57" s="52"/>
      <c r="I57" s="57"/>
    </row>
    <row r="58" spans="1:9" s="58" customFormat="1" ht="30">
      <c r="A58" s="40"/>
      <c r="B58" s="39" t="s">
        <v>403</v>
      </c>
      <c r="C58" s="56"/>
      <c r="D58" s="106">
        <v>4.47</v>
      </c>
      <c r="E58" s="111"/>
      <c r="F58" s="111"/>
      <c r="G58" s="95">
        <f t="shared" si="0"/>
        <v>4.47</v>
      </c>
      <c r="H58" s="52"/>
      <c r="I58" s="57"/>
    </row>
    <row r="59" spans="1:9" s="54" customFormat="1" ht="14.25">
      <c r="A59" s="49">
        <v>12</v>
      </c>
      <c r="B59" s="50" t="s">
        <v>423</v>
      </c>
      <c r="C59" s="59">
        <v>13</v>
      </c>
      <c r="D59" s="100">
        <f>SUM(D60:D62)</f>
        <v>1782.97</v>
      </c>
      <c r="E59" s="110">
        <f>SUM(E60:E62)</f>
        <v>0</v>
      </c>
      <c r="F59" s="110">
        <f>F60</f>
        <v>0</v>
      </c>
      <c r="G59" s="95">
        <f t="shared" si="0"/>
        <v>1782.97</v>
      </c>
      <c r="H59" s="52"/>
      <c r="I59" s="53"/>
    </row>
    <row r="60" spans="1:9" s="58" customFormat="1" ht="15.75" customHeight="1">
      <c r="A60" s="40"/>
      <c r="B60" s="55" t="s">
        <v>401</v>
      </c>
      <c r="C60" s="56"/>
      <c r="D60" s="106">
        <v>1629</v>
      </c>
      <c r="E60" s="111"/>
      <c r="F60" s="111"/>
      <c r="G60" s="95">
        <f t="shared" si="0"/>
        <v>1629</v>
      </c>
      <c r="H60" s="52"/>
      <c r="I60" s="57"/>
    </row>
    <row r="61" spans="1:9" s="58" customFormat="1" ht="15">
      <c r="A61" s="40"/>
      <c r="B61" s="39" t="s">
        <v>424</v>
      </c>
      <c r="C61" s="56"/>
      <c r="D61" s="106">
        <f>C59*11.5</f>
        <v>149.5</v>
      </c>
      <c r="E61" s="111"/>
      <c r="F61" s="111"/>
      <c r="G61" s="95">
        <f t="shared" si="0"/>
        <v>149.5</v>
      </c>
      <c r="H61" s="52"/>
      <c r="I61" s="57"/>
    </row>
    <row r="62" spans="1:9" s="58" customFormat="1" ht="30">
      <c r="A62" s="40"/>
      <c r="B62" s="39" t="s">
        <v>403</v>
      </c>
      <c r="C62" s="56"/>
      <c r="D62" s="106">
        <v>4.47</v>
      </c>
      <c r="E62" s="111"/>
      <c r="F62" s="111"/>
      <c r="G62" s="95">
        <f t="shared" si="0"/>
        <v>4.47</v>
      </c>
      <c r="H62" s="52"/>
      <c r="I62" s="57"/>
    </row>
    <row r="63" spans="1:9" s="54" customFormat="1" ht="14.25">
      <c r="A63" s="49">
        <v>13</v>
      </c>
      <c r="B63" s="50" t="s">
        <v>425</v>
      </c>
      <c r="C63" s="59">
        <v>18</v>
      </c>
      <c r="D63" s="100">
        <f>SUM(D64:D67)</f>
        <v>2547.4699999999998</v>
      </c>
      <c r="E63" s="110">
        <f>SUM(E64:E66)</f>
        <v>0</v>
      </c>
      <c r="F63" s="110">
        <f>F64</f>
        <v>0</v>
      </c>
      <c r="G63" s="95">
        <f t="shared" si="0"/>
        <v>2547.4699999999998</v>
      </c>
      <c r="H63" s="52"/>
      <c r="I63" s="53"/>
    </row>
    <row r="64" spans="1:9" s="58" customFormat="1" ht="15.75" customHeight="1">
      <c r="A64" s="40"/>
      <c r="B64" s="55" t="s">
        <v>401</v>
      </c>
      <c r="C64" s="56"/>
      <c r="D64" s="106">
        <v>2315</v>
      </c>
      <c r="E64" s="111"/>
      <c r="F64" s="111"/>
      <c r="G64" s="95">
        <f t="shared" si="0"/>
        <v>2315</v>
      </c>
      <c r="H64" s="52"/>
      <c r="I64" s="57"/>
    </row>
    <row r="65" spans="1:9" s="58" customFormat="1" ht="15">
      <c r="A65" s="40"/>
      <c r="B65" s="39" t="s">
        <v>426</v>
      </c>
      <c r="C65" s="56"/>
      <c r="D65" s="106">
        <f>C63*11</f>
        <v>198</v>
      </c>
      <c r="E65" s="111"/>
      <c r="F65" s="111"/>
      <c r="G65" s="95">
        <f t="shared" si="0"/>
        <v>198</v>
      </c>
      <c r="H65" s="52"/>
      <c r="I65" s="57"/>
    </row>
    <row r="66" spans="1:9" s="58" customFormat="1" ht="15">
      <c r="A66" s="40"/>
      <c r="B66" s="39" t="s">
        <v>406</v>
      </c>
      <c r="C66" s="56"/>
      <c r="D66" s="106">
        <v>30</v>
      </c>
      <c r="E66" s="111"/>
      <c r="F66" s="111"/>
      <c r="G66" s="95">
        <f t="shared" si="0"/>
        <v>30</v>
      </c>
      <c r="H66" s="52"/>
      <c r="I66" s="57"/>
    </row>
    <row r="67" spans="1:9" s="58" customFormat="1" ht="30">
      <c r="A67" s="40"/>
      <c r="B67" s="37" t="s">
        <v>403</v>
      </c>
      <c r="C67" s="33"/>
      <c r="D67" s="105">
        <v>4.47</v>
      </c>
      <c r="E67" s="111"/>
      <c r="F67" s="111"/>
      <c r="G67" s="95">
        <f t="shared" si="0"/>
        <v>4.47</v>
      </c>
      <c r="H67" s="52"/>
      <c r="I67" s="57"/>
    </row>
    <row r="68" spans="1:9" s="54" customFormat="1" ht="14.25">
      <c r="A68" s="49">
        <v>14</v>
      </c>
      <c r="B68" s="50" t="s">
        <v>427</v>
      </c>
      <c r="C68" s="59">
        <v>17</v>
      </c>
      <c r="D68" s="100">
        <f>SUM(D69:D71)</f>
        <v>2323.9699999999998</v>
      </c>
      <c r="E68" s="110">
        <f>SUM(E69:E71)</f>
        <v>0</v>
      </c>
      <c r="F68" s="110">
        <f>F69</f>
        <v>0</v>
      </c>
      <c r="G68" s="95">
        <f t="shared" si="0"/>
        <v>2323.9699999999998</v>
      </c>
      <c r="H68" s="52"/>
      <c r="I68" s="53"/>
    </row>
    <row r="69" spans="1:9" s="58" customFormat="1" ht="15.75" customHeight="1">
      <c r="A69" s="40"/>
      <c r="B69" s="55" t="s">
        <v>401</v>
      </c>
      <c r="C69" s="56"/>
      <c r="D69" s="106">
        <v>2124</v>
      </c>
      <c r="E69" s="111"/>
      <c r="F69" s="111"/>
      <c r="G69" s="95">
        <f t="shared" si="0"/>
        <v>2124</v>
      </c>
      <c r="H69" s="52"/>
      <c r="I69" s="57"/>
    </row>
    <row r="70" spans="1:9" s="58" customFormat="1" ht="15">
      <c r="A70" s="40"/>
      <c r="B70" s="39" t="s">
        <v>408</v>
      </c>
      <c r="C70" s="56"/>
      <c r="D70" s="106">
        <f>C68*11.5</f>
        <v>195.5</v>
      </c>
      <c r="E70" s="111"/>
      <c r="F70" s="111"/>
      <c r="G70" s="95">
        <f t="shared" si="0"/>
        <v>195.5</v>
      </c>
      <c r="H70" s="52"/>
      <c r="I70" s="57"/>
    </row>
    <row r="71" spans="1:9" s="58" customFormat="1" ht="30">
      <c r="A71" s="40"/>
      <c r="B71" s="39" t="s">
        <v>403</v>
      </c>
      <c r="C71" s="56"/>
      <c r="D71" s="106">
        <v>4.47</v>
      </c>
      <c r="E71" s="111"/>
      <c r="F71" s="111"/>
      <c r="G71" s="95">
        <f t="shared" si="0"/>
        <v>4.47</v>
      </c>
      <c r="H71" s="52"/>
      <c r="I71" s="57"/>
    </row>
    <row r="72" spans="1:9" s="30" customFormat="1" ht="14.25">
      <c r="A72" s="23"/>
      <c r="B72" s="27" t="s">
        <v>428</v>
      </c>
      <c r="C72" s="60">
        <f>C73+C77+C82+C87+C92+C96+C101+C105</f>
        <v>246</v>
      </c>
      <c r="D72" s="99">
        <f>D73+D77+D82+D87+D92+D96+D101+D105</f>
        <v>40223.290000000008</v>
      </c>
      <c r="E72" s="104">
        <f>E73+E77+E82+E87+E92+E96+E101+E105</f>
        <v>0</v>
      </c>
      <c r="F72" s="104">
        <f>F73+F77+F82+F87+F92+F96+F101+F105</f>
        <v>459.07500000000005</v>
      </c>
      <c r="G72" s="109">
        <f t="shared" si="0"/>
        <v>39764.215000000011</v>
      </c>
      <c r="H72" s="61"/>
      <c r="I72" s="61"/>
    </row>
    <row r="73" spans="1:9" s="54" customFormat="1" ht="14.25">
      <c r="A73" s="49">
        <v>1</v>
      </c>
      <c r="B73" s="50" t="s">
        <v>429</v>
      </c>
      <c r="C73" s="59">
        <v>21</v>
      </c>
      <c r="D73" s="100">
        <f>SUM(D74:D76)</f>
        <v>2874.47</v>
      </c>
      <c r="E73" s="110">
        <f>SUM(E74:E76)</f>
        <v>0</v>
      </c>
      <c r="F73" s="110"/>
      <c r="G73" s="95">
        <f t="shared" si="0"/>
        <v>2874.47</v>
      </c>
      <c r="H73" s="53"/>
      <c r="I73" s="53"/>
    </row>
    <row r="74" spans="1:9" s="58" customFormat="1" ht="15.75" customHeight="1">
      <c r="A74" s="40"/>
      <c r="B74" s="55" t="s">
        <v>401</v>
      </c>
      <c r="C74" s="56"/>
      <c r="D74" s="106">
        <v>2639</v>
      </c>
      <c r="E74" s="111"/>
      <c r="F74" s="111"/>
      <c r="G74" s="95">
        <f t="shared" si="0"/>
        <v>2639</v>
      </c>
      <c r="H74" s="57"/>
      <c r="I74" s="57"/>
    </row>
    <row r="75" spans="1:9" s="58" customFormat="1" ht="15">
      <c r="A75" s="40"/>
      <c r="B75" s="39" t="s">
        <v>430</v>
      </c>
      <c r="C75" s="56"/>
      <c r="D75" s="106">
        <f>C73*11</f>
        <v>231</v>
      </c>
      <c r="E75" s="111"/>
      <c r="F75" s="111"/>
      <c r="G75" s="95">
        <f t="shared" si="0"/>
        <v>231</v>
      </c>
      <c r="H75" s="57"/>
      <c r="I75" s="57"/>
    </row>
    <row r="76" spans="1:9" s="58" customFormat="1" ht="30">
      <c r="A76" s="40"/>
      <c r="B76" s="39" t="s">
        <v>403</v>
      </c>
      <c r="C76" s="56"/>
      <c r="D76" s="106">
        <v>4.47</v>
      </c>
      <c r="E76" s="111"/>
      <c r="F76" s="111"/>
      <c r="G76" s="95">
        <f t="shared" si="0"/>
        <v>4.47</v>
      </c>
      <c r="H76" s="57"/>
      <c r="I76" s="57"/>
    </row>
    <row r="77" spans="1:9" s="54" customFormat="1" ht="14.25">
      <c r="A77" s="49">
        <v>2</v>
      </c>
      <c r="B77" s="50" t="s">
        <v>431</v>
      </c>
      <c r="C77" s="59">
        <v>42</v>
      </c>
      <c r="D77" s="100">
        <f>SUM(D78:D81)</f>
        <v>7254.47</v>
      </c>
      <c r="E77" s="110">
        <f>SUM(E78:E80)</f>
        <v>0</v>
      </c>
      <c r="F77" s="100">
        <f>SUM(F78:F81)</f>
        <v>57.877000000000002</v>
      </c>
      <c r="G77" s="95">
        <f t="shared" ref="G77:G140" si="1">D77+E77-F77</f>
        <v>7196.5929999999998</v>
      </c>
      <c r="H77" s="53"/>
      <c r="I77" s="53"/>
    </row>
    <row r="78" spans="1:9" s="58" customFormat="1" ht="15.75" customHeight="1">
      <c r="A78" s="40"/>
      <c r="B78" s="55" t="s">
        <v>401</v>
      </c>
      <c r="C78" s="56"/>
      <c r="D78" s="106">
        <v>6748</v>
      </c>
      <c r="E78" s="111"/>
      <c r="F78" s="111">
        <v>57.877000000000002</v>
      </c>
      <c r="G78" s="95">
        <f t="shared" si="1"/>
        <v>6690.1229999999996</v>
      </c>
      <c r="H78" s="57"/>
      <c r="I78" s="57"/>
    </row>
    <row r="79" spans="1:9" s="58" customFormat="1" ht="15">
      <c r="A79" s="40"/>
      <c r="B79" s="39" t="s">
        <v>432</v>
      </c>
      <c r="C79" s="56"/>
      <c r="D79" s="106">
        <f>C77*11</f>
        <v>462</v>
      </c>
      <c r="E79" s="111"/>
      <c r="F79" s="111"/>
      <c r="G79" s="95">
        <f t="shared" si="1"/>
        <v>462</v>
      </c>
      <c r="H79" s="57"/>
      <c r="I79" s="57"/>
    </row>
    <row r="80" spans="1:9" s="58" customFormat="1" ht="30">
      <c r="A80" s="40"/>
      <c r="B80" s="39" t="s">
        <v>433</v>
      </c>
      <c r="C80" s="56"/>
      <c r="D80" s="106">
        <v>40</v>
      </c>
      <c r="E80" s="111"/>
      <c r="F80" s="111"/>
      <c r="G80" s="95">
        <f t="shared" si="1"/>
        <v>40</v>
      </c>
      <c r="H80" s="57"/>
      <c r="I80" s="57"/>
    </row>
    <row r="81" spans="1:9" s="58" customFormat="1" ht="30">
      <c r="A81" s="40"/>
      <c r="B81" s="39" t="s">
        <v>403</v>
      </c>
      <c r="C81" s="56"/>
      <c r="D81" s="106">
        <v>4.47</v>
      </c>
      <c r="E81" s="111"/>
      <c r="F81" s="111"/>
      <c r="G81" s="95">
        <f t="shared" si="1"/>
        <v>4.47</v>
      </c>
      <c r="H81" s="57"/>
      <c r="I81" s="57"/>
    </row>
    <row r="82" spans="1:9" s="54" customFormat="1" ht="14.25">
      <c r="A82" s="49">
        <v>3</v>
      </c>
      <c r="B82" s="50" t="s">
        <v>434</v>
      </c>
      <c r="C82" s="59">
        <v>37</v>
      </c>
      <c r="D82" s="100">
        <f>SUM(D83:D86)</f>
        <v>6613.47</v>
      </c>
      <c r="E82" s="110">
        <f>SUM(E83:E86)</f>
        <v>0</v>
      </c>
      <c r="F82" s="110">
        <f>SUM(F83:F86)</f>
        <v>18.081</v>
      </c>
      <c r="G82" s="95">
        <f t="shared" si="1"/>
        <v>6595.3890000000001</v>
      </c>
      <c r="H82" s="53"/>
      <c r="I82" s="53"/>
    </row>
    <row r="83" spans="1:9" s="58" customFormat="1" ht="15.75" customHeight="1">
      <c r="A83" s="40"/>
      <c r="B83" s="55" t="s">
        <v>401</v>
      </c>
      <c r="C83" s="56"/>
      <c r="D83" s="106">
        <v>6162</v>
      </c>
      <c r="E83" s="111"/>
      <c r="F83" s="111">
        <v>18.081</v>
      </c>
      <c r="G83" s="95">
        <f t="shared" si="1"/>
        <v>6143.9189999999999</v>
      </c>
      <c r="H83" s="57"/>
      <c r="I83" s="57"/>
    </row>
    <row r="84" spans="1:9" s="58" customFormat="1" ht="15">
      <c r="A84" s="40"/>
      <c r="B84" s="39" t="s">
        <v>435</v>
      </c>
      <c r="C84" s="56"/>
      <c r="D84" s="106">
        <f>C82*11</f>
        <v>407</v>
      </c>
      <c r="E84" s="111"/>
      <c r="F84" s="111"/>
      <c r="G84" s="95">
        <f t="shared" si="1"/>
        <v>407</v>
      </c>
      <c r="H84" s="57"/>
      <c r="I84" s="57"/>
    </row>
    <row r="85" spans="1:9" s="58" customFormat="1" ht="30">
      <c r="A85" s="40"/>
      <c r="B85" s="39" t="s">
        <v>433</v>
      </c>
      <c r="C85" s="56"/>
      <c r="D85" s="106">
        <v>40</v>
      </c>
      <c r="E85" s="111"/>
      <c r="F85" s="111"/>
      <c r="G85" s="95">
        <f t="shared" si="1"/>
        <v>40</v>
      </c>
      <c r="H85" s="57"/>
      <c r="I85" s="57"/>
    </row>
    <row r="86" spans="1:9" s="58" customFormat="1" ht="30">
      <c r="A86" s="40"/>
      <c r="B86" s="39" t="s">
        <v>436</v>
      </c>
      <c r="C86" s="56"/>
      <c r="D86" s="106">
        <v>4.47</v>
      </c>
      <c r="E86" s="111"/>
      <c r="F86" s="111"/>
      <c r="G86" s="95">
        <f t="shared" si="1"/>
        <v>4.47</v>
      </c>
      <c r="H86" s="57"/>
      <c r="I86" s="57"/>
    </row>
    <row r="87" spans="1:9" s="54" customFormat="1" ht="14.25">
      <c r="A87" s="49">
        <v>4</v>
      </c>
      <c r="B87" s="50" t="s">
        <v>437</v>
      </c>
      <c r="C87" s="59">
        <v>31</v>
      </c>
      <c r="D87" s="100">
        <f>SUM(D88:D91)</f>
        <v>5673.47</v>
      </c>
      <c r="E87" s="110">
        <f>SUM(E88:E91)</f>
        <v>0</v>
      </c>
      <c r="F87" s="100">
        <f>SUM(F88:F91)</f>
        <v>259.56</v>
      </c>
      <c r="G87" s="95">
        <f t="shared" si="1"/>
        <v>5413.91</v>
      </c>
      <c r="H87" s="53"/>
      <c r="I87" s="53"/>
    </row>
    <row r="88" spans="1:9" s="58" customFormat="1" ht="15.75" customHeight="1">
      <c r="A88" s="40"/>
      <c r="B88" s="55" t="s">
        <v>401</v>
      </c>
      <c r="C88" s="56"/>
      <c r="D88" s="106">
        <v>5288</v>
      </c>
      <c r="E88" s="111"/>
      <c r="F88" s="111">
        <v>259.56</v>
      </c>
      <c r="G88" s="95">
        <f t="shared" si="1"/>
        <v>5028.4399999999996</v>
      </c>
      <c r="H88" s="57"/>
      <c r="I88" s="57"/>
    </row>
    <row r="89" spans="1:9" s="58" customFormat="1" ht="15">
      <c r="A89" s="40"/>
      <c r="B89" s="39" t="s">
        <v>438</v>
      </c>
      <c r="C89" s="56"/>
      <c r="D89" s="106">
        <f>C87*11</f>
        <v>341</v>
      </c>
      <c r="E89" s="111"/>
      <c r="F89" s="111"/>
      <c r="G89" s="95">
        <f t="shared" si="1"/>
        <v>341</v>
      </c>
      <c r="H89" s="57"/>
      <c r="I89" s="57"/>
    </row>
    <row r="90" spans="1:9" s="58" customFormat="1" ht="30">
      <c r="A90" s="40"/>
      <c r="B90" s="39" t="s">
        <v>433</v>
      </c>
      <c r="C90" s="56"/>
      <c r="D90" s="106">
        <v>40</v>
      </c>
      <c r="E90" s="111"/>
      <c r="F90" s="111"/>
      <c r="G90" s="95">
        <f t="shared" si="1"/>
        <v>40</v>
      </c>
      <c r="H90" s="57"/>
      <c r="I90" s="57"/>
    </row>
    <row r="91" spans="1:9" s="58" customFormat="1" ht="30">
      <c r="A91" s="40"/>
      <c r="B91" s="39" t="s">
        <v>403</v>
      </c>
      <c r="C91" s="56"/>
      <c r="D91" s="106">
        <v>4.47</v>
      </c>
      <c r="E91" s="111"/>
      <c r="F91" s="111"/>
      <c r="G91" s="95">
        <f t="shared" si="1"/>
        <v>4.47</v>
      </c>
      <c r="H91" s="57"/>
      <c r="I91" s="57"/>
    </row>
    <row r="92" spans="1:9" s="54" customFormat="1" ht="14.25">
      <c r="A92" s="49">
        <v>5</v>
      </c>
      <c r="B92" s="50" t="s">
        <v>439</v>
      </c>
      <c r="C92" s="59">
        <v>20</v>
      </c>
      <c r="D92" s="100">
        <f>SUM(D93:D95)</f>
        <v>3204.47</v>
      </c>
      <c r="E92" s="110">
        <f>SUM(E93:E95)</f>
        <v>0</v>
      </c>
      <c r="F92" s="100">
        <f>SUM(F93:F95)</f>
        <v>51.75</v>
      </c>
      <c r="G92" s="95">
        <f t="shared" si="1"/>
        <v>3152.72</v>
      </c>
      <c r="H92" s="53"/>
      <c r="I92" s="53"/>
    </row>
    <row r="93" spans="1:9" s="58" customFormat="1" ht="15.75" customHeight="1">
      <c r="A93" s="40"/>
      <c r="B93" s="55" t="s">
        <v>401</v>
      </c>
      <c r="C93" s="56"/>
      <c r="D93" s="106">
        <v>2980</v>
      </c>
      <c r="E93" s="111"/>
      <c r="F93" s="111">
        <v>51.75</v>
      </c>
      <c r="G93" s="95">
        <f t="shared" si="1"/>
        <v>2928.25</v>
      </c>
      <c r="H93" s="57"/>
      <c r="I93" s="57"/>
    </row>
    <row r="94" spans="1:9" s="58" customFormat="1" ht="15">
      <c r="A94" s="40"/>
      <c r="B94" s="39" t="s">
        <v>440</v>
      </c>
      <c r="C94" s="56"/>
      <c r="D94" s="106">
        <f>C92*11</f>
        <v>220</v>
      </c>
      <c r="E94" s="111"/>
      <c r="F94" s="111"/>
      <c r="G94" s="95">
        <f t="shared" si="1"/>
        <v>220</v>
      </c>
      <c r="H94" s="57"/>
      <c r="I94" s="57"/>
    </row>
    <row r="95" spans="1:9" s="58" customFormat="1" ht="30">
      <c r="A95" s="40"/>
      <c r="B95" s="39" t="s">
        <v>403</v>
      </c>
      <c r="C95" s="56"/>
      <c r="D95" s="106">
        <v>4.47</v>
      </c>
      <c r="E95" s="111"/>
      <c r="F95" s="111"/>
      <c r="G95" s="95">
        <f t="shared" si="1"/>
        <v>4.47</v>
      </c>
      <c r="H95" s="57"/>
      <c r="I95" s="57"/>
    </row>
    <row r="96" spans="1:9" s="54" customFormat="1" ht="14.25">
      <c r="A96" s="49">
        <v>6</v>
      </c>
      <c r="B96" s="50" t="s">
        <v>441</v>
      </c>
      <c r="C96" s="59">
        <v>25</v>
      </c>
      <c r="D96" s="100">
        <f>SUM(D97:D100)</f>
        <v>4463.47</v>
      </c>
      <c r="E96" s="110">
        <f>SUM(E97:E100)</f>
        <v>0</v>
      </c>
      <c r="F96" s="100">
        <f>SUM(F97:F100)</f>
        <v>71.807000000000002</v>
      </c>
      <c r="G96" s="95">
        <f t="shared" si="1"/>
        <v>4391.6630000000005</v>
      </c>
      <c r="H96" s="53"/>
      <c r="I96" s="53"/>
    </row>
    <row r="97" spans="1:9" s="58" customFormat="1" ht="15.75" customHeight="1">
      <c r="A97" s="40"/>
      <c r="B97" s="55" t="s">
        <v>401</v>
      </c>
      <c r="C97" s="56"/>
      <c r="D97" s="106">
        <v>4174</v>
      </c>
      <c r="E97" s="111"/>
      <c r="F97" s="111">
        <v>71.807000000000002</v>
      </c>
      <c r="G97" s="95">
        <f t="shared" si="1"/>
        <v>4102.1930000000002</v>
      </c>
      <c r="H97" s="57"/>
      <c r="I97" s="57"/>
    </row>
    <row r="98" spans="1:9" s="58" customFormat="1" ht="15">
      <c r="A98" s="40"/>
      <c r="B98" s="39" t="s">
        <v>442</v>
      </c>
      <c r="C98" s="56"/>
      <c r="D98" s="106">
        <f>C96*11</f>
        <v>275</v>
      </c>
      <c r="E98" s="111"/>
      <c r="F98" s="111"/>
      <c r="G98" s="95">
        <f t="shared" si="1"/>
        <v>275</v>
      </c>
      <c r="H98" s="57"/>
      <c r="I98" s="57"/>
    </row>
    <row r="99" spans="1:9" s="58" customFormat="1" ht="21" customHeight="1">
      <c r="A99" s="40"/>
      <c r="B99" s="62" t="s">
        <v>443</v>
      </c>
      <c r="C99" s="56"/>
      <c r="D99" s="106">
        <v>10</v>
      </c>
      <c r="E99" s="111"/>
      <c r="F99" s="111"/>
      <c r="G99" s="95">
        <f t="shared" si="1"/>
        <v>10</v>
      </c>
      <c r="H99" s="57"/>
      <c r="I99" s="57"/>
    </row>
    <row r="100" spans="1:9" s="58" customFormat="1" ht="30">
      <c r="A100" s="40"/>
      <c r="B100" s="39" t="s">
        <v>403</v>
      </c>
      <c r="C100" s="56"/>
      <c r="D100" s="106">
        <v>4.47</v>
      </c>
      <c r="E100" s="111"/>
      <c r="F100" s="111"/>
      <c r="G100" s="95">
        <f t="shared" si="1"/>
        <v>4.47</v>
      </c>
      <c r="H100" s="57"/>
      <c r="I100" s="57"/>
    </row>
    <row r="101" spans="1:9" s="54" customFormat="1" ht="14.25">
      <c r="A101" s="49">
        <v>7</v>
      </c>
      <c r="B101" s="50" t="s">
        <v>444</v>
      </c>
      <c r="C101" s="59">
        <v>32</v>
      </c>
      <c r="D101" s="100">
        <f>SUM(D102:D104)</f>
        <v>5052</v>
      </c>
      <c r="E101" s="100">
        <f>SUM(E102:E104)</f>
        <v>0</v>
      </c>
      <c r="F101" s="100">
        <f>SUM(F102:F104)</f>
        <v>0</v>
      </c>
      <c r="G101" s="100">
        <f>SUM(G102:G104)</f>
        <v>5052</v>
      </c>
      <c r="H101" s="53"/>
      <c r="I101" s="53"/>
    </row>
    <row r="102" spans="1:9" s="58" customFormat="1" ht="15.75" customHeight="1">
      <c r="A102" s="40"/>
      <c r="B102" s="55" t="s">
        <v>401</v>
      </c>
      <c r="C102" s="56"/>
      <c r="D102" s="106">
        <v>4670</v>
      </c>
      <c r="E102" s="111"/>
      <c r="F102" s="111"/>
      <c r="G102" s="95">
        <f t="shared" si="1"/>
        <v>4670</v>
      </c>
      <c r="H102" s="57"/>
      <c r="I102" s="57"/>
    </row>
    <row r="103" spans="1:9" s="58" customFormat="1" ht="15">
      <c r="A103" s="40"/>
      <c r="B103" s="39" t="s">
        <v>445</v>
      </c>
      <c r="C103" s="56"/>
      <c r="D103" s="106">
        <f>C101*11</f>
        <v>352</v>
      </c>
      <c r="E103" s="111"/>
      <c r="F103" s="111"/>
      <c r="G103" s="95">
        <f t="shared" si="1"/>
        <v>352</v>
      </c>
      <c r="H103" s="57"/>
      <c r="I103" s="57"/>
    </row>
    <row r="104" spans="1:9" s="58" customFormat="1" ht="30">
      <c r="A104" s="40"/>
      <c r="B104" s="39" t="s">
        <v>433</v>
      </c>
      <c r="C104" s="56"/>
      <c r="D104" s="106">
        <v>30</v>
      </c>
      <c r="E104" s="111"/>
      <c r="F104" s="111"/>
      <c r="G104" s="95">
        <f t="shared" si="1"/>
        <v>30</v>
      </c>
      <c r="H104" s="57"/>
      <c r="I104" s="57"/>
    </row>
    <row r="105" spans="1:9" s="54" customFormat="1" ht="14.25">
      <c r="A105" s="49">
        <v>8</v>
      </c>
      <c r="B105" s="50" t="s">
        <v>446</v>
      </c>
      <c r="C105" s="59">
        <v>38</v>
      </c>
      <c r="D105" s="100">
        <f>SUM(D106:D109)</f>
        <v>5087.47</v>
      </c>
      <c r="E105" s="110">
        <f>SUM(E106:E109)</f>
        <v>0</v>
      </c>
      <c r="F105" s="110">
        <f>SUM(F106:F109)</f>
        <v>0</v>
      </c>
      <c r="G105" s="100">
        <f>SUM(G106:G109)</f>
        <v>5087.47</v>
      </c>
      <c r="H105" s="53"/>
      <c r="I105" s="53"/>
    </row>
    <row r="106" spans="1:9" s="58" customFormat="1" ht="15.75" customHeight="1">
      <c r="A106" s="40"/>
      <c r="B106" s="55" t="s">
        <v>401</v>
      </c>
      <c r="C106" s="56"/>
      <c r="D106" s="106">
        <v>4650</v>
      </c>
      <c r="E106" s="111"/>
      <c r="F106" s="111"/>
      <c r="G106" s="95">
        <f t="shared" si="1"/>
        <v>4650</v>
      </c>
      <c r="H106" s="57"/>
      <c r="I106" s="57"/>
    </row>
    <row r="107" spans="1:9" s="58" customFormat="1" ht="15">
      <c r="A107" s="40"/>
      <c r="B107" s="39" t="s">
        <v>447</v>
      </c>
      <c r="C107" s="56"/>
      <c r="D107" s="112">
        <f>C105*11</f>
        <v>418</v>
      </c>
      <c r="E107" s="111"/>
      <c r="F107" s="111"/>
      <c r="G107" s="95">
        <f t="shared" si="1"/>
        <v>418</v>
      </c>
      <c r="H107" s="57"/>
      <c r="I107" s="57"/>
    </row>
    <row r="108" spans="1:9" s="58" customFormat="1" ht="30">
      <c r="A108" s="40"/>
      <c r="B108" s="39" t="s">
        <v>448</v>
      </c>
      <c r="C108" s="56"/>
      <c r="D108" s="112">
        <v>15</v>
      </c>
      <c r="E108" s="111"/>
      <c r="F108" s="111"/>
      <c r="G108" s="95">
        <f t="shared" si="1"/>
        <v>15</v>
      </c>
      <c r="H108" s="57"/>
      <c r="I108" s="57"/>
    </row>
    <row r="109" spans="1:9" s="58" customFormat="1" ht="30">
      <c r="A109" s="40"/>
      <c r="B109" s="39" t="s">
        <v>403</v>
      </c>
      <c r="C109" s="56"/>
      <c r="D109" s="106">
        <v>4.47</v>
      </c>
      <c r="E109" s="111"/>
      <c r="F109" s="111"/>
      <c r="G109" s="95">
        <f t="shared" si="1"/>
        <v>4.47</v>
      </c>
      <c r="H109" s="57"/>
      <c r="I109" s="57"/>
    </row>
    <row r="110" spans="1:9" s="30" customFormat="1" ht="14.25">
      <c r="A110" s="23"/>
      <c r="B110" s="27" t="s">
        <v>449</v>
      </c>
      <c r="C110" s="24">
        <f>C111+C116+C121+C126+C130+C135+C139+C144+C148+C153+C158+C162+C166+C177+C173</f>
        <v>483</v>
      </c>
      <c r="D110" s="99">
        <f>D111+D116+D121+D126+D130+D135+D139+D144+D148+D153+D158+D162+D166+D173+D177</f>
        <v>76790.55</v>
      </c>
      <c r="E110" s="104">
        <f>E111+E116+E121+E126+E130+E135+E139+E144+E148+E153+E158+E162+E166+E177+E173</f>
        <v>0</v>
      </c>
      <c r="F110" s="104">
        <f>F111+F116+F121+F126+F130+F135+F139+F144+F148+F153+F158+F162+F166+F177+F173</f>
        <v>598.98400000000004</v>
      </c>
      <c r="G110" s="99">
        <f>G111+G116+G121+G126+G130+G135+G139+G144+G148+G153+G158+G162+G166+G173+G177</f>
        <v>76191.566000000006</v>
      </c>
      <c r="H110" s="28"/>
      <c r="I110" s="61"/>
    </row>
    <row r="111" spans="1:9" s="54" customFormat="1" ht="14.25">
      <c r="A111" s="49">
        <v>1</v>
      </c>
      <c r="B111" s="50" t="s">
        <v>450</v>
      </c>
      <c r="C111" s="59">
        <v>41</v>
      </c>
      <c r="D111" s="100">
        <f>SUM(D112:D115)</f>
        <v>5246.47</v>
      </c>
      <c r="E111" s="110">
        <f>SUM(E112:E115)</f>
        <v>0</v>
      </c>
      <c r="F111" s="113">
        <f>F112</f>
        <v>51.854999999999997</v>
      </c>
      <c r="G111" s="100">
        <f>SUM(G112:G115)</f>
        <v>5194.6150000000007</v>
      </c>
      <c r="H111" s="703"/>
      <c r="I111" s="53"/>
    </row>
    <row r="112" spans="1:9" s="58" customFormat="1" ht="15.75" customHeight="1">
      <c r="A112" s="40"/>
      <c r="B112" s="55" t="s">
        <v>401</v>
      </c>
      <c r="C112" s="56"/>
      <c r="D112" s="106">
        <v>4776</v>
      </c>
      <c r="E112" s="111"/>
      <c r="F112" s="111">
        <v>51.854999999999997</v>
      </c>
      <c r="G112" s="95">
        <f t="shared" si="1"/>
        <v>4724.1450000000004</v>
      </c>
      <c r="H112" s="703"/>
      <c r="I112" s="57"/>
    </row>
    <row r="113" spans="1:9" s="58" customFormat="1" ht="15">
      <c r="A113" s="40"/>
      <c r="B113" s="39" t="s">
        <v>451</v>
      </c>
      <c r="C113" s="56"/>
      <c r="D113" s="112">
        <f>C111*11</f>
        <v>451</v>
      </c>
      <c r="E113" s="111"/>
      <c r="F113" s="111"/>
      <c r="G113" s="95">
        <f t="shared" si="1"/>
        <v>451</v>
      </c>
      <c r="H113" s="703"/>
      <c r="I113" s="57"/>
    </row>
    <row r="114" spans="1:9" s="58" customFormat="1" ht="30">
      <c r="A114" s="40"/>
      <c r="B114" s="39" t="s">
        <v>448</v>
      </c>
      <c r="C114" s="56"/>
      <c r="D114" s="112">
        <v>15</v>
      </c>
      <c r="E114" s="111"/>
      <c r="F114" s="111"/>
      <c r="G114" s="95">
        <f t="shared" si="1"/>
        <v>15</v>
      </c>
      <c r="H114" s="703"/>
      <c r="I114" s="57"/>
    </row>
    <row r="115" spans="1:9" s="58" customFormat="1" ht="30">
      <c r="A115" s="40"/>
      <c r="B115" s="39" t="s">
        <v>403</v>
      </c>
      <c r="C115" s="56"/>
      <c r="D115" s="106">
        <v>4.47</v>
      </c>
      <c r="E115" s="111"/>
      <c r="F115" s="111"/>
      <c r="G115" s="95">
        <f t="shared" si="1"/>
        <v>4.47</v>
      </c>
      <c r="H115" s="703"/>
      <c r="I115" s="57"/>
    </row>
    <row r="116" spans="1:9" s="54" customFormat="1" ht="14.25">
      <c r="A116" s="49">
        <v>2</v>
      </c>
      <c r="B116" s="50" t="s">
        <v>452</v>
      </c>
      <c r="C116" s="59">
        <v>29</v>
      </c>
      <c r="D116" s="100">
        <f>SUM(D117:D120)</f>
        <v>5147.47</v>
      </c>
      <c r="E116" s="110">
        <f>SUM(E117:E120)</f>
        <v>0</v>
      </c>
      <c r="F116" s="110">
        <f>F117</f>
        <v>143.86500000000001</v>
      </c>
      <c r="G116" s="100">
        <f>SUM(G117:G120)</f>
        <v>5003.6050000000005</v>
      </c>
      <c r="H116" s="53"/>
      <c r="I116" s="53"/>
    </row>
    <row r="117" spans="1:9" s="58" customFormat="1" ht="15.75" customHeight="1">
      <c r="A117" s="40"/>
      <c r="B117" s="55" t="s">
        <v>401</v>
      </c>
      <c r="C117" s="56"/>
      <c r="D117" s="106">
        <v>4814</v>
      </c>
      <c r="E117" s="111"/>
      <c r="F117" s="111">
        <v>143.86500000000001</v>
      </c>
      <c r="G117" s="95">
        <f t="shared" si="1"/>
        <v>4670.1350000000002</v>
      </c>
      <c r="H117" s="57"/>
      <c r="I117" s="57"/>
    </row>
    <row r="118" spans="1:9" s="58" customFormat="1" ht="15">
      <c r="A118" s="40"/>
      <c r="B118" s="39" t="s">
        <v>402</v>
      </c>
      <c r="C118" s="56"/>
      <c r="D118" s="106">
        <f>C116*11</f>
        <v>319</v>
      </c>
      <c r="E118" s="111"/>
      <c r="F118" s="111"/>
      <c r="G118" s="95">
        <f t="shared" si="1"/>
        <v>319</v>
      </c>
      <c r="H118" s="57"/>
      <c r="I118" s="57"/>
    </row>
    <row r="119" spans="1:9" s="58" customFormat="1" ht="21" customHeight="1">
      <c r="A119" s="40"/>
      <c r="B119" s="62" t="s">
        <v>443</v>
      </c>
      <c r="C119" s="56"/>
      <c r="D119" s="106">
        <v>10</v>
      </c>
      <c r="E119" s="111"/>
      <c r="F119" s="111"/>
      <c r="G119" s="95">
        <f t="shared" si="1"/>
        <v>10</v>
      </c>
      <c r="H119" s="57"/>
      <c r="I119" s="57"/>
    </row>
    <row r="120" spans="1:9" s="58" customFormat="1" ht="30">
      <c r="A120" s="40"/>
      <c r="B120" s="39" t="s">
        <v>403</v>
      </c>
      <c r="C120" s="56"/>
      <c r="D120" s="106">
        <v>4.47</v>
      </c>
      <c r="E120" s="111"/>
      <c r="F120" s="111"/>
      <c r="G120" s="95">
        <f t="shared" si="1"/>
        <v>4.47</v>
      </c>
      <c r="H120" s="57"/>
      <c r="I120" s="57"/>
    </row>
    <row r="121" spans="1:9" s="54" customFormat="1" ht="14.25">
      <c r="A121" s="49">
        <v>3</v>
      </c>
      <c r="B121" s="50" t="s">
        <v>453</v>
      </c>
      <c r="C121" s="59">
        <v>29</v>
      </c>
      <c r="D121" s="100">
        <f>SUM(D122:D125)</f>
        <v>5007.47</v>
      </c>
      <c r="E121" s="110">
        <f>SUM(E122:E125)</f>
        <v>0</v>
      </c>
      <c r="F121" s="110">
        <f>F122</f>
        <v>201.69800000000001</v>
      </c>
      <c r="G121" s="100">
        <f>SUM(G122:G125)</f>
        <v>4805.7719999999999</v>
      </c>
      <c r="H121" s="52"/>
      <c r="I121" s="53"/>
    </row>
    <row r="122" spans="1:9" s="58" customFormat="1" ht="15.75" customHeight="1">
      <c r="A122" s="40"/>
      <c r="B122" s="55" t="s">
        <v>401</v>
      </c>
      <c r="C122" s="56"/>
      <c r="D122" s="106">
        <v>4674</v>
      </c>
      <c r="E122" s="111"/>
      <c r="F122" s="111">
        <v>201.69800000000001</v>
      </c>
      <c r="G122" s="95">
        <f t="shared" si="1"/>
        <v>4472.3019999999997</v>
      </c>
      <c r="H122" s="57"/>
      <c r="I122" s="57"/>
    </row>
    <row r="123" spans="1:9" s="58" customFormat="1" ht="15">
      <c r="A123" s="40"/>
      <c r="B123" s="39" t="s">
        <v>402</v>
      </c>
      <c r="C123" s="56"/>
      <c r="D123" s="106">
        <f>C121*11</f>
        <v>319</v>
      </c>
      <c r="E123" s="111"/>
      <c r="F123" s="111"/>
      <c r="G123" s="95">
        <f t="shared" si="1"/>
        <v>319</v>
      </c>
      <c r="H123" s="57"/>
      <c r="I123" s="57"/>
    </row>
    <row r="124" spans="1:9" s="58" customFormat="1" ht="21.75" customHeight="1">
      <c r="A124" s="40"/>
      <c r="B124" s="62" t="s">
        <v>443</v>
      </c>
      <c r="C124" s="56"/>
      <c r="D124" s="106">
        <v>10</v>
      </c>
      <c r="E124" s="111"/>
      <c r="F124" s="111"/>
      <c r="G124" s="95">
        <f t="shared" si="1"/>
        <v>10</v>
      </c>
      <c r="H124" s="57"/>
      <c r="I124" s="57"/>
    </row>
    <row r="125" spans="1:9" s="58" customFormat="1" ht="30">
      <c r="A125" s="40"/>
      <c r="B125" s="39" t="s">
        <v>403</v>
      </c>
      <c r="C125" s="56"/>
      <c r="D125" s="106">
        <v>4.47</v>
      </c>
      <c r="E125" s="111"/>
      <c r="F125" s="111"/>
      <c r="G125" s="95">
        <f t="shared" si="1"/>
        <v>4.47</v>
      </c>
      <c r="H125" s="57"/>
      <c r="I125" s="57"/>
    </row>
    <row r="126" spans="1:9" s="54" customFormat="1" ht="14.25">
      <c r="A126" s="49">
        <v>4</v>
      </c>
      <c r="B126" s="50" t="s">
        <v>454</v>
      </c>
      <c r="C126" s="59">
        <v>22</v>
      </c>
      <c r="D126" s="100">
        <f>SUM(D127:D129)</f>
        <v>3614.47</v>
      </c>
      <c r="E126" s="110">
        <f>SUM(E127:E129)</f>
        <v>0</v>
      </c>
      <c r="F126" s="110">
        <f>F127</f>
        <v>0</v>
      </c>
      <c r="G126" s="100">
        <f>SUM(G127:G129)</f>
        <v>3614.47</v>
      </c>
      <c r="H126" s="53"/>
      <c r="I126" s="53"/>
    </row>
    <row r="127" spans="1:9" s="58" customFormat="1" ht="15.75" customHeight="1">
      <c r="A127" s="40"/>
      <c r="B127" s="55" t="s">
        <v>401</v>
      </c>
      <c r="C127" s="56"/>
      <c r="D127" s="106">
        <v>3368</v>
      </c>
      <c r="E127" s="111"/>
      <c r="F127" s="111"/>
      <c r="G127" s="95">
        <f t="shared" si="1"/>
        <v>3368</v>
      </c>
      <c r="H127" s="57"/>
      <c r="I127" s="57"/>
    </row>
    <row r="128" spans="1:9" s="58" customFormat="1" ht="15">
      <c r="A128" s="40"/>
      <c r="B128" s="39" t="s">
        <v>455</v>
      </c>
      <c r="C128" s="56"/>
      <c r="D128" s="106">
        <f>C126*11</f>
        <v>242</v>
      </c>
      <c r="E128" s="111"/>
      <c r="F128" s="111"/>
      <c r="G128" s="95">
        <f t="shared" si="1"/>
        <v>242</v>
      </c>
      <c r="H128" s="57"/>
      <c r="I128" s="57"/>
    </row>
    <row r="129" spans="1:9" s="58" customFormat="1" ht="30">
      <c r="A129" s="40"/>
      <c r="B129" s="39" t="s">
        <v>403</v>
      </c>
      <c r="C129" s="56"/>
      <c r="D129" s="106">
        <v>4.47</v>
      </c>
      <c r="E129" s="111"/>
      <c r="F129" s="111"/>
      <c r="G129" s="95">
        <f t="shared" si="1"/>
        <v>4.47</v>
      </c>
      <c r="H129" s="57"/>
      <c r="I129" s="57"/>
    </row>
    <row r="130" spans="1:9" s="54" customFormat="1" ht="15">
      <c r="A130" s="49">
        <v>5</v>
      </c>
      <c r="B130" s="50" t="s">
        <v>456</v>
      </c>
      <c r="C130" s="59">
        <v>27</v>
      </c>
      <c r="D130" s="100">
        <f>SUM(D131:D134)</f>
        <v>4896.47</v>
      </c>
      <c r="E130" s="110">
        <f>SUM(E131:E134)</f>
        <v>0</v>
      </c>
      <c r="F130" s="110">
        <f>F131</f>
        <v>0</v>
      </c>
      <c r="G130" s="100">
        <f>SUM(G131:G134)</f>
        <v>4896.47</v>
      </c>
      <c r="H130" s="63"/>
      <c r="I130" s="53"/>
    </row>
    <row r="131" spans="1:9" s="58" customFormat="1" ht="15.75" customHeight="1">
      <c r="A131" s="40"/>
      <c r="B131" s="55" t="s">
        <v>401</v>
      </c>
      <c r="C131" s="56"/>
      <c r="D131" s="106">
        <v>4555</v>
      </c>
      <c r="E131" s="111"/>
      <c r="F131" s="111"/>
      <c r="G131" s="95">
        <f t="shared" si="1"/>
        <v>4555</v>
      </c>
      <c r="H131" s="57"/>
      <c r="I131" s="57"/>
    </row>
    <row r="132" spans="1:9" s="58" customFormat="1" ht="15">
      <c r="A132" s="40"/>
      <c r="B132" s="39" t="s">
        <v>414</v>
      </c>
      <c r="C132" s="56"/>
      <c r="D132" s="106">
        <f>C130*11</f>
        <v>297</v>
      </c>
      <c r="E132" s="111"/>
      <c r="F132" s="111"/>
      <c r="G132" s="95">
        <f t="shared" si="1"/>
        <v>297</v>
      </c>
      <c r="H132" s="57"/>
      <c r="I132" s="57"/>
    </row>
    <row r="133" spans="1:9" s="58" customFormat="1" ht="30">
      <c r="A133" s="40"/>
      <c r="B133" s="39" t="s">
        <v>433</v>
      </c>
      <c r="C133" s="56"/>
      <c r="D133" s="106">
        <v>40</v>
      </c>
      <c r="E133" s="111"/>
      <c r="F133" s="111"/>
      <c r="G133" s="95">
        <f t="shared" si="1"/>
        <v>40</v>
      </c>
      <c r="H133" s="57"/>
      <c r="I133" s="57"/>
    </row>
    <row r="134" spans="1:9" s="58" customFormat="1" ht="30">
      <c r="A134" s="40"/>
      <c r="B134" s="39" t="s">
        <v>403</v>
      </c>
      <c r="C134" s="56"/>
      <c r="D134" s="106">
        <v>4.47</v>
      </c>
      <c r="E134" s="111"/>
      <c r="F134" s="111"/>
      <c r="G134" s="95">
        <f t="shared" si="1"/>
        <v>4.47</v>
      </c>
      <c r="H134" s="57"/>
      <c r="I134" s="57"/>
    </row>
    <row r="135" spans="1:9" s="54" customFormat="1" ht="14.25">
      <c r="A135" s="49">
        <v>6</v>
      </c>
      <c r="B135" s="50" t="s">
        <v>457</v>
      </c>
      <c r="C135" s="59">
        <v>30</v>
      </c>
      <c r="D135" s="100">
        <f>SUM(D136:D138)</f>
        <v>4267.47</v>
      </c>
      <c r="E135" s="110">
        <f>SUM(E136:E138)</f>
        <v>0</v>
      </c>
      <c r="F135" s="110">
        <f>F136</f>
        <v>0</v>
      </c>
      <c r="G135" s="100">
        <f>SUM(G136:G138)</f>
        <v>4267.47</v>
      </c>
      <c r="H135" s="53"/>
      <c r="I135" s="53"/>
    </row>
    <row r="136" spans="1:9" s="58" customFormat="1" ht="15.75" customHeight="1">
      <c r="A136" s="40"/>
      <c r="B136" s="55" t="s">
        <v>401</v>
      </c>
      <c r="C136" s="56"/>
      <c r="D136" s="106">
        <v>3933</v>
      </c>
      <c r="E136" s="111"/>
      <c r="F136" s="111"/>
      <c r="G136" s="95">
        <f t="shared" si="1"/>
        <v>3933</v>
      </c>
      <c r="H136" s="57"/>
      <c r="I136" s="57"/>
    </row>
    <row r="137" spans="1:9" s="58" customFormat="1" ht="15">
      <c r="A137" s="40"/>
      <c r="B137" s="39" t="s">
        <v>458</v>
      </c>
      <c r="C137" s="56"/>
      <c r="D137" s="106">
        <f>C135*11</f>
        <v>330</v>
      </c>
      <c r="E137" s="111"/>
      <c r="F137" s="111"/>
      <c r="G137" s="95">
        <f t="shared" si="1"/>
        <v>330</v>
      </c>
      <c r="H137" s="57"/>
      <c r="I137" s="57"/>
    </row>
    <row r="138" spans="1:9" s="58" customFormat="1" ht="30">
      <c r="A138" s="40"/>
      <c r="B138" s="39" t="s">
        <v>403</v>
      </c>
      <c r="C138" s="56"/>
      <c r="D138" s="106">
        <v>4.47</v>
      </c>
      <c r="E138" s="111"/>
      <c r="F138" s="111"/>
      <c r="G138" s="95">
        <f t="shared" si="1"/>
        <v>4.47</v>
      </c>
      <c r="H138" s="57"/>
      <c r="I138" s="57"/>
    </row>
    <row r="139" spans="1:9" s="54" customFormat="1" ht="14.25">
      <c r="A139" s="49">
        <v>7</v>
      </c>
      <c r="B139" s="50" t="s">
        <v>459</v>
      </c>
      <c r="C139" s="59">
        <v>17</v>
      </c>
      <c r="D139" s="100">
        <f>SUM(D140:D143)</f>
        <v>3413.97</v>
      </c>
      <c r="E139" s="110">
        <f>SUM(E140:E143)</f>
        <v>0</v>
      </c>
      <c r="F139" s="110">
        <f>F140</f>
        <v>0</v>
      </c>
      <c r="G139" s="100">
        <f>SUM(G140:G143)</f>
        <v>3413.97</v>
      </c>
      <c r="H139" s="53"/>
      <c r="I139" s="53"/>
    </row>
    <row r="140" spans="1:9" s="58" customFormat="1" ht="15.75" customHeight="1">
      <c r="A140" s="40"/>
      <c r="B140" s="55" t="s">
        <v>401</v>
      </c>
      <c r="C140" s="56"/>
      <c r="D140" s="106">
        <v>3174</v>
      </c>
      <c r="E140" s="111"/>
      <c r="F140" s="111"/>
      <c r="G140" s="95">
        <f t="shared" si="1"/>
        <v>3174</v>
      </c>
      <c r="H140" s="57"/>
      <c r="I140" s="57"/>
    </row>
    <row r="141" spans="1:9" s="58" customFormat="1" ht="15">
      <c r="A141" s="40"/>
      <c r="B141" s="39" t="s">
        <v>408</v>
      </c>
      <c r="C141" s="56"/>
      <c r="D141" s="106">
        <f>C139*11.5</f>
        <v>195.5</v>
      </c>
      <c r="E141" s="111"/>
      <c r="F141" s="111"/>
      <c r="G141" s="95">
        <f t="shared" ref="G141:G203" si="2">D141+E141-F141</f>
        <v>195.5</v>
      </c>
      <c r="H141" s="57"/>
      <c r="I141" s="57"/>
    </row>
    <row r="142" spans="1:9" s="58" customFormat="1" ht="30">
      <c r="A142" s="40"/>
      <c r="B142" s="39" t="s">
        <v>433</v>
      </c>
      <c r="C142" s="56"/>
      <c r="D142" s="106">
        <v>40</v>
      </c>
      <c r="E142" s="111"/>
      <c r="F142" s="111"/>
      <c r="G142" s="95">
        <f t="shared" si="2"/>
        <v>40</v>
      </c>
      <c r="H142" s="57"/>
      <c r="I142" s="57"/>
    </row>
    <row r="143" spans="1:9" s="58" customFormat="1" ht="30">
      <c r="A143" s="40"/>
      <c r="B143" s="39" t="s">
        <v>403</v>
      </c>
      <c r="C143" s="56"/>
      <c r="D143" s="106">
        <v>4.47</v>
      </c>
      <c r="E143" s="111"/>
      <c r="F143" s="111"/>
      <c r="G143" s="95">
        <f t="shared" si="2"/>
        <v>4.47</v>
      </c>
      <c r="H143" s="57"/>
      <c r="I143" s="57"/>
    </row>
    <row r="144" spans="1:9" s="54" customFormat="1" ht="14.25">
      <c r="A144" s="49">
        <v>8</v>
      </c>
      <c r="B144" s="50" t="s">
        <v>460</v>
      </c>
      <c r="C144" s="59">
        <v>36</v>
      </c>
      <c r="D144" s="100">
        <f>SUM(D145:D147)</f>
        <v>5285.47</v>
      </c>
      <c r="E144" s="110">
        <f>SUM(E145:E147)</f>
        <v>0</v>
      </c>
      <c r="F144" s="110">
        <f>F145</f>
        <v>56.06</v>
      </c>
      <c r="G144" s="100">
        <f>SUM(G145:G147)</f>
        <v>5229.41</v>
      </c>
      <c r="H144" s="53"/>
      <c r="I144" s="53"/>
    </row>
    <row r="145" spans="1:9" s="58" customFormat="1" ht="15.75" customHeight="1">
      <c r="A145" s="40"/>
      <c r="B145" s="55" t="s">
        <v>401</v>
      </c>
      <c r="C145" s="56"/>
      <c r="D145" s="106">
        <v>4865</v>
      </c>
      <c r="E145" s="111"/>
      <c r="F145" s="111">
        <v>56.06</v>
      </c>
      <c r="G145" s="95">
        <f t="shared" si="2"/>
        <v>4808.9399999999996</v>
      </c>
      <c r="H145" s="53"/>
      <c r="I145" s="57"/>
    </row>
    <row r="146" spans="1:9" s="58" customFormat="1" ht="15">
      <c r="A146" s="40"/>
      <c r="B146" s="39" t="s">
        <v>461</v>
      </c>
      <c r="C146" s="56"/>
      <c r="D146" s="106">
        <f>C144*11+20</f>
        <v>416</v>
      </c>
      <c r="E146" s="111"/>
      <c r="F146" s="111"/>
      <c r="G146" s="95">
        <f t="shared" si="2"/>
        <v>416</v>
      </c>
      <c r="H146" s="57"/>
      <c r="I146" s="57"/>
    </row>
    <row r="147" spans="1:9" s="58" customFormat="1" ht="30">
      <c r="A147" s="40"/>
      <c r="B147" s="39" t="s">
        <v>436</v>
      </c>
      <c r="C147" s="56"/>
      <c r="D147" s="106">
        <v>4.47</v>
      </c>
      <c r="E147" s="111"/>
      <c r="F147" s="111"/>
      <c r="G147" s="95">
        <f t="shared" si="2"/>
        <v>4.47</v>
      </c>
      <c r="H147" s="57"/>
      <c r="I147" s="57"/>
    </row>
    <row r="148" spans="1:9" s="54" customFormat="1" ht="14.25">
      <c r="A148" s="49">
        <v>9</v>
      </c>
      <c r="B148" s="50" t="s">
        <v>462</v>
      </c>
      <c r="C148" s="59">
        <v>39</v>
      </c>
      <c r="D148" s="100">
        <f>SUM(D149:D152)</f>
        <v>6206.47</v>
      </c>
      <c r="E148" s="110">
        <f>SUM(E149:E152)</f>
        <v>0</v>
      </c>
      <c r="F148" s="110">
        <f>F149</f>
        <v>0</v>
      </c>
      <c r="G148" s="100">
        <f>SUM(G149:G152)</f>
        <v>6206.47</v>
      </c>
      <c r="H148" s="703"/>
      <c r="I148" s="53"/>
    </row>
    <row r="149" spans="1:9" s="58" customFormat="1" ht="15.75" customHeight="1">
      <c r="A149" s="40"/>
      <c r="B149" s="55" t="s">
        <v>401</v>
      </c>
      <c r="C149" s="56"/>
      <c r="D149" s="106">
        <v>5733</v>
      </c>
      <c r="E149" s="111"/>
      <c r="F149" s="111"/>
      <c r="G149" s="95">
        <f t="shared" si="2"/>
        <v>5733</v>
      </c>
      <c r="H149" s="703"/>
      <c r="I149" s="57"/>
    </row>
    <row r="150" spans="1:9" s="58" customFormat="1" ht="15">
      <c r="A150" s="40"/>
      <c r="B150" s="39" t="s">
        <v>463</v>
      </c>
      <c r="C150" s="56"/>
      <c r="D150" s="106">
        <f>C148*11</f>
        <v>429</v>
      </c>
      <c r="E150" s="111"/>
      <c r="F150" s="111"/>
      <c r="G150" s="95">
        <f t="shared" si="2"/>
        <v>429</v>
      </c>
      <c r="H150" s="703"/>
      <c r="I150" s="57"/>
    </row>
    <row r="151" spans="1:9" s="58" customFormat="1" ht="30">
      <c r="A151" s="40"/>
      <c r="B151" s="39" t="s">
        <v>433</v>
      </c>
      <c r="C151" s="56"/>
      <c r="D151" s="106">
        <v>40</v>
      </c>
      <c r="E151" s="111"/>
      <c r="F151" s="111"/>
      <c r="G151" s="95">
        <f t="shared" si="2"/>
        <v>40</v>
      </c>
      <c r="H151" s="703"/>
      <c r="I151" s="57"/>
    </row>
    <row r="152" spans="1:9" s="58" customFormat="1" ht="30">
      <c r="A152" s="40"/>
      <c r="B152" s="39" t="s">
        <v>403</v>
      </c>
      <c r="C152" s="56"/>
      <c r="D152" s="106">
        <v>4.47</v>
      </c>
      <c r="E152" s="111"/>
      <c r="F152" s="111"/>
      <c r="G152" s="95">
        <f t="shared" si="2"/>
        <v>4.47</v>
      </c>
      <c r="H152" s="703"/>
      <c r="I152" s="57"/>
    </row>
    <row r="153" spans="1:9" s="54" customFormat="1" ht="14.25">
      <c r="A153" s="49">
        <v>10</v>
      </c>
      <c r="B153" s="50" t="s">
        <v>464</v>
      </c>
      <c r="C153" s="59">
        <v>29</v>
      </c>
      <c r="D153" s="100">
        <f>SUM(D154:D157)</f>
        <v>5355.47</v>
      </c>
      <c r="E153" s="110">
        <f>SUM(E154:E157)</f>
        <v>0</v>
      </c>
      <c r="F153" s="110">
        <f>F154</f>
        <v>0</v>
      </c>
      <c r="G153" s="100">
        <f>SUM(G154:G157)</f>
        <v>5355.47</v>
      </c>
      <c r="H153" s="53"/>
      <c r="I153" s="53"/>
    </row>
    <row r="154" spans="1:9" s="58" customFormat="1" ht="15.75" customHeight="1">
      <c r="A154" s="40"/>
      <c r="B154" s="55" t="s">
        <v>401</v>
      </c>
      <c r="C154" s="56"/>
      <c r="D154" s="106">
        <v>5022</v>
      </c>
      <c r="E154" s="111"/>
      <c r="F154" s="111"/>
      <c r="G154" s="95">
        <f t="shared" si="2"/>
        <v>5022</v>
      </c>
      <c r="H154" s="57"/>
      <c r="I154" s="57"/>
    </row>
    <row r="155" spans="1:9" s="58" customFormat="1" ht="15">
      <c r="A155" s="40"/>
      <c r="B155" s="39" t="s">
        <v>402</v>
      </c>
      <c r="C155" s="56"/>
      <c r="D155" s="106">
        <f>C153*11</f>
        <v>319</v>
      </c>
      <c r="E155" s="111"/>
      <c r="F155" s="111"/>
      <c r="G155" s="95">
        <f t="shared" si="2"/>
        <v>319</v>
      </c>
      <c r="H155" s="57"/>
      <c r="I155" s="57"/>
    </row>
    <row r="156" spans="1:9" s="58" customFormat="1" ht="15.75" customHeight="1">
      <c r="A156" s="40"/>
      <c r="B156" s="62" t="s">
        <v>443</v>
      </c>
      <c r="C156" s="56"/>
      <c r="D156" s="106">
        <v>10</v>
      </c>
      <c r="E156" s="111"/>
      <c r="F156" s="111"/>
      <c r="G156" s="95">
        <f t="shared" si="2"/>
        <v>10</v>
      </c>
      <c r="H156" s="57"/>
      <c r="I156" s="57"/>
    </row>
    <row r="157" spans="1:9" s="58" customFormat="1" ht="30">
      <c r="A157" s="40"/>
      <c r="B157" s="39" t="s">
        <v>403</v>
      </c>
      <c r="C157" s="56"/>
      <c r="D157" s="106">
        <v>4.47</v>
      </c>
      <c r="E157" s="111"/>
      <c r="F157" s="111"/>
      <c r="G157" s="95">
        <f t="shared" si="2"/>
        <v>4.47</v>
      </c>
      <c r="H157" s="57"/>
      <c r="I157" s="57"/>
    </row>
    <row r="158" spans="1:9" s="54" customFormat="1" ht="14.25">
      <c r="A158" s="49">
        <v>11</v>
      </c>
      <c r="B158" s="50" t="s">
        <v>465</v>
      </c>
      <c r="C158" s="59">
        <v>52</v>
      </c>
      <c r="D158" s="100">
        <f>SUM(D159:D161)</f>
        <v>9400.4699999999993</v>
      </c>
      <c r="E158" s="110">
        <f>SUM(E159:E161)</f>
        <v>0</v>
      </c>
      <c r="F158" s="110">
        <f>F159</f>
        <v>0</v>
      </c>
      <c r="G158" s="100">
        <f>SUM(G159:G161)</f>
        <v>9400.4699999999993</v>
      </c>
      <c r="H158" s="53"/>
      <c r="I158" s="53"/>
    </row>
    <row r="159" spans="1:9" s="58" customFormat="1" ht="15.75" customHeight="1">
      <c r="A159" s="40"/>
      <c r="B159" s="55" t="s">
        <v>401</v>
      </c>
      <c r="C159" s="56"/>
      <c r="D159" s="106">
        <v>8824</v>
      </c>
      <c r="E159" s="111"/>
      <c r="F159" s="111"/>
      <c r="G159" s="95">
        <f t="shared" si="2"/>
        <v>8824</v>
      </c>
      <c r="H159" s="57"/>
      <c r="I159" s="57"/>
    </row>
    <row r="160" spans="1:9" s="58" customFormat="1" ht="15">
      <c r="A160" s="40"/>
      <c r="B160" s="39" t="s">
        <v>466</v>
      </c>
      <c r="C160" s="56"/>
      <c r="D160" s="106">
        <f>C158*11</f>
        <v>572</v>
      </c>
      <c r="E160" s="111"/>
      <c r="F160" s="111"/>
      <c r="G160" s="95">
        <f t="shared" si="2"/>
        <v>572</v>
      </c>
      <c r="H160" s="57"/>
      <c r="I160" s="57"/>
    </row>
    <row r="161" spans="1:9" s="58" customFormat="1" ht="30">
      <c r="A161" s="40"/>
      <c r="B161" s="39" t="s">
        <v>403</v>
      </c>
      <c r="C161" s="56"/>
      <c r="D161" s="106">
        <v>4.47</v>
      </c>
      <c r="E161" s="111"/>
      <c r="F161" s="111"/>
      <c r="G161" s="95">
        <f t="shared" si="2"/>
        <v>4.47</v>
      </c>
      <c r="H161" s="57"/>
      <c r="I161" s="57"/>
    </row>
    <row r="162" spans="1:9" s="54" customFormat="1" ht="14.25">
      <c r="A162" s="49">
        <v>12</v>
      </c>
      <c r="B162" s="50" t="s">
        <v>467</v>
      </c>
      <c r="C162" s="59">
        <v>39</v>
      </c>
      <c r="D162" s="100">
        <f>SUM(D163:D165)</f>
        <v>5129.47</v>
      </c>
      <c r="E162" s="110">
        <f>SUM(E163:E165)</f>
        <v>0</v>
      </c>
      <c r="F162" s="110">
        <f>F163</f>
        <v>145.506</v>
      </c>
      <c r="G162" s="100">
        <f>SUM(G163:G165)</f>
        <v>4983.9639999999999</v>
      </c>
      <c r="H162" s="53"/>
      <c r="I162" s="53"/>
    </row>
    <row r="163" spans="1:9" s="58" customFormat="1" ht="15.75" customHeight="1">
      <c r="A163" s="40"/>
      <c r="B163" s="55" t="s">
        <v>401</v>
      </c>
      <c r="C163" s="56"/>
      <c r="D163" s="106">
        <v>4696</v>
      </c>
      <c r="E163" s="111"/>
      <c r="F163" s="111">
        <v>145.506</v>
      </c>
      <c r="G163" s="95">
        <f t="shared" si="2"/>
        <v>4550.4939999999997</v>
      </c>
      <c r="H163" s="57"/>
      <c r="I163" s="57"/>
    </row>
    <row r="164" spans="1:9" s="58" customFormat="1" ht="15">
      <c r="A164" s="40"/>
      <c r="B164" s="39" t="s">
        <v>463</v>
      </c>
      <c r="C164" s="56"/>
      <c r="D164" s="106">
        <f>C162*11</f>
        <v>429</v>
      </c>
      <c r="E164" s="111"/>
      <c r="F164" s="111"/>
      <c r="G164" s="95">
        <f t="shared" si="2"/>
        <v>429</v>
      </c>
      <c r="H164" s="57"/>
      <c r="I164" s="57"/>
    </row>
    <row r="165" spans="1:9" s="58" customFormat="1" ht="30">
      <c r="A165" s="40"/>
      <c r="B165" s="39" t="s">
        <v>403</v>
      </c>
      <c r="C165" s="56"/>
      <c r="D165" s="106">
        <v>4.47</v>
      </c>
      <c r="E165" s="111"/>
      <c r="F165" s="111"/>
      <c r="G165" s="95">
        <f t="shared" si="2"/>
        <v>4.47</v>
      </c>
      <c r="H165" s="57"/>
      <c r="I165" s="57"/>
    </row>
    <row r="166" spans="1:9" s="54" customFormat="1" ht="14.25">
      <c r="A166" s="49">
        <v>13</v>
      </c>
      <c r="B166" s="50" t="s">
        <v>468</v>
      </c>
      <c r="C166" s="59">
        <v>32</v>
      </c>
      <c r="D166" s="100">
        <f>SUM(D167:D172)</f>
        <v>5526.47</v>
      </c>
      <c r="E166" s="110">
        <f>SUM(E167:E172)</f>
        <v>0</v>
      </c>
      <c r="F166" s="110">
        <f>F169</f>
        <v>0</v>
      </c>
      <c r="G166" s="100">
        <f>SUM(G167:G172)</f>
        <v>5526.47</v>
      </c>
      <c r="H166" s="53"/>
      <c r="I166" s="53"/>
    </row>
    <row r="167" spans="1:9" s="58" customFormat="1" ht="15" hidden="1">
      <c r="A167" s="49"/>
      <c r="B167" s="64" t="s">
        <v>469</v>
      </c>
      <c r="C167" s="65"/>
      <c r="D167" s="106"/>
      <c r="E167" s="111"/>
      <c r="F167" s="111"/>
      <c r="G167" s="95">
        <f t="shared" si="2"/>
        <v>0</v>
      </c>
      <c r="H167" s="57"/>
      <c r="I167" s="57"/>
    </row>
    <row r="168" spans="1:9" s="58" customFormat="1" ht="15" hidden="1">
      <c r="A168" s="49"/>
      <c r="B168" s="64" t="s">
        <v>41</v>
      </c>
      <c r="C168" s="65"/>
      <c r="D168" s="106"/>
      <c r="E168" s="111"/>
      <c r="F168" s="111"/>
      <c r="G168" s="95">
        <f t="shared" si="2"/>
        <v>0</v>
      </c>
      <c r="H168" s="57"/>
      <c r="I168" s="57"/>
    </row>
    <row r="169" spans="1:9" s="58" customFormat="1" ht="15.75" customHeight="1">
      <c r="A169" s="40"/>
      <c r="B169" s="55" t="s">
        <v>401</v>
      </c>
      <c r="C169" s="56"/>
      <c r="D169" s="106">
        <v>5130</v>
      </c>
      <c r="E169" s="111"/>
      <c r="F169" s="111"/>
      <c r="G169" s="95">
        <f t="shared" si="2"/>
        <v>5130</v>
      </c>
      <c r="H169" s="57"/>
      <c r="I169" s="57"/>
    </row>
    <row r="170" spans="1:9" s="58" customFormat="1" ht="15">
      <c r="A170" s="40"/>
      <c r="B170" s="39" t="s">
        <v>445</v>
      </c>
      <c r="C170" s="56"/>
      <c r="D170" s="106">
        <f>C166*11</f>
        <v>352</v>
      </c>
      <c r="E170" s="111"/>
      <c r="F170" s="111"/>
      <c r="G170" s="95">
        <f t="shared" si="2"/>
        <v>352</v>
      </c>
      <c r="H170" s="57"/>
      <c r="I170" s="57"/>
    </row>
    <row r="171" spans="1:9" s="36" customFormat="1" ht="30">
      <c r="A171" s="48"/>
      <c r="B171" s="37" t="s">
        <v>403</v>
      </c>
      <c r="C171" s="33"/>
      <c r="D171" s="105">
        <v>4.47</v>
      </c>
      <c r="E171" s="95"/>
      <c r="F171" s="95"/>
      <c r="G171" s="95">
        <f t="shared" si="2"/>
        <v>4.47</v>
      </c>
      <c r="H171" s="34"/>
      <c r="I171" s="38"/>
    </row>
    <row r="172" spans="1:9" s="58" customFormat="1" ht="30">
      <c r="A172" s="40"/>
      <c r="B172" s="39" t="s">
        <v>433</v>
      </c>
      <c r="C172" s="56"/>
      <c r="D172" s="106">
        <v>40</v>
      </c>
      <c r="E172" s="111"/>
      <c r="F172" s="111"/>
      <c r="G172" s="95">
        <f t="shared" si="2"/>
        <v>40</v>
      </c>
      <c r="H172" s="57"/>
      <c r="I172" s="57"/>
    </row>
    <row r="173" spans="1:9" s="54" customFormat="1" ht="14.25">
      <c r="A173" s="49">
        <v>14</v>
      </c>
      <c r="B173" s="50" t="s">
        <v>470</v>
      </c>
      <c r="C173" s="59">
        <v>31</v>
      </c>
      <c r="D173" s="100">
        <f>SUM(D174:D176)</f>
        <v>3954.47</v>
      </c>
      <c r="E173" s="110">
        <f>SUM(E174:E176)</f>
        <v>0</v>
      </c>
      <c r="F173" s="110">
        <f>F174</f>
        <v>0</v>
      </c>
      <c r="G173" s="100">
        <f>SUM(G174:G176)</f>
        <v>3954.47</v>
      </c>
      <c r="H173" s="53"/>
      <c r="I173" s="53"/>
    </row>
    <row r="174" spans="1:9" s="58" customFormat="1" ht="15.75" customHeight="1">
      <c r="A174" s="40"/>
      <c r="B174" s="55" t="s">
        <v>401</v>
      </c>
      <c r="C174" s="56"/>
      <c r="D174" s="106">
        <v>3609</v>
      </c>
      <c r="E174" s="111"/>
      <c r="F174" s="111"/>
      <c r="G174" s="95">
        <f t="shared" si="2"/>
        <v>3609</v>
      </c>
      <c r="H174" s="57"/>
      <c r="I174" s="57"/>
    </row>
    <row r="175" spans="1:9" s="58" customFormat="1" ht="18.75" customHeight="1">
      <c r="A175" s="40"/>
      <c r="B175" s="39" t="s">
        <v>471</v>
      </c>
      <c r="C175" s="56"/>
      <c r="D175" s="106">
        <f>C173*11</f>
        <v>341</v>
      </c>
      <c r="E175" s="111"/>
      <c r="F175" s="111"/>
      <c r="G175" s="95">
        <f t="shared" si="2"/>
        <v>341</v>
      </c>
      <c r="H175" s="57"/>
      <c r="I175" s="57"/>
    </row>
    <row r="176" spans="1:9" s="58" customFormat="1" ht="30">
      <c r="A176" s="40"/>
      <c r="B176" s="39" t="s">
        <v>403</v>
      </c>
      <c r="C176" s="56"/>
      <c r="D176" s="106">
        <v>4.47</v>
      </c>
      <c r="E176" s="111"/>
      <c r="F176" s="111"/>
      <c r="G176" s="95">
        <f t="shared" si="2"/>
        <v>4.47</v>
      </c>
      <c r="H176" s="57"/>
      <c r="I176" s="57"/>
    </row>
    <row r="177" spans="1:9" s="54" customFormat="1" ht="14.25">
      <c r="A177" s="49">
        <v>15</v>
      </c>
      <c r="B177" s="50" t="s">
        <v>472</v>
      </c>
      <c r="C177" s="59">
        <v>30</v>
      </c>
      <c r="D177" s="100">
        <f>SUM(D178:D181)</f>
        <v>4338.47</v>
      </c>
      <c r="E177" s="110">
        <f>SUM(E178:E179)</f>
        <v>0</v>
      </c>
      <c r="F177" s="110">
        <f>F178</f>
        <v>0</v>
      </c>
      <c r="G177" s="100">
        <f>SUM(G178:G181)</f>
        <v>4338.47</v>
      </c>
      <c r="H177" s="53"/>
      <c r="I177" s="53"/>
    </row>
    <row r="178" spans="1:9" s="58" customFormat="1" ht="15.75" customHeight="1">
      <c r="A178" s="40"/>
      <c r="B178" s="55" t="s">
        <v>401</v>
      </c>
      <c r="C178" s="56"/>
      <c r="D178" s="106">
        <v>3744</v>
      </c>
      <c r="E178" s="111"/>
      <c r="F178" s="111"/>
      <c r="G178" s="95">
        <f t="shared" si="2"/>
        <v>3744</v>
      </c>
      <c r="H178" s="57"/>
      <c r="I178" s="57"/>
    </row>
    <row r="179" spans="1:9" s="58" customFormat="1" ht="18.75" customHeight="1">
      <c r="A179" s="40"/>
      <c r="B179" s="39" t="s">
        <v>473</v>
      </c>
      <c r="C179" s="56"/>
      <c r="D179" s="106">
        <f>C177*11*1.5</f>
        <v>495</v>
      </c>
      <c r="E179" s="111"/>
      <c r="F179" s="111"/>
      <c r="G179" s="95">
        <f t="shared" si="2"/>
        <v>495</v>
      </c>
      <c r="H179" s="57"/>
      <c r="I179" s="57"/>
    </row>
    <row r="180" spans="1:9" s="58" customFormat="1" ht="30">
      <c r="A180" s="40"/>
      <c r="B180" s="39" t="s">
        <v>403</v>
      </c>
      <c r="C180" s="56"/>
      <c r="D180" s="106">
        <v>4.47</v>
      </c>
      <c r="E180" s="111"/>
      <c r="F180" s="111"/>
      <c r="G180" s="95">
        <f t="shared" si="2"/>
        <v>4.47</v>
      </c>
      <c r="H180" s="57"/>
      <c r="I180" s="57"/>
    </row>
    <row r="181" spans="1:9" s="42" customFormat="1" ht="35.25" customHeight="1">
      <c r="A181" s="40"/>
      <c r="B181" s="39" t="s">
        <v>474</v>
      </c>
      <c r="C181" s="40"/>
      <c r="D181" s="106">
        <v>95</v>
      </c>
      <c r="E181" s="107"/>
      <c r="F181" s="107"/>
      <c r="G181" s="95">
        <f t="shared" si="2"/>
        <v>95</v>
      </c>
      <c r="H181" s="41"/>
      <c r="I181" s="41"/>
    </row>
    <row r="182" spans="1:9" s="69" customFormat="1" ht="23.25" customHeight="1">
      <c r="A182" s="23" t="s">
        <v>18</v>
      </c>
      <c r="B182" s="66" t="s">
        <v>475</v>
      </c>
      <c r="C182" s="67"/>
      <c r="D182" s="99">
        <f>D183+D192</f>
        <v>4438.5</v>
      </c>
      <c r="E182" s="99">
        <f>E183+E192</f>
        <v>1081.192</v>
      </c>
      <c r="F182" s="99">
        <f>F183+F192</f>
        <v>0</v>
      </c>
      <c r="G182" s="99">
        <f>G183+G192</f>
        <v>5519.692</v>
      </c>
      <c r="H182" s="68"/>
      <c r="I182" s="68"/>
    </row>
    <row r="183" spans="1:9" s="3" customFormat="1" ht="32.25" customHeight="1">
      <c r="A183" s="70">
        <v>1</v>
      </c>
      <c r="B183" s="71" t="s">
        <v>476</v>
      </c>
      <c r="C183" s="72"/>
      <c r="D183" s="100">
        <f>SUM(D184:D191)</f>
        <v>3838.5</v>
      </c>
      <c r="E183" s="100">
        <f>SUM(E184:E191)</f>
        <v>1081.192</v>
      </c>
      <c r="F183" s="100">
        <f>SUM(F184:F191)</f>
        <v>0</v>
      </c>
      <c r="G183" s="100">
        <f>SUM(G184:G191)</f>
        <v>4919.692</v>
      </c>
      <c r="H183" s="14"/>
      <c r="I183" s="13"/>
    </row>
    <row r="184" spans="1:9" s="3" customFormat="1" ht="32.25" customHeight="1">
      <c r="A184" s="70"/>
      <c r="B184" s="39" t="s">
        <v>477</v>
      </c>
      <c r="C184" s="72"/>
      <c r="D184" s="114">
        <v>550</v>
      </c>
      <c r="E184" s="111"/>
      <c r="F184" s="111"/>
      <c r="G184" s="95">
        <f t="shared" si="2"/>
        <v>550</v>
      </c>
      <c r="H184" s="13"/>
      <c r="I184" s="13"/>
    </row>
    <row r="185" spans="1:9" s="3" customFormat="1" ht="47.25" customHeight="1">
      <c r="A185" s="70"/>
      <c r="B185" s="39" t="s">
        <v>478</v>
      </c>
      <c r="C185" s="72"/>
      <c r="D185" s="115">
        <v>2100</v>
      </c>
      <c r="E185" s="116"/>
      <c r="F185" s="111"/>
      <c r="G185" s="95">
        <f t="shared" si="2"/>
        <v>2100</v>
      </c>
      <c r="H185" s="13"/>
      <c r="I185" s="13"/>
    </row>
    <row r="186" spans="1:9" s="3" customFormat="1" ht="48" customHeight="1">
      <c r="A186" s="70"/>
      <c r="B186" s="39" t="s">
        <v>479</v>
      </c>
      <c r="C186" s="72"/>
      <c r="D186" s="115">
        <v>100</v>
      </c>
      <c r="E186" s="116"/>
      <c r="F186" s="111"/>
      <c r="G186" s="95">
        <f t="shared" si="2"/>
        <v>100</v>
      </c>
      <c r="H186" s="13"/>
      <c r="I186" s="13"/>
    </row>
    <row r="187" spans="1:9" s="3" customFormat="1" ht="51" customHeight="1">
      <c r="A187" s="70"/>
      <c r="B187" s="39" t="s">
        <v>480</v>
      </c>
      <c r="C187" s="72"/>
      <c r="D187" s="115">
        <v>811.5</v>
      </c>
      <c r="E187" s="116"/>
      <c r="F187" s="111"/>
      <c r="G187" s="95">
        <f t="shared" si="2"/>
        <v>811.5</v>
      </c>
      <c r="H187" s="13"/>
      <c r="I187" s="13"/>
    </row>
    <row r="188" spans="1:9" s="3" customFormat="1" ht="20.25" customHeight="1">
      <c r="A188" s="73"/>
      <c r="B188" s="39" t="s">
        <v>481</v>
      </c>
      <c r="C188" s="72"/>
      <c r="D188" s="114">
        <v>207</v>
      </c>
      <c r="E188" s="111"/>
      <c r="F188" s="111"/>
      <c r="G188" s="95">
        <f t="shared" si="2"/>
        <v>207</v>
      </c>
      <c r="H188" s="13"/>
      <c r="I188" s="13"/>
    </row>
    <row r="189" spans="1:9" s="3" customFormat="1" ht="17.25" customHeight="1">
      <c r="A189" s="73"/>
      <c r="B189" s="97" t="s">
        <v>482</v>
      </c>
      <c r="C189" s="72"/>
      <c r="D189" s="114">
        <v>70</v>
      </c>
      <c r="E189" s="117"/>
      <c r="F189" s="111"/>
      <c r="G189" s="95">
        <f t="shared" si="2"/>
        <v>70</v>
      </c>
      <c r="H189" s="13"/>
      <c r="I189" s="13"/>
    </row>
    <row r="190" spans="1:9" s="3" customFormat="1" ht="31.5" customHeight="1">
      <c r="A190" s="73"/>
      <c r="B190" s="128" t="s">
        <v>547</v>
      </c>
      <c r="C190" s="72"/>
      <c r="D190" s="114"/>
      <c r="E190" s="130">
        <v>661.19200000000001</v>
      </c>
      <c r="F190" s="111"/>
      <c r="G190" s="95">
        <f t="shared" si="2"/>
        <v>661.19200000000001</v>
      </c>
      <c r="H190" s="13"/>
      <c r="I190" s="13"/>
    </row>
    <row r="191" spans="1:9" s="3" customFormat="1" ht="17.25" customHeight="1">
      <c r="A191" s="73"/>
      <c r="B191" s="129" t="s">
        <v>544</v>
      </c>
      <c r="C191" s="72"/>
      <c r="D191" s="114"/>
      <c r="E191" s="130">
        <v>420</v>
      </c>
      <c r="F191" s="111"/>
      <c r="G191" s="95">
        <f t="shared" si="2"/>
        <v>420</v>
      </c>
      <c r="H191" s="13"/>
      <c r="I191" s="13"/>
    </row>
    <row r="192" spans="1:9" ht="33" customHeight="1">
      <c r="A192" s="49">
        <v>2</v>
      </c>
      <c r="B192" s="98" t="s">
        <v>483</v>
      </c>
      <c r="C192" s="75"/>
      <c r="D192" s="99">
        <v>600</v>
      </c>
      <c r="E192" s="118"/>
      <c r="F192" s="111"/>
      <c r="G192" s="109">
        <f t="shared" si="2"/>
        <v>600</v>
      </c>
      <c r="H192" s="13"/>
    </row>
    <row r="193" spans="1:9" s="69" customFormat="1" ht="21.75" customHeight="1">
      <c r="A193" s="76" t="s">
        <v>9</v>
      </c>
      <c r="B193" s="7" t="s">
        <v>484</v>
      </c>
      <c r="C193" s="77"/>
      <c r="D193" s="99">
        <f>D194+D198+D204</f>
        <v>15808.576000000001</v>
      </c>
      <c r="E193" s="103">
        <f>SUM(E195:E197)</f>
        <v>0</v>
      </c>
      <c r="F193" s="103">
        <f>SUM(F195:F197)</f>
        <v>0</v>
      </c>
      <c r="G193" s="99">
        <f>G194+G198+G204</f>
        <v>15808.576000000001</v>
      </c>
      <c r="H193" s="68"/>
      <c r="I193" s="68"/>
    </row>
    <row r="194" spans="1:9" s="69" customFormat="1" ht="21.75" customHeight="1">
      <c r="A194" s="76" t="s">
        <v>10</v>
      </c>
      <c r="B194" s="7" t="s">
        <v>485</v>
      </c>
      <c r="C194" s="77"/>
      <c r="D194" s="99">
        <f>SUM(D195:D197)</f>
        <v>7599</v>
      </c>
      <c r="E194" s="103"/>
      <c r="F194" s="103"/>
      <c r="G194" s="99">
        <f>SUM(G195:G197)</f>
        <v>7599</v>
      </c>
      <c r="H194" s="68"/>
      <c r="I194" s="68"/>
    </row>
    <row r="195" spans="1:9" s="3" customFormat="1" ht="28.5" customHeight="1">
      <c r="A195" s="73">
        <v>1</v>
      </c>
      <c r="B195" s="74" t="s">
        <v>486</v>
      </c>
      <c r="C195" s="72"/>
      <c r="D195" s="114">
        <v>3675</v>
      </c>
      <c r="E195" s="111"/>
      <c r="F195" s="111"/>
      <c r="G195" s="95">
        <f t="shared" si="2"/>
        <v>3675</v>
      </c>
      <c r="H195" s="13"/>
      <c r="I195" s="13"/>
    </row>
    <row r="196" spans="1:9" s="3" customFormat="1" ht="30" customHeight="1">
      <c r="A196" s="73">
        <v>2</v>
      </c>
      <c r="B196" s="74" t="s">
        <v>487</v>
      </c>
      <c r="C196" s="72"/>
      <c r="D196" s="114">
        <v>3329</v>
      </c>
      <c r="E196" s="111"/>
      <c r="F196" s="111"/>
      <c r="G196" s="95">
        <f t="shared" si="2"/>
        <v>3329</v>
      </c>
      <c r="H196" s="13"/>
      <c r="I196" s="13"/>
    </row>
    <row r="197" spans="1:9" s="3" customFormat="1" ht="33.75" customHeight="1">
      <c r="A197" s="73">
        <v>3</v>
      </c>
      <c r="B197" s="74" t="s">
        <v>488</v>
      </c>
      <c r="C197" s="72"/>
      <c r="D197" s="114">
        <v>595</v>
      </c>
      <c r="E197" s="111"/>
      <c r="F197" s="111"/>
      <c r="G197" s="95">
        <f t="shared" si="2"/>
        <v>595</v>
      </c>
      <c r="H197" s="13"/>
      <c r="I197" s="13"/>
    </row>
    <row r="198" spans="1:9" s="69" customFormat="1" ht="21.75" customHeight="1">
      <c r="A198" s="76" t="s">
        <v>12</v>
      </c>
      <c r="B198" s="7" t="s">
        <v>489</v>
      </c>
      <c r="C198" s="77"/>
      <c r="D198" s="99">
        <f>SUM(D199:D203)</f>
        <v>2581.576</v>
      </c>
      <c r="E198" s="103"/>
      <c r="F198" s="103"/>
      <c r="G198" s="99">
        <f>SUM(G199:G203)</f>
        <v>2581.576</v>
      </c>
      <c r="H198" s="68"/>
      <c r="I198" s="68"/>
    </row>
    <row r="199" spans="1:9" ht="18" customHeight="1">
      <c r="A199" s="73">
        <v>1</v>
      </c>
      <c r="B199" s="74" t="s">
        <v>490</v>
      </c>
      <c r="C199" s="78"/>
      <c r="D199" s="114">
        <f>700</f>
        <v>700</v>
      </c>
      <c r="E199" s="119"/>
      <c r="F199" s="119"/>
      <c r="G199" s="95">
        <f t="shared" si="2"/>
        <v>700</v>
      </c>
      <c r="H199" s="79"/>
    </row>
    <row r="200" spans="1:9" s="3" customFormat="1" ht="30" customHeight="1">
      <c r="A200" s="73">
        <v>2</v>
      </c>
      <c r="B200" s="74" t="s">
        <v>487</v>
      </c>
      <c r="C200" s="72"/>
      <c r="D200" s="114">
        <f>720</f>
        <v>720</v>
      </c>
      <c r="E200" s="119"/>
      <c r="F200" s="119"/>
      <c r="G200" s="95">
        <f t="shared" si="2"/>
        <v>720</v>
      </c>
      <c r="H200" s="13"/>
      <c r="I200" s="13"/>
    </row>
    <row r="201" spans="1:9" ht="31.5" customHeight="1">
      <c r="A201" s="73">
        <v>3</v>
      </c>
      <c r="B201" s="74" t="s">
        <v>491</v>
      </c>
      <c r="C201" s="78"/>
      <c r="D201" s="114">
        <v>444.63900000000001</v>
      </c>
      <c r="E201" s="106"/>
      <c r="F201" s="119"/>
      <c r="G201" s="95">
        <f t="shared" si="2"/>
        <v>444.63900000000001</v>
      </c>
    </row>
    <row r="202" spans="1:9" ht="31.5" customHeight="1">
      <c r="A202" s="73">
        <v>4</v>
      </c>
      <c r="B202" s="74" t="s">
        <v>492</v>
      </c>
      <c r="C202" s="78"/>
      <c r="D202" s="114">
        <v>366.93700000000001</v>
      </c>
      <c r="E202" s="106"/>
      <c r="F202" s="119"/>
      <c r="G202" s="95">
        <f t="shared" si="2"/>
        <v>366.93700000000001</v>
      </c>
    </row>
    <row r="203" spans="1:9" ht="24" customHeight="1">
      <c r="A203" s="73">
        <v>5</v>
      </c>
      <c r="B203" s="80" t="s">
        <v>493</v>
      </c>
      <c r="C203" s="81"/>
      <c r="D203" s="120">
        <v>350</v>
      </c>
      <c r="E203" s="121"/>
      <c r="F203" s="122"/>
      <c r="G203" s="95">
        <f t="shared" si="2"/>
        <v>350</v>
      </c>
      <c r="H203" s="13"/>
    </row>
    <row r="204" spans="1:9" s="69" customFormat="1" ht="21.75" customHeight="1">
      <c r="A204" s="76" t="s">
        <v>13</v>
      </c>
      <c r="B204" s="7" t="s">
        <v>494</v>
      </c>
      <c r="C204" s="77"/>
      <c r="D204" s="99">
        <f>D205+D208+D209+D210+D211</f>
        <v>5628</v>
      </c>
      <c r="E204" s="103">
        <f>E205+E211+E208+E209+E210</f>
        <v>0</v>
      </c>
      <c r="F204" s="103">
        <f>F205+F211+F208+F209+F210</f>
        <v>0</v>
      </c>
      <c r="G204" s="99">
        <f>G205+G208+G209+G210+G211</f>
        <v>5628</v>
      </c>
      <c r="H204" s="20"/>
      <c r="I204" s="68"/>
    </row>
    <row r="205" spans="1:9" s="86" customFormat="1" ht="21.75" customHeight="1">
      <c r="A205" s="82">
        <v>1</v>
      </c>
      <c r="B205" s="74" t="s">
        <v>495</v>
      </c>
      <c r="C205" s="83"/>
      <c r="D205" s="114">
        <v>2533</v>
      </c>
      <c r="E205" s="123"/>
      <c r="F205" s="123"/>
      <c r="G205" s="95">
        <f t="shared" ref="G205:G211" si="3">D205+E205-F205</f>
        <v>2533</v>
      </c>
      <c r="H205" s="84"/>
      <c r="I205" s="85"/>
    </row>
    <row r="206" spans="1:9" s="91" customFormat="1" hidden="1">
      <c r="A206" s="87"/>
      <c r="B206" s="88" t="s">
        <v>496</v>
      </c>
      <c r="C206" s="89"/>
      <c r="D206" s="114"/>
      <c r="E206" s="124">
        <v>4091</v>
      </c>
      <c r="F206" s="123"/>
      <c r="G206" s="95">
        <f t="shared" si="3"/>
        <v>4091</v>
      </c>
      <c r="H206" s="90"/>
      <c r="I206" s="90"/>
    </row>
    <row r="207" spans="1:9" s="91" customFormat="1" hidden="1">
      <c r="A207" s="87"/>
      <c r="B207" s="88" t="s">
        <v>497</v>
      </c>
      <c r="C207" s="89"/>
      <c r="D207" s="114"/>
      <c r="E207" s="124">
        <v>1326</v>
      </c>
      <c r="F207" s="123"/>
      <c r="G207" s="95">
        <f t="shared" si="3"/>
        <v>1326</v>
      </c>
      <c r="H207" s="90"/>
      <c r="I207" s="90"/>
    </row>
    <row r="208" spans="1:9" ht="18" customHeight="1">
      <c r="A208" s="92">
        <v>2</v>
      </c>
      <c r="B208" s="74" t="s">
        <v>490</v>
      </c>
      <c r="C208" s="78"/>
      <c r="D208" s="114">
        <f>423</f>
        <v>423</v>
      </c>
      <c r="E208" s="119"/>
      <c r="F208" s="119"/>
      <c r="G208" s="95">
        <f t="shared" si="3"/>
        <v>423</v>
      </c>
      <c r="H208" s="79"/>
    </row>
    <row r="209" spans="1:9" s="3" customFormat="1" ht="28.5" customHeight="1">
      <c r="A209" s="73">
        <v>3</v>
      </c>
      <c r="B209" s="74" t="s">
        <v>486</v>
      </c>
      <c r="C209" s="72"/>
      <c r="D209" s="114">
        <v>2044</v>
      </c>
      <c r="E209" s="119"/>
      <c r="F209" s="119"/>
      <c r="G209" s="95">
        <f t="shared" si="3"/>
        <v>2044</v>
      </c>
      <c r="H209" s="13"/>
      <c r="I209" s="13"/>
    </row>
    <row r="210" spans="1:9" s="3" customFormat="1" ht="30" customHeight="1">
      <c r="A210" s="73">
        <v>4</v>
      </c>
      <c r="B210" s="74" t="s">
        <v>487</v>
      </c>
      <c r="C210" s="72"/>
      <c r="D210" s="114">
        <f>400</f>
        <v>400</v>
      </c>
      <c r="E210" s="119"/>
      <c r="F210" s="119"/>
      <c r="G210" s="95">
        <f t="shared" si="3"/>
        <v>400</v>
      </c>
      <c r="H210" s="13"/>
      <c r="I210" s="13"/>
    </row>
    <row r="211" spans="1:9" ht="33.75" customHeight="1">
      <c r="A211" s="93">
        <v>5</v>
      </c>
      <c r="B211" s="80" t="s">
        <v>488</v>
      </c>
      <c r="C211" s="94"/>
      <c r="D211" s="120">
        <v>228</v>
      </c>
      <c r="E211" s="125"/>
      <c r="F211" s="126"/>
      <c r="G211" s="127">
        <f t="shared" si="3"/>
        <v>228</v>
      </c>
    </row>
  </sheetData>
  <mergeCells count="13">
    <mergeCell ref="F5:F7"/>
    <mergeCell ref="H111:H115"/>
    <mergeCell ref="H148:H152"/>
    <mergeCell ref="A1:G1"/>
    <mergeCell ref="A2:G2"/>
    <mergeCell ref="D3:G3"/>
    <mergeCell ref="A4:A7"/>
    <mergeCell ref="B4:B7"/>
    <mergeCell ref="C4:C7"/>
    <mergeCell ref="D4:D7"/>
    <mergeCell ref="G4:G7"/>
    <mergeCell ref="E5:E7"/>
    <mergeCell ref="E4:F4"/>
  </mergeCells>
  <printOptions horizontalCentered="1"/>
  <pageMargins left="0.27559055118110237" right="0.19685039370078741" top="0.27559055118110237" bottom="0.27559055118110237" header="0.31496062992125984" footer="0.31496062992125984"/>
  <pageSetup paperSize="9" orientation="landscape" verticalDpi="0"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456"/>
  <sheetViews>
    <sheetView tabSelected="1" view="pageBreakPreview" topLeftCell="A159" zoomScale="80" zoomScaleNormal="90" zoomScaleSheetLayoutView="80" workbookViewId="0">
      <selection activeCell="S164" sqref="S164"/>
    </sheetView>
  </sheetViews>
  <sheetFormatPr defaultColWidth="9.140625" defaultRowHeight="12"/>
  <cols>
    <col min="1" max="1" width="4.85546875" style="492" customWidth="1"/>
    <col min="2" max="2" width="55" style="432" customWidth="1"/>
    <col min="3" max="3" width="14" style="493" hidden="1" customWidth="1"/>
    <col min="4" max="4" width="9.7109375" style="492" hidden="1" customWidth="1"/>
    <col min="5" max="5" width="16.7109375" style="494" customWidth="1"/>
    <col min="6" max="6" width="13.42578125" style="430" hidden="1" customWidth="1"/>
    <col min="7" max="7" width="13.42578125" style="449" customWidth="1"/>
    <col min="8" max="8" width="14.42578125" style="431" customWidth="1"/>
    <col min="9" max="9" width="12.5703125" style="431" hidden="1" customWidth="1"/>
    <col min="10" max="10" width="14" style="431" customWidth="1"/>
    <col min="11" max="12" width="12.5703125" style="431" hidden="1" customWidth="1"/>
    <col min="13" max="13" width="12.5703125" style="431" customWidth="1"/>
    <col min="14" max="17" width="12.5703125" style="431" hidden="1" customWidth="1"/>
    <col min="18" max="18" width="12.5703125" style="431" customWidth="1"/>
    <col min="19" max="19" width="13" style="431" customWidth="1"/>
    <col min="20" max="20" width="14.7109375" style="497" customWidth="1"/>
    <col min="21" max="22" width="13" style="431" customWidth="1"/>
    <col min="23" max="23" width="35" style="589" customWidth="1"/>
    <col min="24" max="24" width="16.7109375" style="431" hidden="1" customWidth="1"/>
    <col min="25" max="33" width="9.140625" style="431"/>
    <col min="34" max="16384" width="9.140625" style="432"/>
  </cols>
  <sheetData>
    <row r="1" spans="1:33" ht="20.25" customHeight="1">
      <c r="A1" s="723" t="s">
        <v>726</v>
      </c>
      <c r="B1" s="723"/>
      <c r="C1" s="425"/>
      <c r="D1" s="426"/>
      <c r="E1" s="427"/>
      <c r="F1" s="589"/>
      <c r="G1" s="724"/>
      <c r="H1" s="724"/>
      <c r="I1" s="589"/>
      <c r="J1" s="589"/>
      <c r="K1" s="589"/>
      <c r="L1" s="589"/>
      <c r="M1" s="589"/>
      <c r="N1" s="589"/>
      <c r="O1" s="589"/>
      <c r="P1" s="589"/>
      <c r="Q1" s="428"/>
      <c r="R1" s="589"/>
      <c r="S1" s="589"/>
      <c r="T1" s="429"/>
      <c r="U1" s="589"/>
      <c r="V1" s="589">
        <f>695.98-6.2</f>
        <v>689.78</v>
      </c>
      <c r="W1" s="430" t="s">
        <v>727</v>
      </c>
    </row>
    <row r="2" spans="1:33" ht="24" customHeight="1">
      <c r="A2" s="725" t="s">
        <v>728</v>
      </c>
      <c r="B2" s="725"/>
      <c r="C2" s="725"/>
      <c r="D2" s="725"/>
      <c r="E2" s="725"/>
      <c r="F2" s="725"/>
      <c r="G2" s="725"/>
      <c r="H2" s="725"/>
      <c r="I2" s="725"/>
      <c r="J2" s="725"/>
      <c r="K2" s="725"/>
      <c r="L2" s="725"/>
      <c r="M2" s="725"/>
      <c r="N2" s="725"/>
      <c r="O2" s="725"/>
      <c r="P2" s="725"/>
      <c r="Q2" s="725"/>
      <c r="R2" s="725"/>
      <c r="S2" s="725"/>
      <c r="T2" s="725"/>
      <c r="U2" s="725"/>
      <c r="V2" s="725"/>
      <c r="W2" s="725"/>
    </row>
    <row r="3" spans="1:33" s="436" customFormat="1" ht="23.25" customHeight="1">
      <c r="A3" s="726" t="s">
        <v>6</v>
      </c>
      <c r="B3" s="727" t="s">
        <v>103</v>
      </c>
      <c r="C3" s="433"/>
      <c r="D3" s="434"/>
      <c r="E3" s="728" t="s">
        <v>729</v>
      </c>
      <c r="F3" s="728"/>
      <c r="G3" s="728"/>
      <c r="H3" s="728"/>
      <c r="I3" s="728"/>
      <c r="J3" s="728"/>
      <c r="K3" s="728"/>
      <c r="L3" s="728"/>
      <c r="M3" s="728"/>
      <c r="N3" s="728"/>
      <c r="O3" s="728"/>
      <c r="P3" s="728"/>
      <c r="Q3" s="728"/>
      <c r="R3" s="728"/>
      <c r="S3" s="714" t="s">
        <v>730</v>
      </c>
      <c r="T3" s="714" t="s">
        <v>538</v>
      </c>
      <c r="U3" s="714"/>
      <c r="V3" s="714" t="s">
        <v>946</v>
      </c>
      <c r="W3" s="715" t="s">
        <v>78</v>
      </c>
      <c r="X3" s="435"/>
      <c r="Y3" s="435"/>
      <c r="Z3" s="435"/>
      <c r="AA3" s="435"/>
      <c r="AB3" s="435"/>
      <c r="AC3" s="435"/>
      <c r="AD3" s="435"/>
      <c r="AE3" s="435"/>
      <c r="AF3" s="435"/>
      <c r="AG3" s="435"/>
    </row>
    <row r="4" spans="1:33" s="438" customFormat="1" ht="18.75" customHeight="1">
      <c r="A4" s="726"/>
      <c r="B4" s="727"/>
      <c r="C4" s="729" t="s">
        <v>105</v>
      </c>
      <c r="D4" s="730" t="s">
        <v>104</v>
      </c>
      <c r="E4" s="731" t="s">
        <v>731</v>
      </c>
      <c r="F4" s="714" t="s">
        <v>732</v>
      </c>
      <c r="G4" s="714" t="s">
        <v>106</v>
      </c>
      <c r="H4" s="715" t="s">
        <v>17</v>
      </c>
      <c r="I4" s="715"/>
      <c r="J4" s="715"/>
      <c r="K4" s="715"/>
      <c r="L4" s="715"/>
      <c r="M4" s="715"/>
      <c r="N4" s="715"/>
      <c r="O4" s="715"/>
      <c r="P4" s="715"/>
      <c r="Q4" s="715"/>
      <c r="R4" s="714" t="s">
        <v>107</v>
      </c>
      <c r="S4" s="714"/>
      <c r="T4" s="714"/>
      <c r="U4" s="714"/>
      <c r="V4" s="714"/>
      <c r="W4" s="715"/>
      <c r="X4" s="437"/>
      <c r="Y4" s="437"/>
      <c r="Z4" s="437"/>
      <c r="AA4" s="437"/>
      <c r="AB4" s="437"/>
      <c r="AC4" s="437"/>
      <c r="AD4" s="437"/>
      <c r="AE4" s="437"/>
      <c r="AF4" s="437"/>
      <c r="AG4" s="437"/>
    </row>
    <row r="5" spans="1:33" s="438" customFormat="1" ht="35.25" customHeight="1">
      <c r="A5" s="726"/>
      <c r="B5" s="727"/>
      <c r="C5" s="729"/>
      <c r="D5" s="730"/>
      <c r="E5" s="731"/>
      <c r="F5" s="714"/>
      <c r="G5" s="714"/>
      <c r="H5" s="714" t="s">
        <v>108</v>
      </c>
      <c r="I5" s="714" t="s">
        <v>733</v>
      </c>
      <c r="J5" s="715"/>
      <c r="K5" s="715"/>
      <c r="L5" s="715"/>
      <c r="M5" s="715"/>
      <c r="N5" s="715"/>
      <c r="O5" s="715"/>
      <c r="P5" s="714" t="s">
        <v>109</v>
      </c>
      <c r="Q5" s="714" t="s">
        <v>110</v>
      </c>
      <c r="R5" s="714"/>
      <c r="S5" s="714"/>
      <c r="T5" s="716" t="s">
        <v>734</v>
      </c>
      <c r="U5" s="714" t="s">
        <v>735</v>
      </c>
      <c r="V5" s="714"/>
      <c r="W5" s="715"/>
      <c r="X5" s="437"/>
      <c r="Y5" s="437"/>
      <c r="Z5" s="437"/>
      <c r="AA5" s="437"/>
      <c r="AB5" s="437"/>
      <c r="AC5" s="437"/>
      <c r="AD5" s="437"/>
      <c r="AE5" s="437"/>
      <c r="AF5" s="437"/>
      <c r="AG5" s="437"/>
    </row>
    <row r="6" spans="1:33" s="440" customFormat="1" ht="24.75" customHeight="1">
      <c r="A6" s="726"/>
      <c r="B6" s="727"/>
      <c r="C6" s="729"/>
      <c r="D6" s="730"/>
      <c r="E6" s="731"/>
      <c r="F6" s="714"/>
      <c r="G6" s="714"/>
      <c r="H6" s="714"/>
      <c r="I6" s="717" t="s">
        <v>736</v>
      </c>
      <c r="J6" s="717" t="s">
        <v>111</v>
      </c>
      <c r="K6" s="718" t="s">
        <v>112</v>
      </c>
      <c r="L6" s="718"/>
      <c r="M6" s="717" t="s">
        <v>113</v>
      </c>
      <c r="N6" s="717" t="s">
        <v>17</v>
      </c>
      <c r="O6" s="717"/>
      <c r="P6" s="714"/>
      <c r="Q6" s="714"/>
      <c r="R6" s="714"/>
      <c r="S6" s="714"/>
      <c r="T6" s="716"/>
      <c r="U6" s="714"/>
      <c r="V6" s="714"/>
      <c r="W6" s="715"/>
      <c r="X6" s="439"/>
      <c r="Y6" s="439"/>
      <c r="Z6" s="439"/>
      <c r="AA6" s="439"/>
      <c r="AB6" s="439"/>
      <c r="AC6" s="439"/>
      <c r="AD6" s="439"/>
      <c r="AE6" s="439"/>
      <c r="AF6" s="439"/>
      <c r="AG6" s="439"/>
    </row>
    <row r="7" spans="1:33" s="440" customFormat="1" ht="21.75" customHeight="1">
      <c r="A7" s="726"/>
      <c r="B7" s="727"/>
      <c r="C7" s="729"/>
      <c r="D7" s="730"/>
      <c r="E7" s="731"/>
      <c r="F7" s="714"/>
      <c r="G7" s="714"/>
      <c r="H7" s="714"/>
      <c r="I7" s="717"/>
      <c r="J7" s="717"/>
      <c r="K7" s="717" t="s">
        <v>114</v>
      </c>
      <c r="L7" s="717" t="s">
        <v>115</v>
      </c>
      <c r="M7" s="717"/>
      <c r="N7" s="717" t="s">
        <v>737</v>
      </c>
      <c r="O7" s="717" t="s">
        <v>116</v>
      </c>
      <c r="P7" s="714"/>
      <c r="Q7" s="714"/>
      <c r="R7" s="714"/>
      <c r="S7" s="714"/>
      <c r="T7" s="716"/>
      <c r="U7" s="714"/>
      <c r="V7" s="714"/>
      <c r="W7" s="715"/>
      <c r="X7" s="439">
        <f>X10-T10</f>
        <v>-368.1400000000001</v>
      </c>
      <c r="Y7" s="439"/>
      <c r="Z7" s="439"/>
      <c r="AA7" s="439"/>
      <c r="AB7" s="439"/>
      <c r="AC7" s="439"/>
      <c r="AD7" s="439"/>
      <c r="AE7" s="439"/>
      <c r="AF7" s="439"/>
      <c r="AG7" s="439"/>
    </row>
    <row r="8" spans="1:33" s="440" customFormat="1" ht="24" hidden="1" customHeight="1">
      <c r="A8" s="726"/>
      <c r="B8" s="727"/>
      <c r="C8" s="729"/>
      <c r="D8" s="730"/>
      <c r="E8" s="731"/>
      <c r="F8" s="714"/>
      <c r="G8" s="714"/>
      <c r="H8" s="714"/>
      <c r="I8" s="717"/>
      <c r="J8" s="717"/>
      <c r="K8" s="717"/>
      <c r="L8" s="717"/>
      <c r="M8" s="717"/>
      <c r="N8" s="717"/>
      <c r="O8" s="717"/>
      <c r="P8" s="714"/>
      <c r="Q8" s="714"/>
      <c r="R8" s="714"/>
      <c r="S8" s="714"/>
      <c r="T8" s="716"/>
      <c r="U8" s="714"/>
      <c r="V8" s="714"/>
      <c r="W8" s="715"/>
      <c r="X8" s="439"/>
      <c r="Y8" s="439"/>
      <c r="Z8" s="439"/>
      <c r="AA8" s="439"/>
      <c r="AB8" s="439"/>
      <c r="AC8" s="439"/>
      <c r="AD8" s="439"/>
      <c r="AE8" s="439"/>
      <c r="AF8" s="439"/>
      <c r="AG8" s="439"/>
    </row>
    <row r="9" spans="1:33" s="440" customFormat="1" ht="12.75">
      <c r="A9" s="441" t="s">
        <v>8</v>
      </c>
      <c r="B9" s="442" t="s">
        <v>9</v>
      </c>
      <c r="C9" s="443">
        <v>1</v>
      </c>
      <c r="D9" s="443"/>
      <c r="E9" s="443">
        <v>1</v>
      </c>
      <c r="F9" s="443"/>
      <c r="G9" s="443">
        <v>2</v>
      </c>
      <c r="H9" s="443">
        <v>3</v>
      </c>
      <c r="I9" s="443">
        <v>4</v>
      </c>
      <c r="J9" s="443">
        <v>5</v>
      </c>
      <c r="K9" s="443">
        <v>6</v>
      </c>
      <c r="L9" s="443"/>
      <c r="M9" s="443">
        <v>6</v>
      </c>
      <c r="N9" s="443">
        <v>7</v>
      </c>
      <c r="O9" s="443">
        <v>8</v>
      </c>
      <c r="P9" s="443">
        <v>9</v>
      </c>
      <c r="Q9" s="443">
        <v>10</v>
      </c>
      <c r="R9" s="443">
        <v>7</v>
      </c>
      <c r="S9" s="443">
        <v>8</v>
      </c>
      <c r="T9" s="498">
        <v>9</v>
      </c>
      <c r="U9" s="443">
        <v>10</v>
      </c>
      <c r="V9" s="443">
        <v>11</v>
      </c>
      <c r="W9" s="443">
        <v>12</v>
      </c>
      <c r="X9" s="439"/>
      <c r="Y9" s="439"/>
      <c r="Z9" s="439"/>
      <c r="AA9" s="439"/>
      <c r="AB9" s="439"/>
      <c r="AC9" s="439"/>
      <c r="AD9" s="439"/>
      <c r="AE9" s="439"/>
      <c r="AF9" s="439"/>
      <c r="AG9" s="439"/>
    </row>
    <row r="10" spans="1:33" s="450" customFormat="1" ht="17.25" customHeight="1">
      <c r="A10" s="444" t="s">
        <v>8</v>
      </c>
      <c r="B10" s="445" t="s">
        <v>117</v>
      </c>
      <c r="C10" s="446">
        <f>C11+C25+C433</f>
        <v>304741.15899999999</v>
      </c>
      <c r="D10" s="447"/>
      <c r="E10" s="499">
        <f t="shared" ref="E10:U10" si="0">E11+E25+E433</f>
        <v>378522.00002000004</v>
      </c>
      <c r="F10" s="499">
        <f t="shared" si="0"/>
        <v>73780.841020000022</v>
      </c>
      <c r="G10" s="499">
        <f t="shared" si="0"/>
        <v>370475.00002000004</v>
      </c>
      <c r="H10" s="499">
        <f t="shared" si="0"/>
        <v>222591.83001999999</v>
      </c>
      <c r="I10" s="499">
        <f t="shared" si="0"/>
        <v>1179</v>
      </c>
      <c r="J10" s="499">
        <f t="shared" si="0"/>
        <v>173881.70702</v>
      </c>
      <c r="K10" s="499">
        <f t="shared" si="0"/>
        <v>0</v>
      </c>
      <c r="L10" s="499">
        <f t="shared" si="0"/>
        <v>0</v>
      </c>
      <c r="M10" s="499">
        <f t="shared" si="0"/>
        <v>48710.123</v>
      </c>
      <c r="N10" s="499">
        <f t="shared" si="0"/>
        <v>28908.73</v>
      </c>
      <c r="O10" s="499">
        <f t="shared" si="0"/>
        <v>19801.393</v>
      </c>
      <c r="P10" s="499">
        <f t="shared" si="0"/>
        <v>59459.17</v>
      </c>
      <c r="Q10" s="499">
        <f t="shared" si="0"/>
        <v>88424</v>
      </c>
      <c r="R10" s="499">
        <f t="shared" si="0"/>
        <v>8047</v>
      </c>
      <c r="S10" s="499">
        <f t="shared" si="0"/>
        <v>0</v>
      </c>
      <c r="T10" s="500">
        <f t="shared" si="0"/>
        <v>1714.09</v>
      </c>
      <c r="U10" s="499">
        <f t="shared" si="0"/>
        <v>1939.05</v>
      </c>
      <c r="V10" s="499">
        <f>V11+V25+V433-0.03</f>
        <v>378297.01001999999</v>
      </c>
      <c r="W10" s="448">
        <f>U10-T10</f>
        <v>224.96000000000004</v>
      </c>
      <c r="X10" s="449">
        <f>T61+T98+T126+T130+T134+T161+T185+T200+T206+T218+T219+T221+T220+T235+T249+T250+T255+T287+T371+T405+T228</f>
        <v>1345.9499999999998</v>
      </c>
      <c r="Y10" s="449"/>
      <c r="Z10" s="449"/>
      <c r="AA10" s="449"/>
      <c r="AB10" s="449"/>
      <c r="AC10" s="449"/>
      <c r="AD10" s="449"/>
      <c r="AE10" s="449"/>
      <c r="AF10" s="449"/>
      <c r="AG10" s="449"/>
    </row>
    <row r="11" spans="1:33" s="455" customFormat="1" ht="17.25" customHeight="1">
      <c r="A11" s="451" t="s">
        <v>10</v>
      </c>
      <c r="B11" s="452" t="s">
        <v>118</v>
      </c>
      <c r="C11" s="453">
        <f>C12+C13+C22+C23+C24</f>
        <v>50932</v>
      </c>
      <c r="D11" s="454"/>
      <c r="E11" s="501">
        <f>E12+E13+E22+E23+E24</f>
        <v>95851</v>
      </c>
      <c r="F11" s="501">
        <f t="shared" ref="F11:V11" si="1">F12+F13+F22+F23+F24</f>
        <v>44919</v>
      </c>
      <c r="G11" s="501">
        <f t="shared" si="1"/>
        <v>88424</v>
      </c>
      <c r="H11" s="501">
        <f t="shared" si="1"/>
        <v>0</v>
      </c>
      <c r="I11" s="501">
        <f t="shared" si="1"/>
        <v>0</v>
      </c>
      <c r="J11" s="501">
        <f t="shared" si="1"/>
        <v>0</v>
      </c>
      <c r="K11" s="501">
        <f t="shared" si="1"/>
        <v>0</v>
      </c>
      <c r="L11" s="501">
        <f t="shared" si="1"/>
        <v>0</v>
      </c>
      <c r="M11" s="501">
        <f t="shared" si="1"/>
        <v>0</v>
      </c>
      <c r="N11" s="501">
        <f t="shared" si="1"/>
        <v>0</v>
      </c>
      <c r="O11" s="501">
        <f t="shared" si="1"/>
        <v>0</v>
      </c>
      <c r="P11" s="501">
        <f t="shared" si="1"/>
        <v>0</v>
      </c>
      <c r="Q11" s="501">
        <f t="shared" si="1"/>
        <v>88424</v>
      </c>
      <c r="R11" s="501">
        <f t="shared" si="1"/>
        <v>7427</v>
      </c>
      <c r="S11" s="501">
        <f t="shared" si="1"/>
        <v>0</v>
      </c>
      <c r="T11" s="502">
        <f t="shared" si="1"/>
        <v>0</v>
      </c>
      <c r="U11" s="501">
        <f t="shared" si="1"/>
        <v>0</v>
      </c>
      <c r="V11" s="501">
        <f t="shared" si="1"/>
        <v>95851</v>
      </c>
      <c r="W11" s="585"/>
      <c r="X11" s="449">
        <v>224.95894999999996</v>
      </c>
      <c r="Y11" s="449"/>
      <c r="Z11" s="449"/>
      <c r="AA11" s="449"/>
      <c r="AB11" s="449"/>
      <c r="AC11" s="449"/>
      <c r="AD11" s="449"/>
      <c r="AE11" s="449"/>
      <c r="AF11" s="449"/>
      <c r="AG11" s="449"/>
    </row>
    <row r="12" spans="1:33" s="455" customFormat="1" ht="17.25" customHeight="1">
      <c r="A12" s="451">
        <v>1</v>
      </c>
      <c r="B12" s="452" t="s">
        <v>119</v>
      </c>
      <c r="C12" s="453">
        <v>7832</v>
      </c>
      <c r="D12" s="454"/>
      <c r="E12" s="501">
        <f>G12+R12</f>
        <v>7832</v>
      </c>
      <c r="F12" s="501">
        <f t="shared" ref="F12:F76" si="2">E12-C12</f>
        <v>0</v>
      </c>
      <c r="G12" s="501">
        <f>H12+P12+Q12</f>
        <v>7832</v>
      </c>
      <c r="H12" s="501">
        <f>J12+M12</f>
        <v>0</v>
      </c>
      <c r="I12" s="501"/>
      <c r="J12" s="501">
        <f>K12+L12</f>
        <v>0</v>
      </c>
      <c r="K12" s="501"/>
      <c r="L12" s="501"/>
      <c r="M12" s="501">
        <f>N12+O12</f>
        <v>0</v>
      </c>
      <c r="N12" s="501"/>
      <c r="O12" s="501"/>
      <c r="P12" s="501"/>
      <c r="Q12" s="501">
        <v>7832</v>
      </c>
      <c r="R12" s="501"/>
      <c r="S12" s="501"/>
      <c r="T12" s="502"/>
      <c r="U12" s="501"/>
      <c r="V12" s="501">
        <f>Q12</f>
        <v>7832</v>
      </c>
      <c r="W12" s="585" t="s">
        <v>738</v>
      </c>
      <c r="X12" s="449">
        <f>X10+X11</f>
        <v>1570.9089499999998</v>
      </c>
      <c r="Y12" s="449"/>
      <c r="Z12" s="449"/>
      <c r="AA12" s="449"/>
      <c r="AB12" s="449"/>
      <c r="AC12" s="449"/>
      <c r="AD12" s="449"/>
      <c r="AE12" s="449"/>
      <c r="AF12" s="449"/>
      <c r="AG12" s="449"/>
    </row>
    <row r="13" spans="1:33" s="455" customFormat="1" ht="17.25" customHeight="1">
      <c r="A13" s="451">
        <v>2</v>
      </c>
      <c r="B13" s="452" t="s">
        <v>120</v>
      </c>
      <c r="C13" s="453">
        <f>C14+C15</f>
        <v>40000</v>
      </c>
      <c r="D13" s="454"/>
      <c r="E13" s="501">
        <f>E14+E15</f>
        <v>82419</v>
      </c>
      <c r="F13" s="501">
        <f t="shared" si="2"/>
        <v>42419</v>
      </c>
      <c r="G13" s="501">
        <f t="shared" ref="G13:Q13" si="3">G14+G15</f>
        <v>80592</v>
      </c>
      <c r="H13" s="501">
        <f t="shared" si="3"/>
        <v>0</v>
      </c>
      <c r="I13" s="501">
        <f t="shared" si="3"/>
        <v>0</v>
      </c>
      <c r="J13" s="501">
        <f t="shared" si="3"/>
        <v>0</v>
      </c>
      <c r="K13" s="501">
        <f t="shared" si="3"/>
        <v>0</v>
      </c>
      <c r="L13" s="501">
        <f>L14+L15</f>
        <v>0</v>
      </c>
      <c r="M13" s="501">
        <f t="shared" si="3"/>
        <v>0</v>
      </c>
      <c r="N13" s="501">
        <f t="shared" si="3"/>
        <v>0</v>
      </c>
      <c r="O13" s="501">
        <f t="shared" si="3"/>
        <v>0</v>
      </c>
      <c r="P13" s="501">
        <f t="shared" si="3"/>
        <v>0</v>
      </c>
      <c r="Q13" s="501">
        <f t="shared" si="3"/>
        <v>80592</v>
      </c>
      <c r="R13" s="501">
        <f>R14+R15</f>
        <v>1827</v>
      </c>
      <c r="S13" s="501">
        <f>S14+S15</f>
        <v>0</v>
      </c>
      <c r="T13" s="502">
        <f>T14+T15</f>
        <v>0</v>
      </c>
      <c r="U13" s="501">
        <f>U14+U15</f>
        <v>0</v>
      </c>
      <c r="V13" s="501">
        <f>V14+V15</f>
        <v>82419</v>
      </c>
      <c r="W13" s="585" t="s">
        <v>738</v>
      </c>
      <c r="X13" s="449"/>
      <c r="Y13" s="449"/>
      <c r="Z13" s="449"/>
      <c r="AA13" s="449"/>
      <c r="AB13" s="449"/>
      <c r="AC13" s="449"/>
      <c r="AD13" s="449"/>
      <c r="AE13" s="449"/>
      <c r="AF13" s="449"/>
      <c r="AG13" s="449"/>
    </row>
    <row r="14" spans="1:33" s="455" customFormat="1" ht="17.25" customHeight="1">
      <c r="A14" s="456" t="s">
        <v>11</v>
      </c>
      <c r="B14" s="452" t="s">
        <v>121</v>
      </c>
      <c r="C14" s="453">
        <v>38000</v>
      </c>
      <c r="D14" s="454"/>
      <c r="E14" s="501">
        <f>G14+R14</f>
        <v>76900</v>
      </c>
      <c r="F14" s="501">
        <f t="shared" si="2"/>
        <v>38900</v>
      </c>
      <c r="G14" s="501">
        <f>H14+P14+Q14</f>
        <v>76900</v>
      </c>
      <c r="H14" s="501">
        <f>J14+M14</f>
        <v>0</v>
      </c>
      <c r="I14" s="501"/>
      <c r="J14" s="501">
        <f>K14+L14</f>
        <v>0</v>
      </c>
      <c r="K14" s="501"/>
      <c r="L14" s="501"/>
      <c r="M14" s="501">
        <f>N14+O14</f>
        <v>0</v>
      </c>
      <c r="N14" s="501"/>
      <c r="O14" s="501"/>
      <c r="P14" s="501"/>
      <c r="Q14" s="501">
        <v>76900</v>
      </c>
      <c r="R14" s="501"/>
      <c r="S14" s="501"/>
      <c r="T14" s="502"/>
      <c r="U14" s="501"/>
      <c r="V14" s="501">
        <f>E14</f>
        <v>76900</v>
      </c>
      <c r="W14" s="585" t="s">
        <v>738</v>
      </c>
      <c r="X14" s="449"/>
      <c r="Y14" s="449"/>
      <c r="Z14" s="449"/>
      <c r="AA14" s="449"/>
      <c r="AB14" s="449"/>
      <c r="AC14" s="449"/>
      <c r="AD14" s="449"/>
      <c r="AE14" s="449"/>
      <c r="AF14" s="449"/>
      <c r="AG14" s="449"/>
    </row>
    <row r="15" spans="1:33" s="455" customFormat="1" ht="32.25" customHeight="1">
      <c r="A15" s="456" t="s">
        <v>11</v>
      </c>
      <c r="B15" s="457" t="s">
        <v>122</v>
      </c>
      <c r="C15" s="453">
        <f>SUM(C16:C21)</f>
        <v>2000</v>
      </c>
      <c r="D15" s="454"/>
      <c r="E15" s="501">
        <f>SUM(E16:E21)</f>
        <v>5519</v>
      </c>
      <c r="F15" s="501">
        <f t="shared" si="2"/>
        <v>3519</v>
      </c>
      <c r="G15" s="501">
        <f>SUM(G16:G21)</f>
        <v>3692</v>
      </c>
      <c r="H15" s="501">
        <f>SUM(H16:H21)</f>
        <v>0</v>
      </c>
      <c r="I15" s="501">
        <f>SUM(I16:I21)</f>
        <v>0</v>
      </c>
      <c r="J15" s="501">
        <f>SUM(J16:J21)</f>
        <v>0</v>
      </c>
      <c r="K15" s="501">
        <f>SUM(K16:K21)</f>
        <v>0</v>
      </c>
      <c r="L15" s="501"/>
      <c r="M15" s="501">
        <f t="shared" ref="M15:U15" si="4">SUM(M16:M21)</f>
        <v>0</v>
      </c>
      <c r="N15" s="501">
        <f t="shared" si="4"/>
        <v>0</v>
      </c>
      <c r="O15" s="501">
        <f t="shared" si="4"/>
        <v>0</v>
      </c>
      <c r="P15" s="501">
        <f t="shared" si="4"/>
        <v>0</v>
      </c>
      <c r="Q15" s="501">
        <f>SUM(Q16:Q21)</f>
        <v>3692</v>
      </c>
      <c r="R15" s="501">
        <f t="shared" si="4"/>
        <v>1827</v>
      </c>
      <c r="S15" s="501">
        <f t="shared" si="4"/>
        <v>0</v>
      </c>
      <c r="T15" s="502">
        <f t="shared" si="4"/>
        <v>0</v>
      </c>
      <c r="U15" s="501">
        <f t="shared" si="4"/>
        <v>0</v>
      </c>
      <c r="V15" s="501">
        <f>E15</f>
        <v>5519</v>
      </c>
      <c r="W15" s="588"/>
      <c r="X15" s="449"/>
      <c r="Y15" s="449"/>
      <c r="Z15" s="449"/>
      <c r="AA15" s="449"/>
      <c r="AB15" s="449"/>
      <c r="AC15" s="449"/>
      <c r="AD15" s="449"/>
      <c r="AE15" s="449"/>
      <c r="AF15" s="449"/>
      <c r="AG15" s="449"/>
    </row>
    <row r="16" spans="1:33" s="455" customFormat="1" ht="17.25" customHeight="1">
      <c r="A16" s="456" t="s">
        <v>51</v>
      </c>
      <c r="B16" s="457" t="s">
        <v>739</v>
      </c>
      <c r="C16" s="453">
        <v>360</v>
      </c>
      <c r="D16" s="454"/>
      <c r="E16" s="501">
        <f t="shared" ref="E16:E24" si="5">G16+R16</f>
        <v>988</v>
      </c>
      <c r="F16" s="501">
        <f t="shared" si="2"/>
        <v>628</v>
      </c>
      <c r="G16" s="501">
        <f t="shared" ref="G16:G24" si="6">H16+P16+Q16</f>
        <v>759</v>
      </c>
      <c r="H16" s="501"/>
      <c r="I16" s="501"/>
      <c r="J16" s="501"/>
      <c r="K16" s="501"/>
      <c r="L16" s="501"/>
      <c r="M16" s="501"/>
      <c r="N16" s="501"/>
      <c r="O16" s="501"/>
      <c r="P16" s="501"/>
      <c r="Q16" s="501">
        <v>759</v>
      </c>
      <c r="R16" s="501">
        <v>229</v>
      </c>
      <c r="S16" s="501"/>
      <c r="T16" s="502"/>
      <c r="U16" s="501"/>
      <c r="V16" s="501">
        <f t="shared" ref="V16:V24" si="7">R16</f>
        <v>229</v>
      </c>
      <c r="W16" s="585"/>
      <c r="X16" s="449"/>
      <c r="Y16" s="449"/>
      <c r="Z16" s="449"/>
      <c r="AA16" s="449"/>
      <c r="AB16" s="449"/>
      <c r="AC16" s="449"/>
      <c r="AD16" s="449"/>
      <c r="AE16" s="449"/>
      <c r="AF16" s="449"/>
      <c r="AG16" s="449"/>
    </row>
    <row r="17" spans="1:33" s="455" customFormat="1" ht="17.25" customHeight="1">
      <c r="A17" s="456" t="s">
        <v>51</v>
      </c>
      <c r="B17" s="452" t="s">
        <v>740</v>
      </c>
      <c r="C17" s="453"/>
      <c r="D17" s="454"/>
      <c r="E17" s="501">
        <f>G17+R17</f>
        <v>1322</v>
      </c>
      <c r="F17" s="501">
        <f t="shared" si="2"/>
        <v>1322</v>
      </c>
      <c r="G17" s="501">
        <f t="shared" si="6"/>
        <v>322</v>
      </c>
      <c r="H17" s="501"/>
      <c r="I17" s="501"/>
      <c r="J17" s="501"/>
      <c r="K17" s="501"/>
      <c r="L17" s="501"/>
      <c r="M17" s="501"/>
      <c r="N17" s="501"/>
      <c r="O17" s="501"/>
      <c r="P17" s="501"/>
      <c r="Q17" s="501">
        <v>322</v>
      </c>
      <c r="R17" s="501">
        <v>1000</v>
      </c>
      <c r="S17" s="501"/>
      <c r="T17" s="502"/>
      <c r="U17" s="501"/>
      <c r="V17" s="501">
        <f t="shared" si="7"/>
        <v>1000</v>
      </c>
      <c r="W17" s="585" t="s">
        <v>741</v>
      </c>
      <c r="X17" s="449"/>
      <c r="Y17" s="449"/>
      <c r="Z17" s="449"/>
      <c r="AA17" s="449"/>
      <c r="AB17" s="449"/>
      <c r="AC17" s="449"/>
      <c r="AD17" s="449"/>
      <c r="AE17" s="449"/>
      <c r="AF17" s="449"/>
      <c r="AG17" s="449"/>
    </row>
    <row r="18" spans="1:33" s="455" customFormat="1" ht="17.25" customHeight="1">
      <c r="A18" s="456" t="s">
        <v>51</v>
      </c>
      <c r="B18" s="457" t="s">
        <v>742</v>
      </c>
      <c r="C18" s="453">
        <v>640</v>
      </c>
      <c r="D18" s="454"/>
      <c r="E18" s="501">
        <f t="shared" si="5"/>
        <v>190</v>
      </c>
      <c r="F18" s="501">
        <f t="shared" si="2"/>
        <v>-450</v>
      </c>
      <c r="G18" s="501">
        <f t="shared" si="6"/>
        <v>190</v>
      </c>
      <c r="H18" s="501">
        <f t="shared" ref="H18:H24" si="8">J18+M18</f>
        <v>0</v>
      </c>
      <c r="I18" s="501"/>
      <c r="J18" s="501">
        <f>K18+L18</f>
        <v>0</v>
      </c>
      <c r="K18" s="501"/>
      <c r="L18" s="501"/>
      <c r="M18" s="501">
        <f t="shared" ref="M18:M24" si="9">N18+O18</f>
        <v>0</v>
      </c>
      <c r="N18" s="501"/>
      <c r="O18" s="501"/>
      <c r="P18" s="501"/>
      <c r="Q18" s="501">
        <f>40+150</f>
        <v>190</v>
      </c>
      <c r="R18" s="501"/>
      <c r="S18" s="501"/>
      <c r="T18" s="502"/>
      <c r="U18" s="501"/>
      <c r="V18" s="501">
        <f t="shared" si="7"/>
        <v>0</v>
      </c>
      <c r="W18" s="585" t="s">
        <v>741</v>
      </c>
      <c r="X18" s="449"/>
      <c r="Y18" s="449"/>
      <c r="Z18" s="449"/>
      <c r="AA18" s="449"/>
      <c r="AB18" s="449"/>
      <c r="AC18" s="449"/>
      <c r="AD18" s="449"/>
      <c r="AE18" s="449"/>
      <c r="AF18" s="449"/>
      <c r="AG18" s="449"/>
    </row>
    <row r="19" spans="1:33" s="455" customFormat="1" ht="17.25" hidden="1" customHeight="1">
      <c r="A19" s="456" t="s">
        <v>51</v>
      </c>
      <c r="B19" s="457" t="s">
        <v>743</v>
      </c>
      <c r="C19" s="453"/>
      <c r="D19" s="454"/>
      <c r="E19" s="501">
        <f t="shared" si="5"/>
        <v>0</v>
      </c>
      <c r="F19" s="501">
        <f t="shared" si="2"/>
        <v>0</v>
      </c>
      <c r="G19" s="501">
        <f t="shared" si="6"/>
        <v>0</v>
      </c>
      <c r="H19" s="501">
        <f t="shared" si="8"/>
        <v>0</v>
      </c>
      <c r="I19" s="501"/>
      <c r="J19" s="501"/>
      <c r="K19" s="501"/>
      <c r="L19" s="501"/>
      <c r="M19" s="501">
        <f t="shared" si="9"/>
        <v>0</v>
      </c>
      <c r="N19" s="501"/>
      <c r="O19" s="501"/>
      <c r="P19" s="501"/>
      <c r="Q19" s="501">
        <v>0</v>
      </c>
      <c r="R19" s="501"/>
      <c r="S19" s="501"/>
      <c r="T19" s="502"/>
      <c r="U19" s="501"/>
      <c r="V19" s="501">
        <f t="shared" si="7"/>
        <v>0</v>
      </c>
      <c r="W19" s="585" t="s">
        <v>741</v>
      </c>
      <c r="X19" s="449"/>
      <c r="Y19" s="449"/>
      <c r="Z19" s="449"/>
      <c r="AA19" s="449"/>
      <c r="AB19" s="449"/>
      <c r="AC19" s="449"/>
      <c r="AD19" s="449"/>
      <c r="AE19" s="449"/>
      <c r="AF19" s="449"/>
      <c r="AG19" s="449"/>
    </row>
    <row r="20" spans="1:33" s="455" customFormat="1" ht="16.5" customHeight="1">
      <c r="A20" s="456" t="s">
        <v>51</v>
      </c>
      <c r="B20" s="457" t="s">
        <v>744</v>
      </c>
      <c r="C20" s="453">
        <v>1000</v>
      </c>
      <c r="D20" s="454"/>
      <c r="E20" s="501">
        <f t="shared" si="5"/>
        <v>598</v>
      </c>
      <c r="F20" s="501">
        <f t="shared" si="2"/>
        <v>-402</v>
      </c>
      <c r="G20" s="501">
        <f t="shared" si="6"/>
        <v>0</v>
      </c>
      <c r="H20" s="501">
        <f t="shared" si="8"/>
        <v>0</v>
      </c>
      <c r="I20" s="501"/>
      <c r="J20" s="501"/>
      <c r="K20" s="501"/>
      <c r="L20" s="501"/>
      <c r="M20" s="501">
        <f t="shared" si="9"/>
        <v>0</v>
      </c>
      <c r="N20" s="501"/>
      <c r="O20" s="501"/>
      <c r="P20" s="501"/>
      <c r="Q20" s="501"/>
      <c r="R20" s="501">
        <v>598</v>
      </c>
      <c r="S20" s="501"/>
      <c r="T20" s="502"/>
      <c r="U20" s="501"/>
      <c r="V20" s="501">
        <f t="shared" si="7"/>
        <v>598</v>
      </c>
      <c r="W20" s="585" t="s">
        <v>741</v>
      </c>
      <c r="X20" s="449"/>
      <c r="Y20" s="449"/>
      <c r="Z20" s="449"/>
      <c r="AA20" s="449"/>
      <c r="AB20" s="449"/>
      <c r="AC20" s="449"/>
      <c r="AD20" s="449"/>
      <c r="AE20" s="449"/>
      <c r="AF20" s="449"/>
      <c r="AG20" s="449"/>
    </row>
    <row r="21" spans="1:33" s="455" customFormat="1" ht="47.25" customHeight="1">
      <c r="A21" s="456" t="s">
        <v>51</v>
      </c>
      <c r="B21" s="457" t="s">
        <v>745</v>
      </c>
      <c r="C21" s="453"/>
      <c r="D21" s="454"/>
      <c r="E21" s="501">
        <f t="shared" si="5"/>
        <v>2421</v>
      </c>
      <c r="F21" s="501">
        <f t="shared" si="2"/>
        <v>2421</v>
      </c>
      <c r="G21" s="501">
        <f t="shared" si="6"/>
        <v>2421</v>
      </c>
      <c r="H21" s="501">
        <f t="shared" si="8"/>
        <v>0</v>
      </c>
      <c r="I21" s="501"/>
      <c r="J21" s="501">
        <f>K21+L21</f>
        <v>0</v>
      </c>
      <c r="K21" s="501"/>
      <c r="L21" s="501"/>
      <c r="M21" s="501">
        <f t="shared" si="9"/>
        <v>0</v>
      </c>
      <c r="N21" s="501"/>
      <c r="O21" s="501"/>
      <c r="P21" s="501"/>
      <c r="Q21" s="501">
        <v>2421</v>
      </c>
      <c r="R21" s="501"/>
      <c r="S21" s="501"/>
      <c r="T21" s="502"/>
      <c r="U21" s="501"/>
      <c r="V21" s="501">
        <f t="shared" si="7"/>
        <v>0</v>
      </c>
      <c r="W21" s="458" t="s">
        <v>123</v>
      </c>
      <c r="X21" s="449"/>
      <c r="Y21" s="449"/>
      <c r="Z21" s="449"/>
      <c r="AA21" s="449"/>
      <c r="AB21" s="449"/>
      <c r="AC21" s="449"/>
      <c r="AD21" s="449"/>
      <c r="AE21" s="449"/>
      <c r="AF21" s="449"/>
      <c r="AG21" s="449"/>
    </row>
    <row r="22" spans="1:33" s="455" customFormat="1" ht="37.5" customHeight="1">
      <c r="A22" s="451">
        <v>3</v>
      </c>
      <c r="B22" s="457" t="s">
        <v>80</v>
      </c>
      <c r="C22" s="453">
        <v>770</v>
      </c>
      <c r="D22" s="454"/>
      <c r="E22" s="501">
        <f t="shared" si="5"/>
        <v>770</v>
      </c>
      <c r="F22" s="501">
        <f t="shared" si="2"/>
        <v>0</v>
      </c>
      <c r="G22" s="501">
        <f t="shared" si="6"/>
        <v>0</v>
      </c>
      <c r="H22" s="501">
        <f t="shared" si="8"/>
        <v>0</v>
      </c>
      <c r="I22" s="501"/>
      <c r="J22" s="501">
        <f>K22+L22</f>
        <v>0</v>
      </c>
      <c r="K22" s="501"/>
      <c r="L22" s="501"/>
      <c r="M22" s="501">
        <f t="shared" si="9"/>
        <v>0</v>
      </c>
      <c r="N22" s="501"/>
      <c r="O22" s="501">
        <v>0</v>
      </c>
      <c r="P22" s="501"/>
      <c r="Q22" s="501"/>
      <c r="R22" s="501">
        <v>770</v>
      </c>
      <c r="S22" s="501"/>
      <c r="T22" s="502"/>
      <c r="U22" s="501"/>
      <c r="V22" s="501">
        <f t="shared" si="7"/>
        <v>770</v>
      </c>
      <c r="W22" s="585" t="s">
        <v>738</v>
      </c>
      <c r="X22" s="449"/>
      <c r="Y22" s="449"/>
      <c r="Z22" s="449"/>
      <c r="AA22" s="449"/>
      <c r="AB22" s="449"/>
      <c r="AC22" s="449"/>
      <c r="AD22" s="449"/>
      <c r="AE22" s="449"/>
      <c r="AF22" s="449"/>
      <c r="AG22" s="449"/>
    </row>
    <row r="23" spans="1:33" s="455" customFormat="1" ht="18" customHeight="1">
      <c r="A23" s="451">
        <v>4</v>
      </c>
      <c r="B23" s="457" t="s">
        <v>746</v>
      </c>
      <c r="C23" s="453"/>
      <c r="D23" s="454"/>
      <c r="E23" s="501">
        <f t="shared" si="5"/>
        <v>2500</v>
      </c>
      <c r="F23" s="501">
        <f t="shared" si="2"/>
        <v>2500</v>
      </c>
      <c r="G23" s="501">
        <f t="shared" si="6"/>
        <v>0</v>
      </c>
      <c r="H23" s="501">
        <f t="shared" si="8"/>
        <v>0</v>
      </c>
      <c r="I23" s="501"/>
      <c r="J23" s="501">
        <f>K23+L23</f>
        <v>0</v>
      </c>
      <c r="K23" s="501"/>
      <c r="L23" s="501"/>
      <c r="M23" s="501">
        <f t="shared" si="9"/>
        <v>0</v>
      </c>
      <c r="N23" s="501"/>
      <c r="O23" s="501">
        <v>0</v>
      </c>
      <c r="P23" s="501"/>
      <c r="Q23" s="501"/>
      <c r="R23" s="501">
        <v>2500</v>
      </c>
      <c r="S23" s="501"/>
      <c r="T23" s="502"/>
      <c r="U23" s="501"/>
      <c r="V23" s="501">
        <f t="shared" si="7"/>
        <v>2500</v>
      </c>
      <c r="W23" s="585" t="s">
        <v>738</v>
      </c>
      <c r="X23" s="449"/>
      <c r="Y23" s="449"/>
      <c r="Z23" s="449"/>
      <c r="AA23" s="449"/>
      <c r="AB23" s="449"/>
      <c r="AC23" s="449"/>
      <c r="AD23" s="449"/>
      <c r="AE23" s="449"/>
      <c r="AF23" s="449"/>
      <c r="AG23" s="449"/>
    </row>
    <row r="24" spans="1:33" s="455" customFormat="1" ht="18" customHeight="1">
      <c r="A24" s="451">
        <v>5</v>
      </c>
      <c r="B24" s="457" t="s">
        <v>125</v>
      </c>
      <c r="C24" s="453">
        <v>2330</v>
      </c>
      <c r="D24" s="454"/>
      <c r="E24" s="501">
        <f t="shared" si="5"/>
        <v>2330</v>
      </c>
      <c r="F24" s="501">
        <f t="shared" si="2"/>
        <v>0</v>
      </c>
      <c r="G24" s="501">
        <f t="shared" si="6"/>
        <v>0</v>
      </c>
      <c r="H24" s="501">
        <f t="shared" si="8"/>
        <v>0</v>
      </c>
      <c r="I24" s="501"/>
      <c r="J24" s="501">
        <f>K24+L24</f>
        <v>0</v>
      </c>
      <c r="K24" s="501"/>
      <c r="L24" s="501"/>
      <c r="M24" s="501">
        <f t="shared" si="9"/>
        <v>0</v>
      </c>
      <c r="N24" s="501"/>
      <c r="O24" s="501">
        <v>0</v>
      </c>
      <c r="P24" s="501"/>
      <c r="Q24" s="501"/>
      <c r="R24" s="501">
        <v>2330</v>
      </c>
      <c r="S24" s="501"/>
      <c r="T24" s="502"/>
      <c r="U24" s="501"/>
      <c r="V24" s="501">
        <f t="shared" si="7"/>
        <v>2330</v>
      </c>
      <c r="W24" s="585" t="s">
        <v>738</v>
      </c>
      <c r="X24" s="449"/>
      <c r="Y24" s="449"/>
      <c r="Z24" s="449"/>
      <c r="AA24" s="449"/>
      <c r="AB24" s="449"/>
      <c r="AC24" s="449"/>
      <c r="AD24" s="449"/>
      <c r="AE24" s="449"/>
      <c r="AF24" s="449"/>
      <c r="AG24" s="449"/>
    </row>
    <row r="25" spans="1:33" s="455" customFormat="1" ht="21.75" customHeight="1">
      <c r="A25" s="451" t="s">
        <v>12</v>
      </c>
      <c r="B25" s="452" t="s">
        <v>127</v>
      </c>
      <c r="C25" s="453">
        <f>C26+C62+C65+C82</f>
        <v>249185.15900000001</v>
      </c>
      <c r="D25" s="454"/>
      <c r="E25" s="501">
        <f>E26+E62+E65+E82</f>
        <v>276822.00002000004</v>
      </c>
      <c r="F25" s="501">
        <f t="shared" si="2"/>
        <v>27636.841020000022</v>
      </c>
      <c r="G25" s="501">
        <f t="shared" ref="G25:R25" si="10">G26+G62+G65+G82</f>
        <v>276202.00002000004</v>
      </c>
      <c r="H25" s="501">
        <f t="shared" si="10"/>
        <v>216742.83001999999</v>
      </c>
      <c r="I25" s="501">
        <f t="shared" si="10"/>
        <v>1179</v>
      </c>
      <c r="J25" s="501">
        <f t="shared" si="10"/>
        <v>173881.70702</v>
      </c>
      <c r="K25" s="501">
        <f t="shared" si="10"/>
        <v>0</v>
      </c>
      <c r="L25" s="501">
        <f t="shared" si="10"/>
        <v>0</v>
      </c>
      <c r="M25" s="501">
        <f t="shared" si="10"/>
        <v>42861.123</v>
      </c>
      <c r="N25" s="501">
        <f t="shared" si="10"/>
        <v>28908.73</v>
      </c>
      <c r="O25" s="501">
        <f t="shared" si="10"/>
        <v>13952.393</v>
      </c>
      <c r="P25" s="501">
        <f t="shared" si="10"/>
        <v>59459.17</v>
      </c>
      <c r="Q25" s="501">
        <f t="shared" si="10"/>
        <v>0</v>
      </c>
      <c r="R25" s="501">
        <f t="shared" si="10"/>
        <v>620</v>
      </c>
      <c r="S25" s="501">
        <f>S26+S62+S65+S82</f>
        <v>0</v>
      </c>
      <c r="T25" s="502">
        <f>T26+T62+T65+T82</f>
        <v>1714.09</v>
      </c>
      <c r="U25" s="501">
        <f>U26+U62+U65+U82</f>
        <v>1939.05</v>
      </c>
      <c r="V25" s="501">
        <f>V26+V62+V65+V82</f>
        <v>276597.04002000001</v>
      </c>
      <c r="W25" s="585"/>
      <c r="X25" s="449"/>
      <c r="Y25" s="449"/>
      <c r="Z25" s="449"/>
      <c r="AA25" s="449"/>
      <c r="AB25" s="449"/>
      <c r="AC25" s="449"/>
      <c r="AD25" s="449"/>
      <c r="AE25" s="449"/>
      <c r="AF25" s="449"/>
      <c r="AG25" s="449"/>
    </row>
    <row r="26" spans="1:33" s="455" customFormat="1" ht="19.5" customHeight="1">
      <c r="A26" s="451">
        <v>1</v>
      </c>
      <c r="B26" s="452" t="s">
        <v>947</v>
      </c>
      <c r="C26" s="453">
        <f>C27+C43</f>
        <v>177277.25400000002</v>
      </c>
      <c r="D26" s="459"/>
      <c r="E26" s="501">
        <f t="shared" ref="E26:R26" si="11">E27+E43</f>
        <v>196470</v>
      </c>
      <c r="F26" s="501">
        <f t="shared" si="2"/>
        <v>19192.745999999985</v>
      </c>
      <c r="G26" s="501">
        <f t="shared" si="11"/>
        <v>196470</v>
      </c>
      <c r="H26" s="501">
        <f t="shared" si="11"/>
        <v>174802</v>
      </c>
      <c r="I26" s="501">
        <f t="shared" si="11"/>
        <v>1018</v>
      </c>
      <c r="J26" s="501">
        <f t="shared" si="11"/>
        <v>150039.57</v>
      </c>
      <c r="K26" s="501">
        <f t="shared" si="11"/>
        <v>0</v>
      </c>
      <c r="L26" s="501">
        <f t="shared" si="11"/>
        <v>0</v>
      </c>
      <c r="M26" s="501">
        <f t="shared" si="11"/>
        <v>24762.43</v>
      </c>
      <c r="N26" s="501">
        <f t="shared" si="11"/>
        <v>24762.43</v>
      </c>
      <c r="O26" s="501">
        <f t="shared" si="11"/>
        <v>0</v>
      </c>
      <c r="P26" s="501">
        <f t="shared" si="11"/>
        <v>21668</v>
      </c>
      <c r="Q26" s="501">
        <f t="shared" si="11"/>
        <v>0</v>
      </c>
      <c r="R26" s="501">
        <f t="shared" si="11"/>
        <v>0</v>
      </c>
      <c r="S26" s="501">
        <f>S27+S43</f>
        <v>2408.3000000000002</v>
      </c>
      <c r="T26" s="502">
        <f>T27+T43</f>
        <v>88.96</v>
      </c>
      <c r="U26" s="501">
        <f>U27+U43</f>
        <v>88.96</v>
      </c>
      <c r="V26" s="501">
        <f>V27+V43</f>
        <v>194061.7</v>
      </c>
      <c r="W26" s="585">
        <f>U26-T26</f>
        <v>0</v>
      </c>
      <c r="X26" s="449"/>
      <c r="Y26" s="449"/>
      <c r="Z26" s="449"/>
      <c r="AA26" s="449"/>
      <c r="AB26" s="449"/>
      <c r="AC26" s="449"/>
      <c r="AD26" s="449"/>
      <c r="AE26" s="449"/>
      <c r="AF26" s="449"/>
      <c r="AG26" s="449"/>
    </row>
    <row r="27" spans="1:33" s="455" customFormat="1" ht="19.5" customHeight="1">
      <c r="A27" s="451" t="s">
        <v>32</v>
      </c>
      <c r="B27" s="452" t="s">
        <v>128</v>
      </c>
      <c r="C27" s="453">
        <f t="shared" ref="C27:R28" si="12">C28</f>
        <v>175116.82</v>
      </c>
      <c r="D27" s="454"/>
      <c r="E27" s="501">
        <f>E28</f>
        <v>194315.48</v>
      </c>
      <c r="F27" s="501">
        <f t="shared" si="2"/>
        <v>19198.660000000003</v>
      </c>
      <c r="G27" s="501">
        <f>G28</f>
        <v>194315.48</v>
      </c>
      <c r="H27" s="501">
        <f t="shared" si="12"/>
        <v>173320.63</v>
      </c>
      <c r="I27" s="501">
        <f t="shared" si="12"/>
        <v>1007</v>
      </c>
      <c r="J27" s="501">
        <f t="shared" si="12"/>
        <v>148756.20000000001</v>
      </c>
      <c r="K27" s="501">
        <f t="shared" si="12"/>
        <v>0</v>
      </c>
      <c r="L27" s="501">
        <f t="shared" si="12"/>
        <v>0</v>
      </c>
      <c r="M27" s="501">
        <f t="shared" si="12"/>
        <v>24564.43</v>
      </c>
      <c r="N27" s="501">
        <f t="shared" si="12"/>
        <v>24564.43</v>
      </c>
      <c r="O27" s="501">
        <f t="shared" si="12"/>
        <v>0</v>
      </c>
      <c r="P27" s="501">
        <f t="shared" si="12"/>
        <v>20994.85</v>
      </c>
      <c r="Q27" s="501">
        <f t="shared" si="12"/>
        <v>0</v>
      </c>
      <c r="R27" s="501">
        <f>R28</f>
        <v>0</v>
      </c>
      <c r="S27" s="501">
        <f>S28</f>
        <v>2380.5</v>
      </c>
      <c r="T27" s="502">
        <f>T28</f>
        <v>0</v>
      </c>
      <c r="U27" s="501">
        <f>U28</f>
        <v>0</v>
      </c>
      <c r="V27" s="501">
        <f>V28</f>
        <v>191934.98</v>
      </c>
      <c r="W27" s="585"/>
      <c r="X27" s="449"/>
      <c r="Y27" s="449"/>
      <c r="Z27" s="449"/>
      <c r="AA27" s="449"/>
      <c r="AB27" s="449"/>
      <c r="AC27" s="449"/>
      <c r="AD27" s="449"/>
      <c r="AE27" s="449"/>
      <c r="AF27" s="449"/>
      <c r="AG27" s="449"/>
    </row>
    <row r="28" spans="1:33" s="455" customFormat="1" ht="19.5" customHeight="1">
      <c r="A28" s="451" t="s">
        <v>29</v>
      </c>
      <c r="B28" s="452" t="s">
        <v>129</v>
      </c>
      <c r="C28" s="453">
        <f>C29</f>
        <v>175116.82</v>
      </c>
      <c r="D28" s="454"/>
      <c r="E28" s="501">
        <f>E29</f>
        <v>194315.48</v>
      </c>
      <c r="F28" s="501">
        <f t="shared" si="2"/>
        <v>19198.660000000003</v>
      </c>
      <c r="G28" s="501">
        <f t="shared" si="12"/>
        <v>194315.48</v>
      </c>
      <c r="H28" s="501">
        <f t="shared" si="12"/>
        <v>173320.63</v>
      </c>
      <c r="I28" s="501">
        <f t="shared" si="12"/>
        <v>1007</v>
      </c>
      <c r="J28" s="501">
        <f t="shared" si="12"/>
        <v>148756.20000000001</v>
      </c>
      <c r="K28" s="501">
        <f t="shared" si="12"/>
        <v>0</v>
      </c>
      <c r="L28" s="501">
        <f t="shared" si="12"/>
        <v>0</v>
      </c>
      <c r="M28" s="501">
        <f t="shared" si="12"/>
        <v>24564.43</v>
      </c>
      <c r="N28" s="501">
        <f t="shared" si="12"/>
        <v>24564.43</v>
      </c>
      <c r="O28" s="501">
        <f t="shared" si="12"/>
        <v>0</v>
      </c>
      <c r="P28" s="501">
        <f t="shared" si="12"/>
        <v>20994.85</v>
      </c>
      <c r="Q28" s="501">
        <f t="shared" si="12"/>
        <v>0</v>
      </c>
      <c r="R28" s="501">
        <f t="shared" si="12"/>
        <v>0</v>
      </c>
      <c r="S28" s="501">
        <f>S29</f>
        <v>2380.5</v>
      </c>
      <c r="T28" s="502">
        <f>T29</f>
        <v>0</v>
      </c>
      <c r="U28" s="501">
        <f>U29</f>
        <v>0</v>
      </c>
      <c r="V28" s="501">
        <f>V29</f>
        <v>191934.98</v>
      </c>
      <c r="W28" s="585"/>
      <c r="X28" s="449"/>
      <c r="Y28" s="449"/>
      <c r="Z28" s="449"/>
      <c r="AA28" s="449"/>
      <c r="AB28" s="449"/>
      <c r="AC28" s="449"/>
      <c r="AD28" s="449"/>
      <c r="AE28" s="449"/>
      <c r="AF28" s="449"/>
      <c r="AG28" s="449"/>
    </row>
    <row r="29" spans="1:33" s="455" customFormat="1" ht="19.5" customHeight="1">
      <c r="A29" s="451" t="s">
        <v>130</v>
      </c>
      <c r="B29" s="452" t="s">
        <v>131</v>
      </c>
      <c r="C29" s="453">
        <f>SUM(C30:C34)</f>
        <v>175116.82</v>
      </c>
      <c r="D29" s="454"/>
      <c r="E29" s="501">
        <f>SUM(E30:E33)</f>
        <v>194315.48</v>
      </c>
      <c r="F29" s="501">
        <f t="shared" si="2"/>
        <v>19198.660000000003</v>
      </c>
      <c r="G29" s="501">
        <f t="shared" ref="G29:V29" si="13">SUM(G30:G33)</f>
        <v>194315.48</v>
      </c>
      <c r="H29" s="501">
        <f t="shared" si="13"/>
        <v>173320.63</v>
      </c>
      <c r="I29" s="501">
        <f t="shared" si="13"/>
        <v>1007</v>
      </c>
      <c r="J29" s="501">
        <f t="shared" si="13"/>
        <v>148756.20000000001</v>
      </c>
      <c r="K29" s="501">
        <f t="shared" si="13"/>
        <v>0</v>
      </c>
      <c r="L29" s="501">
        <f t="shared" si="13"/>
        <v>0</v>
      </c>
      <c r="M29" s="501">
        <f t="shared" si="13"/>
        <v>24564.43</v>
      </c>
      <c r="N29" s="501">
        <f t="shared" si="13"/>
        <v>24564.43</v>
      </c>
      <c r="O29" s="501">
        <f t="shared" si="13"/>
        <v>0</v>
      </c>
      <c r="P29" s="501">
        <f t="shared" si="13"/>
        <v>20994.85</v>
      </c>
      <c r="Q29" s="501">
        <f t="shared" si="13"/>
        <v>0</v>
      </c>
      <c r="R29" s="501">
        <f t="shared" si="13"/>
        <v>0</v>
      </c>
      <c r="S29" s="501">
        <f t="shared" si="13"/>
        <v>2380.5</v>
      </c>
      <c r="T29" s="502">
        <f t="shared" si="13"/>
        <v>0</v>
      </c>
      <c r="U29" s="501">
        <f t="shared" si="13"/>
        <v>0</v>
      </c>
      <c r="V29" s="501">
        <f t="shared" si="13"/>
        <v>191934.98</v>
      </c>
      <c r="W29" s="585" t="s">
        <v>747</v>
      </c>
      <c r="X29" s="449"/>
      <c r="Y29" s="449"/>
      <c r="Z29" s="449"/>
      <c r="AA29" s="449"/>
      <c r="AB29" s="449"/>
      <c r="AC29" s="449"/>
      <c r="AD29" s="449"/>
      <c r="AE29" s="449"/>
      <c r="AF29" s="449"/>
      <c r="AG29" s="449"/>
    </row>
    <row r="30" spans="1:33" s="455" customFormat="1" ht="33.75" customHeight="1">
      <c r="A30" s="456" t="s">
        <v>11</v>
      </c>
      <c r="B30" s="457" t="s">
        <v>132</v>
      </c>
      <c r="C30" s="453">
        <f>156867.82+10337-(3675+5679)</f>
        <v>157850.82</v>
      </c>
      <c r="D30" s="454"/>
      <c r="E30" s="501">
        <f>G30+R30</f>
        <v>173320.63</v>
      </c>
      <c r="F30" s="501">
        <f t="shared" si="2"/>
        <v>15469.809999999998</v>
      </c>
      <c r="G30" s="501">
        <f>H30+P30+Q30</f>
        <v>173320.63</v>
      </c>
      <c r="H30" s="501">
        <f>J30+M30</f>
        <v>173320.63</v>
      </c>
      <c r="I30" s="501">
        <v>1007</v>
      </c>
      <c r="J30" s="501">
        <v>148756.20000000001</v>
      </c>
      <c r="K30" s="501"/>
      <c r="L30" s="501"/>
      <c r="M30" s="501">
        <f>N30+O30</f>
        <v>24564.43</v>
      </c>
      <c r="N30" s="501">
        <v>24564.43</v>
      </c>
      <c r="O30" s="501"/>
      <c r="P30" s="501"/>
      <c r="Q30" s="501"/>
      <c r="R30" s="501">
        <v>0</v>
      </c>
      <c r="S30" s="501">
        <f>'[9]07 SNGD'!G7</f>
        <v>2380.5</v>
      </c>
      <c r="T30" s="502"/>
      <c r="U30" s="501"/>
      <c r="V30" s="501">
        <f>E30-S30</f>
        <v>170940.13</v>
      </c>
      <c r="W30" s="585"/>
      <c r="X30" s="449"/>
      <c r="Y30" s="449"/>
      <c r="Z30" s="449"/>
      <c r="AA30" s="449"/>
      <c r="AB30" s="449"/>
      <c r="AC30" s="449"/>
      <c r="AD30" s="449"/>
      <c r="AE30" s="449"/>
      <c r="AF30" s="449"/>
      <c r="AG30" s="449"/>
    </row>
    <row r="31" spans="1:33" s="455" customFormat="1" ht="27.75" customHeight="1">
      <c r="A31" s="456" t="s">
        <v>11</v>
      </c>
      <c r="B31" s="457" t="s">
        <v>748</v>
      </c>
      <c r="C31" s="453"/>
      <c r="D31" s="454"/>
      <c r="E31" s="501">
        <f>G31+R31</f>
        <v>2524</v>
      </c>
      <c r="F31" s="501">
        <f t="shared" si="2"/>
        <v>2524</v>
      </c>
      <c r="G31" s="501">
        <f>H31+P31+Q31</f>
        <v>2524</v>
      </c>
      <c r="H31" s="501">
        <f>J31+M31</f>
        <v>0</v>
      </c>
      <c r="I31" s="501"/>
      <c r="J31" s="501">
        <f>K31+L31</f>
        <v>0</v>
      </c>
      <c r="K31" s="501"/>
      <c r="L31" s="501"/>
      <c r="M31" s="501">
        <f>N31+O31</f>
        <v>0</v>
      </c>
      <c r="N31" s="501"/>
      <c r="O31" s="501"/>
      <c r="P31" s="501">
        <v>2524</v>
      </c>
      <c r="Q31" s="501"/>
      <c r="R31" s="501"/>
      <c r="S31" s="501"/>
      <c r="T31" s="502"/>
      <c r="U31" s="501"/>
      <c r="V31" s="501">
        <f>E31</f>
        <v>2524</v>
      </c>
      <c r="W31" s="585"/>
      <c r="X31" s="449"/>
      <c r="Y31" s="449"/>
      <c r="Z31" s="449"/>
      <c r="AA31" s="449"/>
      <c r="AB31" s="449"/>
      <c r="AC31" s="449"/>
      <c r="AD31" s="449"/>
      <c r="AE31" s="449"/>
      <c r="AF31" s="449"/>
      <c r="AG31" s="449"/>
    </row>
    <row r="32" spans="1:33" s="455" customFormat="1" ht="33.75" customHeight="1">
      <c r="A32" s="456" t="s">
        <v>11</v>
      </c>
      <c r="B32" s="460" t="s">
        <v>749</v>
      </c>
      <c r="C32" s="453">
        <v>824</v>
      </c>
      <c r="D32" s="454"/>
      <c r="E32" s="501">
        <f>G32+R32</f>
        <v>2476</v>
      </c>
      <c r="F32" s="501">
        <f t="shared" si="2"/>
        <v>1652</v>
      </c>
      <c r="G32" s="501">
        <f>H32+P32+Q32</f>
        <v>2476</v>
      </c>
      <c r="H32" s="501">
        <f>J32+M32</f>
        <v>0</v>
      </c>
      <c r="I32" s="501"/>
      <c r="J32" s="501">
        <f>K32+L32</f>
        <v>0</v>
      </c>
      <c r="K32" s="501"/>
      <c r="L32" s="501"/>
      <c r="M32" s="501">
        <f>N32+O32</f>
        <v>0</v>
      </c>
      <c r="N32" s="501"/>
      <c r="O32" s="501">
        <v>0</v>
      </c>
      <c r="P32" s="501">
        <v>2476</v>
      </c>
      <c r="Q32" s="501"/>
      <c r="R32" s="501"/>
      <c r="S32" s="501"/>
      <c r="T32" s="502"/>
      <c r="U32" s="501"/>
      <c r="V32" s="501">
        <f>E32</f>
        <v>2476</v>
      </c>
      <c r="W32" s="585"/>
      <c r="X32" s="449"/>
      <c r="Y32" s="449"/>
      <c r="Z32" s="449"/>
      <c r="AA32" s="449"/>
      <c r="AB32" s="449"/>
      <c r="AC32" s="449"/>
      <c r="AD32" s="449"/>
      <c r="AE32" s="449"/>
      <c r="AF32" s="449"/>
      <c r="AG32" s="449"/>
    </row>
    <row r="33" spans="1:33" s="455" customFormat="1" ht="27.75" customHeight="1">
      <c r="A33" s="456" t="s">
        <v>11</v>
      </c>
      <c r="B33" s="457" t="s">
        <v>750</v>
      </c>
      <c r="C33" s="453">
        <f>SUM(C34:C38)</f>
        <v>10723</v>
      </c>
      <c r="D33" s="454"/>
      <c r="E33" s="501">
        <f t="shared" ref="E33:V33" si="14">SUM(E34:E38)</f>
        <v>15994.85</v>
      </c>
      <c r="F33" s="501">
        <f t="shared" si="2"/>
        <v>5271.85</v>
      </c>
      <c r="G33" s="501">
        <f t="shared" si="14"/>
        <v>15994.85</v>
      </c>
      <c r="H33" s="501">
        <f t="shared" si="14"/>
        <v>0</v>
      </c>
      <c r="I33" s="501">
        <f t="shared" si="14"/>
        <v>0</v>
      </c>
      <c r="J33" s="501">
        <f t="shared" si="14"/>
        <v>0</v>
      </c>
      <c r="K33" s="501">
        <f t="shared" si="14"/>
        <v>0</v>
      </c>
      <c r="L33" s="501">
        <f t="shared" si="14"/>
        <v>0</v>
      </c>
      <c r="M33" s="501">
        <f t="shared" si="14"/>
        <v>0</v>
      </c>
      <c r="N33" s="501">
        <f t="shared" si="14"/>
        <v>0</v>
      </c>
      <c r="O33" s="501">
        <f t="shared" si="14"/>
        <v>0</v>
      </c>
      <c r="P33" s="501">
        <f t="shared" si="14"/>
        <v>15994.85</v>
      </c>
      <c r="Q33" s="501">
        <f t="shared" si="14"/>
        <v>0</v>
      </c>
      <c r="R33" s="501">
        <f t="shared" si="14"/>
        <v>0</v>
      </c>
      <c r="S33" s="501">
        <f t="shared" si="14"/>
        <v>0</v>
      </c>
      <c r="T33" s="502">
        <f t="shared" si="14"/>
        <v>0</v>
      </c>
      <c r="U33" s="501">
        <f t="shared" si="14"/>
        <v>0</v>
      </c>
      <c r="V33" s="501">
        <f t="shared" si="14"/>
        <v>15994.85</v>
      </c>
      <c r="W33" s="585"/>
      <c r="X33" s="449"/>
      <c r="Y33" s="449"/>
      <c r="Z33" s="449"/>
      <c r="AA33" s="449"/>
      <c r="AB33" s="449"/>
      <c r="AC33" s="449"/>
      <c r="AD33" s="449"/>
      <c r="AE33" s="449"/>
      <c r="AF33" s="449"/>
      <c r="AG33" s="449"/>
    </row>
    <row r="34" spans="1:33" s="455" customFormat="1" ht="23.25" customHeight="1">
      <c r="A34" s="456" t="s">
        <v>51</v>
      </c>
      <c r="B34" s="457" t="s">
        <v>133</v>
      </c>
      <c r="C34" s="453">
        <f>3675+2044</f>
        <v>5719</v>
      </c>
      <c r="D34" s="454"/>
      <c r="E34" s="501">
        <f>G34+R34</f>
        <v>6100</v>
      </c>
      <c r="F34" s="501">
        <f t="shared" si="2"/>
        <v>381</v>
      </c>
      <c r="G34" s="501">
        <f>H34+P34+Q34</f>
        <v>6100</v>
      </c>
      <c r="H34" s="501">
        <f>J34+M34</f>
        <v>0</v>
      </c>
      <c r="I34" s="501"/>
      <c r="J34" s="501">
        <f>K34+L34</f>
        <v>0</v>
      </c>
      <c r="K34" s="501"/>
      <c r="L34" s="501"/>
      <c r="M34" s="501">
        <f>N34+O34</f>
        <v>0</v>
      </c>
      <c r="N34" s="501"/>
      <c r="O34" s="501"/>
      <c r="P34" s="501">
        <v>6100</v>
      </c>
      <c r="Q34" s="501"/>
      <c r="R34" s="501"/>
      <c r="S34" s="501"/>
      <c r="T34" s="502"/>
      <c r="U34" s="501"/>
      <c r="V34" s="501">
        <f>E34</f>
        <v>6100</v>
      </c>
      <c r="W34" s="585"/>
      <c r="X34" s="449"/>
      <c r="Y34" s="449"/>
      <c r="Z34" s="449"/>
      <c r="AA34" s="449"/>
      <c r="AB34" s="449"/>
      <c r="AC34" s="449"/>
      <c r="AD34" s="449"/>
      <c r="AE34" s="449"/>
      <c r="AF34" s="449"/>
      <c r="AG34" s="449"/>
    </row>
    <row r="35" spans="1:33" s="455" customFormat="1" ht="36.75" customHeight="1">
      <c r="A35" s="456" t="s">
        <v>51</v>
      </c>
      <c r="B35" s="457" t="s">
        <v>135</v>
      </c>
      <c r="C35" s="453">
        <f>400+720</f>
        <v>1120</v>
      </c>
      <c r="D35" s="454"/>
      <c r="E35" s="501">
        <f>G35+R35</f>
        <v>3890</v>
      </c>
      <c r="F35" s="501">
        <f t="shared" si="2"/>
        <v>2770</v>
      </c>
      <c r="G35" s="501">
        <f>H35+P35+Q35</f>
        <v>3890</v>
      </c>
      <c r="H35" s="501">
        <f>J35+M35</f>
        <v>0</v>
      </c>
      <c r="I35" s="501"/>
      <c r="J35" s="501">
        <f>K35+L35</f>
        <v>0</v>
      </c>
      <c r="K35" s="501"/>
      <c r="L35" s="501"/>
      <c r="M35" s="501">
        <f>N35+O35</f>
        <v>0</v>
      </c>
      <c r="N35" s="501"/>
      <c r="O35" s="501"/>
      <c r="P35" s="501">
        <f>3890</f>
        <v>3890</v>
      </c>
      <c r="Q35" s="501"/>
      <c r="R35" s="501"/>
      <c r="S35" s="501"/>
      <c r="T35" s="502"/>
      <c r="U35" s="501"/>
      <c r="V35" s="501">
        <f>E35</f>
        <v>3890</v>
      </c>
      <c r="W35" s="711"/>
      <c r="X35" s="449"/>
      <c r="Y35" s="449"/>
      <c r="Z35" s="449"/>
      <c r="AA35" s="449"/>
      <c r="AB35" s="449"/>
      <c r="AC35" s="449"/>
      <c r="AD35" s="449"/>
      <c r="AE35" s="449"/>
      <c r="AF35" s="449"/>
      <c r="AG35" s="449"/>
    </row>
    <row r="36" spans="1:33" s="455" customFormat="1" ht="33.75" customHeight="1">
      <c r="A36" s="456" t="s">
        <v>51</v>
      </c>
      <c r="B36" s="457" t="s">
        <v>136</v>
      </c>
      <c r="C36" s="453">
        <f>700+423</f>
        <v>1123</v>
      </c>
      <c r="D36" s="454"/>
      <c r="E36" s="501">
        <f>G36+R36</f>
        <v>700</v>
      </c>
      <c r="F36" s="501">
        <f t="shared" si="2"/>
        <v>-423</v>
      </c>
      <c r="G36" s="501">
        <f>H36+P36+Q36</f>
        <v>700</v>
      </c>
      <c r="H36" s="501">
        <f>J36+M36</f>
        <v>0</v>
      </c>
      <c r="I36" s="501"/>
      <c r="J36" s="501">
        <f>K36+L36</f>
        <v>0</v>
      </c>
      <c r="K36" s="501"/>
      <c r="L36" s="501"/>
      <c r="M36" s="501">
        <f>N36+O36</f>
        <v>0</v>
      </c>
      <c r="N36" s="501"/>
      <c r="O36" s="501"/>
      <c r="P36" s="501">
        <v>700</v>
      </c>
      <c r="Q36" s="501"/>
      <c r="R36" s="501"/>
      <c r="S36" s="501"/>
      <c r="T36" s="502"/>
      <c r="U36" s="501"/>
      <c r="V36" s="501">
        <f>E36</f>
        <v>700</v>
      </c>
      <c r="W36" s="711"/>
      <c r="X36" s="449"/>
      <c r="Y36" s="449"/>
      <c r="Z36" s="449"/>
      <c r="AA36" s="449"/>
      <c r="AB36" s="449"/>
      <c r="AC36" s="449"/>
      <c r="AD36" s="449"/>
      <c r="AE36" s="449"/>
      <c r="AF36" s="449"/>
      <c r="AG36" s="449"/>
    </row>
    <row r="37" spans="1:33" s="455" customFormat="1" ht="48.75" customHeight="1">
      <c r="A37" s="456" t="s">
        <v>51</v>
      </c>
      <c r="B37" s="457" t="s">
        <v>62</v>
      </c>
      <c r="C37" s="453">
        <f>228</f>
        <v>228</v>
      </c>
      <c r="D37" s="454"/>
      <c r="E37" s="501">
        <f t="shared" ref="E37:E42" si="15">G37+R37</f>
        <v>1385</v>
      </c>
      <c r="F37" s="501">
        <f t="shared" si="2"/>
        <v>1157</v>
      </c>
      <c r="G37" s="501">
        <f>H37+P37+Q37</f>
        <v>1385</v>
      </c>
      <c r="H37" s="501">
        <f>J37+M37</f>
        <v>0</v>
      </c>
      <c r="I37" s="501"/>
      <c r="J37" s="501">
        <f>K37+L37</f>
        <v>0</v>
      </c>
      <c r="K37" s="501"/>
      <c r="L37" s="501"/>
      <c r="M37" s="501">
        <f>N37+O37</f>
        <v>0</v>
      </c>
      <c r="N37" s="501"/>
      <c r="O37" s="501">
        <v>0</v>
      </c>
      <c r="P37" s="501">
        <f>790+595</f>
        <v>1385</v>
      </c>
      <c r="Q37" s="501"/>
      <c r="R37" s="501"/>
      <c r="S37" s="501"/>
      <c r="T37" s="502"/>
      <c r="U37" s="501"/>
      <c r="V37" s="501">
        <f>E37</f>
        <v>1385</v>
      </c>
      <c r="W37" s="711"/>
      <c r="X37" s="449"/>
      <c r="Y37" s="449"/>
      <c r="Z37" s="449"/>
      <c r="AA37" s="449"/>
      <c r="AB37" s="449"/>
      <c r="AC37" s="449"/>
      <c r="AD37" s="449"/>
      <c r="AE37" s="449"/>
      <c r="AF37" s="449"/>
      <c r="AG37" s="449"/>
    </row>
    <row r="38" spans="1:33" s="455" customFormat="1" ht="15.75" customHeight="1">
      <c r="A38" s="456" t="s">
        <v>51</v>
      </c>
      <c r="B38" s="452" t="s">
        <v>751</v>
      </c>
      <c r="C38" s="453">
        <f t="shared" ref="C38:V38" si="16">C39+C40+C41</f>
        <v>2533</v>
      </c>
      <c r="D38" s="454">
        <f t="shared" si="16"/>
        <v>0</v>
      </c>
      <c r="E38" s="501">
        <f>G38+R38</f>
        <v>3919.85</v>
      </c>
      <c r="F38" s="501">
        <f t="shared" si="2"/>
        <v>1386.85</v>
      </c>
      <c r="G38" s="501">
        <f>G39+G40+G41</f>
        <v>3919.85</v>
      </c>
      <c r="H38" s="501">
        <f t="shared" si="16"/>
        <v>0</v>
      </c>
      <c r="I38" s="501">
        <f t="shared" si="16"/>
        <v>0</v>
      </c>
      <c r="J38" s="501">
        <f t="shared" si="16"/>
        <v>0</v>
      </c>
      <c r="K38" s="501">
        <f t="shared" si="16"/>
        <v>0</v>
      </c>
      <c r="L38" s="501"/>
      <c r="M38" s="501">
        <f t="shared" si="16"/>
        <v>0</v>
      </c>
      <c r="N38" s="501">
        <f t="shared" si="16"/>
        <v>0</v>
      </c>
      <c r="O38" s="501">
        <f t="shared" si="16"/>
        <v>0</v>
      </c>
      <c r="P38" s="501">
        <f t="shared" si="16"/>
        <v>3919.85</v>
      </c>
      <c r="Q38" s="501">
        <f t="shared" si="16"/>
        <v>0</v>
      </c>
      <c r="R38" s="501">
        <f t="shared" si="16"/>
        <v>0</v>
      </c>
      <c r="S38" s="501">
        <f t="shared" si="16"/>
        <v>0</v>
      </c>
      <c r="T38" s="502">
        <f t="shared" si="16"/>
        <v>0</v>
      </c>
      <c r="U38" s="501">
        <f t="shared" si="16"/>
        <v>0</v>
      </c>
      <c r="V38" s="501">
        <f t="shared" si="16"/>
        <v>3919.85</v>
      </c>
      <c r="W38" s="585"/>
      <c r="X38" s="449"/>
      <c r="Y38" s="449"/>
      <c r="Z38" s="449"/>
      <c r="AA38" s="449"/>
      <c r="AB38" s="449"/>
      <c r="AC38" s="449"/>
      <c r="AD38" s="449"/>
      <c r="AE38" s="449"/>
      <c r="AF38" s="449"/>
      <c r="AG38" s="449"/>
    </row>
    <row r="39" spans="1:33" s="455" customFormat="1" ht="21.75" customHeight="1">
      <c r="A39" s="456" t="s">
        <v>137</v>
      </c>
      <c r="B39" s="452" t="s">
        <v>138</v>
      </c>
      <c r="C39" s="453">
        <f>2533</f>
        <v>2533</v>
      </c>
      <c r="D39" s="454"/>
      <c r="E39" s="501">
        <f t="shared" si="15"/>
        <v>688.85</v>
      </c>
      <c r="F39" s="501">
        <f t="shared" si="2"/>
        <v>-1844.15</v>
      </c>
      <c r="G39" s="501">
        <f>H39+P39+Q39</f>
        <v>688.85</v>
      </c>
      <c r="H39" s="501">
        <f>J39+M39</f>
        <v>0</v>
      </c>
      <c r="I39" s="501"/>
      <c r="J39" s="501">
        <f>K39+L39</f>
        <v>0</v>
      </c>
      <c r="K39" s="501"/>
      <c r="L39" s="501"/>
      <c r="M39" s="501">
        <f>N39+O39</f>
        <v>0</v>
      </c>
      <c r="N39" s="501"/>
      <c r="O39" s="501">
        <v>0</v>
      </c>
      <c r="P39" s="501">
        <f>794.7-14.85-91</f>
        <v>688.85</v>
      </c>
      <c r="Q39" s="501"/>
      <c r="R39" s="501"/>
      <c r="S39" s="501"/>
      <c r="T39" s="502"/>
      <c r="U39" s="501"/>
      <c r="V39" s="501">
        <f>E39</f>
        <v>688.85</v>
      </c>
      <c r="W39" s="585" t="s">
        <v>129</v>
      </c>
      <c r="X39" s="449"/>
      <c r="Y39" s="449"/>
      <c r="Z39" s="449"/>
      <c r="AA39" s="449"/>
      <c r="AB39" s="449"/>
      <c r="AC39" s="449"/>
      <c r="AD39" s="449"/>
      <c r="AE39" s="449"/>
      <c r="AF39" s="449"/>
      <c r="AG39" s="449"/>
    </row>
    <row r="40" spans="1:33" s="455" customFormat="1" ht="31.5" customHeight="1">
      <c r="A40" s="456" t="s">
        <v>137</v>
      </c>
      <c r="B40" s="461" t="s">
        <v>752</v>
      </c>
      <c r="C40" s="453"/>
      <c r="D40" s="454"/>
      <c r="E40" s="501">
        <f t="shared" si="15"/>
        <v>91</v>
      </c>
      <c r="F40" s="501">
        <f t="shared" si="2"/>
        <v>91</v>
      </c>
      <c r="G40" s="501">
        <f>H40+P40+Q40</f>
        <v>91</v>
      </c>
      <c r="H40" s="501">
        <f>J40+M40</f>
        <v>0</v>
      </c>
      <c r="I40" s="501"/>
      <c r="J40" s="501">
        <f>K40+L40</f>
        <v>0</v>
      </c>
      <c r="K40" s="501"/>
      <c r="L40" s="501"/>
      <c r="M40" s="501">
        <f>N40+O40</f>
        <v>0</v>
      </c>
      <c r="N40" s="501"/>
      <c r="O40" s="501">
        <v>0</v>
      </c>
      <c r="P40" s="501">
        <v>91</v>
      </c>
      <c r="Q40" s="501"/>
      <c r="R40" s="501"/>
      <c r="S40" s="501"/>
      <c r="T40" s="502"/>
      <c r="U40" s="501"/>
      <c r="V40" s="501">
        <f>E40</f>
        <v>91</v>
      </c>
      <c r="W40" s="585" t="s">
        <v>139</v>
      </c>
      <c r="X40" s="449"/>
      <c r="Y40" s="449"/>
      <c r="Z40" s="449"/>
      <c r="AA40" s="449"/>
      <c r="AB40" s="449"/>
      <c r="AC40" s="449"/>
      <c r="AD40" s="449"/>
      <c r="AE40" s="449"/>
      <c r="AF40" s="449"/>
      <c r="AG40" s="449"/>
    </row>
    <row r="41" spans="1:33" s="455" customFormat="1" ht="21.75" customHeight="1">
      <c r="A41" s="456" t="s">
        <v>137</v>
      </c>
      <c r="B41" s="452" t="s">
        <v>140</v>
      </c>
      <c r="C41" s="453"/>
      <c r="D41" s="454"/>
      <c r="E41" s="501">
        <f t="shared" si="15"/>
        <v>3140</v>
      </c>
      <c r="F41" s="501">
        <f t="shared" si="2"/>
        <v>3140</v>
      </c>
      <c r="G41" s="501">
        <f>H41+P41+Q41</f>
        <v>3140</v>
      </c>
      <c r="H41" s="501">
        <f>J41+M41</f>
        <v>0</v>
      </c>
      <c r="I41" s="501"/>
      <c r="J41" s="501">
        <f>K41+L41</f>
        <v>0</v>
      </c>
      <c r="K41" s="501"/>
      <c r="L41" s="501"/>
      <c r="M41" s="501">
        <f>N41+O41</f>
        <v>0</v>
      </c>
      <c r="N41" s="501"/>
      <c r="O41" s="501">
        <v>0</v>
      </c>
      <c r="P41" s="501">
        <f>3125.15+14.85</f>
        <v>3140</v>
      </c>
      <c r="Q41" s="501"/>
      <c r="R41" s="501"/>
      <c r="S41" s="501"/>
      <c r="T41" s="502"/>
      <c r="U41" s="501"/>
      <c r="V41" s="501">
        <f>E41</f>
        <v>3140</v>
      </c>
      <c r="W41" s="585" t="s">
        <v>129</v>
      </c>
      <c r="X41" s="449"/>
      <c r="Y41" s="449"/>
      <c r="Z41" s="449"/>
      <c r="AA41" s="449"/>
      <c r="AB41" s="449"/>
      <c r="AC41" s="449"/>
      <c r="AD41" s="449"/>
      <c r="AE41" s="449"/>
      <c r="AF41" s="449"/>
      <c r="AG41" s="449"/>
    </row>
    <row r="42" spans="1:33" s="455" customFormat="1" ht="28.5" hidden="1" customHeight="1">
      <c r="A42" s="456" t="s">
        <v>51</v>
      </c>
      <c r="B42" s="457" t="s">
        <v>141</v>
      </c>
      <c r="C42" s="453"/>
      <c r="D42" s="454"/>
      <c r="E42" s="501">
        <f t="shared" si="15"/>
        <v>0</v>
      </c>
      <c r="F42" s="501">
        <f t="shared" si="2"/>
        <v>0</v>
      </c>
      <c r="G42" s="501">
        <f>H42+P42+Q42</f>
        <v>0</v>
      </c>
      <c r="H42" s="501">
        <f>J42+M42</f>
        <v>0</v>
      </c>
      <c r="I42" s="501"/>
      <c r="J42" s="501">
        <f>K42+L42</f>
        <v>0</v>
      </c>
      <c r="K42" s="501"/>
      <c r="L42" s="501"/>
      <c r="M42" s="501">
        <f>N42+O42</f>
        <v>0</v>
      </c>
      <c r="N42" s="501"/>
      <c r="O42" s="501"/>
      <c r="P42" s="501"/>
      <c r="Q42" s="501"/>
      <c r="R42" s="501">
        <v>0</v>
      </c>
      <c r="S42" s="501"/>
      <c r="T42" s="502"/>
      <c r="U42" s="501"/>
      <c r="V42" s="501"/>
      <c r="W42" s="585" t="s">
        <v>139</v>
      </c>
      <c r="X42" s="449"/>
      <c r="Y42" s="449"/>
      <c r="Z42" s="449"/>
      <c r="AA42" s="449"/>
      <c r="AB42" s="449"/>
      <c r="AC42" s="449"/>
      <c r="AD42" s="449"/>
      <c r="AE42" s="449"/>
      <c r="AF42" s="449"/>
      <c r="AG42" s="449"/>
    </row>
    <row r="43" spans="1:33" s="455" customFormat="1" ht="18" customHeight="1">
      <c r="A43" s="451" t="s">
        <v>34</v>
      </c>
      <c r="B43" s="452" t="s">
        <v>142</v>
      </c>
      <c r="C43" s="453">
        <f>C44+C54</f>
        <v>2160.4340000000002</v>
      </c>
      <c r="D43" s="454"/>
      <c r="E43" s="501">
        <f t="shared" ref="E43:U43" si="17">E44+E54</f>
        <v>2154.5200000000004</v>
      </c>
      <c r="F43" s="501">
        <f t="shared" si="2"/>
        <v>-5.9139999999997599</v>
      </c>
      <c r="G43" s="501">
        <f t="shared" si="17"/>
        <v>2154.5200000000004</v>
      </c>
      <c r="H43" s="501">
        <f t="shared" si="17"/>
        <v>1481.3700000000001</v>
      </c>
      <c r="I43" s="501">
        <f t="shared" si="17"/>
        <v>11</v>
      </c>
      <c r="J43" s="501">
        <f t="shared" si="17"/>
        <v>1283.3700000000001</v>
      </c>
      <c r="K43" s="501">
        <f t="shared" si="17"/>
        <v>0</v>
      </c>
      <c r="L43" s="501">
        <f t="shared" si="17"/>
        <v>0</v>
      </c>
      <c r="M43" s="501">
        <f t="shared" si="17"/>
        <v>198</v>
      </c>
      <c r="N43" s="501">
        <f t="shared" si="17"/>
        <v>198</v>
      </c>
      <c r="O43" s="501">
        <f t="shared" si="17"/>
        <v>0</v>
      </c>
      <c r="P43" s="501">
        <f t="shared" si="17"/>
        <v>673.15</v>
      </c>
      <c r="Q43" s="501">
        <f t="shared" si="17"/>
        <v>0</v>
      </c>
      <c r="R43" s="501">
        <f t="shared" si="17"/>
        <v>0</v>
      </c>
      <c r="S43" s="501">
        <f t="shared" si="17"/>
        <v>27.8</v>
      </c>
      <c r="T43" s="502">
        <f t="shared" si="17"/>
        <v>88.96</v>
      </c>
      <c r="U43" s="501">
        <f t="shared" si="17"/>
        <v>88.96</v>
      </c>
      <c r="V43" s="501">
        <f>V44+V54</f>
        <v>2126.7200000000003</v>
      </c>
      <c r="W43" s="585"/>
      <c r="X43" s="449"/>
      <c r="Y43" s="449"/>
      <c r="Z43" s="449"/>
      <c r="AA43" s="449"/>
      <c r="AB43" s="449"/>
      <c r="AC43" s="449"/>
      <c r="AD43" s="449"/>
      <c r="AE43" s="449"/>
      <c r="AF43" s="449"/>
      <c r="AG43" s="449"/>
    </row>
    <row r="44" spans="1:33" s="455" customFormat="1" ht="18" customHeight="1">
      <c r="A44" s="451" t="s">
        <v>29</v>
      </c>
      <c r="B44" s="452" t="s">
        <v>753</v>
      </c>
      <c r="C44" s="453">
        <f>SUM(C45:C51)</f>
        <v>885.54399999999998</v>
      </c>
      <c r="D44" s="454"/>
      <c r="E44" s="501">
        <f>SUM(E45:E53)</f>
        <v>802.71</v>
      </c>
      <c r="F44" s="501">
        <f t="shared" si="2"/>
        <v>-82.833999999999946</v>
      </c>
      <c r="G44" s="501">
        <f t="shared" ref="G44:V44" si="18">SUM(G45:G53)</f>
        <v>802.71</v>
      </c>
      <c r="H44" s="501">
        <f t="shared" si="18"/>
        <v>272.71000000000004</v>
      </c>
      <c r="I44" s="501">
        <f t="shared" si="18"/>
        <v>3</v>
      </c>
      <c r="J44" s="501">
        <f t="shared" si="18"/>
        <v>218.71</v>
      </c>
      <c r="K44" s="501">
        <f t="shared" si="18"/>
        <v>0</v>
      </c>
      <c r="L44" s="501">
        <f t="shared" si="18"/>
        <v>0</v>
      </c>
      <c r="M44" s="501">
        <f t="shared" si="18"/>
        <v>54</v>
      </c>
      <c r="N44" s="501">
        <f t="shared" si="18"/>
        <v>54</v>
      </c>
      <c r="O44" s="501">
        <f t="shared" si="18"/>
        <v>0</v>
      </c>
      <c r="P44" s="501">
        <f t="shared" si="18"/>
        <v>530</v>
      </c>
      <c r="Q44" s="501">
        <f t="shared" si="18"/>
        <v>0</v>
      </c>
      <c r="R44" s="501">
        <f t="shared" si="18"/>
        <v>0</v>
      </c>
      <c r="S44" s="501">
        <f t="shared" si="18"/>
        <v>13.4</v>
      </c>
      <c r="T44" s="502">
        <f t="shared" si="18"/>
        <v>0</v>
      </c>
      <c r="U44" s="501">
        <f t="shared" si="18"/>
        <v>0</v>
      </c>
      <c r="V44" s="501">
        <f t="shared" si="18"/>
        <v>789.31</v>
      </c>
      <c r="W44" s="585" t="s">
        <v>753</v>
      </c>
      <c r="X44" s="449"/>
      <c r="Y44" s="449"/>
      <c r="Z44" s="449"/>
      <c r="AA44" s="449"/>
      <c r="AB44" s="449"/>
      <c r="AC44" s="449"/>
      <c r="AD44" s="449"/>
      <c r="AE44" s="449"/>
      <c r="AF44" s="449"/>
      <c r="AG44" s="449"/>
    </row>
    <row r="45" spans="1:33" s="455" customFormat="1" ht="16.5" customHeight="1">
      <c r="A45" s="451" t="s">
        <v>11</v>
      </c>
      <c r="B45" s="452" t="s">
        <v>754</v>
      </c>
      <c r="C45" s="453">
        <v>310.22000000000003</v>
      </c>
      <c r="D45" s="454"/>
      <c r="E45" s="501">
        <f t="shared" ref="E45:E53" si="19">G45+R45</f>
        <v>207.39</v>
      </c>
      <c r="F45" s="501">
        <f t="shared" si="2"/>
        <v>-102.83000000000004</v>
      </c>
      <c r="G45" s="501">
        <f t="shared" ref="G45:G53" si="20">H45+P45+Q45</f>
        <v>207.39</v>
      </c>
      <c r="H45" s="501">
        <f t="shared" ref="H45:H50" si="21">J45+M45</f>
        <v>207.39</v>
      </c>
      <c r="I45" s="501">
        <v>3</v>
      </c>
      <c r="J45" s="501">
        <v>207.39</v>
      </c>
      <c r="K45" s="501"/>
      <c r="L45" s="501"/>
      <c r="M45" s="501">
        <f t="shared" ref="M45:M51" si="22">N45+O45</f>
        <v>0</v>
      </c>
      <c r="N45" s="501"/>
      <c r="O45" s="501">
        <v>0</v>
      </c>
      <c r="P45" s="501"/>
      <c r="Q45" s="501"/>
      <c r="R45" s="501"/>
      <c r="S45" s="501"/>
      <c r="T45" s="502"/>
      <c r="U45" s="501"/>
      <c r="V45" s="501">
        <f>E45+T45-U45</f>
        <v>207.39</v>
      </c>
      <c r="W45" s="585"/>
      <c r="X45" s="449"/>
      <c r="Y45" s="449"/>
      <c r="Z45" s="449"/>
      <c r="AA45" s="449"/>
      <c r="AB45" s="449"/>
      <c r="AC45" s="449"/>
      <c r="AD45" s="449"/>
      <c r="AE45" s="449"/>
      <c r="AF45" s="449"/>
      <c r="AG45" s="449"/>
    </row>
    <row r="46" spans="1:33" s="455" customFormat="1" ht="16.5" customHeight="1">
      <c r="A46" s="451" t="s">
        <v>11</v>
      </c>
      <c r="B46" s="452" t="s">
        <v>143</v>
      </c>
      <c r="C46" s="453">
        <v>5.3639999999999999</v>
      </c>
      <c r="D46" s="454"/>
      <c r="E46" s="501">
        <f t="shared" si="19"/>
        <v>5.36</v>
      </c>
      <c r="F46" s="501">
        <f t="shared" si="2"/>
        <v>-3.9999999999995595E-3</v>
      </c>
      <c r="G46" s="501">
        <f t="shared" si="20"/>
        <v>5.36</v>
      </c>
      <c r="H46" s="501">
        <f t="shared" si="21"/>
        <v>5.36</v>
      </c>
      <c r="I46" s="501"/>
      <c r="J46" s="501">
        <v>5.36</v>
      </c>
      <c r="K46" s="501"/>
      <c r="L46" s="501"/>
      <c r="M46" s="501">
        <f t="shared" si="22"/>
        <v>0</v>
      </c>
      <c r="N46" s="501"/>
      <c r="O46" s="501">
        <v>0</v>
      </c>
      <c r="P46" s="501"/>
      <c r="Q46" s="501"/>
      <c r="R46" s="501"/>
      <c r="S46" s="501"/>
      <c r="T46" s="502"/>
      <c r="U46" s="501"/>
      <c r="V46" s="501">
        <f>E46</f>
        <v>5.36</v>
      </c>
      <c r="W46" s="585"/>
      <c r="X46" s="449"/>
      <c r="Y46" s="449"/>
      <c r="Z46" s="449"/>
      <c r="AA46" s="449"/>
      <c r="AB46" s="449"/>
      <c r="AC46" s="449"/>
      <c r="AD46" s="449"/>
      <c r="AE46" s="449"/>
      <c r="AF46" s="449"/>
      <c r="AG46" s="449"/>
    </row>
    <row r="47" spans="1:33" s="455" customFormat="1" ht="27.75" customHeight="1">
      <c r="A47" s="451" t="s">
        <v>11</v>
      </c>
      <c r="B47" s="457" t="s">
        <v>144</v>
      </c>
      <c r="C47" s="453">
        <v>5.96</v>
      </c>
      <c r="D47" s="454"/>
      <c r="E47" s="501">
        <f t="shared" si="19"/>
        <v>5.96</v>
      </c>
      <c r="F47" s="501">
        <f t="shared" si="2"/>
        <v>0</v>
      </c>
      <c r="G47" s="501">
        <f t="shared" si="20"/>
        <v>5.96</v>
      </c>
      <c r="H47" s="501">
        <f t="shared" si="21"/>
        <v>5.96</v>
      </c>
      <c r="I47" s="501">
        <v>0</v>
      </c>
      <c r="J47" s="501">
        <v>5.96</v>
      </c>
      <c r="K47" s="501"/>
      <c r="L47" s="501"/>
      <c r="M47" s="501">
        <f t="shared" si="22"/>
        <v>0</v>
      </c>
      <c r="N47" s="501"/>
      <c r="O47" s="501">
        <v>0</v>
      </c>
      <c r="P47" s="501"/>
      <c r="Q47" s="501"/>
      <c r="R47" s="501"/>
      <c r="S47" s="501"/>
      <c r="T47" s="502"/>
      <c r="U47" s="501"/>
      <c r="V47" s="501">
        <f>E47</f>
        <v>5.96</v>
      </c>
      <c r="W47" s="585"/>
      <c r="X47" s="449"/>
      <c r="Y47" s="449"/>
      <c r="Z47" s="449"/>
      <c r="AA47" s="449"/>
      <c r="AB47" s="449"/>
      <c r="AC47" s="449"/>
      <c r="AD47" s="449"/>
      <c r="AE47" s="449"/>
      <c r="AF47" s="449"/>
      <c r="AG47" s="449"/>
    </row>
    <row r="48" spans="1:33" s="455" customFormat="1" ht="16.5" customHeight="1">
      <c r="A48" s="451" t="s">
        <v>11</v>
      </c>
      <c r="B48" s="452" t="s">
        <v>755</v>
      </c>
      <c r="C48" s="453">
        <v>72</v>
      </c>
      <c r="D48" s="454"/>
      <c r="E48" s="501">
        <f t="shared" si="19"/>
        <v>54</v>
      </c>
      <c r="F48" s="501">
        <f t="shared" si="2"/>
        <v>-18</v>
      </c>
      <c r="G48" s="501">
        <f t="shared" si="20"/>
        <v>54</v>
      </c>
      <c r="H48" s="501">
        <f t="shared" si="21"/>
        <v>54</v>
      </c>
      <c r="I48" s="501"/>
      <c r="J48" s="501"/>
      <c r="K48" s="501"/>
      <c r="L48" s="501"/>
      <c r="M48" s="501">
        <f t="shared" si="22"/>
        <v>54</v>
      </c>
      <c r="N48" s="501">
        <f>18*3</f>
        <v>54</v>
      </c>
      <c r="O48" s="501">
        <v>0</v>
      </c>
      <c r="P48" s="501">
        <v>0</v>
      </c>
      <c r="Q48" s="501"/>
      <c r="R48" s="501">
        <v>0</v>
      </c>
      <c r="S48" s="501">
        <v>5.4</v>
      </c>
      <c r="T48" s="502"/>
      <c r="U48" s="501"/>
      <c r="V48" s="501">
        <f>E48-S48</f>
        <v>48.6</v>
      </c>
      <c r="W48" s="585"/>
      <c r="X48" s="449"/>
      <c r="Y48" s="449"/>
      <c r="Z48" s="449"/>
      <c r="AA48" s="449"/>
      <c r="AB48" s="449"/>
      <c r="AC48" s="449"/>
      <c r="AD48" s="449"/>
      <c r="AE48" s="449"/>
      <c r="AF48" s="449"/>
      <c r="AG48" s="449"/>
    </row>
    <row r="49" spans="1:33" s="455" customFormat="1" ht="16.5" customHeight="1">
      <c r="A49" s="451" t="s">
        <v>11</v>
      </c>
      <c r="B49" s="452" t="s">
        <v>145</v>
      </c>
      <c r="C49" s="453">
        <v>450</v>
      </c>
      <c r="D49" s="454"/>
      <c r="E49" s="501">
        <f t="shared" si="19"/>
        <v>450</v>
      </c>
      <c r="F49" s="501">
        <f t="shared" si="2"/>
        <v>0</v>
      </c>
      <c r="G49" s="501">
        <f t="shared" si="20"/>
        <v>450</v>
      </c>
      <c r="H49" s="501">
        <f t="shared" si="21"/>
        <v>0</v>
      </c>
      <c r="I49" s="501"/>
      <c r="J49" s="501"/>
      <c r="K49" s="501"/>
      <c r="L49" s="501"/>
      <c r="M49" s="501">
        <f t="shared" si="22"/>
        <v>0</v>
      </c>
      <c r="N49" s="501"/>
      <c r="O49" s="501">
        <v>0</v>
      </c>
      <c r="P49" s="501">
        <v>450</v>
      </c>
      <c r="Q49" s="501"/>
      <c r="R49" s="501"/>
      <c r="S49" s="501">
        <v>0</v>
      </c>
      <c r="T49" s="502"/>
      <c r="U49" s="501"/>
      <c r="V49" s="501">
        <f>E49</f>
        <v>450</v>
      </c>
      <c r="W49" s="585"/>
      <c r="X49" s="449"/>
      <c r="Y49" s="449"/>
      <c r="Z49" s="449"/>
      <c r="AA49" s="449"/>
      <c r="AB49" s="449"/>
      <c r="AC49" s="449"/>
      <c r="AD49" s="449"/>
      <c r="AE49" s="449"/>
      <c r="AF49" s="449"/>
      <c r="AG49" s="449"/>
    </row>
    <row r="50" spans="1:33" s="455" customFormat="1" ht="16.5" hidden="1" customHeight="1">
      <c r="A50" s="451" t="s">
        <v>11</v>
      </c>
      <c r="B50" s="452" t="s">
        <v>756</v>
      </c>
      <c r="C50" s="453">
        <v>14</v>
      </c>
      <c r="D50" s="454"/>
      <c r="E50" s="501">
        <f t="shared" si="19"/>
        <v>0</v>
      </c>
      <c r="F50" s="501">
        <f t="shared" si="2"/>
        <v>-14</v>
      </c>
      <c r="G50" s="501">
        <f t="shared" si="20"/>
        <v>0</v>
      </c>
      <c r="H50" s="501">
        <f t="shared" si="21"/>
        <v>0</v>
      </c>
      <c r="I50" s="501"/>
      <c r="J50" s="501">
        <f>K50+L50</f>
        <v>0</v>
      </c>
      <c r="K50" s="501"/>
      <c r="L50" s="501"/>
      <c r="M50" s="501">
        <f>N50+O50</f>
        <v>0</v>
      </c>
      <c r="N50" s="501"/>
      <c r="O50" s="501">
        <v>0</v>
      </c>
      <c r="P50" s="501"/>
      <c r="Q50" s="501"/>
      <c r="R50" s="501"/>
      <c r="S50" s="501"/>
      <c r="T50" s="502"/>
      <c r="U50" s="501"/>
      <c r="V50" s="501"/>
      <c r="W50" s="585"/>
      <c r="X50" s="449"/>
      <c r="Y50" s="449"/>
      <c r="Z50" s="449"/>
      <c r="AA50" s="449"/>
      <c r="AB50" s="449"/>
      <c r="AC50" s="449"/>
      <c r="AD50" s="449"/>
      <c r="AE50" s="449"/>
      <c r="AF50" s="449"/>
      <c r="AG50" s="449"/>
    </row>
    <row r="51" spans="1:33" s="455" customFormat="1" ht="16.5" hidden="1" customHeight="1">
      <c r="A51" s="451" t="s">
        <v>11</v>
      </c>
      <c r="B51" s="462" t="s">
        <v>146</v>
      </c>
      <c r="C51" s="453">
        <v>28</v>
      </c>
      <c r="D51" s="454"/>
      <c r="E51" s="501">
        <f t="shared" si="19"/>
        <v>0</v>
      </c>
      <c r="F51" s="501">
        <f t="shared" si="2"/>
        <v>-28</v>
      </c>
      <c r="G51" s="501">
        <f t="shared" si="20"/>
        <v>0</v>
      </c>
      <c r="H51" s="501">
        <f>J51+M51</f>
        <v>0</v>
      </c>
      <c r="I51" s="501"/>
      <c r="J51" s="501">
        <f>K51+L51</f>
        <v>0</v>
      </c>
      <c r="K51" s="501"/>
      <c r="L51" s="501"/>
      <c r="M51" s="501">
        <f t="shared" si="22"/>
        <v>0</v>
      </c>
      <c r="N51" s="501"/>
      <c r="O51" s="501">
        <v>0</v>
      </c>
      <c r="P51" s="501"/>
      <c r="Q51" s="501"/>
      <c r="R51" s="501"/>
      <c r="S51" s="501"/>
      <c r="T51" s="502"/>
      <c r="U51" s="501"/>
      <c r="V51" s="501"/>
      <c r="W51" s="585"/>
      <c r="X51" s="449"/>
      <c r="Y51" s="449"/>
      <c r="Z51" s="449"/>
      <c r="AA51" s="449"/>
      <c r="AB51" s="449"/>
      <c r="AC51" s="449"/>
      <c r="AD51" s="449"/>
      <c r="AE51" s="449"/>
      <c r="AF51" s="449"/>
      <c r="AG51" s="449"/>
    </row>
    <row r="52" spans="1:33" s="455" customFormat="1" ht="30" customHeight="1">
      <c r="A52" s="451" t="s">
        <v>11</v>
      </c>
      <c r="B52" s="457" t="s">
        <v>757</v>
      </c>
      <c r="C52" s="453"/>
      <c r="D52" s="454"/>
      <c r="E52" s="501">
        <f t="shared" si="19"/>
        <v>80</v>
      </c>
      <c r="F52" s="501">
        <f t="shared" si="2"/>
        <v>80</v>
      </c>
      <c r="G52" s="501">
        <f t="shared" si="20"/>
        <v>80</v>
      </c>
      <c r="H52" s="501">
        <f>J52+M52</f>
        <v>0</v>
      </c>
      <c r="I52" s="501"/>
      <c r="J52" s="501"/>
      <c r="K52" s="501"/>
      <c r="L52" s="501"/>
      <c r="M52" s="501"/>
      <c r="N52" s="501"/>
      <c r="O52" s="501"/>
      <c r="P52" s="501">
        <v>80</v>
      </c>
      <c r="Q52" s="501"/>
      <c r="R52" s="501"/>
      <c r="S52" s="501">
        <v>8</v>
      </c>
      <c r="T52" s="502"/>
      <c r="U52" s="501"/>
      <c r="V52" s="501">
        <f>E52-S52</f>
        <v>72</v>
      </c>
      <c r="W52" s="585"/>
      <c r="X52" s="449"/>
      <c r="Y52" s="449"/>
      <c r="Z52" s="449"/>
      <c r="AA52" s="449"/>
      <c r="AB52" s="449"/>
      <c r="AC52" s="449"/>
      <c r="AD52" s="449"/>
      <c r="AE52" s="449"/>
      <c r="AF52" s="449"/>
      <c r="AG52" s="449"/>
    </row>
    <row r="53" spans="1:33" s="455" customFormat="1" ht="17.25" hidden="1" customHeight="1">
      <c r="A53" s="451" t="s">
        <v>11</v>
      </c>
      <c r="B53" s="457"/>
      <c r="C53" s="453"/>
      <c r="D53" s="454"/>
      <c r="E53" s="501">
        <f t="shared" si="19"/>
        <v>0</v>
      </c>
      <c r="F53" s="501">
        <f t="shared" si="2"/>
        <v>0</v>
      </c>
      <c r="G53" s="501">
        <f t="shared" si="20"/>
        <v>0</v>
      </c>
      <c r="H53" s="501">
        <f>J53+M53</f>
        <v>0</v>
      </c>
      <c r="I53" s="501"/>
      <c r="J53" s="501"/>
      <c r="K53" s="501"/>
      <c r="L53" s="501"/>
      <c r="M53" s="501"/>
      <c r="N53" s="501"/>
      <c r="O53" s="501"/>
      <c r="P53" s="501"/>
      <c r="Q53" s="501"/>
      <c r="R53" s="501"/>
      <c r="S53" s="501"/>
      <c r="T53" s="502"/>
      <c r="U53" s="501"/>
      <c r="V53" s="501"/>
      <c r="W53" s="585"/>
      <c r="X53" s="449"/>
      <c r="Y53" s="449"/>
      <c r="Z53" s="449"/>
      <c r="AA53" s="449"/>
      <c r="AB53" s="449"/>
      <c r="AC53" s="449"/>
      <c r="AD53" s="449"/>
      <c r="AE53" s="449"/>
      <c r="AF53" s="449"/>
      <c r="AG53" s="449"/>
    </row>
    <row r="54" spans="1:33" s="455" customFormat="1" ht="18" customHeight="1">
      <c r="A54" s="451" t="s">
        <v>30</v>
      </c>
      <c r="B54" s="452" t="s">
        <v>147</v>
      </c>
      <c r="C54" s="453">
        <f>SUM(C55:C60)</f>
        <v>1274.8900000000001</v>
      </c>
      <c r="D54" s="453">
        <f>SUM(D55:D60)</f>
        <v>0</v>
      </c>
      <c r="E54" s="501">
        <f>SUM(E55:E60)</f>
        <v>1351.8100000000002</v>
      </c>
      <c r="F54" s="501">
        <f t="shared" si="2"/>
        <v>76.920000000000073</v>
      </c>
      <c r="G54" s="501">
        <f t="shared" ref="G54:R54" si="23">SUM(G55:G60)</f>
        <v>1351.8100000000002</v>
      </c>
      <c r="H54" s="501">
        <f t="shared" si="23"/>
        <v>1208.6600000000001</v>
      </c>
      <c r="I54" s="501">
        <f t="shared" si="23"/>
        <v>8</v>
      </c>
      <c r="J54" s="501">
        <f t="shared" si="23"/>
        <v>1064.6600000000001</v>
      </c>
      <c r="K54" s="501">
        <f t="shared" si="23"/>
        <v>0</v>
      </c>
      <c r="L54" s="501">
        <f t="shared" si="23"/>
        <v>0</v>
      </c>
      <c r="M54" s="501">
        <f t="shared" si="23"/>
        <v>144</v>
      </c>
      <c r="N54" s="501">
        <f t="shared" si="23"/>
        <v>144</v>
      </c>
      <c r="O54" s="501">
        <f t="shared" si="23"/>
        <v>0</v>
      </c>
      <c r="P54" s="501">
        <f t="shared" si="23"/>
        <v>143.14999999999998</v>
      </c>
      <c r="Q54" s="501">
        <f t="shared" si="23"/>
        <v>0</v>
      </c>
      <c r="R54" s="501">
        <f t="shared" si="23"/>
        <v>0</v>
      </c>
      <c r="S54" s="501">
        <f>SUM(S55:S61)</f>
        <v>14.4</v>
      </c>
      <c r="T54" s="502">
        <f>SUM(T55:T61)</f>
        <v>88.96</v>
      </c>
      <c r="U54" s="501">
        <f>SUM(U55:U61)</f>
        <v>88.96</v>
      </c>
      <c r="V54" s="501">
        <f>SUM(V55:V61)</f>
        <v>1337.41</v>
      </c>
      <c r="W54" s="585" t="s">
        <v>148</v>
      </c>
      <c r="X54" s="449"/>
      <c r="Y54" s="449"/>
      <c r="Z54" s="449"/>
      <c r="AA54" s="449"/>
      <c r="AB54" s="449"/>
      <c r="AC54" s="449"/>
      <c r="AD54" s="449"/>
      <c r="AE54" s="449"/>
      <c r="AF54" s="449"/>
      <c r="AG54" s="449"/>
    </row>
    <row r="55" spans="1:33" s="455" customFormat="1" ht="16.5" customHeight="1">
      <c r="A55" s="451" t="s">
        <v>11</v>
      </c>
      <c r="B55" s="452" t="s">
        <v>758</v>
      </c>
      <c r="C55" s="453">
        <v>1064.73</v>
      </c>
      <c r="D55" s="454"/>
      <c r="E55" s="501">
        <f>G55+R55</f>
        <v>1043.5</v>
      </c>
      <c r="F55" s="501">
        <f t="shared" si="2"/>
        <v>-21.230000000000018</v>
      </c>
      <c r="G55" s="501">
        <f t="shared" ref="G55:G60" si="24">H55+P55+Q55</f>
        <v>1043.5</v>
      </c>
      <c r="H55" s="501">
        <f>J55+M55</f>
        <v>1043.5</v>
      </c>
      <c r="I55" s="501">
        <v>8</v>
      </c>
      <c r="J55" s="501">
        <v>1043.5</v>
      </c>
      <c r="K55" s="501"/>
      <c r="L55" s="501"/>
      <c r="M55" s="501">
        <f>N55+O55</f>
        <v>0</v>
      </c>
      <c r="N55" s="501"/>
      <c r="O55" s="501">
        <v>0</v>
      </c>
      <c r="P55" s="501"/>
      <c r="Q55" s="501"/>
      <c r="R55" s="501"/>
      <c r="S55" s="501"/>
      <c r="T55" s="502"/>
      <c r="U55" s="501">
        <v>88.96</v>
      </c>
      <c r="V55" s="501">
        <f>E55+T55-U55</f>
        <v>954.54</v>
      </c>
      <c r="W55" s="711"/>
      <c r="X55" s="449"/>
      <c r="Y55" s="449"/>
      <c r="Z55" s="449"/>
      <c r="AA55" s="449"/>
      <c r="AB55" s="449"/>
      <c r="AC55" s="449"/>
      <c r="AD55" s="449"/>
      <c r="AE55" s="449"/>
      <c r="AF55" s="449"/>
      <c r="AG55" s="449"/>
    </row>
    <row r="56" spans="1:33" s="455" customFormat="1" ht="16.5" customHeight="1">
      <c r="A56" s="451" t="s">
        <v>11</v>
      </c>
      <c r="B56" s="452" t="s">
        <v>759</v>
      </c>
      <c r="C56" s="453">
        <v>144</v>
      </c>
      <c r="D56" s="454"/>
      <c r="E56" s="501">
        <f>G56+R56</f>
        <v>144</v>
      </c>
      <c r="F56" s="501">
        <f t="shared" si="2"/>
        <v>0</v>
      </c>
      <c r="G56" s="501">
        <f t="shared" si="24"/>
        <v>144</v>
      </c>
      <c r="H56" s="501">
        <f>J56+M56</f>
        <v>144</v>
      </c>
      <c r="I56" s="501"/>
      <c r="J56" s="501">
        <f>K56+L56</f>
        <v>0</v>
      </c>
      <c r="K56" s="501"/>
      <c r="L56" s="501"/>
      <c r="M56" s="501">
        <f>N56+O56</f>
        <v>144</v>
      </c>
      <c r="N56" s="501">
        <f>8*18</f>
        <v>144</v>
      </c>
      <c r="O56" s="501">
        <v>0</v>
      </c>
      <c r="P56" s="501">
        <v>0</v>
      </c>
      <c r="Q56" s="501"/>
      <c r="R56" s="501">
        <v>0</v>
      </c>
      <c r="S56" s="501">
        <v>14.4</v>
      </c>
      <c r="T56" s="502"/>
      <c r="U56" s="501"/>
      <c r="V56" s="501">
        <f>E56-S56</f>
        <v>129.6</v>
      </c>
      <c r="W56" s="711"/>
      <c r="X56" s="449"/>
      <c r="Y56" s="449"/>
      <c r="Z56" s="449"/>
      <c r="AA56" s="449"/>
      <c r="AB56" s="449"/>
      <c r="AC56" s="449"/>
      <c r="AD56" s="449"/>
      <c r="AE56" s="449"/>
      <c r="AF56" s="449"/>
      <c r="AG56" s="449"/>
    </row>
    <row r="57" spans="1:33" s="455" customFormat="1" ht="16.5" customHeight="1">
      <c r="A57" s="451" t="s">
        <v>11</v>
      </c>
      <c r="B57" s="452" t="s">
        <v>149</v>
      </c>
      <c r="C57" s="453">
        <v>10.73</v>
      </c>
      <c r="D57" s="454"/>
      <c r="E57" s="501">
        <f>G57</f>
        <v>10.73</v>
      </c>
      <c r="F57" s="501">
        <f t="shared" si="2"/>
        <v>0</v>
      </c>
      <c r="G57" s="501">
        <f t="shared" si="24"/>
        <v>10.73</v>
      </c>
      <c r="H57" s="501">
        <f>J57+M57</f>
        <v>10.73</v>
      </c>
      <c r="I57" s="501"/>
      <c r="J57" s="501">
        <v>10.73</v>
      </c>
      <c r="K57" s="501"/>
      <c r="L57" s="501"/>
      <c r="M57" s="501">
        <f>N57+O57</f>
        <v>0</v>
      </c>
      <c r="N57" s="501"/>
      <c r="O57" s="501">
        <v>0</v>
      </c>
      <c r="P57" s="501"/>
      <c r="Q57" s="501"/>
      <c r="R57" s="501"/>
      <c r="S57" s="501"/>
      <c r="T57" s="502"/>
      <c r="U57" s="501"/>
      <c r="V57" s="501">
        <f>E57</f>
        <v>10.73</v>
      </c>
      <c r="W57" s="711"/>
      <c r="X57" s="449"/>
      <c r="Y57" s="449"/>
      <c r="Z57" s="449"/>
      <c r="AA57" s="449"/>
      <c r="AB57" s="449"/>
      <c r="AC57" s="449"/>
      <c r="AD57" s="449"/>
      <c r="AE57" s="449"/>
      <c r="AF57" s="449"/>
      <c r="AG57" s="449"/>
    </row>
    <row r="58" spans="1:33" s="455" customFormat="1" ht="29.25" customHeight="1">
      <c r="A58" s="451" t="s">
        <v>11</v>
      </c>
      <c r="B58" s="457" t="s">
        <v>150</v>
      </c>
      <c r="C58" s="453">
        <v>10.43</v>
      </c>
      <c r="D58" s="454"/>
      <c r="E58" s="501">
        <f>G58</f>
        <v>10.43</v>
      </c>
      <c r="F58" s="501">
        <f t="shared" si="2"/>
        <v>0</v>
      </c>
      <c r="G58" s="501">
        <f t="shared" si="24"/>
        <v>10.43</v>
      </c>
      <c r="H58" s="501">
        <f>J58+M58</f>
        <v>10.43</v>
      </c>
      <c r="I58" s="501"/>
      <c r="J58" s="501">
        <v>10.43</v>
      </c>
      <c r="K58" s="501"/>
      <c r="L58" s="501"/>
      <c r="M58" s="501">
        <f>N58+O58</f>
        <v>0</v>
      </c>
      <c r="N58" s="501"/>
      <c r="O58" s="501">
        <v>0</v>
      </c>
      <c r="P58" s="501"/>
      <c r="Q58" s="501"/>
      <c r="R58" s="501"/>
      <c r="S58" s="501"/>
      <c r="T58" s="502"/>
      <c r="U58" s="501"/>
      <c r="V58" s="501">
        <f>E58</f>
        <v>10.43</v>
      </c>
      <c r="W58" s="711"/>
      <c r="X58" s="449"/>
      <c r="Y58" s="449"/>
      <c r="Z58" s="449"/>
      <c r="AA58" s="449"/>
      <c r="AB58" s="449"/>
      <c r="AC58" s="449"/>
      <c r="AD58" s="449"/>
      <c r="AE58" s="449"/>
      <c r="AF58" s="449"/>
      <c r="AG58" s="449"/>
    </row>
    <row r="59" spans="1:33" s="455" customFormat="1" ht="16.5" customHeight="1">
      <c r="A59" s="451" t="s">
        <v>11</v>
      </c>
      <c r="B59" s="452" t="s">
        <v>760</v>
      </c>
      <c r="C59" s="453">
        <v>45</v>
      </c>
      <c r="D59" s="454"/>
      <c r="E59" s="501">
        <f>G59+R59</f>
        <v>50</v>
      </c>
      <c r="F59" s="501">
        <f t="shared" si="2"/>
        <v>5</v>
      </c>
      <c r="G59" s="501">
        <f t="shared" si="24"/>
        <v>50</v>
      </c>
      <c r="H59" s="501">
        <f>J59+M59</f>
        <v>0</v>
      </c>
      <c r="I59" s="501"/>
      <c r="J59" s="501"/>
      <c r="K59" s="501"/>
      <c r="L59" s="501"/>
      <c r="M59" s="501">
        <f>N59+O59</f>
        <v>0</v>
      </c>
      <c r="N59" s="501"/>
      <c r="O59" s="501">
        <v>0</v>
      </c>
      <c r="P59" s="501">
        <v>50</v>
      </c>
      <c r="Q59" s="501"/>
      <c r="R59" s="501"/>
      <c r="S59" s="501"/>
      <c r="T59" s="502">
        <v>78.959999999999994</v>
      </c>
      <c r="U59" s="501"/>
      <c r="V59" s="501">
        <f>E59+T59-U59</f>
        <v>128.95999999999998</v>
      </c>
      <c r="W59" s="711"/>
      <c r="X59" s="449"/>
      <c r="Y59" s="449"/>
      <c r="Z59" s="449"/>
      <c r="AA59" s="449"/>
      <c r="AB59" s="449"/>
      <c r="AC59" s="449"/>
      <c r="AD59" s="449"/>
      <c r="AE59" s="449"/>
      <c r="AF59" s="449"/>
      <c r="AG59" s="449"/>
    </row>
    <row r="60" spans="1:33" s="455" customFormat="1" ht="16.5" customHeight="1">
      <c r="A60" s="456" t="s">
        <v>11</v>
      </c>
      <c r="B60" s="452" t="s">
        <v>138</v>
      </c>
      <c r="C60" s="453"/>
      <c r="D60" s="454"/>
      <c r="E60" s="501">
        <f>G60+R60</f>
        <v>93.149999999999991</v>
      </c>
      <c r="F60" s="501">
        <f t="shared" si="2"/>
        <v>93.149999999999991</v>
      </c>
      <c r="G60" s="501">
        <f t="shared" si="24"/>
        <v>93.149999999999991</v>
      </c>
      <c r="H60" s="501"/>
      <c r="I60" s="501"/>
      <c r="J60" s="501"/>
      <c r="K60" s="501"/>
      <c r="L60" s="501"/>
      <c r="M60" s="501"/>
      <c r="N60" s="501"/>
      <c r="O60" s="501"/>
      <c r="P60" s="501">
        <f>14.85+78.3</f>
        <v>93.149999999999991</v>
      </c>
      <c r="Q60" s="501"/>
      <c r="R60" s="501"/>
      <c r="S60" s="501"/>
      <c r="T60" s="502"/>
      <c r="U60" s="501"/>
      <c r="V60" s="501">
        <f>E60</f>
        <v>93.149999999999991</v>
      </c>
      <c r="W60" s="585"/>
      <c r="X60" s="449"/>
      <c r="Y60" s="449"/>
      <c r="Z60" s="449"/>
      <c r="AA60" s="449"/>
      <c r="AB60" s="449"/>
      <c r="AC60" s="449"/>
      <c r="AD60" s="449"/>
      <c r="AE60" s="449"/>
      <c r="AF60" s="449"/>
      <c r="AG60" s="449"/>
    </row>
    <row r="61" spans="1:33" s="455" customFormat="1" ht="16.5" customHeight="1">
      <c r="A61" s="456" t="s">
        <v>11</v>
      </c>
      <c r="B61" s="452" t="s">
        <v>926</v>
      </c>
      <c r="C61" s="453"/>
      <c r="D61" s="454"/>
      <c r="E61" s="501"/>
      <c r="F61" s="501"/>
      <c r="G61" s="501"/>
      <c r="H61" s="501"/>
      <c r="I61" s="501"/>
      <c r="J61" s="501"/>
      <c r="K61" s="501"/>
      <c r="L61" s="501"/>
      <c r="M61" s="501"/>
      <c r="N61" s="501"/>
      <c r="O61" s="501"/>
      <c r="P61" s="501"/>
      <c r="Q61" s="501"/>
      <c r="R61" s="501"/>
      <c r="S61" s="501"/>
      <c r="T61" s="502">
        <v>10</v>
      </c>
      <c r="U61" s="501"/>
      <c r="V61" s="501">
        <f>T61</f>
        <v>10</v>
      </c>
      <c r="W61" s="585"/>
      <c r="X61" s="449"/>
      <c r="Y61" s="449"/>
      <c r="Z61" s="449"/>
      <c r="AA61" s="449"/>
      <c r="AB61" s="449"/>
      <c r="AC61" s="449"/>
      <c r="AD61" s="449"/>
      <c r="AE61" s="449"/>
      <c r="AF61" s="449"/>
      <c r="AG61" s="449"/>
    </row>
    <row r="62" spans="1:33" s="455" customFormat="1" ht="18" customHeight="1">
      <c r="A62" s="451">
        <v>2</v>
      </c>
      <c r="B62" s="452" t="s">
        <v>152</v>
      </c>
      <c r="C62" s="453">
        <f>SUM(C63:C64)</f>
        <v>150</v>
      </c>
      <c r="D62" s="454">
        <v>867</v>
      </c>
      <c r="E62" s="501">
        <f t="shared" ref="E62:V62" si="25">SUM(E63:E64)</f>
        <v>150</v>
      </c>
      <c r="F62" s="501">
        <f t="shared" si="2"/>
        <v>0</v>
      </c>
      <c r="G62" s="501">
        <f t="shared" si="25"/>
        <v>150</v>
      </c>
      <c r="H62" s="501">
        <f t="shared" si="25"/>
        <v>0</v>
      </c>
      <c r="I62" s="501">
        <f t="shared" si="25"/>
        <v>0</v>
      </c>
      <c r="J62" s="501">
        <f t="shared" si="25"/>
        <v>0</v>
      </c>
      <c r="K62" s="501">
        <f t="shared" si="25"/>
        <v>0</v>
      </c>
      <c r="L62" s="501"/>
      <c r="M62" s="501">
        <f t="shared" si="25"/>
        <v>0</v>
      </c>
      <c r="N62" s="501">
        <f t="shared" si="25"/>
        <v>0</v>
      </c>
      <c r="O62" s="501">
        <f t="shared" si="25"/>
        <v>0</v>
      </c>
      <c r="P62" s="501">
        <f t="shared" si="25"/>
        <v>150</v>
      </c>
      <c r="Q62" s="501">
        <f t="shared" si="25"/>
        <v>0</v>
      </c>
      <c r="R62" s="501">
        <f t="shared" si="25"/>
        <v>0</v>
      </c>
      <c r="S62" s="501">
        <f t="shared" si="25"/>
        <v>0</v>
      </c>
      <c r="T62" s="502">
        <f t="shared" si="25"/>
        <v>0</v>
      </c>
      <c r="U62" s="501">
        <f t="shared" si="25"/>
        <v>0</v>
      </c>
      <c r="V62" s="501">
        <f t="shared" si="25"/>
        <v>150</v>
      </c>
      <c r="W62" s="585" t="s">
        <v>187</v>
      </c>
      <c r="X62" s="449"/>
      <c r="Y62" s="449"/>
      <c r="Z62" s="449"/>
      <c r="AA62" s="449"/>
      <c r="AB62" s="449"/>
      <c r="AC62" s="449"/>
      <c r="AD62" s="449"/>
      <c r="AE62" s="449"/>
      <c r="AF62" s="449"/>
      <c r="AG62" s="449"/>
    </row>
    <row r="63" spans="1:33" s="455" customFormat="1" ht="28.5" customHeight="1">
      <c r="A63" s="451" t="s">
        <v>11</v>
      </c>
      <c r="B63" s="457" t="s">
        <v>154</v>
      </c>
      <c r="C63" s="453">
        <v>20</v>
      </c>
      <c r="D63" s="454"/>
      <c r="E63" s="501">
        <f>G63+R63</f>
        <v>20</v>
      </c>
      <c r="F63" s="501">
        <f t="shared" si="2"/>
        <v>0</v>
      </c>
      <c r="G63" s="501">
        <f>H63+P63+Q63</f>
        <v>20</v>
      </c>
      <c r="H63" s="501">
        <f>J63+M63</f>
        <v>0</v>
      </c>
      <c r="I63" s="501"/>
      <c r="J63" s="501">
        <f>K63+L63</f>
        <v>0</v>
      </c>
      <c r="K63" s="501"/>
      <c r="L63" s="501"/>
      <c r="M63" s="501">
        <f>N63+O63</f>
        <v>0</v>
      </c>
      <c r="N63" s="501"/>
      <c r="O63" s="501">
        <v>0</v>
      </c>
      <c r="P63" s="501">
        <v>20</v>
      </c>
      <c r="Q63" s="501"/>
      <c r="R63" s="501"/>
      <c r="S63" s="501">
        <v>0</v>
      </c>
      <c r="T63" s="502"/>
      <c r="U63" s="501"/>
      <c r="V63" s="501">
        <f>E63</f>
        <v>20</v>
      </c>
      <c r="W63" s="585"/>
      <c r="X63" s="449"/>
      <c r="Y63" s="449"/>
      <c r="Z63" s="449"/>
      <c r="AA63" s="449"/>
      <c r="AB63" s="449"/>
      <c r="AC63" s="449"/>
      <c r="AD63" s="449"/>
      <c r="AE63" s="449"/>
      <c r="AF63" s="449"/>
      <c r="AG63" s="449"/>
    </row>
    <row r="64" spans="1:33" s="455" customFormat="1" ht="18" customHeight="1">
      <c r="A64" s="451" t="s">
        <v>11</v>
      </c>
      <c r="B64" s="452" t="s">
        <v>155</v>
      </c>
      <c r="C64" s="453">
        <v>130</v>
      </c>
      <c r="D64" s="454"/>
      <c r="E64" s="501">
        <f>G64+R64</f>
        <v>130</v>
      </c>
      <c r="F64" s="501">
        <f t="shared" si="2"/>
        <v>0</v>
      </c>
      <c r="G64" s="501">
        <f>H64+P64+Q64</f>
        <v>130</v>
      </c>
      <c r="H64" s="501">
        <f>J64+M64</f>
        <v>0</v>
      </c>
      <c r="I64" s="501"/>
      <c r="J64" s="501">
        <f>K64+L64</f>
        <v>0</v>
      </c>
      <c r="K64" s="501"/>
      <c r="L64" s="501"/>
      <c r="M64" s="501">
        <f>N64+O64</f>
        <v>0</v>
      </c>
      <c r="N64" s="501"/>
      <c r="O64" s="501">
        <v>0</v>
      </c>
      <c r="P64" s="501">
        <v>130</v>
      </c>
      <c r="Q64" s="501"/>
      <c r="R64" s="501"/>
      <c r="S64" s="501">
        <v>0</v>
      </c>
      <c r="T64" s="502"/>
      <c r="U64" s="501"/>
      <c r="V64" s="501">
        <f>E64</f>
        <v>130</v>
      </c>
      <c r="W64" s="585"/>
      <c r="X64" s="449"/>
      <c r="Y64" s="449"/>
      <c r="Z64" s="449"/>
      <c r="AA64" s="449"/>
      <c r="AB64" s="449"/>
      <c r="AC64" s="449"/>
      <c r="AD64" s="449"/>
      <c r="AE64" s="449"/>
      <c r="AF64" s="449"/>
      <c r="AG64" s="449"/>
    </row>
    <row r="65" spans="1:33" s="455" customFormat="1" ht="18" customHeight="1">
      <c r="A65" s="451">
        <v>3</v>
      </c>
      <c r="B65" s="452" t="s">
        <v>156</v>
      </c>
      <c r="C65" s="453">
        <f>C67+C74+C76+C77+C78+C79+C80+C81</f>
        <v>2528.614</v>
      </c>
      <c r="D65" s="453">
        <f t="shared" ref="D65:R65" si="26">D67+D74+D76+D77+D78+D79+D80+D81</f>
        <v>0</v>
      </c>
      <c r="E65" s="501">
        <f t="shared" si="26"/>
        <v>5429</v>
      </c>
      <c r="F65" s="501">
        <f t="shared" si="26"/>
        <v>2900.386</v>
      </c>
      <c r="G65" s="501">
        <f t="shared" si="26"/>
        <v>5429</v>
      </c>
      <c r="H65" s="501">
        <f t="shared" si="26"/>
        <v>0</v>
      </c>
      <c r="I65" s="501">
        <f t="shared" si="26"/>
        <v>3</v>
      </c>
      <c r="J65" s="501">
        <f t="shared" si="26"/>
        <v>0</v>
      </c>
      <c r="K65" s="501">
        <f t="shared" si="26"/>
        <v>0</v>
      </c>
      <c r="L65" s="501">
        <f t="shared" si="26"/>
        <v>0</v>
      </c>
      <c r="M65" s="501">
        <f t="shared" si="26"/>
        <v>0</v>
      </c>
      <c r="N65" s="501">
        <f t="shared" si="26"/>
        <v>0</v>
      </c>
      <c r="O65" s="501">
        <f t="shared" si="26"/>
        <v>0</v>
      </c>
      <c r="P65" s="501">
        <f t="shared" si="26"/>
        <v>5429</v>
      </c>
      <c r="Q65" s="501">
        <f t="shared" si="26"/>
        <v>0</v>
      </c>
      <c r="R65" s="501">
        <f t="shared" si="26"/>
        <v>0</v>
      </c>
      <c r="S65" s="501">
        <f>S67+S74+S76+S77+S78+S79+S80+S81</f>
        <v>327.8</v>
      </c>
      <c r="T65" s="502">
        <f>T67+T74+T76+T77+T78+T79+T80+T81</f>
        <v>0</v>
      </c>
      <c r="U65" s="501">
        <f>U67+U74+U76+U77+U78+U79+U80+U81</f>
        <v>0</v>
      </c>
      <c r="V65" s="501">
        <f>V67+V74+V76+V77+V78+V79+V80+V81</f>
        <v>5101.2</v>
      </c>
      <c r="W65" s="585"/>
      <c r="X65" s="449"/>
      <c r="Y65" s="449"/>
      <c r="Z65" s="449"/>
      <c r="AA65" s="449"/>
      <c r="AB65" s="449"/>
      <c r="AC65" s="449"/>
      <c r="AD65" s="449"/>
      <c r="AE65" s="449"/>
      <c r="AF65" s="449"/>
      <c r="AG65" s="449"/>
    </row>
    <row r="66" spans="1:33" s="455" customFormat="1" ht="18" customHeight="1">
      <c r="A66" s="451" t="s">
        <v>157</v>
      </c>
      <c r="B66" s="452" t="s">
        <v>158</v>
      </c>
      <c r="C66" s="453">
        <f>C67+C74+C77+C78+C79+C80+C81</f>
        <v>2478.614</v>
      </c>
      <c r="D66" s="453">
        <f t="shared" ref="D66:V66" si="27">D67+D74+D77+D78+D79+D80+D81</f>
        <v>0</v>
      </c>
      <c r="E66" s="501">
        <f t="shared" si="27"/>
        <v>5379</v>
      </c>
      <c r="F66" s="501">
        <f t="shared" si="27"/>
        <v>2900.386</v>
      </c>
      <c r="G66" s="501">
        <f t="shared" si="27"/>
        <v>5379</v>
      </c>
      <c r="H66" s="501">
        <f t="shared" si="27"/>
        <v>0</v>
      </c>
      <c r="I66" s="501">
        <f t="shared" si="27"/>
        <v>3</v>
      </c>
      <c r="J66" s="501">
        <f t="shared" si="27"/>
        <v>0</v>
      </c>
      <c r="K66" s="501">
        <f t="shared" si="27"/>
        <v>0</v>
      </c>
      <c r="L66" s="501">
        <f t="shared" si="27"/>
        <v>0</v>
      </c>
      <c r="M66" s="501">
        <f t="shared" si="27"/>
        <v>0</v>
      </c>
      <c r="N66" s="501">
        <f t="shared" si="27"/>
        <v>0</v>
      </c>
      <c r="O66" s="501">
        <f t="shared" si="27"/>
        <v>0</v>
      </c>
      <c r="P66" s="501">
        <f t="shared" si="27"/>
        <v>5379</v>
      </c>
      <c r="Q66" s="501">
        <f t="shared" si="27"/>
        <v>0</v>
      </c>
      <c r="R66" s="501">
        <f t="shared" si="27"/>
        <v>0</v>
      </c>
      <c r="S66" s="501">
        <f t="shared" si="27"/>
        <v>322.8</v>
      </c>
      <c r="T66" s="502">
        <f t="shared" si="27"/>
        <v>0</v>
      </c>
      <c r="U66" s="501">
        <f t="shared" si="27"/>
        <v>0</v>
      </c>
      <c r="V66" s="501">
        <f t="shared" si="27"/>
        <v>5056.2</v>
      </c>
      <c r="W66" s="585"/>
      <c r="X66" s="449"/>
      <c r="Y66" s="449"/>
      <c r="Z66" s="449"/>
      <c r="AA66" s="449"/>
      <c r="AB66" s="449"/>
      <c r="AC66" s="449"/>
      <c r="AD66" s="449"/>
      <c r="AE66" s="449"/>
      <c r="AF66" s="449"/>
      <c r="AG66" s="449"/>
    </row>
    <row r="67" spans="1:33" s="455" customFormat="1" ht="18" hidden="1" customHeight="1">
      <c r="A67" s="451" t="s">
        <v>29</v>
      </c>
      <c r="B67" s="452" t="s">
        <v>159</v>
      </c>
      <c r="C67" s="453">
        <f t="shared" ref="C67:R67" si="28">SUM(C68:C73)</f>
        <v>308.61399999999998</v>
      </c>
      <c r="D67" s="454"/>
      <c r="E67" s="501">
        <f t="shared" si="28"/>
        <v>0</v>
      </c>
      <c r="F67" s="501">
        <f t="shared" si="2"/>
        <v>-308.61399999999998</v>
      </c>
      <c r="G67" s="501">
        <f t="shared" si="28"/>
        <v>0</v>
      </c>
      <c r="H67" s="501">
        <f t="shared" si="28"/>
        <v>0</v>
      </c>
      <c r="I67" s="501">
        <f t="shared" si="28"/>
        <v>3</v>
      </c>
      <c r="J67" s="501">
        <f t="shared" si="28"/>
        <v>0</v>
      </c>
      <c r="K67" s="501">
        <f t="shared" si="28"/>
        <v>0</v>
      </c>
      <c r="L67" s="501">
        <f t="shared" si="28"/>
        <v>0</v>
      </c>
      <c r="M67" s="501">
        <f t="shared" si="28"/>
        <v>0</v>
      </c>
      <c r="N67" s="501">
        <f t="shared" si="28"/>
        <v>0</v>
      </c>
      <c r="O67" s="501">
        <f t="shared" si="28"/>
        <v>0</v>
      </c>
      <c r="P67" s="501">
        <f t="shared" si="28"/>
        <v>0</v>
      </c>
      <c r="Q67" s="501">
        <f t="shared" si="28"/>
        <v>0</v>
      </c>
      <c r="R67" s="501">
        <f t="shared" si="28"/>
        <v>0</v>
      </c>
      <c r="S67" s="501"/>
      <c r="T67" s="502"/>
      <c r="U67" s="501"/>
      <c r="V67" s="501"/>
      <c r="W67" s="585" t="s">
        <v>160</v>
      </c>
      <c r="X67" s="449"/>
      <c r="Y67" s="449"/>
      <c r="Z67" s="449"/>
      <c r="AA67" s="449"/>
      <c r="AB67" s="449"/>
      <c r="AC67" s="449"/>
      <c r="AD67" s="449"/>
      <c r="AE67" s="449"/>
      <c r="AF67" s="449"/>
      <c r="AG67" s="449"/>
    </row>
    <row r="68" spans="1:33" s="455" customFormat="1" ht="18" hidden="1" customHeight="1">
      <c r="A68" s="451" t="s">
        <v>11</v>
      </c>
      <c r="B68" s="452" t="s">
        <v>161</v>
      </c>
      <c r="C68" s="453">
        <v>244.78</v>
      </c>
      <c r="D68" s="454"/>
      <c r="E68" s="501">
        <f>G68+R68</f>
        <v>0</v>
      </c>
      <c r="F68" s="501">
        <f t="shared" si="2"/>
        <v>-244.78</v>
      </c>
      <c r="G68" s="501">
        <f t="shared" ref="G68:G73" si="29">H68+P68+Q68</f>
        <v>0</v>
      </c>
      <c r="H68" s="501">
        <f t="shared" ref="H68:H73" si="30">J68+M68</f>
        <v>0</v>
      </c>
      <c r="I68" s="501">
        <v>3</v>
      </c>
      <c r="J68" s="501">
        <v>0</v>
      </c>
      <c r="K68" s="501">
        <v>0</v>
      </c>
      <c r="L68" s="501">
        <v>0</v>
      </c>
      <c r="M68" s="501">
        <f t="shared" ref="M68:M73" si="31">N68+O68</f>
        <v>0</v>
      </c>
      <c r="N68" s="501"/>
      <c r="O68" s="501">
        <v>0</v>
      </c>
      <c r="P68" s="501"/>
      <c r="Q68" s="501"/>
      <c r="R68" s="501"/>
      <c r="S68" s="501"/>
      <c r="T68" s="502"/>
      <c r="U68" s="501"/>
      <c r="V68" s="501"/>
      <c r="W68" s="585"/>
      <c r="X68" s="449"/>
      <c r="Y68" s="449"/>
      <c r="Z68" s="449"/>
      <c r="AA68" s="449"/>
      <c r="AB68" s="449"/>
      <c r="AC68" s="449"/>
      <c r="AD68" s="449"/>
      <c r="AE68" s="449"/>
      <c r="AF68" s="449"/>
      <c r="AG68" s="449"/>
    </row>
    <row r="69" spans="1:33" s="455" customFormat="1" ht="18" hidden="1" customHeight="1">
      <c r="A69" s="451" t="s">
        <v>11</v>
      </c>
      <c r="B69" s="452" t="s">
        <v>162</v>
      </c>
      <c r="C69" s="453">
        <v>54</v>
      </c>
      <c r="D69" s="454"/>
      <c r="E69" s="501">
        <f>G69+R69</f>
        <v>0</v>
      </c>
      <c r="F69" s="501">
        <f t="shared" si="2"/>
        <v>-54</v>
      </c>
      <c r="G69" s="501">
        <f t="shared" si="29"/>
        <v>0</v>
      </c>
      <c r="H69" s="501">
        <f t="shared" si="30"/>
        <v>0</v>
      </c>
      <c r="I69" s="501"/>
      <c r="J69" s="501">
        <f>K69+L69</f>
        <v>0</v>
      </c>
      <c r="K69" s="501"/>
      <c r="L69" s="501"/>
      <c r="M69" s="501">
        <v>0</v>
      </c>
      <c r="N69" s="501">
        <v>0</v>
      </c>
      <c r="O69" s="501">
        <v>0</v>
      </c>
      <c r="P69" s="501">
        <v>0</v>
      </c>
      <c r="Q69" s="501"/>
      <c r="R69" s="501">
        <v>0</v>
      </c>
      <c r="S69" s="501"/>
      <c r="T69" s="502"/>
      <c r="U69" s="501"/>
      <c r="V69" s="501"/>
      <c r="W69" s="585"/>
      <c r="X69" s="449"/>
      <c r="Y69" s="449"/>
      <c r="Z69" s="449"/>
      <c r="AA69" s="449"/>
      <c r="AB69" s="449"/>
      <c r="AC69" s="449"/>
      <c r="AD69" s="449"/>
      <c r="AE69" s="449"/>
      <c r="AF69" s="449"/>
      <c r="AG69" s="449"/>
    </row>
    <row r="70" spans="1:33" s="455" customFormat="1" ht="16.5" hidden="1" customHeight="1">
      <c r="A70" s="451" t="s">
        <v>11</v>
      </c>
      <c r="B70" s="452" t="s">
        <v>143</v>
      </c>
      <c r="C70" s="453">
        <v>5.3639999999999999</v>
      </c>
      <c r="D70" s="454"/>
      <c r="E70" s="501">
        <f>G70</f>
        <v>0</v>
      </c>
      <c r="F70" s="501">
        <f t="shared" si="2"/>
        <v>-5.3639999999999999</v>
      </c>
      <c r="G70" s="501">
        <f t="shared" si="29"/>
        <v>0</v>
      </c>
      <c r="H70" s="501">
        <f t="shared" si="30"/>
        <v>0</v>
      </c>
      <c r="I70" s="501"/>
      <c r="J70" s="501">
        <f>K70+L70</f>
        <v>0</v>
      </c>
      <c r="K70" s="501">
        <v>0</v>
      </c>
      <c r="L70" s="501">
        <v>0</v>
      </c>
      <c r="M70" s="501">
        <f t="shared" si="31"/>
        <v>0</v>
      </c>
      <c r="N70" s="501"/>
      <c r="O70" s="501">
        <v>0</v>
      </c>
      <c r="P70" s="501"/>
      <c r="Q70" s="501"/>
      <c r="R70" s="501"/>
      <c r="S70" s="501"/>
      <c r="T70" s="502"/>
      <c r="U70" s="501"/>
      <c r="V70" s="501"/>
      <c r="W70" s="585"/>
      <c r="X70" s="449"/>
      <c r="Y70" s="449"/>
      <c r="Z70" s="449"/>
      <c r="AA70" s="449"/>
      <c r="AB70" s="449"/>
      <c r="AC70" s="449"/>
      <c r="AD70" s="449"/>
      <c r="AE70" s="449"/>
      <c r="AF70" s="449"/>
      <c r="AG70" s="449"/>
    </row>
    <row r="71" spans="1:33" s="455" customFormat="1" ht="28.5" hidden="1" customHeight="1">
      <c r="A71" s="451" t="s">
        <v>11</v>
      </c>
      <c r="B71" s="457" t="s">
        <v>150</v>
      </c>
      <c r="C71" s="453">
        <v>4.47</v>
      </c>
      <c r="D71" s="454"/>
      <c r="E71" s="501">
        <f>G71</f>
        <v>0</v>
      </c>
      <c r="F71" s="501">
        <f t="shared" si="2"/>
        <v>-4.47</v>
      </c>
      <c r="G71" s="501">
        <f t="shared" si="29"/>
        <v>0</v>
      </c>
      <c r="H71" s="501">
        <f t="shared" si="30"/>
        <v>0</v>
      </c>
      <c r="I71" s="501"/>
      <c r="J71" s="501">
        <f>K71+L71</f>
        <v>0</v>
      </c>
      <c r="K71" s="501">
        <v>0</v>
      </c>
      <c r="L71" s="501">
        <v>0</v>
      </c>
      <c r="M71" s="501">
        <f t="shared" si="31"/>
        <v>0</v>
      </c>
      <c r="N71" s="501"/>
      <c r="O71" s="501">
        <v>0</v>
      </c>
      <c r="P71" s="501"/>
      <c r="Q71" s="501"/>
      <c r="R71" s="501"/>
      <c r="S71" s="501"/>
      <c r="T71" s="502"/>
      <c r="U71" s="501"/>
      <c r="V71" s="501"/>
      <c r="W71" s="585"/>
      <c r="X71" s="449"/>
      <c r="Y71" s="449"/>
      <c r="Z71" s="449"/>
      <c r="AA71" s="449"/>
      <c r="AB71" s="449"/>
      <c r="AC71" s="449"/>
      <c r="AD71" s="449"/>
      <c r="AE71" s="449"/>
      <c r="AF71" s="449"/>
      <c r="AG71" s="449"/>
    </row>
    <row r="72" spans="1:33" s="455" customFormat="1" ht="33" hidden="1" customHeight="1">
      <c r="A72" s="451" t="s">
        <v>11</v>
      </c>
      <c r="B72" s="457" t="s">
        <v>151</v>
      </c>
      <c r="C72" s="453"/>
      <c r="D72" s="454"/>
      <c r="E72" s="501">
        <f>G72+R72</f>
        <v>0</v>
      </c>
      <c r="F72" s="501">
        <f t="shared" si="2"/>
        <v>0</v>
      </c>
      <c r="G72" s="501">
        <f t="shared" si="29"/>
        <v>0</v>
      </c>
      <c r="H72" s="501">
        <f t="shared" si="30"/>
        <v>0</v>
      </c>
      <c r="I72" s="501"/>
      <c r="J72" s="501">
        <f>K72+L72</f>
        <v>0</v>
      </c>
      <c r="K72" s="501"/>
      <c r="L72" s="501"/>
      <c r="M72" s="501">
        <f t="shared" si="31"/>
        <v>0</v>
      </c>
      <c r="N72" s="501"/>
      <c r="O72" s="501"/>
      <c r="P72" s="501"/>
      <c r="Q72" s="501"/>
      <c r="R72" s="501"/>
      <c r="S72" s="501"/>
      <c r="T72" s="502"/>
      <c r="U72" s="501"/>
      <c r="V72" s="501"/>
      <c r="W72" s="585"/>
      <c r="X72" s="449"/>
      <c r="Y72" s="449"/>
      <c r="Z72" s="449"/>
      <c r="AA72" s="449"/>
      <c r="AB72" s="449"/>
      <c r="AC72" s="449"/>
      <c r="AD72" s="449"/>
      <c r="AE72" s="449"/>
      <c r="AF72" s="449"/>
      <c r="AG72" s="449"/>
    </row>
    <row r="73" spans="1:33" s="455" customFormat="1" ht="25.5" hidden="1" customHeight="1">
      <c r="A73" s="451" t="s">
        <v>11</v>
      </c>
      <c r="B73" s="457" t="s">
        <v>163</v>
      </c>
      <c r="C73" s="453"/>
      <c r="D73" s="454"/>
      <c r="E73" s="501">
        <f>G73+R73</f>
        <v>0</v>
      </c>
      <c r="F73" s="501">
        <f t="shared" si="2"/>
        <v>0</v>
      </c>
      <c r="G73" s="501">
        <f t="shared" si="29"/>
        <v>0</v>
      </c>
      <c r="H73" s="501">
        <f t="shared" si="30"/>
        <v>0</v>
      </c>
      <c r="I73" s="501"/>
      <c r="J73" s="501">
        <f>K73+L73</f>
        <v>0</v>
      </c>
      <c r="K73" s="501"/>
      <c r="L73" s="501"/>
      <c r="M73" s="501">
        <f t="shared" si="31"/>
        <v>0</v>
      </c>
      <c r="N73" s="501"/>
      <c r="O73" s="501"/>
      <c r="P73" s="501"/>
      <c r="Q73" s="501"/>
      <c r="R73" s="501"/>
      <c r="S73" s="501"/>
      <c r="T73" s="502"/>
      <c r="U73" s="501"/>
      <c r="V73" s="501"/>
      <c r="W73" s="585"/>
      <c r="X73" s="449"/>
      <c r="Y73" s="449"/>
      <c r="Z73" s="449"/>
      <c r="AA73" s="449"/>
      <c r="AB73" s="449"/>
      <c r="AC73" s="449"/>
      <c r="AD73" s="449"/>
      <c r="AE73" s="449"/>
      <c r="AF73" s="449"/>
      <c r="AG73" s="449"/>
    </row>
    <row r="74" spans="1:33" s="455" customFormat="1" ht="18" customHeight="1">
      <c r="A74" s="451" t="s">
        <v>30</v>
      </c>
      <c r="B74" s="452" t="s">
        <v>164</v>
      </c>
      <c r="C74" s="453">
        <f>SUM(C75:C75)</f>
        <v>2000</v>
      </c>
      <c r="D74" s="454"/>
      <c r="E74" s="501">
        <f t="shared" ref="E74:K74" si="32">SUM(E75:E75)</f>
        <v>3500</v>
      </c>
      <c r="F74" s="501">
        <f t="shared" si="2"/>
        <v>1500</v>
      </c>
      <c r="G74" s="501">
        <f t="shared" si="32"/>
        <v>3500</v>
      </c>
      <c r="H74" s="501">
        <f t="shared" si="32"/>
        <v>0</v>
      </c>
      <c r="I74" s="501">
        <f>SUM(I75:I75)</f>
        <v>0</v>
      </c>
      <c r="J74" s="501">
        <f t="shared" si="32"/>
        <v>0</v>
      </c>
      <c r="K74" s="501">
        <f t="shared" si="32"/>
        <v>0</v>
      </c>
      <c r="L74" s="501"/>
      <c r="M74" s="501">
        <f t="shared" ref="M74:R74" si="33">SUM(M75:M75)</f>
        <v>0</v>
      </c>
      <c r="N74" s="501">
        <f t="shared" si="33"/>
        <v>0</v>
      </c>
      <c r="O74" s="501">
        <f t="shared" si="33"/>
        <v>0</v>
      </c>
      <c r="P74" s="501">
        <f t="shared" si="33"/>
        <v>3500</v>
      </c>
      <c r="Q74" s="501">
        <f t="shared" si="33"/>
        <v>0</v>
      </c>
      <c r="R74" s="501">
        <f t="shared" si="33"/>
        <v>0</v>
      </c>
      <c r="S74" s="501">
        <f>S75</f>
        <v>210</v>
      </c>
      <c r="T74" s="502">
        <f>T75</f>
        <v>0</v>
      </c>
      <c r="U74" s="501">
        <f>U75</f>
        <v>0</v>
      </c>
      <c r="V74" s="501">
        <f>V75</f>
        <v>3290</v>
      </c>
      <c r="W74" s="585" t="s">
        <v>158</v>
      </c>
      <c r="X74" s="449"/>
      <c r="Y74" s="449"/>
      <c r="Z74" s="449"/>
      <c r="AA74" s="449"/>
      <c r="AB74" s="449"/>
      <c r="AC74" s="449"/>
      <c r="AD74" s="449"/>
      <c r="AE74" s="449"/>
      <c r="AF74" s="449"/>
      <c r="AG74" s="449"/>
    </row>
    <row r="75" spans="1:33" s="455" customFormat="1" ht="45.75" customHeight="1">
      <c r="A75" s="456" t="s">
        <v>11</v>
      </c>
      <c r="B75" s="457" t="s">
        <v>761</v>
      </c>
      <c r="C75" s="453">
        <v>2000</v>
      </c>
      <c r="D75" s="454"/>
      <c r="E75" s="501">
        <f t="shared" ref="E75:E81" si="34">G75+R75</f>
        <v>3500</v>
      </c>
      <c r="F75" s="501">
        <f t="shared" si="2"/>
        <v>1500</v>
      </c>
      <c r="G75" s="501">
        <f t="shared" ref="G75:G81" si="35">H75+P75+Q75</f>
        <v>3500</v>
      </c>
      <c r="H75" s="501">
        <f t="shared" ref="H75:H81" si="36">J75+M75</f>
        <v>0</v>
      </c>
      <c r="I75" s="501"/>
      <c r="J75" s="501">
        <f>K75+L75</f>
        <v>0</v>
      </c>
      <c r="K75" s="501"/>
      <c r="L75" s="501"/>
      <c r="M75" s="501">
        <f>N75+O75</f>
        <v>0</v>
      </c>
      <c r="N75" s="501"/>
      <c r="O75" s="501">
        <v>0</v>
      </c>
      <c r="P75" s="501">
        <v>3500</v>
      </c>
      <c r="Q75" s="501"/>
      <c r="R75" s="501"/>
      <c r="S75" s="501">
        <v>210</v>
      </c>
      <c r="T75" s="502"/>
      <c r="U75" s="501"/>
      <c r="V75" s="501">
        <f>E75-S75</f>
        <v>3290</v>
      </c>
      <c r="W75" s="585"/>
      <c r="X75" s="449"/>
      <c r="Y75" s="449"/>
      <c r="Z75" s="449"/>
      <c r="AA75" s="449"/>
      <c r="AB75" s="449"/>
      <c r="AC75" s="449"/>
      <c r="AD75" s="449"/>
      <c r="AE75" s="449"/>
      <c r="AF75" s="449"/>
      <c r="AG75" s="449"/>
    </row>
    <row r="76" spans="1:33" s="455" customFormat="1" ht="34.5" customHeight="1">
      <c r="A76" s="451" t="s">
        <v>36</v>
      </c>
      <c r="B76" s="457" t="s">
        <v>762</v>
      </c>
      <c r="C76" s="453">
        <v>50</v>
      </c>
      <c r="D76" s="454"/>
      <c r="E76" s="501">
        <f t="shared" si="34"/>
        <v>50</v>
      </c>
      <c r="F76" s="501">
        <f t="shared" si="2"/>
        <v>0</v>
      </c>
      <c r="G76" s="501">
        <f t="shared" si="35"/>
        <v>50</v>
      </c>
      <c r="H76" s="501">
        <f t="shared" si="36"/>
        <v>0</v>
      </c>
      <c r="I76" s="501"/>
      <c r="J76" s="501">
        <f>K76+L76</f>
        <v>0</v>
      </c>
      <c r="K76" s="501"/>
      <c r="L76" s="501"/>
      <c r="M76" s="501">
        <f>N76+O76</f>
        <v>0</v>
      </c>
      <c r="N76" s="501"/>
      <c r="O76" s="501">
        <v>0</v>
      </c>
      <c r="P76" s="501">
        <v>50</v>
      </c>
      <c r="Q76" s="501"/>
      <c r="R76" s="501"/>
      <c r="S76" s="501">
        <v>5</v>
      </c>
      <c r="T76" s="502"/>
      <c r="U76" s="501"/>
      <c r="V76" s="501">
        <f>E76-S76</f>
        <v>45</v>
      </c>
      <c r="W76" s="585" t="s">
        <v>763</v>
      </c>
      <c r="X76" s="449"/>
      <c r="Y76" s="449"/>
      <c r="Z76" s="449"/>
      <c r="AA76" s="449"/>
      <c r="AB76" s="449"/>
      <c r="AC76" s="449"/>
      <c r="AD76" s="449"/>
      <c r="AE76" s="449"/>
      <c r="AF76" s="449"/>
      <c r="AG76" s="449"/>
    </row>
    <row r="77" spans="1:33" s="465" customFormat="1" ht="29.25" customHeight="1">
      <c r="A77" s="451" t="s">
        <v>37</v>
      </c>
      <c r="B77" s="463" t="s">
        <v>764</v>
      </c>
      <c r="C77" s="453"/>
      <c r="D77" s="454"/>
      <c r="E77" s="501">
        <f t="shared" si="34"/>
        <v>439</v>
      </c>
      <c r="F77" s="501">
        <f t="shared" ref="F77:F145" si="37">E77-C77</f>
        <v>439</v>
      </c>
      <c r="G77" s="501">
        <f t="shared" si="35"/>
        <v>439</v>
      </c>
      <c r="H77" s="501">
        <f t="shared" si="36"/>
        <v>0</v>
      </c>
      <c r="I77" s="501"/>
      <c r="J77" s="501"/>
      <c r="K77" s="501"/>
      <c r="L77" s="501"/>
      <c r="M77" s="501"/>
      <c r="N77" s="501"/>
      <c r="O77" s="501"/>
      <c r="P77" s="501">
        <v>439</v>
      </c>
      <c r="Q77" s="501"/>
      <c r="R77" s="501"/>
      <c r="S77" s="501">
        <v>26.4</v>
      </c>
      <c r="T77" s="502"/>
      <c r="U77" s="501"/>
      <c r="V77" s="501">
        <f>E77-S77</f>
        <v>412.6</v>
      </c>
      <c r="W77" s="585" t="s">
        <v>158</v>
      </c>
      <c r="X77" s="464"/>
      <c r="Y77" s="464"/>
      <c r="Z77" s="464"/>
      <c r="AA77" s="464"/>
      <c r="AB77" s="464"/>
      <c r="AC77" s="464"/>
      <c r="AD77" s="464"/>
      <c r="AE77" s="464"/>
      <c r="AF77" s="464"/>
      <c r="AG77" s="464"/>
    </row>
    <row r="78" spans="1:33" s="455" customFormat="1" ht="39.75" customHeight="1">
      <c r="A78" s="456" t="s">
        <v>75</v>
      </c>
      <c r="B78" s="457" t="s">
        <v>765</v>
      </c>
      <c r="C78" s="453"/>
      <c r="D78" s="454"/>
      <c r="E78" s="501">
        <f t="shared" si="34"/>
        <v>1140</v>
      </c>
      <c r="F78" s="501">
        <f t="shared" si="37"/>
        <v>1140</v>
      </c>
      <c r="G78" s="501">
        <f t="shared" si="35"/>
        <v>1140</v>
      </c>
      <c r="H78" s="501">
        <f t="shared" si="36"/>
        <v>0</v>
      </c>
      <c r="I78" s="501"/>
      <c r="J78" s="501">
        <f>K78+L78</f>
        <v>0</v>
      </c>
      <c r="K78" s="501"/>
      <c r="L78" s="501"/>
      <c r="M78" s="501">
        <f>N78+O78</f>
        <v>0</v>
      </c>
      <c r="N78" s="501"/>
      <c r="O78" s="501">
        <v>0</v>
      </c>
      <c r="P78" s="501">
        <v>1140</v>
      </c>
      <c r="Q78" s="501"/>
      <c r="R78" s="501"/>
      <c r="S78" s="501">
        <v>68.400000000000006</v>
      </c>
      <c r="T78" s="502"/>
      <c r="U78" s="501"/>
      <c r="V78" s="501">
        <f>E78-S78</f>
        <v>1071.5999999999999</v>
      </c>
      <c r="W78" s="585" t="s">
        <v>158</v>
      </c>
      <c r="X78" s="449"/>
      <c r="Y78" s="449"/>
      <c r="Z78" s="449"/>
      <c r="AA78" s="449"/>
      <c r="AB78" s="449"/>
      <c r="AC78" s="449"/>
      <c r="AD78" s="449"/>
      <c r="AE78" s="449"/>
      <c r="AF78" s="449"/>
      <c r="AG78" s="449"/>
    </row>
    <row r="79" spans="1:33" s="455" customFormat="1" ht="27" customHeight="1">
      <c r="A79" s="456" t="s">
        <v>74</v>
      </c>
      <c r="B79" s="457" t="s">
        <v>766</v>
      </c>
      <c r="C79" s="453"/>
      <c r="D79" s="454"/>
      <c r="E79" s="501">
        <f t="shared" si="34"/>
        <v>300</v>
      </c>
      <c r="F79" s="501">
        <f t="shared" si="37"/>
        <v>300</v>
      </c>
      <c r="G79" s="501">
        <f t="shared" si="35"/>
        <v>300</v>
      </c>
      <c r="H79" s="501">
        <f t="shared" si="36"/>
        <v>0</v>
      </c>
      <c r="I79" s="501"/>
      <c r="J79" s="501">
        <f>K79+L79</f>
        <v>0</v>
      </c>
      <c r="K79" s="501"/>
      <c r="L79" s="501"/>
      <c r="M79" s="501">
        <f>N79+O79</f>
        <v>0</v>
      </c>
      <c r="N79" s="501"/>
      <c r="O79" s="501">
        <v>0</v>
      </c>
      <c r="P79" s="501">
        <v>300</v>
      </c>
      <c r="Q79" s="501"/>
      <c r="R79" s="501"/>
      <c r="S79" s="501">
        <v>18</v>
      </c>
      <c r="T79" s="502"/>
      <c r="U79" s="501"/>
      <c r="V79" s="501">
        <f>E79-S79</f>
        <v>282</v>
      </c>
      <c r="W79" s="585" t="s">
        <v>158</v>
      </c>
      <c r="X79" s="449"/>
      <c r="Y79" s="449"/>
      <c r="Z79" s="449"/>
      <c r="AA79" s="449"/>
      <c r="AB79" s="449"/>
      <c r="AC79" s="449"/>
      <c r="AD79" s="449"/>
      <c r="AE79" s="449"/>
      <c r="AF79" s="449"/>
      <c r="AG79" s="449"/>
    </row>
    <row r="80" spans="1:33" s="465" customFormat="1" ht="23.25" hidden="1" customHeight="1">
      <c r="A80" s="451" t="s">
        <v>94</v>
      </c>
      <c r="B80" s="466" t="s">
        <v>767</v>
      </c>
      <c r="C80" s="453"/>
      <c r="D80" s="454"/>
      <c r="E80" s="501">
        <f t="shared" si="34"/>
        <v>0</v>
      </c>
      <c r="F80" s="501">
        <f t="shared" si="37"/>
        <v>0</v>
      </c>
      <c r="G80" s="501">
        <f t="shared" si="35"/>
        <v>0</v>
      </c>
      <c r="H80" s="501">
        <f t="shared" si="36"/>
        <v>0</v>
      </c>
      <c r="I80" s="501"/>
      <c r="J80" s="501"/>
      <c r="K80" s="501"/>
      <c r="L80" s="501"/>
      <c r="M80" s="501"/>
      <c r="N80" s="501"/>
      <c r="O80" s="501"/>
      <c r="P80" s="501"/>
      <c r="Q80" s="501"/>
      <c r="R80" s="501"/>
      <c r="S80" s="501"/>
      <c r="T80" s="502"/>
      <c r="U80" s="501"/>
      <c r="V80" s="501"/>
      <c r="W80" s="588" t="s">
        <v>768</v>
      </c>
      <c r="X80" s="464"/>
      <c r="Y80" s="464"/>
      <c r="Z80" s="464"/>
      <c r="AA80" s="464"/>
      <c r="AB80" s="464"/>
      <c r="AC80" s="464"/>
      <c r="AD80" s="464"/>
      <c r="AE80" s="464"/>
      <c r="AF80" s="464"/>
      <c r="AG80" s="464"/>
    </row>
    <row r="81" spans="1:33" s="455" customFormat="1" ht="18" hidden="1" customHeight="1">
      <c r="A81" s="451" t="s">
        <v>76</v>
      </c>
      <c r="B81" s="467" t="s">
        <v>769</v>
      </c>
      <c r="C81" s="453">
        <v>170</v>
      </c>
      <c r="D81" s="454"/>
      <c r="E81" s="501">
        <f t="shared" si="34"/>
        <v>0</v>
      </c>
      <c r="F81" s="501">
        <f t="shared" si="37"/>
        <v>-170</v>
      </c>
      <c r="G81" s="501">
        <f t="shared" si="35"/>
        <v>0</v>
      </c>
      <c r="H81" s="501">
        <f t="shared" si="36"/>
        <v>0</v>
      </c>
      <c r="I81" s="501"/>
      <c r="J81" s="501">
        <f>K81+L81</f>
        <v>0</v>
      </c>
      <c r="K81" s="501"/>
      <c r="L81" s="501"/>
      <c r="M81" s="501">
        <f>N81+O81</f>
        <v>0</v>
      </c>
      <c r="N81" s="501"/>
      <c r="O81" s="501">
        <v>0</v>
      </c>
      <c r="P81" s="501"/>
      <c r="Q81" s="501"/>
      <c r="R81" s="501"/>
      <c r="S81" s="501"/>
      <c r="T81" s="502"/>
      <c r="U81" s="501"/>
      <c r="V81" s="501"/>
      <c r="W81" s="585" t="s">
        <v>160</v>
      </c>
      <c r="X81" s="449"/>
      <c r="Y81" s="449"/>
      <c r="Z81" s="449"/>
      <c r="AA81" s="449"/>
      <c r="AB81" s="449"/>
      <c r="AC81" s="449"/>
      <c r="AD81" s="449"/>
      <c r="AE81" s="449"/>
      <c r="AF81" s="449"/>
      <c r="AG81" s="449"/>
    </row>
    <row r="82" spans="1:33" s="455" customFormat="1" ht="28.5" customHeight="1">
      <c r="A82" s="583">
        <v>4</v>
      </c>
      <c r="B82" s="457" t="s">
        <v>165</v>
      </c>
      <c r="C82" s="453">
        <f>C83+C86+C124+C143+C167+C404+C415+C430</f>
        <v>69229.290999999997</v>
      </c>
      <c r="D82" s="453">
        <f>D83+D86+D124+D143+D167+D404+D415+D430</f>
        <v>1078</v>
      </c>
      <c r="E82" s="501">
        <f>E83+E86+E124+E143+E167+E404+E415+E430</f>
        <v>74773.000020000007</v>
      </c>
      <c r="F82" s="501">
        <f t="shared" si="37"/>
        <v>5543.7090200000093</v>
      </c>
      <c r="G82" s="501">
        <f t="shared" ref="G82:V82" si="38">G83+G86+G124+G143+G167+G404+G415+G430</f>
        <v>74153.000020000007</v>
      </c>
      <c r="H82" s="501">
        <f t="shared" si="38"/>
        <v>41940.830020000001</v>
      </c>
      <c r="I82" s="501">
        <f t="shared" si="38"/>
        <v>158</v>
      </c>
      <c r="J82" s="501">
        <f t="shared" si="38"/>
        <v>23842.137020000006</v>
      </c>
      <c r="K82" s="501">
        <f t="shared" si="38"/>
        <v>0</v>
      </c>
      <c r="L82" s="501">
        <f t="shared" si="38"/>
        <v>0</v>
      </c>
      <c r="M82" s="501">
        <f t="shared" si="38"/>
        <v>18098.692999999999</v>
      </c>
      <c r="N82" s="501">
        <f t="shared" si="38"/>
        <v>4146.2999999999993</v>
      </c>
      <c r="O82" s="501">
        <f t="shared" si="38"/>
        <v>13952.393</v>
      </c>
      <c r="P82" s="501">
        <f t="shared" si="38"/>
        <v>32212.170000000002</v>
      </c>
      <c r="Q82" s="501">
        <f t="shared" si="38"/>
        <v>0</v>
      </c>
      <c r="R82" s="501">
        <f t="shared" si="38"/>
        <v>620</v>
      </c>
      <c r="S82" s="501">
        <f t="shared" si="38"/>
        <v>-2736.1</v>
      </c>
      <c r="T82" s="502">
        <f t="shared" si="38"/>
        <v>1625.1299999999999</v>
      </c>
      <c r="U82" s="501">
        <f t="shared" si="38"/>
        <v>1850.09</v>
      </c>
      <c r="V82" s="501">
        <f t="shared" si="38"/>
        <v>77284.140020000006</v>
      </c>
      <c r="W82" s="585">
        <f>T82-U82</f>
        <v>-224.96000000000004</v>
      </c>
      <c r="X82" s="449">
        <f>V82-W82</f>
        <v>77509.100020000013</v>
      </c>
      <c r="Y82" s="449"/>
      <c r="Z82" s="449"/>
      <c r="AA82" s="449"/>
      <c r="AB82" s="449"/>
      <c r="AC82" s="449"/>
      <c r="AD82" s="449"/>
      <c r="AE82" s="449"/>
      <c r="AF82" s="449"/>
      <c r="AG82" s="449"/>
    </row>
    <row r="83" spans="1:33" s="455" customFormat="1" ht="18" customHeight="1">
      <c r="A83" s="451" t="s">
        <v>1</v>
      </c>
      <c r="B83" s="452" t="s">
        <v>166</v>
      </c>
      <c r="C83" s="453">
        <f>SUM(C84:C85)</f>
        <v>943</v>
      </c>
      <c r="D83" s="454"/>
      <c r="E83" s="501">
        <f>SUM(E84:E85)</f>
        <v>941</v>
      </c>
      <c r="F83" s="501">
        <f t="shared" si="37"/>
        <v>-2</v>
      </c>
      <c r="G83" s="501">
        <f t="shared" ref="G83:V83" si="39">SUM(G84:G85)</f>
        <v>941</v>
      </c>
      <c r="H83" s="501">
        <f t="shared" si="39"/>
        <v>0</v>
      </c>
      <c r="I83" s="501">
        <f t="shared" si="39"/>
        <v>0</v>
      </c>
      <c r="J83" s="501">
        <f t="shared" si="39"/>
        <v>0</v>
      </c>
      <c r="K83" s="501">
        <f t="shared" si="39"/>
        <v>0</v>
      </c>
      <c r="L83" s="501">
        <f t="shared" si="39"/>
        <v>0</v>
      </c>
      <c r="M83" s="501">
        <f t="shared" si="39"/>
        <v>0</v>
      </c>
      <c r="N83" s="501">
        <f t="shared" si="39"/>
        <v>0</v>
      </c>
      <c r="O83" s="501">
        <f t="shared" si="39"/>
        <v>0</v>
      </c>
      <c r="P83" s="501">
        <f t="shared" si="39"/>
        <v>941</v>
      </c>
      <c r="Q83" s="501">
        <f t="shared" si="39"/>
        <v>0</v>
      </c>
      <c r="R83" s="501">
        <f t="shared" si="39"/>
        <v>0</v>
      </c>
      <c r="S83" s="501">
        <f t="shared" si="39"/>
        <v>0</v>
      </c>
      <c r="T83" s="502">
        <f t="shared" si="39"/>
        <v>0</v>
      </c>
      <c r="U83" s="501">
        <f t="shared" si="39"/>
        <v>0</v>
      </c>
      <c r="V83" s="501">
        <f t="shared" si="39"/>
        <v>941</v>
      </c>
      <c r="W83" s="585"/>
      <c r="X83" s="449"/>
      <c r="Y83" s="449"/>
      <c r="Z83" s="449"/>
      <c r="AA83" s="449"/>
      <c r="AB83" s="449"/>
      <c r="AC83" s="449"/>
      <c r="AD83" s="449"/>
      <c r="AE83" s="449"/>
      <c r="AF83" s="449"/>
      <c r="AG83" s="449"/>
    </row>
    <row r="84" spans="1:33" s="455" customFormat="1" ht="35.25" customHeight="1">
      <c r="A84" s="451" t="s">
        <v>11</v>
      </c>
      <c r="B84" s="457" t="s">
        <v>215</v>
      </c>
      <c r="C84" s="453">
        <v>656</v>
      </c>
      <c r="D84" s="454"/>
      <c r="E84" s="501">
        <f>G84+R84</f>
        <v>686</v>
      </c>
      <c r="F84" s="501">
        <f t="shared" si="37"/>
        <v>30</v>
      </c>
      <c r="G84" s="501">
        <f>H84+P84+Q84</f>
        <v>686</v>
      </c>
      <c r="H84" s="501">
        <f>J84+M84</f>
        <v>0</v>
      </c>
      <c r="I84" s="501"/>
      <c r="J84" s="501">
        <f>K84+L84</f>
        <v>0</v>
      </c>
      <c r="K84" s="501"/>
      <c r="L84" s="501"/>
      <c r="M84" s="501">
        <f>N84+O84</f>
        <v>0</v>
      </c>
      <c r="N84" s="501"/>
      <c r="O84" s="501">
        <v>0</v>
      </c>
      <c r="P84" s="501">
        <v>686</v>
      </c>
      <c r="Q84" s="501"/>
      <c r="R84" s="501"/>
      <c r="S84" s="503">
        <v>0</v>
      </c>
      <c r="T84" s="504"/>
      <c r="U84" s="503"/>
      <c r="V84" s="503">
        <f>E84</f>
        <v>686</v>
      </c>
      <c r="W84" s="712" t="s">
        <v>770</v>
      </c>
      <c r="X84" s="449"/>
      <c r="Y84" s="449"/>
      <c r="Z84" s="449"/>
      <c r="AA84" s="449"/>
      <c r="AB84" s="449"/>
      <c r="AC84" s="449"/>
      <c r="AD84" s="449"/>
      <c r="AE84" s="449"/>
      <c r="AF84" s="449"/>
      <c r="AG84" s="449"/>
    </row>
    <row r="85" spans="1:33" s="455" customFormat="1" ht="21.75" customHeight="1">
      <c r="A85" s="451" t="s">
        <v>11</v>
      </c>
      <c r="B85" s="457" t="s">
        <v>216</v>
      </c>
      <c r="C85" s="453">
        <v>287</v>
      </c>
      <c r="D85" s="454"/>
      <c r="E85" s="501">
        <f>G85+R85</f>
        <v>255</v>
      </c>
      <c r="F85" s="501">
        <f t="shared" si="37"/>
        <v>-32</v>
      </c>
      <c r="G85" s="501">
        <f>H85+P85+Q85</f>
        <v>255</v>
      </c>
      <c r="H85" s="501">
        <f>J85+M85</f>
        <v>0</v>
      </c>
      <c r="I85" s="501"/>
      <c r="J85" s="501">
        <f>K85+L85</f>
        <v>0</v>
      </c>
      <c r="K85" s="501"/>
      <c r="L85" s="501"/>
      <c r="M85" s="501">
        <f>N85+O85</f>
        <v>0</v>
      </c>
      <c r="N85" s="501"/>
      <c r="O85" s="501">
        <v>0</v>
      </c>
      <c r="P85" s="501">
        <v>255</v>
      </c>
      <c r="Q85" s="501"/>
      <c r="R85" s="501"/>
      <c r="S85" s="505">
        <v>0</v>
      </c>
      <c r="T85" s="506"/>
      <c r="U85" s="505"/>
      <c r="V85" s="505">
        <f>E85</f>
        <v>255</v>
      </c>
      <c r="W85" s="713"/>
      <c r="X85" s="449"/>
      <c r="Y85" s="449"/>
      <c r="Z85" s="449"/>
      <c r="AA85" s="449"/>
      <c r="AB85" s="449"/>
      <c r="AC85" s="449"/>
      <c r="AD85" s="449"/>
      <c r="AE85" s="449"/>
      <c r="AF85" s="449"/>
      <c r="AG85" s="449"/>
    </row>
    <row r="86" spans="1:33" s="455" customFormat="1" ht="18" customHeight="1">
      <c r="A86" s="451" t="s">
        <v>2</v>
      </c>
      <c r="B86" s="452" t="s">
        <v>167</v>
      </c>
      <c r="C86" s="453">
        <f>C87+C102+C111+C120</f>
        <v>15078.307000000001</v>
      </c>
      <c r="D86" s="454">
        <v>280</v>
      </c>
      <c r="E86" s="501">
        <f>E87+E102+E111+E120</f>
        <v>15195.412</v>
      </c>
      <c r="F86" s="501">
        <f t="shared" si="37"/>
        <v>117.10499999999956</v>
      </c>
      <c r="G86" s="501">
        <f t="shared" ref="G86:V86" si="40">G87+G102+G111+G120</f>
        <v>14575.412</v>
      </c>
      <c r="H86" s="501">
        <f t="shared" si="40"/>
        <v>543.62200000000007</v>
      </c>
      <c r="I86" s="501">
        <f t="shared" si="40"/>
        <v>6</v>
      </c>
      <c r="J86" s="501">
        <f t="shared" si="40"/>
        <v>435.62200000000001</v>
      </c>
      <c r="K86" s="501">
        <f t="shared" si="40"/>
        <v>0</v>
      </c>
      <c r="L86" s="501">
        <f t="shared" si="40"/>
        <v>0</v>
      </c>
      <c r="M86" s="501">
        <f t="shared" si="40"/>
        <v>108</v>
      </c>
      <c r="N86" s="501">
        <f t="shared" si="40"/>
        <v>108</v>
      </c>
      <c r="O86" s="501">
        <f t="shared" si="40"/>
        <v>0</v>
      </c>
      <c r="P86" s="501">
        <f t="shared" si="40"/>
        <v>14031.79</v>
      </c>
      <c r="Q86" s="501">
        <f t="shared" si="40"/>
        <v>0</v>
      </c>
      <c r="R86" s="501">
        <f t="shared" si="40"/>
        <v>620</v>
      </c>
      <c r="S86" s="501">
        <f t="shared" si="40"/>
        <v>828.5</v>
      </c>
      <c r="T86" s="502">
        <f t="shared" si="40"/>
        <v>827.5</v>
      </c>
      <c r="U86" s="501">
        <f t="shared" si="40"/>
        <v>837.5</v>
      </c>
      <c r="V86" s="501">
        <f t="shared" si="40"/>
        <v>14356.912</v>
      </c>
      <c r="W86" s="585">
        <f>E86-S86+T86-U86</f>
        <v>14356.912</v>
      </c>
      <c r="X86" s="449">
        <f>W86-V86</f>
        <v>0</v>
      </c>
      <c r="Y86" s="449"/>
      <c r="Z86" s="449"/>
      <c r="AA86" s="449"/>
      <c r="AB86" s="449"/>
      <c r="AC86" s="449"/>
      <c r="AD86" s="449"/>
      <c r="AE86" s="449"/>
      <c r="AF86" s="449"/>
      <c r="AG86" s="449"/>
    </row>
    <row r="87" spans="1:33" s="455" customFormat="1" ht="18" customHeight="1">
      <c r="A87" s="451" t="s">
        <v>168</v>
      </c>
      <c r="B87" s="452" t="s">
        <v>948</v>
      </c>
      <c r="C87" s="453">
        <f>C88+C99</f>
        <v>2969.3070000000002</v>
      </c>
      <c r="D87" s="453">
        <f>D88+D99</f>
        <v>0</v>
      </c>
      <c r="E87" s="501">
        <f>E88+E99</f>
        <v>4590.4120000000003</v>
      </c>
      <c r="F87" s="501">
        <f t="shared" ref="F87:V87" si="41">F88+F99</f>
        <v>1591.7249999999999</v>
      </c>
      <c r="G87" s="501">
        <f t="shared" si="41"/>
        <v>4590.4120000000003</v>
      </c>
      <c r="H87" s="501">
        <f t="shared" si="41"/>
        <v>543.62200000000007</v>
      </c>
      <c r="I87" s="501">
        <f t="shared" si="41"/>
        <v>6</v>
      </c>
      <c r="J87" s="501">
        <f t="shared" si="41"/>
        <v>435.62200000000001</v>
      </c>
      <c r="K87" s="501">
        <f t="shared" si="41"/>
        <v>0</v>
      </c>
      <c r="L87" s="501">
        <f t="shared" si="41"/>
        <v>0</v>
      </c>
      <c r="M87" s="501">
        <f t="shared" si="41"/>
        <v>108</v>
      </c>
      <c r="N87" s="501">
        <f t="shared" si="41"/>
        <v>108</v>
      </c>
      <c r="O87" s="501">
        <f t="shared" si="41"/>
        <v>0</v>
      </c>
      <c r="P87" s="501">
        <f t="shared" si="41"/>
        <v>4046.79</v>
      </c>
      <c r="Q87" s="501">
        <f t="shared" si="41"/>
        <v>0</v>
      </c>
      <c r="R87" s="501">
        <f t="shared" si="41"/>
        <v>0</v>
      </c>
      <c r="S87" s="501">
        <f t="shared" si="41"/>
        <v>345.8</v>
      </c>
      <c r="T87" s="502">
        <f t="shared" si="41"/>
        <v>827.5</v>
      </c>
      <c r="U87" s="501">
        <f t="shared" si="41"/>
        <v>837.5</v>
      </c>
      <c r="V87" s="501">
        <f t="shared" si="41"/>
        <v>4234.6120000000001</v>
      </c>
      <c r="W87" s="585"/>
      <c r="X87" s="449">
        <f>W87-V87</f>
        <v>-4234.6120000000001</v>
      </c>
      <c r="Y87" s="449"/>
      <c r="Z87" s="449"/>
      <c r="AA87" s="449"/>
      <c r="AB87" s="449"/>
      <c r="AC87" s="449"/>
      <c r="AD87" s="449"/>
      <c r="AE87" s="449"/>
      <c r="AF87" s="449"/>
      <c r="AG87" s="449"/>
    </row>
    <row r="88" spans="1:33" s="469" customFormat="1" ht="17.25" customHeight="1">
      <c r="A88" s="451" t="s">
        <v>157</v>
      </c>
      <c r="B88" s="452" t="s">
        <v>949</v>
      </c>
      <c r="C88" s="453">
        <f>SUM(C89:C97)</f>
        <v>2939.9270000000001</v>
      </c>
      <c r="D88" s="454">
        <f>SUM(D89:D97)</f>
        <v>0</v>
      </c>
      <c r="E88" s="501">
        <f>SUM(E89:E101)</f>
        <v>4590.4120000000003</v>
      </c>
      <c r="F88" s="501">
        <f t="shared" ref="F88:U88" si="42">SUM(F89:F101)</f>
        <v>1621.105</v>
      </c>
      <c r="G88" s="501">
        <f t="shared" si="42"/>
        <v>4590.4120000000003</v>
      </c>
      <c r="H88" s="501">
        <f t="shared" si="42"/>
        <v>543.62200000000007</v>
      </c>
      <c r="I88" s="501">
        <f t="shared" si="42"/>
        <v>6</v>
      </c>
      <c r="J88" s="501">
        <f t="shared" si="42"/>
        <v>435.62200000000001</v>
      </c>
      <c r="K88" s="501">
        <f t="shared" si="42"/>
        <v>0</v>
      </c>
      <c r="L88" s="501">
        <f t="shared" si="42"/>
        <v>0</v>
      </c>
      <c r="M88" s="501">
        <f t="shared" si="42"/>
        <v>108</v>
      </c>
      <c r="N88" s="501">
        <f t="shared" si="42"/>
        <v>108</v>
      </c>
      <c r="O88" s="501">
        <f t="shared" si="42"/>
        <v>0</v>
      </c>
      <c r="P88" s="501">
        <f t="shared" si="42"/>
        <v>4046.79</v>
      </c>
      <c r="Q88" s="501">
        <f t="shared" si="42"/>
        <v>0</v>
      </c>
      <c r="R88" s="501">
        <f t="shared" si="42"/>
        <v>0</v>
      </c>
      <c r="S88" s="501">
        <f t="shared" si="42"/>
        <v>345.8</v>
      </c>
      <c r="T88" s="502">
        <f t="shared" si="42"/>
        <v>827.5</v>
      </c>
      <c r="U88" s="501">
        <f t="shared" si="42"/>
        <v>837.5</v>
      </c>
      <c r="V88" s="501">
        <f>SUM(V89:V101)</f>
        <v>4234.6120000000001</v>
      </c>
      <c r="W88" s="585" t="s">
        <v>771</v>
      </c>
      <c r="X88" s="468"/>
      <c r="Y88" s="468"/>
      <c r="Z88" s="468"/>
      <c r="AA88" s="468"/>
      <c r="AB88" s="468"/>
      <c r="AC88" s="468"/>
      <c r="AD88" s="468"/>
      <c r="AE88" s="468"/>
      <c r="AF88" s="468"/>
      <c r="AG88" s="468"/>
    </row>
    <row r="89" spans="1:33" s="455" customFormat="1" ht="18" customHeight="1">
      <c r="A89" s="456" t="s">
        <v>11</v>
      </c>
      <c r="B89" s="452" t="s">
        <v>772</v>
      </c>
      <c r="C89" s="453">
        <v>414.09300000000002</v>
      </c>
      <c r="D89" s="454"/>
      <c r="E89" s="501">
        <f t="shared" ref="E89:E101" si="43">G89+R89</f>
        <v>425.262</v>
      </c>
      <c r="F89" s="501">
        <f t="shared" si="37"/>
        <v>11.168999999999983</v>
      </c>
      <c r="G89" s="501">
        <f t="shared" ref="G89:G101" si="44">H89+P89+Q89</f>
        <v>425.262</v>
      </c>
      <c r="H89" s="501">
        <f t="shared" ref="H89:H99" si="45">J89+M89</f>
        <v>425.262</v>
      </c>
      <c r="I89" s="501">
        <v>6</v>
      </c>
      <c r="J89" s="501">
        <v>425.262</v>
      </c>
      <c r="K89" s="501"/>
      <c r="L89" s="501"/>
      <c r="M89" s="501">
        <f t="shared" ref="M89:M99" si="46">N89+O89</f>
        <v>0</v>
      </c>
      <c r="N89" s="501"/>
      <c r="O89" s="501"/>
      <c r="P89" s="501"/>
      <c r="Q89" s="501"/>
      <c r="R89" s="501"/>
      <c r="S89" s="501">
        <v>0</v>
      </c>
      <c r="T89" s="502"/>
      <c r="U89" s="501"/>
      <c r="V89" s="501">
        <f>E89</f>
        <v>425.262</v>
      </c>
      <c r="W89" s="720" t="s">
        <v>771</v>
      </c>
      <c r="X89" s="449"/>
      <c r="Y89" s="449"/>
      <c r="Z89" s="449"/>
      <c r="AA89" s="449"/>
      <c r="AB89" s="449"/>
      <c r="AC89" s="449"/>
      <c r="AD89" s="449"/>
      <c r="AE89" s="449"/>
      <c r="AF89" s="449"/>
      <c r="AG89" s="449"/>
    </row>
    <row r="90" spans="1:33" s="455" customFormat="1" ht="18" customHeight="1">
      <c r="A90" s="456" t="s">
        <v>11</v>
      </c>
      <c r="B90" s="452" t="s">
        <v>310</v>
      </c>
      <c r="C90" s="453">
        <v>5.3639999999999999</v>
      </c>
      <c r="D90" s="454"/>
      <c r="E90" s="501">
        <f t="shared" si="43"/>
        <v>5.36</v>
      </c>
      <c r="F90" s="501">
        <f t="shared" si="37"/>
        <v>-3.9999999999995595E-3</v>
      </c>
      <c r="G90" s="501">
        <f t="shared" si="44"/>
        <v>5.36</v>
      </c>
      <c r="H90" s="501">
        <f t="shared" si="45"/>
        <v>5.36</v>
      </c>
      <c r="I90" s="501"/>
      <c r="J90" s="501">
        <v>5.36</v>
      </c>
      <c r="K90" s="501"/>
      <c r="L90" s="501"/>
      <c r="M90" s="501">
        <f t="shared" si="46"/>
        <v>0</v>
      </c>
      <c r="N90" s="501"/>
      <c r="O90" s="501"/>
      <c r="P90" s="501"/>
      <c r="Q90" s="501"/>
      <c r="R90" s="501"/>
      <c r="S90" s="501">
        <v>0</v>
      </c>
      <c r="T90" s="502"/>
      <c r="U90" s="501"/>
      <c r="V90" s="501">
        <f>E90</f>
        <v>5.36</v>
      </c>
      <c r="W90" s="721"/>
      <c r="X90" s="449"/>
      <c r="Y90" s="449"/>
      <c r="Z90" s="449"/>
      <c r="AA90" s="449"/>
      <c r="AB90" s="449"/>
      <c r="AC90" s="449"/>
      <c r="AD90" s="449"/>
      <c r="AE90" s="449"/>
      <c r="AF90" s="449"/>
      <c r="AG90" s="449"/>
    </row>
    <row r="91" spans="1:33" s="455" customFormat="1" ht="27" customHeight="1">
      <c r="A91" s="456" t="s">
        <v>11</v>
      </c>
      <c r="B91" s="457" t="s">
        <v>150</v>
      </c>
      <c r="C91" s="453">
        <v>4.47</v>
      </c>
      <c r="D91" s="454"/>
      <c r="E91" s="501">
        <f t="shared" si="43"/>
        <v>5</v>
      </c>
      <c r="F91" s="501">
        <f t="shared" si="37"/>
        <v>0.53000000000000025</v>
      </c>
      <c r="G91" s="501">
        <f t="shared" si="44"/>
        <v>5</v>
      </c>
      <c r="H91" s="501">
        <f t="shared" si="45"/>
        <v>5</v>
      </c>
      <c r="I91" s="501"/>
      <c r="J91" s="501">
        <v>5</v>
      </c>
      <c r="K91" s="501"/>
      <c r="L91" s="501"/>
      <c r="M91" s="501">
        <f t="shared" si="46"/>
        <v>0</v>
      </c>
      <c r="N91" s="501"/>
      <c r="O91" s="501"/>
      <c r="P91" s="501"/>
      <c r="Q91" s="501"/>
      <c r="R91" s="501"/>
      <c r="S91" s="501"/>
      <c r="T91" s="502"/>
      <c r="U91" s="501"/>
      <c r="V91" s="501">
        <f>E91</f>
        <v>5</v>
      </c>
      <c r="W91" s="721"/>
      <c r="X91" s="449"/>
      <c r="Y91" s="449"/>
      <c r="Z91" s="449"/>
      <c r="AA91" s="449"/>
      <c r="AB91" s="449"/>
      <c r="AC91" s="449"/>
      <c r="AD91" s="449"/>
      <c r="AE91" s="449"/>
      <c r="AF91" s="449"/>
      <c r="AG91" s="449"/>
    </row>
    <row r="92" spans="1:33" s="455" customFormat="1" ht="18" customHeight="1">
      <c r="A92" s="456" t="s">
        <v>11</v>
      </c>
      <c r="B92" s="452" t="s">
        <v>773</v>
      </c>
      <c r="C92" s="453">
        <v>96</v>
      </c>
      <c r="D92" s="454"/>
      <c r="E92" s="501">
        <f t="shared" si="43"/>
        <v>108</v>
      </c>
      <c r="F92" s="501">
        <f t="shared" si="37"/>
        <v>12</v>
      </c>
      <c r="G92" s="501">
        <f t="shared" si="44"/>
        <v>108</v>
      </c>
      <c r="H92" s="501">
        <f t="shared" si="45"/>
        <v>108</v>
      </c>
      <c r="I92" s="501">
        <v>0</v>
      </c>
      <c r="J92" s="501">
        <f t="shared" ref="J92:J97" si="47">K92+L92</f>
        <v>0</v>
      </c>
      <c r="K92" s="501">
        <v>0</v>
      </c>
      <c r="L92" s="501"/>
      <c r="M92" s="501">
        <f t="shared" si="46"/>
        <v>108</v>
      </c>
      <c r="N92" s="501">
        <f>6*18</f>
        <v>108</v>
      </c>
      <c r="O92" s="501">
        <v>0</v>
      </c>
      <c r="P92" s="501">
        <v>0</v>
      </c>
      <c r="Q92" s="501"/>
      <c r="R92" s="501"/>
      <c r="S92" s="501">
        <v>10.8</v>
      </c>
      <c r="T92" s="502"/>
      <c r="U92" s="501"/>
      <c r="V92" s="501">
        <f>E92-S92</f>
        <v>97.2</v>
      </c>
      <c r="W92" s="721"/>
      <c r="X92" s="449"/>
      <c r="Y92" s="449"/>
      <c r="Z92" s="449"/>
      <c r="AA92" s="449"/>
      <c r="AB92" s="449"/>
      <c r="AC92" s="449"/>
      <c r="AD92" s="449"/>
      <c r="AE92" s="449"/>
      <c r="AF92" s="449"/>
      <c r="AG92" s="449"/>
    </row>
    <row r="93" spans="1:33" s="455" customFormat="1" ht="24" customHeight="1">
      <c r="A93" s="456" t="s">
        <v>11</v>
      </c>
      <c r="B93" s="457" t="s">
        <v>774</v>
      </c>
      <c r="C93" s="453">
        <v>1750</v>
      </c>
      <c r="D93" s="454"/>
      <c r="E93" s="501">
        <f t="shared" si="43"/>
        <v>1000</v>
      </c>
      <c r="F93" s="501">
        <f t="shared" si="37"/>
        <v>-750</v>
      </c>
      <c r="G93" s="501">
        <f t="shared" si="44"/>
        <v>1000</v>
      </c>
      <c r="H93" s="501">
        <f t="shared" si="45"/>
        <v>0</v>
      </c>
      <c r="I93" s="501"/>
      <c r="J93" s="501">
        <f t="shared" si="47"/>
        <v>0</v>
      </c>
      <c r="K93" s="501"/>
      <c r="L93" s="501"/>
      <c r="M93" s="501">
        <f t="shared" si="46"/>
        <v>0</v>
      </c>
      <c r="N93" s="501">
        <v>0</v>
      </c>
      <c r="O93" s="501">
        <v>0</v>
      </c>
      <c r="P93" s="501">
        <v>1000</v>
      </c>
      <c r="Q93" s="501"/>
      <c r="R93" s="501"/>
      <c r="S93" s="501">
        <v>60</v>
      </c>
      <c r="T93" s="502"/>
      <c r="U93" s="501"/>
      <c r="V93" s="501">
        <f>E93-S93</f>
        <v>940</v>
      </c>
      <c r="W93" s="721"/>
      <c r="X93" s="449"/>
      <c r="Y93" s="449"/>
      <c r="Z93" s="449"/>
      <c r="AA93" s="449"/>
      <c r="AB93" s="449"/>
      <c r="AC93" s="449"/>
      <c r="AD93" s="449"/>
      <c r="AE93" s="449"/>
      <c r="AF93" s="449"/>
      <c r="AG93" s="449"/>
    </row>
    <row r="94" spans="1:33" s="455" customFormat="1" ht="28.5" customHeight="1">
      <c r="A94" s="456" t="s">
        <v>11</v>
      </c>
      <c r="B94" s="457" t="s">
        <v>171</v>
      </c>
      <c r="C94" s="453">
        <v>500</v>
      </c>
      <c r="D94" s="454"/>
      <c r="E94" s="501">
        <f t="shared" si="43"/>
        <v>500</v>
      </c>
      <c r="F94" s="501">
        <f t="shared" si="37"/>
        <v>0</v>
      </c>
      <c r="G94" s="501">
        <f t="shared" si="44"/>
        <v>500</v>
      </c>
      <c r="H94" s="501">
        <f t="shared" si="45"/>
        <v>0</v>
      </c>
      <c r="I94" s="501"/>
      <c r="J94" s="501">
        <f t="shared" si="47"/>
        <v>0</v>
      </c>
      <c r="K94" s="501"/>
      <c r="L94" s="501"/>
      <c r="M94" s="501">
        <f t="shared" si="46"/>
        <v>0</v>
      </c>
      <c r="N94" s="501"/>
      <c r="O94" s="501"/>
      <c r="P94" s="501">
        <v>500</v>
      </c>
      <c r="Q94" s="501"/>
      <c r="R94" s="501"/>
      <c r="S94" s="501">
        <v>30</v>
      </c>
      <c r="T94" s="502"/>
      <c r="U94" s="501"/>
      <c r="V94" s="501">
        <f>E94-S94</f>
        <v>470</v>
      </c>
      <c r="W94" s="721"/>
      <c r="X94" s="449"/>
      <c r="Y94" s="449"/>
      <c r="Z94" s="449"/>
      <c r="AA94" s="449"/>
      <c r="AB94" s="449"/>
      <c r="AC94" s="449"/>
      <c r="AD94" s="449"/>
      <c r="AE94" s="449"/>
      <c r="AF94" s="449"/>
      <c r="AG94" s="449"/>
    </row>
    <row r="95" spans="1:33" s="455" customFormat="1" ht="25.5" customHeight="1">
      <c r="A95" s="456" t="s">
        <v>11</v>
      </c>
      <c r="B95" s="452" t="s">
        <v>172</v>
      </c>
      <c r="C95" s="453">
        <v>20</v>
      </c>
      <c r="D95" s="454"/>
      <c r="E95" s="501">
        <f>G95+R95</f>
        <v>20</v>
      </c>
      <c r="F95" s="501">
        <f t="shared" si="37"/>
        <v>0</v>
      </c>
      <c r="G95" s="501">
        <f>H95+P95+Q95</f>
        <v>20</v>
      </c>
      <c r="H95" s="501">
        <f>J95+M95</f>
        <v>0</v>
      </c>
      <c r="I95" s="501"/>
      <c r="J95" s="501">
        <f t="shared" si="47"/>
        <v>0</v>
      </c>
      <c r="K95" s="501"/>
      <c r="L95" s="501"/>
      <c r="M95" s="501">
        <f>N95+O95</f>
        <v>0</v>
      </c>
      <c r="N95" s="501"/>
      <c r="O95" s="501">
        <v>0</v>
      </c>
      <c r="P95" s="501">
        <v>20</v>
      </c>
      <c r="Q95" s="501"/>
      <c r="R95" s="501"/>
      <c r="S95" s="501">
        <v>2</v>
      </c>
      <c r="T95" s="502"/>
      <c r="U95" s="501"/>
      <c r="V95" s="501">
        <f>E95-S95</f>
        <v>18</v>
      </c>
      <c r="W95" s="721"/>
      <c r="X95" s="449"/>
      <c r="Y95" s="449"/>
      <c r="Z95" s="449"/>
      <c r="AA95" s="449"/>
      <c r="AB95" s="449"/>
      <c r="AC95" s="449"/>
      <c r="AD95" s="449"/>
      <c r="AE95" s="449"/>
      <c r="AF95" s="449"/>
      <c r="AG95" s="449"/>
    </row>
    <row r="96" spans="1:33" s="455" customFormat="1" ht="27" customHeight="1">
      <c r="A96" s="456" t="s">
        <v>11</v>
      </c>
      <c r="B96" s="457" t="s">
        <v>173</v>
      </c>
      <c r="C96" s="453">
        <v>120</v>
      </c>
      <c r="D96" s="454"/>
      <c r="E96" s="501">
        <f>G96+R96</f>
        <v>120</v>
      </c>
      <c r="F96" s="501">
        <f t="shared" si="37"/>
        <v>0</v>
      </c>
      <c r="G96" s="501">
        <f>H96+P96+Q96</f>
        <v>120</v>
      </c>
      <c r="H96" s="501">
        <f>J96+M96</f>
        <v>0</v>
      </c>
      <c r="I96" s="501"/>
      <c r="J96" s="501">
        <f t="shared" si="47"/>
        <v>0</v>
      </c>
      <c r="K96" s="501"/>
      <c r="L96" s="501"/>
      <c r="M96" s="501">
        <f>N96+O96</f>
        <v>0</v>
      </c>
      <c r="N96" s="501"/>
      <c r="O96" s="501">
        <v>0</v>
      </c>
      <c r="P96" s="501">
        <v>120</v>
      </c>
      <c r="Q96" s="501"/>
      <c r="R96" s="501"/>
      <c r="S96" s="501">
        <v>0</v>
      </c>
      <c r="T96" s="502"/>
      <c r="U96" s="501"/>
      <c r="V96" s="501">
        <f>E96</f>
        <v>120</v>
      </c>
      <c r="W96" s="721"/>
      <c r="X96" s="449"/>
      <c r="Y96" s="449"/>
      <c r="Z96" s="449"/>
      <c r="AA96" s="449"/>
      <c r="AB96" s="449"/>
      <c r="AC96" s="449"/>
      <c r="AD96" s="449"/>
      <c r="AE96" s="449"/>
      <c r="AF96" s="449"/>
      <c r="AG96" s="449"/>
    </row>
    <row r="97" spans="1:33" s="455" customFormat="1" ht="18" customHeight="1">
      <c r="A97" s="456" t="s">
        <v>11</v>
      </c>
      <c r="B97" s="452" t="s">
        <v>174</v>
      </c>
      <c r="C97" s="453">
        <v>30</v>
      </c>
      <c r="D97" s="454"/>
      <c r="E97" s="501">
        <f t="shared" si="43"/>
        <v>30</v>
      </c>
      <c r="F97" s="501">
        <f t="shared" si="37"/>
        <v>0</v>
      </c>
      <c r="G97" s="501">
        <f t="shared" si="44"/>
        <v>30</v>
      </c>
      <c r="H97" s="501">
        <f t="shared" si="45"/>
        <v>0</v>
      </c>
      <c r="I97" s="501"/>
      <c r="J97" s="501">
        <f t="shared" si="47"/>
        <v>0</v>
      </c>
      <c r="K97" s="501"/>
      <c r="L97" s="501"/>
      <c r="M97" s="501">
        <f t="shared" si="46"/>
        <v>0</v>
      </c>
      <c r="N97" s="501"/>
      <c r="O97" s="501">
        <v>0</v>
      </c>
      <c r="P97" s="501">
        <v>30</v>
      </c>
      <c r="Q97" s="501"/>
      <c r="R97" s="501"/>
      <c r="S97" s="501">
        <v>3</v>
      </c>
      <c r="T97" s="502"/>
      <c r="U97" s="501">
        <v>10</v>
      </c>
      <c r="V97" s="501">
        <f>E97-S97-U97</f>
        <v>17</v>
      </c>
      <c r="W97" s="721"/>
      <c r="X97" s="449"/>
      <c r="Y97" s="449"/>
      <c r="Z97" s="449"/>
      <c r="AA97" s="449"/>
      <c r="AB97" s="449"/>
      <c r="AC97" s="449"/>
      <c r="AD97" s="449"/>
      <c r="AE97" s="449"/>
      <c r="AF97" s="449"/>
      <c r="AG97" s="449"/>
    </row>
    <row r="98" spans="1:33" s="455" customFormat="1" ht="36.75" customHeight="1">
      <c r="A98" s="456"/>
      <c r="B98" s="470" t="s">
        <v>950</v>
      </c>
      <c r="C98" s="453"/>
      <c r="D98" s="454"/>
      <c r="E98" s="501">
        <v>0</v>
      </c>
      <c r="F98" s="501"/>
      <c r="G98" s="501"/>
      <c r="H98" s="501"/>
      <c r="I98" s="501"/>
      <c r="J98" s="501"/>
      <c r="K98" s="501"/>
      <c r="L98" s="501"/>
      <c r="M98" s="501"/>
      <c r="N98" s="501"/>
      <c r="O98" s="501"/>
      <c r="P98" s="501"/>
      <c r="Q98" s="501"/>
      <c r="R98" s="501"/>
      <c r="S98" s="501"/>
      <c r="T98" s="502">
        <v>600</v>
      </c>
      <c r="U98" s="501"/>
      <c r="V98" s="501">
        <f>E98-S98-U98+T98</f>
        <v>600</v>
      </c>
      <c r="W98" s="722"/>
      <c r="X98" s="449"/>
      <c r="Y98" s="449"/>
      <c r="Z98" s="449"/>
      <c r="AA98" s="449"/>
      <c r="AB98" s="449"/>
      <c r="AC98" s="449"/>
      <c r="AD98" s="449"/>
      <c r="AE98" s="449"/>
      <c r="AF98" s="449"/>
      <c r="AG98" s="449"/>
    </row>
    <row r="99" spans="1:33" s="455" customFormat="1" ht="38.25" hidden="1" customHeight="1">
      <c r="A99" s="456" t="s">
        <v>157</v>
      </c>
      <c r="B99" s="457" t="s">
        <v>175</v>
      </c>
      <c r="C99" s="453">
        <v>29.38</v>
      </c>
      <c r="D99" s="454"/>
      <c r="E99" s="501">
        <f t="shared" si="43"/>
        <v>0</v>
      </c>
      <c r="F99" s="501">
        <f t="shared" si="37"/>
        <v>-29.38</v>
      </c>
      <c r="G99" s="501">
        <f t="shared" si="44"/>
        <v>0</v>
      </c>
      <c r="H99" s="501">
        <f t="shared" si="45"/>
        <v>0</v>
      </c>
      <c r="I99" s="501"/>
      <c r="J99" s="501">
        <f>K99+L99</f>
        <v>0</v>
      </c>
      <c r="K99" s="501"/>
      <c r="L99" s="501"/>
      <c r="M99" s="501">
        <f t="shared" si="46"/>
        <v>0</v>
      </c>
      <c r="N99" s="501"/>
      <c r="O99" s="501">
        <v>0</v>
      </c>
      <c r="P99" s="501">
        <v>0</v>
      </c>
      <c r="Q99" s="501"/>
      <c r="R99" s="501"/>
      <c r="S99" s="501"/>
      <c r="T99" s="502"/>
      <c r="U99" s="501"/>
      <c r="V99" s="501">
        <f t="shared" ref="V99:V100" si="48">E99-S99-U99+T99</f>
        <v>0</v>
      </c>
      <c r="W99" s="585" t="s">
        <v>176</v>
      </c>
      <c r="X99" s="449"/>
      <c r="Y99" s="449"/>
      <c r="Z99" s="449"/>
      <c r="AA99" s="449"/>
      <c r="AB99" s="449"/>
      <c r="AC99" s="449"/>
      <c r="AD99" s="449"/>
      <c r="AE99" s="449"/>
      <c r="AF99" s="449"/>
      <c r="AG99" s="449"/>
    </row>
    <row r="100" spans="1:33" s="455" customFormat="1" ht="31.5" customHeight="1">
      <c r="A100" s="456"/>
      <c r="B100" s="457" t="s">
        <v>943</v>
      </c>
      <c r="C100" s="453"/>
      <c r="D100" s="454"/>
      <c r="E100" s="501">
        <v>0</v>
      </c>
      <c r="F100" s="501"/>
      <c r="G100" s="501"/>
      <c r="H100" s="501"/>
      <c r="I100" s="501"/>
      <c r="J100" s="501"/>
      <c r="K100" s="501"/>
      <c r="L100" s="501"/>
      <c r="M100" s="501"/>
      <c r="N100" s="501"/>
      <c r="O100" s="501"/>
      <c r="P100" s="501"/>
      <c r="Q100" s="501"/>
      <c r="R100" s="501"/>
      <c r="S100" s="501"/>
      <c r="T100" s="502">
        <v>227.5</v>
      </c>
      <c r="U100" s="501"/>
      <c r="V100" s="501">
        <f t="shared" si="48"/>
        <v>227.5</v>
      </c>
      <c r="W100" s="585"/>
      <c r="X100" s="449"/>
      <c r="Y100" s="449"/>
      <c r="Z100" s="449"/>
      <c r="AA100" s="449"/>
      <c r="AB100" s="449"/>
      <c r="AC100" s="449"/>
      <c r="AD100" s="449"/>
      <c r="AE100" s="449"/>
      <c r="AF100" s="449"/>
      <c r="AG100" s="449"/>
    </row>
    <row r="101" spans="1:33" s="455" customFormat="1" ht="41.25" customHeight="1">
      <c r="A101" s="456" t="s">
        <v>157</v>
      </c>
      <c r="B101" s="470" t="s">
        <v>775</v>
      </c>
      <c r="C101" s="453"/>
      <c r="D101" s="454"/>
      <c r="E101" s="501">
        <f t="shared" si="43"/>
        <v>2376.79</v>
      </c>
      <c r="F101" s="501">
        <f t="shared" si="37"/>
        <v>2376.79</v>
      </c>
      <c r="G101" s="501">
        <f t="shared" si="44"/>
        <v>2376.79</v>
      </c>
      <c r="H101" s="501"/>
      <c r="I101" s="501"/>
      <c r="J101" s="501"/>
      <c r="K101" s="501"/>
      <c r="L101" s="501"/>
      <c r="M101" s="501"/>
      <c r="N101" s="501"/>
      <c r="O101" s="501"/>
      <c r="P101" s="501">
        <v>2376.79</v>
      </c>
      <c r="Q101" s="501"/>
      <c r="R101" s="501"/>
      <c r="S101" s="501">
        <v>240</v>
      </c>
      <c r="T101" s="502"/>
      <c r="U101" s="501">
        <f>600+227.5</f>
        <v>827.5</v>
      </c>
      <c r="V101" s="501">
        <f>E101-S101-U101+T101</f>
        <v>1309.29</v>
      </c>
      <c r="W101" s="458" t="s">
        <v>951</v>
      </c>
      <c r="X101" s="449"/>
      <c r="Y101" s="449"/>
      <c r="Z101" s="449"/>
      <c r="AA101" s="449"/>
      <c r="AB101" s="449"/>
      <c r="AC101" s="449"/>
      <c r="AD101" s="449"/>
      <c r="AE101" s="449"/>
      <c r="AF101" s="449"/>
      <c r="AG101" s="449"/>
    </row>
    <row r="102" spans="1:33" s="455" customFormat="1" ht="18.75" customHeight="1">
      <c r="A102" s="451" t="s">
        <v>177</v>
      </c>
      <c r="B102" s="452" t="s">
        <v>178</v>
      </c>
      <c r="C102" s="453">
        <f>SUM(C103:C110)</f>
        <v>6909</v>
      </c>
      <c r="D102" s="453">
        <f t="shared" ref="D102:R102" si="49">SUM(D103:D110)</f>
        <v>0</v>
      </c>
      <c r="E102" s="501">
        <f t="shared" si="49"/>
        <v>7525</v>
      </c>
      <c r="F102" s="501">
        <f t="shared" si="49"/>
        <v>616</v>
      </c>
      <c r="G102" s="501">
        <f t="shared" si="49"/>
        <v>7525</v>
      </c>
      <c r="H102" s="501">
        <f t="shared" si="49"/>
        <v>0</v>
      </c>
      <c r="I102" s="501">
        <f t="shared" si="49"/>
        <v>0</v>
      </c>
      <c r="J102" s="501">
        <f t="shared" si="49"/>
        <v>0</v>
      </c>
      <c r="K102" s="501">
        <f t="shared" si="49"/>
        <v>0</v>
      </c>
      <c r="L102" s="501">
        <f t="shared" si="49"/>
        <v>0</v>
      </c>
      <c r="M102" s="501">
        <f t="shared" si="49"/>
        <v>0</v>
      </c>
      <c r="N102" s="501">
        <f t="shared" si="49"/>
        <v>0</v>
      </c>
      <c r="O102" s="501">
        <f t="shared" si="49"/>
        <v>0</v>
      </c>
      <c r="P102" s="501">
        <f t="shared" si="49"/>
        <v>7525</v>
      </c>
      <c r="Q102" s="501">
        <f t="shared" si="49"/>
        <v>0</v>
      </c>
      <c r="R102" s="501">
        <f t="shared" si="49"/>
        <v>0</v>
      </c>
      <c r="S102" s="501">
        <f>SUM(S103:S110)</f>
        <v>409.5</v>
      </c>
      <c r="T102" s="502">
        <f>SUM(T103:T110)</f>
        <v>0</v>
      </c>
      <c r="U102" s="501">
        <f>SUM(U103:U110)</f>
        <v>0</v>
      </c>
      <c r="V102" s="501">
        <f>SUM(V103:V110)</f>
        <v>7115.5</v>
      </c>
      <c r="W102" s="585"/>
      <c r="X102" s="449"/>
      <c r="Y102" s="449"/>
      <c r="Z102" s="449"/>
      <c r="AA102" s="449"/>
      <c r="AB102" s="449"/>
      <c r="AC102" s="449"/>
      <c r="AD102" s="449"/>
      <c r="AE102" s="449"/>
      <c r="AF102" s="449"/>
      <c r="AG102" s="449"/>
    </row>
    <row r="103" spans="1:33" s="455" customFormat="1" ht="44.25" hidden="1" customHeight="1">
      <c r="A103" s="456" t="s">
        <v>11</v>
      </c>
      <c r="B103" s="457" t="s">
        <v>776</v>
      </c>
      <c r="C103" s="453">
        <v>5670</v>
      </c>
      <c r="D103" s="454"/>
      <c r="E103" s="501">
        <f t="shared" ref="E103:E110" si="50">G103+R103</f>
        <v>0</v>
      </c>
      <c r="F103" s="501">
        <f>E103-C103</f>
        <v>-5670</v>
      </c>
      <c r="G103" s="501">
        <f t="shared" ref="G103:G110" si="51">H103+P103+Q103</f>
        <v>0</v>
      </c>
      <c r="H103" s="501">
        <f t="shared" ref="H103:H110" si="52">J103+M103</f>
        <v>0</v>
      </c>
      <c r="I103" s="501"/>
      <c r="J103" s="501">
        <f t="shared" ref="J103:J110" si="53">K103+L103</f>
        <v>0</v>
      </c>
      <c r="K103" s="501"/>
      <c r="L103" s="501"/>
      <c r="M103" s="501">
        <f t="shared" ref="M103:M110" si="54">N103+O103</f>
        <v>0</v>
      </c>
      <c r="N103" s="501"/>
      <c r="O103" s="501">
        <v>0</v>
      </c>
      <c r="P103" s="501"/>
      <c r="Q103" s="501"/>
      <c r="R103" s="501"/>
      <c r="S103" s="501"/>
      <c r="T103" s="502"/>
      <c r="U103" s="501"/>
      <c r="V103" s="501"/>
      <c r="W103" s="585" t="s">
        <v>124</v>
      </c>
      <c r="X103" s="449"/>
      <c r="Y103" s="449"/>
      <c r="Z103" s="449"/>
      <c r="AA103" s="449"/>
      <c r="AB103" s="449"/>
      <c r="AC103" s="449"/>
      <c r="AD103" s="449"/>
      <c r="AE103" s="449"/>
      <c r="AF103" s="449"/>
      <c r="AG103" s="449"/>
    </row>
    <row r="104" spans="1:33" s="455" customFormat="1" ht="37.5" customHeight="1">
      <c r="A104" s="456" t="s">
        <v>11</v>
      </c>
      <c r="B104" s="457" t="s">
        <v>777</v>
      </c>
      <c r="C104" s="453"/>
      <c r="D104" s="454"/>
      <c r="E104" s="501">
        <f t="shared" si="50"/>
        <v>425</v>
      </c>
      <c r="F104" s="501">
        <f t="shared" si="37"/>
        <v>425</v>
      </c>
      <c r="G104" s="501">
        <f t="shared" si="51"/>
        <v>425</v>
      </c>
      <c r="H104" s="501">
        <f t="shared" si="52"/>
        <v>0</v>
      </c>
      <c r="I104" s="501"/>
      <c r="J104" s="501">
        <f t="shared" si="53"/>
        <v>0</v>
      </c>
      <c r="K104" s="501"/>
      <c r="L104" s="501"/>
      <c r="M104" s="501">
        <f t="shared" si="54"/>
        <v>0</v>
      </c>
      <c r="N104" s="501"/>
      <c r="O104" s="501">
        <v>0</v>
      </c>
      <c r="P104" s="501">
        <v>425</v>
      </c>
      <c r="Q104" s="501"/>
      <c r="R104" s="501"/>
      <c r="S104" s="501">
        <v>25.5</v>
      </c>
      <c r="T104" s="502"/>
      <c r="U104" s="501"/>
      <c r="V104" s="501">
        <f>E104-S104</f>
        <v>399.5</v>
      </c>
      <c r="W104" s="585" t="s">
        <v>124</v>
      </c>
      <c r="X104" s="449"/>
      <c r="Y104" s="449"/>
      <c r="Z104" s="449"/>
      <c r="AA104" s="449"/>
      <c r="AB104" s="449"/>
      <c r="AC104" s="449"/>
      <c r="AD104" s="449"/>
      <c r="AE104" s="449"/>
      <c r="AF104" s="449"/>
      <c r="AG104" s="449"/>
    </row>
    <row r="105" spans="1:33" s="455" customFormat="1" ht="41.25" customHeight="1">
      <c r="A105" s="456" t="s">
        <v>11</v>
      </c>
      <c r="B105" s="457" t="s">
        <v>778</v>
      </c>
      <c r="C105" s="453"/>
      <c r="D105" s="454"/>
      <c r="E105" s="501">
        <f t="shared" si="50"/>
        <v>2900</v>
      </c>
      <c r="F105" s="501">
        <f t="shared" si="37"/>
        <v>2900</v>
      </c>
      <c r="G105" s="501">
        <f t="shared" si="51"/>
        <v>2900</v>
      </c>
      <c r="H105" s="501">
        <f t="shared" si="52"/>
        <v>0</v>
      </c>
      <c r="I105" s="501"/>
      <c r="J105" s="501">
        <f t="shared" si="53"/>
        <v>0</v>
      </c>
      <c r="K105" s="501"/>
      <c r="L105" s="501"/>
      <c r="M105" s="501">
        <f t="shared" si="54"/>
        <v>0</v>
      </c>
      <c r="N105" s="501"/>
      <c r="O105" s="501">
        <v>0</v>
      </c>
      <c r="P105" s="501">
        <v>2900</v>
      </c>
      <c r="Q105" s="501"/>
      <c r="R105" s="501"/>
      <c r="S105" s="501">
        <v>174</v>
      </c>
      <c r="T105" s="502"/>
      <c r="U105" s="501"/>
      <c r="V105" s="501">
        <f>E105-S105</f>
        <v>2726</v>
      </c>
      <c r="W105" s="585" t="s">
        <v>124</v>
      </c>
      <c r="X105" s="449"/>
      <c r="Y105" s="449"/>
      <c r="Z105" s="449"/>
      <c r="AA105" s="449"/>
      <c r="AB105" s="449"/>
      <c r="AC105" s="449"/>
      <c r="AD105" s="449"/>
      <c r="AE105" s="449"/>
      <c r="AF105" s="449"/>
      <c r="AG105" s="449"/>
    </row>
    <row r="106" spans="1:33" s="455" customFormat="1" ht="40.5" customHeight="1">
      <c r="A106" s="456" t="s">
        <v>11</v>
      </c>
      <c r="B106" s="457" t="s">
        <v>779</v>
      </c>
      <c r="C106" s="453"/>
      <c r="D106" s="454"/>
      <c r="E106" s="501">
        <f t="shared" si="50"/>
        <v>2950</v>
      </c>
      <c r="F106" s="501">
        <f t="shared" si="37"/>
        <v>2950</v>
      </c>
      <c r="G106" s="501">
        <f t="shared" si="51"/>
        <v>2950</v>
      </c>
      <c r="H106" s="501">
        <f t="shared" si="52"/>
        <v>0</v>
      </c>
      <c r="I106" s="501"/>
      <c r="J106" s="501">
        <f t="shared" si="53"/>
        <v>0</v>
      </c>
      <c r="K106" s="501"/>
      <c r="L106" s="501"/>
      <c r="M106" s="501">
        <f t="shared" si="54"/>
        <v>0</v>
      </c>
      <c r="N106" s="501"/>
      <c r="O106" s="501">
        <v>0</v>
      </c>
      <c r="P106" s="501">
        <v>2950</v>
      </c>
      <c r="Q106" s="501"/>
      <c r="R106" s="501"/>
      <c r="S106" s="501">
        <v>177</v>
      </c>
      <c r="T106" s="502"/>
      <c r="U106" s="501"/>
      <c r="V106" s="501">
        <f>E106-S106</f>
        <v>2773</v>
      </c>
      <c r="W106" s="585" t="s">
        <v>124</v>
      </c>
      <c r="X106" s="449"/>
      <c r="Y106" s="449"/>
      <c r="Z106" s="449"/>
      <c r="AA106" s="449"/>
      <c r="AB106" s="449"/>
      <c r="AC106" s="449"/>
      <c r="AD106" s="449"/>
      <c r="AE106" s="449"/>
      <c r="AF106" s="449"/>
      <c r="AG106" s="449"/>
    </row>
    <row r="107" spans="1:33" s="455" customFormat="1" ht="28.5" customHeight="1">
      <c r="A107" s="456" t="s">
        <v>11</v>
      </c>
      <c r="B107" s="457" t="s">
        <v>780</v>
      </c>
      <c r="C107" s="453"/>
      <c r="D107" s="454"/>
      <c r="E107" s="501">
        <f t="shared" si="50"/>
        <v>700</v>
      </c>
      <c r="F107" s="501">
        <f t="shared" si="37"/>
        <v>700</v>
      </c>
      <c r="G107" s="501">
        <f t="shared" si="51"/>
        <v>700</v>
      </c>
      <c r="H107" s="501">
        <f t="shared" si="52"/>
        <v>0</v>
      </c>
      <c r="I107" s="501"/>
      <c r="J107" s="501">
        <f t="shared" si="53"/>
        <v>0</v>
      </c>
      <c r="K107" s="501"/>
      <c r="L107" s="501"/>
      <c r="M107" s="501">
        <f t="shared" si="54"/>
        <v>0</v>
      </c>
      <c r="N107" s="501"/>
      <c r="O107" s="501">
        <v>0</v>
      </c>
      <c r="P107" s="501">
        <v>700</v>
      </c>
      <c r="Q107" s="501"/>
      <c r="R107" s="501"/>
      <c r="S107" s="501"/>
      <c r="T107" s="502"/>
      <c r="U107" s="501"/>
      <c r="V107" s="501">
        <f>E107</f>
        <v>700</v>
      </c>
      <c r="W107" s="585" t="s">
        <v>124</v>
      </c>
      <c r="X107" s="449"/>
      <c r="Y107" s="449"/>
      <c r="Z107" s="449"/>
      <c r="AA107" s="449"/>
      <c r="AB107" s="449"/>
      <c r="AC107" s="449"/>
      <c r="AD107" s="449"/>
      <c r="AE107" s="449"/>
      <c r="AF107" s="449"/>
      <c r="AG107" s="449"/>
    </row>
    <row r="108" spans="1:33" s="475" customFormat="1" ht="39.75" hidden="1" customHeight="1">
      <c r="A108" s="471" t="s">
        <v>11</v>
      </c>
      <c r="B108" s="472" t="s">
        <v>179</v>
      </c>
      <c r="C108" s="473">
        <v>400</v>
      </c>
      <c r="D108" s="474"/>
      <c r="E108" s="501">
        <f t="shared" si="50"/>
        <v>0</v>
      </c>
      <c r="F108" s="501">
        <f t="shared" si="37"/>
        <v>-400</v>
      </c>
      <c r="G108" s="501">
        <f>H108+P108+Q108</f>
        <v>0</v>
      </c>
      <c r="H108" s="501">
        <f>J108+M108</f>
        <v>0</v>
      </c>
      <c r="I108" s="501"/>
      <c r="J108" s="501">
        <f t="shared" si="53"/>
        <v>0</v>
      </c>
      <c r="K108" s="501"/>
      <c r="L108" s="501"/>
      <c r="M108" s="501">
        <f>N108+O108</f>
        <v>0</v>
      </c>
      <c r="N108" s="501"/>
      <c r="O108" s="501">
        <v>0</v>
      </c>
      <c r="P108" s="501"/>
      <c r="Q108" s="501"/>
      <c r="R108" s="501"/>
      <c r="S108" s="501">
        <f>P108*0.06</f>
        <v>0</v>
      </c>
      <c r="T108" s="502"/>
      <c r="U108" s="501"/>
      <c r="V108" s="501"/>
      <c r="W108" s="585" t="s">
        <v>124</v>
      </c>
      <c r="X108" s="449"/>
      <c r="Y108" s="449"/>
      <c r="Z108" s="449"/>
      <c r="AA108" s="449"/>
      <c r="AB108" s="449"/>
      <c r="AC108" s="449"/>
      <c r="AD108" s="449"/>
      <c r="AE108" s="449"/>
      <c r="AF108" s="449"/>
      <c r="AG108" s="449"/>
    </row>
    <row r="109" spans="1:33" s="475" customFormat="1" ht="55.5" customHeight="1">
      <c r="A109" s="471" t="s">
        <v>11</v>
      </c>
      <c r="B109" s="512" t="s">
        <v>781</v>
      </c>
      <c r="C109" s="473">
        <v>539</v>
      </c>
      <c r="D109" s="474"/>
      <c r="E109" s="501">
        <f t="shared" si="50"/>
        <v>550</v>
      </c>
      <c r="F109" s="501">
        <f t="shared" si="37"/>
        <v>11</v>
      </c>
      <c r="G109" s="501">
        <f>H109+P109+Q109</f>
        <v>550</v>
      </c>
      <c r="H109" s="501">
        <f>J109+M109</f>
        <v>0</v>
      </c>
      <c r="I109" s="501"/>
      <c r="J109" s="501">
        <f t="shared" si="53"/>
        <v>0</v>
      </c>
      <c r="K109" s="501"/>
      <c r="L109" s="501"/>
      <c r="M109" s="501">
        <f>N109+O109</f>
        <v>0</v>
      </c>
      <c r="N109" s="501"/>
      <c r="O109" s="501">
        <v>0</v>
      </c>
      <c r="P109" s="501">
        <v>550</v>
      </c>
      <c r="Q109" s="501"/>
      <c r="R109" s="501"/>
      <c r="S109" s="501">
        <v>33</v>
      </c>
      <c r="T109" s="502"/>
      <c r="U109" s="501"/>
      <c r="V109" s="501">
        <f>E109-S109</f>
        <v>517</v>
      </c>
      <c r="W109" s="585" t="s">
        <v>124</v>
      </c>
      <c r="X109" s="449"/>
      <c r="Y109" s="449"/>
      <c r="Z109" s="449"/>
      <c r="AA109" s="449"/>
      <c r="AB109" s="449"/>
      <c r="AC109" s="449"/>
      <c r="AD109" s="449"/>
      <c r="AE109" s="449"/>
      <c r="AF109" s="449"/>
      <c r="AG109" s="449"/>
    </row>
    <row r="110" spans="1:33" s="455" customFormat="1" ht="27" hidden="1" customHeight="1">
      <c r="A110" s="456" t="s">
        <v>11</v>
      </c>
      <c r="B110" s="457" t="s">
        <v>766</v>
      </c>
      <c r="C110" s="453">
        <v>300</v>
      </c>
      <c r="D110" s="454"/>
      <c r="E110" s="501">
        <f t="shared" si="50"/>
        <v>0</v>
      </c>
      <c r="F110" s="501">
        <f t="shared" si="37"/>
        <v>-300</v>
      </c>
      <c r="G110" s="501">
        <f t="shared" si="51"/>
        <v>0</v>
      </c>
      <c r="H110" s="501">
        <f t="shared" si="52"/>
        <v>0</v>
      </c>
      <c r="I110" s="501"/>
      <c r="J110" s="501">
        <f t="shared" si="53"/>
        <v>0</v>
      </c>
      <c r="K110" s="501"/>
      <c r="L110" s="501"/>
      <c r="M110" s="501">
        <f t="shared" si="54"/>
        <v>0</v>
      </c>
      <c r="N110" s="501"/>
      <c r="O110" s="501">
        <v>0</v>
      </c>
      <c r="P110" s="501"/>
      <c r="Q110" s="501"/>
      <c r="R110" s="501"/>
      <c r="S110" s="501"/>
      <c r="T110" s="502"/>
      <c r="U110" s="501"/>
      <c r="V110" s="501"/>
      <c r="W110" s="585" t="s">
        <v>153</v>
      </c>
      <c r="X110" s="449"/>
      <c r="Y110" s="449"/>
      <c r="Z110" s="449"/>
      <c r="AA110" s="449"/>
      <c r="AB110" s="449"/>
      <c r="AC110" s="449"/>
      <c r="AD110" s="449"/>
      <c r="AE110" s="449"/>
      <c r="AF110" s="449"/>
      <c r="AG110" s="449"/>
    </row>
    <row r="111" spans="1:33" s="455" customFormat="1" ht="18" customHeight="1">
      <c r="A111" s="451" t="s">
        <v>180</v>
      </c>
      <c r="B111" s="452" t="s">
        <v>181</v>
      </c>
      <c r="C111" s="453">
        <f>SUM(C112:C119)</f>
        <v>4650</v>
      </c>
      <c r="D111" s="454"/>
      <c r="E111" s="501">
        <f>SUM(E112:E119)</f>
        <v>2680</v>
      </c>
      <c r="F111" s="501">
        <f t="shared" si="37"/>
        <v>-1970</v>
      </c>
      <c r="G111" s="501">
        <f t="shared" ref="G111:V111" si="55">SUM(G112:G119)</f>
        <v>2060</v>
      </c>
      <c r="H111" s="501">
        <f t="shared" si="55"/>
        <v>0</v>
      </c>
      <c r="I111" s="501">
        <f t="shared" si="55"/>
        <v>0</v>
      </c>
      <c r="J111" s="501">
        <f t="shared" si="55"/>
        <v>0</v>
      </c>
      <c r="K111" s="501">
        <f t="shared" si="55"/>
        <v>0</v>
      </c>
      <c r="L111" s="501">
        <f t="shared" si="55"/>
        <v>0</v>
      </c>
      <c r="M111" s="501">
        <f t="shared" si="55"/>
        <v>0</v>
      </c>
      <c r="N111" s="501">
        <f t="shared" si="55"/>
        <v>0</v>
      </c>
      <c r="O111" s="501">
        <f t="shared" si="55"/>
        <v>0</v>
      </c>
      <c r="P111" s="501">
        <f t="shared" si="55"/>
        <v>2060</v>
      </c>
      <c r="Q111" s="501">
        <f t="shared" si="55"/>
        <v>0</v>
      </c>
      <c r="R111" s="501">
        <f t="shared" si="55"/>
        <v>620</v>
      </c>
      <c r="S111" s="501">
        <f t="shared" si="55"/>
        <v>43.2</v>
      </c>
      <c r="T111" s="502">
        <f t="shared" si="55"/>
        <v>0</v>
      </c>
      <c r="U111" s="501">
        <f t="shared" si="55"/>
        <v>0</v>
      </c>
      <c r="V111" s="501">
        <f t="shared" si="55"/>
        <v>2636.8</v>
      </c>
      <c r="W111" s="585"/>
      <c r="X111" s="449"/>
      <c r="Y111" s="449"/>
      <c r="Z111" s="449"/>
      <c r="AA111" s="449"/>
      <c r="AB111" s="449"/>
      <c r="AC111" s="449"/>
      <c r="AD111" s="449"/>
      <c r="AE111" s="449"/>
      <c r="AF111" s="449"/>
      <c r="AG111" s="449"/>
    </row>
    <row r="112" spans="1:33" s="455" customFormat="1" ht="97.5" hidden="1" customHeight="1">
      <c r="A112" s="456"/>
      <c r="B112" s="472" t="s">
        <v>782</v>
      </c>
      <c r="C112" s="473">
        <v>850</v>
      </c>
      <c r="D112" s="474"/>
      <c r="E112" s="501">
        <f>G112+R112</f>
        <v>0</v>
      </c>
      <c r="F112" s="501">
        <f t="shared" si="37"/>
        <v>-850</v>
      </c>
      <c r="G112" s="501">
        <f>H112+P112+Q112</f>
        <v>0</v>
      </c>
      <c r="H112" s="501">
        <f>J112+M112</f>
        <v>0</v>
      </c>
      <c r="I112" s="501"/>
      <c r="J112" s="501">
        <f>K112+L112</f>
        <v>0</v>
      </c>
      <c r="K112" s="501"/>
      <c r="L112" s="501"/>
      <c r="M112" s="501">
        <f>N112+O112</f>
        <v>0</v>
      </c>
      <c r="N112" s="501"/>
      <c r="O112" s="501">
        <v>0</v>
      </c>
      <c r="P112" s="501"/>
      <c r="Q112" s="501"/>
      <c r="R112" s="501"/>
      <c r="S112" s="501"/>
      <c r="T112" s="502"/>
      <c r="U112" s="501"/>
      <c r="V112" s="501"/>
      <c r="W112" s="585"/>
      <c r="X112" s="449"/>
      <c r="Y112" s="449"/>
      <c r="Z112" s="449"/>
      <c r="AA112" s="449"/>
      <c r="AB112" s="449"/>
      <c r="AC112" s="449"/>
      <c r="AD112" s="449"/>
      <c r="AE112" s="449"/>
      <c r="AF112" s="449"/>
      <c r="AG112" s="449"/>
    </row>
    <row r="113" spans="1:33" s="455" customFormat="1" ht="36" hidden="1" customHeight="1">
      <c r="A113" s="456"/>
      <c r="B113" s="476" t="s">
        <v>783</v>
      </c>
      <c r="C113" s="473">
        <v>700</v>
      </c>
      <c r="D113" s="474"/>
      <c r="E113" s="501">
        <f t="shared" ref="E113:E119" si="56">G113+R113</f>
        <v>0</v>
      </c>
      <c r="F113" s="501">
        <f t="shared" si="37"/>
        <v>-700</v>
      </c>
      <c r="G113" s="501">
        <f t="shared" ref="G113:G119" si="57">H113+P113+Q113</f>
        <v>0</v>
      </c>
      <c r="H113" s="501">
        <f t="shared" ref="H113:H119" si="58">J113+M113</f>
        <v>0</v>
      </c>
      <c r="I113" s="501"/>
      <c r="J113" s="501">
        <f>K113+L113</f>
        <v>0</v>
      </c>
      <c r="K113" s="501"/>
      <c r="L113" s="501"/>
      <c r="M113" s="501">
        <f t="shared" ref="M113:M119" si="59">N113+O113</f>
        <v>0</v>
      </c>
      <c r="N113" s="501"/>
      <c r="O113" s="501">
        <v>0</v>
      </c>
      <c r="P113" s="501"/>
      <c r="Q113" s="501"/>
      <c r="R113" s="501"/>
      <c r="S113" s="501"/>
      <c r="T113" s="502"/>
      <c r="U113" s="501"/>
      <c r="V113" s="501"/>
      <c r="W113" s="585"/>
      <c r="X113" s="449"/>
      <c r="Y113" s="449"/>
      <c r="Z113" s="449"/>
      <c r="AA113" s="449"/>
      <c r="AB113" s="449"/>
      <c r="AC113" s="449"/>
      <c r="AD113" s="449"/>
      <c r="AE113" s="449"/>
      <c r="AF113" s="449"/>
      <c r="AG113" s="449"/>
    </row>
    <row r="114" spans="1:33" s="455" customFormat="1" ht="39.75" hidden="1" customHeight="1">
      <c r="A114" s="456" t="s">
        <v>11</v>
      </c>
      <c r="B114" s="457" t="s">
        <v>765</v>
      </c>
      <c r="C114" s="453">
        <v>700</v>
      </c>
      <c r="D114" s="454"/>
      <c r="E114" s="501">
        <f t="shared" si="56"/>
        <v>0</v>
      </c>
      <c r="F114" s="501">
        <f t="shared" si="37"/>
        <v>-700</v>
      </c>
      <c r="G114" s="501">
        <f t="shared" si="57"/>
        <v>0</v>
      </c>
      <c r="H114" s="501">
        <f t="shared" si="58"/>
        <v>0</v>
      </c>
      <c r="I114" s="501"/>
      <c r="J114" s="501">
        <f>K114+L114</f>
        <v>0</v>
      </c>
      <c r="K114" s="501"/>
      <c r="L114" s="501"/>
      <c r="M114" s="501">
        <f t="shared" si="59"/>
        <v>0</v>
      </c>
      <c r="N114" s="501"/>
      <c r="O114" s="501">
        <v>0</v>
      </c>
      <c r="P114" s="501"/>
      <c r="Q114" s="501"/>
      <c r="R114" s="501"/>
      <c r="S114" s="501"/>
      <c r="T114" s="502"/>
      <c r="U114" s="501"/>
      <c r="V114" s="501"/>
      <c r="W114" s="585" t="s">
        <v>153</v>
      </c>
      <c r="X114" s="449"/>
      <c r="Y114" s="449"/>
      <c r="Z114" s="449"/>
      <c r="AA114" s="449"/>
      <c r="AB114" s="449"/>
      <c r="AC114" s="449"/>
      <c r="AD114" s="449"/>
      <c r="AE114" s="449"/>
      <c r="AF114" s="449"/>
      <c r="AG114" s="449"/>
    </row>
    <row r="115" spans="1:33" s="465" customFormat="1" ht="44.25" customHeight="1">
      <c r="A115" s="456" t="s">
        <v>11</v>
      </c>
      <c r="B115" s="461" t="s">
        <v>182</v>
      </c>
      <c r="C115" s="453">
        <v>450</v>
      </c>
      <c r="D115" s="454"/>
      <c r="E115" s="501">
        <f t="shared" si="56"/>
        <v>570</v>
      </c>
      <c r="F115" s="501">
        <f t="shared" si="37"/>
        <v>120</v>
      </c>
      <c r="G115" s="501">
        <f t="shared" si="57"/>
        <v>570</v>
      </c>
      <c r="H115" s="501">
        <f t="shared" si="58"/>
        <v>0</v>
      </c>
      <c r="I115" s="501"/>
      <c r="J115" s="501">
        <f>K115+L115</f>
        <v>0</v>
      </c>
      <c r="K115" s="501"/>
      <c r="L115" s="501"/>
      <c r="M115" s="501">
        <f t="shared" si="59"/>
        <v>0</v>
      </c>
      <c r="N115" s="501"/>
      <c r="O115" s="501">
        <v>0</v>
      </c>
      <c r="P115" s="501">
        <v>570</v>
      </c>
      <c r="Q115" s="501"/>
      <c r="R115" s="501"/>
      <c r="S115" s="501">
        <v>34.200000000000003</v>
      </c>
      <c r="T115" s="502"/>
      <c r="U115" s="501"/>
      <c r="V115" s="501">
        <f>E115-S115</f>
        <v>535.79999999999995</v>
      </c>
      <c r="W115" s="585" t="s">
        <v>153</v>
      </c>
      <c r="X115" s="464"/>
      <c r="Y115" s="464"/>
      <c r="Z115" s="464"/>
      <c r="AA115" s="464"/>
      <c r="AB115" s="464"/>
      <c r="AC115" s="464"/>
      <c r="AD115" s="464"/>
      <c r="AE115" s="464"/>
      <c r="AF115" s="464"/>
      <c r="AG115" s="464"/>
    </row>
    <row r="116" spans="1:33" s="455" customFormat="1" ht="18" customHeight="1">
      <c r="A116" s="456" t="s">
        <v>11</v>
      </c>
      <c r="B116" s="452" t="s">
        <v>183</v>
      </c>
      <c r="C116" s="453">
        <v>700</v>
      </c>
      <c r="D116" s="454"/>
      <c r="E116" s="501">
        <f t="shared" si="56"/>
        <v>700</v>
      </c>
      <c r="F116" s="501">
        <f t="shared" si="37"/>
        <v>0</v>
      </c>
      <c r="G116" s="501">
        <f t="shared" si="57"/>
        <v>700</v>
      </c>
      <c r="H116" s="501"/>
      <c r="I116" s="501"/>
      <c r="J116" s="501"/>
      <c r="K116" s="501"/>
      <c r="L116" s="501"/>
      <c r="M116" s="501">
        <f t="shared" si="59"/>
        <v>0</v>
      </c>
      <c r="N116" s="501"/>
      <c r="O116" s="501">
        <v>0</v>
      </c>
      <c r="P116" s="501">
        <v>700</v>
      </c>
      <c r="Q116" s="501"/>
      <c r="R116" s="501"/>
      <c r="S116" s="501">
        <v>0</v>
      </c>
      <c r="T116" s="502"/>
      <c r="U116" s="501"/>
      <c r="V116" s="501">
        <f>E116</f>
        <v>700</v>
      </c>
      <c r="W116" s="585" t="s">
        <v>158</v>
      </c>
      <c r="X116" s="449"/>
      <c r="Y116" s="449"/>
      <c r="Z116" s="449"/>
      <c r="AA116" s="449"/>
      <c r="AB116" s="449"/>
      <c r="AC116" s="449"/>
      <c r="AD116" s="449"/>
      <c r="AE116" s="449"/>
      <c r="AF116" s="449"/>
      <c r="AG116" s="449"/>
    </row>
    <row r="117" spans="1:33" s="455" customFormat="1" ht="25.5">
      <c r="A117" s="456" t="s">
        <v>11</v>
      </c>
      <c r="B117" s="461" t="s">
        <v>184</v>
      </c>
      <c r="C117" s="453">
        <v>150</v>
      </c>
      <c r="D117" s="454"/>
      <c r="E117" s="501">
        <f t="shared" si="56"/>
        <v>150</v>
      </c>
      <c r="F117" s="501">
        <f t="shared" si="37"/>
        <v>0</v>
      </c>
      <c r="G117" s="501">
        <f t="shared" si="57"/>
        <v>30</v>
      </c>
      <c r="H117" s="501">
        <f t="shared" si="58"/>
        <v>0</v>
      </c>
      <c r="I117" s="501"/>
      <c r="J117" s="501">
        <f>K117+L117</f>
        <v>0</v>
      </c>
      <c r="K117" s="501"/>
      <c r="L117" s="501"/>
      <c r="M117" s="501">
        <f t="shared" si="59"/>
        <v>0</v>
      </c>
      <c r="N117" s="501"/>
      <c r="O117" s="501"/>
      <c r="P117" s="501">
        <v>30</v>
      </c>
      <c r="Q117" s="501"/>
      <c r="R117" s="501">
        <v>120</v>
      </c>
      <c r="S117" s="501">
        <v>9</v>
      </c>
      <c r="T117" s="502"/>
      <c r="U117" s="501"/>
      <c r="V117" s="501">
        <f>E117-S117</f>
        <v>141</v>
      </c>
      <c r="W117" s="585" t="s">
        <v>187</v>
      </c>
      <c r="X117" s="449"/>
      <c r="Y117" s="449"/>
      <c r="Z117" s="449"/>
      <c r="AA117" s="449"/>
      <c r="AB117" s="449"/>
      <c r="AC117" s="449"/>
      <c r="AD117" s="449"/>
      <c r="AE117" s="449"/>
      <c r="AF117" s="449"/>
      <c r="AG117" s="449"/>
    </row>
    <row r="118" spans="1:33" s="455" customFormat="1" ht="18" hidden="1" customHeight="1">
      <c r="A118" s="456" t="s">
        <v>11</v>
      </c>
      <c r="B118" s="477" t="s">
        <v>185</v>
      </c>
      <c r="C118" s="453"/>
      <c r="D118" s="454"/>
      <c r="E118" s="501">
        <f t="shared" si="56"/>
        <v>0</v>
      </c>
      <c r="F118" s="501">
        <f t="shared" si="37"/>
        <v>0</v>
      </c>
      <c r="G118" s="501">
        <f t="shared" si="57"/>
        <v>0</v>
      </c>
      <c r="H118" s="501">
        <f t="shared" si="58"/>
        <v>0</v>
      </c>
      <c r="I118" s="501"/>
      <c r="J118" s="501">
        <f>K118+L118</f>
        <v>0</v>
      </c>
      <c r="K118" s="501"/>
      <c r="L118" s="501"/>
      <c r="M118" s="501">
        <f t="shared" si="59"/>
        <v>0</v>
      </c>
      <c r="N118" s="501"/>
      <c r="O118" s="501">
        <v>0</v>
      </c>
      <c r="P118" s="501"/>
      <c r="Q118" s="501"/>
      <c r="R118" s="501"/>
      <c r="S118" s="501"/>
      <c r="T118" s="502"/>
      <c r="U118" s="501"/>
      <c r="V118" s="501"/>
      <c r="W118" s="585" t="s">
        <v>160</v>
      </c>
      <c r="X118" s="449"/>
      <c r="Y118" s="449"/>
      <c r="Z118" s="449"/>
      <c r="AA118" s="449"/>
      <c r="AB118" s="449"/>
      <c r="AC118" s="449"/>
      <c r="AD118" s="449"/>
      <c r="AE118" s="449"/>
      <c r="AF118" s="449"/>
      <c r="AG118" s="449"/>
    </row>
    <row r="119" spans="1:33" s="455" customFormat="1" ht="18.75" customHeight="1">
      <c r="A119" s="456" t="s">
        <v>11</v>
      </c>
      <c r="B119" s="457" t="s">
        <v>186</v>
      </c>
      <c r="C119" s="453">
        <v>1100</v>
      </c>
      <c r="D119" s="454"/>
      <c r="E119" s="501">
        <f t="shared" si="56"/>
        <v>1260</v>
      </c>
      <c r="F119" s="501">
        <f t="shared" si="37"/>
        <v>160</v>
      </c>
      <c r="G119" s="501">
        <f t="shared" si="57"/>
        <v>760</v>
      </c>
      <c r="H119" s="501">
        <f t="shared" si="58"/>
        <v>0</v>
      </c>
      <c r="I119" s="501"/>
      <c r="J119" s="501">
        <f>K119+L119</f>
        <v>0</v>
      </c>
      <c r="K119" s="501"/>
      <c r="L119" s="501"/>
      <c r="M119" s="501">
        <f t="shared" si="59"/>
        <v>0</v>
      </c>
      <c r="N119" s="501"/>
      <c r="O119" s="501">
        <v>0</v>
      </c>
      <c r="P119" s="501">
        <f>1260-500</f>
        <v>760</v>
      </c>
      <c r="Q119" s="501"/>
      <c r="R119" s="501">
        <v>500</v>
      </c>
      <c r="S119" s="501">
        <v>0</v>
      </c>
      <c r="T119" s="502"/>
      <c r="U119" s="501"/>
      <c r="V119" s="501">
        <f>E119-S119</f>
        <v>1260</v>
      </c>
      <c r="W119" s="585" t="s">
        <v>187</v>
      </c>
      <c r="X119" s="449"/>
      <c r="Y119" s="449"/>
      <c r="Z119" s="449"/>
      <c r="AA119" s="449"/>
      <c r="AB119" s="449"/>
      <c r="AC119" s="449"/>
      <c r="AD119" s="449"/>
      <c r="AE119" s="449"/>
      <c r="AF119" s="449"/>
      <c r="AG119" s="449"/>
    </row>
    <row r="120" spans="1:33" s="455" customFormat="1" ht="18" customHeight="1">
      <c r="A120" s="451" t="s">
        <v>188</v>
      </c>
      <c r="B120" s="452" t="s">
        <v>189</v>
      </c>
      <c r="C120" s="453">
        <f>SUM(C121:C123)</f>
        <v>550</v>
      </c>
      <c r="D120" s="454"/>
      <c r="E120" s="501">
        <f>SUM(E121:E123)</f>
        <v>400</v>
      </c>
      <c r="F120" s="501">
        <f t="shared" si="37"/>
        <v>-150</v>
      </c>
      <c r="G120" s="501">
        <f>SUM(G121:G123)</f>
        <v>400</v>
      </c>
      <c r="H120" s="501">
        <f>SUM(H121:H123)</f>
        <v>0</v>
      </c>
      <c r="I120" s="501">
        <f>SUM(I121:I123)</f>
        <v>0</v>
      </c>
      <c r="J120" s="501">
        <f>SUM(J121:J123)</f>
        <v>0</v>
      </c>
      <c r="K120" s="501">
        <f>SUM(K121:K123)</f>
        <v>0</v>
      </c>
      <c r="L120" s="501"/>
      <c r="M120" s="501">
        <f t="shared" ref="M120:V120" si="60">SUM(M121:M123)</f>
        <v>0</v>
      </c>
      <c r="N120" s="501">
        <f t="shared" si="60"/>
        <v>0</v>
      </c>
      <c r="O120" s="501">
        <f t="shared" si="60"/>
        <v>0</v>
      </c>
      <c r="P120" s="501">
        <f t="shared" si="60"/>
        <v>400</v>
      </c>
      <c r="Q120" s="501">
        <f t="shared" si="60"/>
        <v>0</v>
      </c>
      <c r="R120" s="501">
        <f t="shared" si="60"/>
        <v>0</v>
      </c>
      <c r="S120" s="501">
        <f t="shared" si="60"/>
        <v>30</v>
      </c>
      <c r="T120" s="502">
        <f t="shared" si="60"/>
        <v>0</v>
      </c>
      <c r="U120" s="501">
        <f t="shared" si="60"/>
        <v>0</v>
      </c>
      <c r="V120" s="501">
        <f t="shared" si="60"/>
        <v>370</v>
      </c>
      <c r="W120" s="585"/>
      <c r="X120" s="449"/>
      <c r="Y120" s="449"/>
      <c r="Z120" s="449"/>
      <c r="AA120" s="449"/>
      <c r="AB120" s="449"/>
      <c r="AC120" s="449"/>
      <c r="AD120" s="449"/>
      <c r="AE120" s="449"/>
      <c r="AF120" s="449"/>
      <c r="AG120" s="449"/>
    </row>
    <row r="121" spans="1:33" s="455" customFormat="1" ht="27.75" customHeight="1">
      <c r="A121" s="456" t="s">
        <v>11</v>
      </c>
      <c r="B121" s="457" t="s">
        <v>784</v>
      </c>
      <c r="C121" s="453">
        <v>50</v>
      </c>
      <c r="D121" s="454"/>
      <c r="E121" s="501">
        <f>G121+R121</f>
        <v>100</v>
      </c>
      <c r="F121" s="501">
        <f t="shared" si="37"/>
        <v>50</v>
      </c>
      <c r="G121" s="501">
        <f>H121+P121+Q121</f>
        <v>100</v>
      </c>
      <c r="H121" s="501">
        <f>J121+M121</f>
        <v>0</v>
      </c>
      <c r="I121" s="501"/>
      <c r="J121" s="501">
        <f>K121+L121</f>
        <v>0</v>
      </c>
      <c r="K121" s="501"/>
      <c r="L121" s="501"/>
      <c r="M121" s="501">
        <f>N121+O121</f>
        <v>0</v>
      </c>
      <c r="N121" s="501"/>
      <c r="O121" s="501">
        <v>0</v>
      </c>
      <c r="P121" s="501">
        <v>100</v>
      </c>
      <c r="Q121" s="501"/>
      <c r="R121" s="501"/>
      <c r="S121" s="501">
        <f>10</f>
        <v>10</v>
      </c>
      <c r="T121" s="502"/>
      <c r="U121" s="501"/>
      <c r="V121" s="501">
        <f>E121-S121</f>
        <v>90</v>
      </c>
      <c r="W121" s="585" t="s">
        <v>190</v>
      </c>
      <c r="X121" s="449"/>
      <c r="Y121" s="449"/>
      <c r="Z121" s="449"/>
      <c r="AA121" s="449"/>
      <c r="AB121" s="449"/>
      <c r="AC121" s="449"/>
      <c r="AD121" s="449"/>
      <c r="AE121" s="449"/>
      <c r="AF121" s="449"/>
      <c r="AG121" s="449"/>
    </row>
    <row r="122" spans="1:33" s="455" customFormat="1" ht="21.75" customHeight="1">
      <c r="A122" s="456" t="s">
        <v>11</v>
      </c>
      <c r="B122" s="452" t="s">
        <v>785</v>
      </c>
      <c r="C122" s="453">
        <v>300</v>
      </c>
      <c r="D122" s="454"/>
      <c r="E122" s="501">
        <f>G122+R122</f>
        <v>300</v>
      </c>
      <c r="F122" s="501">
        <f t="shared" si="37"/>
        <v>0</v>
      </c>
      <c r="G122" s="501">
        <f>H122+P122+Q122</f>
        <v>300</v>
      </c>
      <c r="H122" s="501">
        <f>J122+M122</f>
        <v>0</v>
      </c>
      <c r="I122" s="501"/>
      <c r="J122" s="501">
        <f>K122+L122</f>
        <v>0</v>
      </c>
      <c r="K122" s="501"/>
      <c r="L122" s="501"/>
      <c r="M122" s="501">
        <f>N122+O122</f>
        <v>0</v>
      </c>
      <c r="N122" s="501"/>
      <c r="O122" s="501">
        <v>0</v>
      </c>
      <c r="P122" s="501">
        <v>300</v>
      </c>
      <c r="Q122" s="501"/>
      <c r="R122" s="501"/>
      <c r="S122" s="501">
        <v>20</v>
      </c>
      <c r="T122" s="502"/>
      <c r="U122" s="501"/>
      <c r="V122" s="501">
        <f>E122-S122</f>
        <v>280</v>
      </c>
      <c r="W122" s="585" t="s">
        <v>158</v>
      </c>
      <c r="X122" s="449"/>
      <c r="Y122" s="449"/>
      <c r="Z122" s="449"/>
      <c r="AA122" s="449"/>
      <c r="AB122" s="449"/>
      <c r="AC122" s="449"/>
      <c r="AD122" s="449"/>
      <c r="AE122" s="449"/>
      <c r="AF122" s="449"/>
      <c r="AG122" s="449"/>
    </row>
    <row r="123" spans="1:33" s="455" customFormat="1" ht="18" hidden="1" customHeight="1">
      <c r="A123" s="456" t="s">
        <v>11</v>
      </c>
      <c r="B123" s="461" t="s">
        <v>786</v>
      </c>
      <c r="C123" s="453">
        <v>200</v>
      </c>
      <c r="D123" s="454"/>
      <c r="E123" s="501">
        <f>G123+R123</f>
        <v>0</v>
      </c>
      <c r="F123" s="501">
        <f t="shared" si="37"/>
        <v>-200</v>
      </c>
      <c r="G123" s="501">
        <f>H123+P123+Q123</f>
        <v>0</v>
      </c>
      <c r="H123" s="501">
        <f>J123+M123</f>
        <v>0</v>
      </c>
      <c r="I123" s="501"/>
      <c r="J123" s="501">
        <f>K123+L123</f>
        <v>0</v>
      </c>
      <c r="K123" s="501"/>
      <c r="L123" s="501"/>
      <c r="M123" s="501"/>
      <c r="N123" s="501"/>
      <c r="O123" s="501"/>
      <c r="P123" s="501"/>
      <c r="Q123" s="501"/>
      <c r="R123" s="501"/>
      <c r="S123" s="501"/>
      <c r="T123" s="502"/>
      <c r="U123" s="501"/>
      <c r="V123" s="501"/>
      <c r="W123" s="478"/>
      <c r="X123" s="449"/>
      <c r="Y123" s="449"/>
      <c r="Z123" s="449"/>
      <c r="AA123" s="449"/>
      <c r="AB123" s="449"/>
      <c r="AC123" s="449"/>
      <c r="AD123" s="449"/>
      <c r="AE123" s="449"/>
      <c r="AF123" s="449"/>
      <c r="AG123" s="449"/>
    </row>
    <row r="124" spans="1:33" s="455" customFormat="1" ht="30.75" customHeight="1">
      <c r="A124" s="451" t="s">
        <v>3</v>
      </c>
      <c r="B124" s="457" t="s">
        <v>77</v>
      </c>
      <c r="C124" s="453">
        <f>C125+C134+C135</f>
        <v>3176.0299999999997</v>
      </c>
      <c r="D124" s="454"/>
      <c r="E124" s="501">
        <f>E125+E134+E135</f>
        <v>2803</v>
      </c>
      <c r="F124" s="501">
        <f t="shared" si="37"/>
        <v>-373.02999999999975</v>
      </c>
      <c r="G124" s="501">
        <f t="shared" ref="G124:V124" si="61">G125+G134+G135</f>
        <v>2803</v>
      </c>
      <c r="H124" s="501">
        <f t="shared" si="61"/>
        <v>1709.4</v>
      </c>
      <c r="I124" s="501">
        <f t="shared" si="61"/>
        <v>17</v>
      </c>
      <c r="J124" s="501">
        <f t="shared" si="61"/>
        <v>1393.9</v>
      </c>
      <c r="K124" s="501">
        <f t="shared" si="61"/>
        <v>0</v>
      </c>
      <c r="L124" s="501">
        <f t="shared" si="61"/>
        <v>0</v>
      </c>
      <c r="M124" s="501">
        <f t="shared" si="61"/>
        <v>315.5</v>
      </c>
      <c r="N124" s="501">
        <f t="shared" si="61"/>
        <v>315.5</v>
      </c>
      <c r="O124" s="501">
        <f t="shared" si="61"/>
        <v>0</v>
      </c>
      <c r="P124" s="501">
        <f t="shared" si="61"/>
        <v>1093.6000000000001</v>
      </c>
      <c r="Q124" s="501">
        <f t="shared" si="61"/>
        <v>0</v>
      </c>
      <c r="R124" s="501">
        <f t="shared" si="61"/>
        <v>0</v>
      </c>
      <c r="S124" s="501">
        <f t="shared" si="61"/>
        <v>88.199999999999989</v>
      </c>
      <c r="T124" s="502">
        <f t="shared" si="61"/>
        <v>129.31</v>
      </c>
      <c r="U124" s="501">
        <f t="shared" si="61"/>
        <v>146.91</v>
      </c>
      <c r="V124" s="501">
        <f t="shared" si="61"/>
        <v>2697.2000000000003</v>
      </c>
      <c r="W124" s="719" t="s">
        <v>953</v>
      </c>
      <c r="X124" s="449">
        <f>U124-T124</f>
        <v>17.599999999999994</v>
      </c>
      <c r="Y124" s="449"/>
      <c r="Z124" s="449"/>
      <c r="AA124" s="449"/>
      <c r="AB124" s="449"/>
      <c r="AC124" s="449"/>
      <c r="AD124" s="449"/>
      <c r="AE124" s="449"/>
      <c r="AF124" s="449"/>
      <c r="AG124" s="449"/>
    </row>
    <row r="125" spans="1:33" s="455" customFormat="1" ht="18" customHeight="1">
      <c r="A125" s="451" t="s">
        <v>29</v>
      </c>
      <c r="B125" s="452" t="s">
        <v>952</v>
      </c>
      <c r="C125" s="453">
        <f>SUM(C126:C133)</f>
        <v>1602.26</v>
      </c>
      <c r="D125" s="454">
        <v>160</v>
      </c>
      <c r="E125" s="501">
        <f>SUM(E126:E133)</f>
        <v>1432</v>
      </c>
      <c r="F125" s="501">
        <f t="shared" si="37"/>
        <v>-170.26</v>
      </c>
      <c r="G125" s="501">
        <f t="shared" ref="G125:V125" si="62">SUM(G126:G133)</f>
        <v>1432</v>
      </c>
      <c r="H125" s="501">
        <f t="shared" si="62"/>
        <v>869.59</v>
      </c>
      <c r="I125" s="501">
        <f t="shared" si="62"/>
        <v>9</v>
      </c>
      <c r="J125" s="501">
        <f t="shared" si="62"/>
        <v>698.09</v>
      </c>
      <c r="K125" s="501">
        <f t="shared" si="62"/>
        <v>0</v>
      </c>
      <c r="L125" s="501">
        <f t="shared" si="62"/>
        <v>0</v>
      </c>
      <c r="M125" s="501">
        <f t="shared" si="62"/>
        <v>171.5</v>
      </c>
      <c r="N125" s="501">
        <f t="shared" si="62"/>
        <v>171.5</v>
      </c>
      <c r="O125" s="501">
        <f t="shared" si="62"/>
        <v>0</v>
      </c>
      <c r="P125" s="501">
        <f t="shared" si="62"/>
        <v>562.41000000000008</v>
      </c>
      <c r="Q125" s="501">
        <f t="shared" si="62"/>
        <v>0</v>
      </c>
      <c r="R125" s="501">
        <f t="shared" si="62"/>
        <v>0</v>
      </c>
      <c r="S125" s="501">
        <f t="shared" si="62"/>
        <v>42.5</v>
      </c>
      <c r="T125" s="502">
        <f t="shared" si="62"/>
        <v>67.31</v>
      </c>
      <c r="U125" s="501">
        <f t="shared" si="62"/>
        <v>9.5</v>
      </c>
      <c r="V125" s="501">
        <f t="shared" si="62"/>
        <v>1447.3100000000002</v>
      </c>
      <c r="W125" s="719"/>
      <c r="X125" s="449">
        <f>E125-S125</f>
        <v>1389.5</v>
      </c>
      <c r="Y125" s="449"/>
      <c r="Z125" s="449"/>
      <c r="AA125" s="449"/>
      <c r="AB125" s="449"/>
      <c r="AC125" s="449"/>
      <c r="AD125" s="449"/>
      <c r="AE125" s="449"/>
      <c r="AF125" s="449"/>
      <c r="AG125" s="449"/>
    </row>
    <row r="126" spans="1:33" s="455" customFormat="1" ht="16.5" customHeight="1">
      <c r="A126" s="451" t="s">
        <v>11</v>
      </c>
      <c r="B126" s="452" t="s">
        <v>191</v>
      </c>
      <c r="C126" s="453">
        <v>700.89</v>
      </c>
      <c r="D126" s="454"/>
      <c r="E126" s="501">
        <f t="shared" ref="E126:E132" si="63">G126+R126</f>
        <v>692.72</v>
      </c>
      <c r="F126" s="501">
        <f t="shared" si="37"/>
        <v>-8.1699999999999591</v>
      </c>
      <c r="G126" s="501">
        <f t="shared" ref="G126:G134" si="64">H126+P126+Q126</f>
        <v>692.72</v>
      </c>
      <c r="H126" s="501">
        <f t="shared" ref="H126:H134" si="65">J126+M126</f>
        <v>692.72</v>
      </c>
      <c r="I126" s="501">
        <v>9</v>
      </c>
      <c r="J126" s="501">
        <v>692.72</v>
      </c>
      <c r="K126" s="501"/>
      <c r="L126" s="501"/>
      <c r="M126" s="501">
        <f t="shared" ref="M126:M132" si="66">N126+O126</f>
        <v>0</v>
      </c>
      <c r="N126" s="501"/>
      <c r="O126" s="501">
        <v>0</v>
      </c>
      <c r="P126" s="501"/>
      <c r="Q126" s="501"/>
      <c r="R126" s="501"/>
      <c r="S126" s="501"/>
      <c r="T126" s="502">
        <v>27.63</v>
      </c>
      <c r="U126" s="501"/>
      <c r="V126" s="507">
        <f t="shared" ref="V126:V131" si="67">E126-S126+T126-U126</f>
        <v>720.35</v>
      </c>
      <c r="W126" s="719"/>
      <c r="X126" s="449"/>
      <c r="Y126" s="449"/>
      <c r="Z126" s="449"/>
      <c r="AA126" s="449"/>
      <c r="AB126" s="449"/>
      <c r="AC126" s="449"/>
      <c r="AD126" s="449"/>
      <c r="AE126" s="449"/>
      <c r="AF126" s="449"/>
      <c r="AG126" s="449"/>
    </row>
    <row r="127" spans="1:33" s="455" customFormat="1" ht="16.5" customHeight="1">
      <c r="A127" s="451" t="s">
        <v>11</v>
      </c>
      <c r="B127" s="452" t="s">
        <v>787</v>
      </c>
      <c r="C127" s="453">
        <v>126</v>
      </c>
      <c r="D127" s="454"/>
      <c r="E127" s="501">
        <f t="shared" si="63"/>
        <v>162</v>
      </c>
      <c r="F127" s="501">
        <f t="shared" si="37"/>
        <v>36</v>
      </c>
      <c r="G127" s="501">
        <f t="shared" si="64"/>
        <v>162</v>
      </c>
      <c r="H127" s="501">
        <f t="shared" si="65"/>
        <v>162</v>
      </c>
      <c r="I127" s="501"/>
      <c r="J127" s="501">
        <f t="shared" ref="J127:J166" si="68">K127+L127</f>
        <v>0</v>
      </c>
      <c r="K127" s="501"/>
      <c r="L127" s="501"/>
      <c r="M127" s="501">
        <f t="shared" si="66"/>
        <v>162</v>
      </c>
      <c r="N127" s="501">
        <f>9*18</f>
        <v>162</v>
      </c>
      <c r="O127" s="501">
        <v>0</v>
      </c>
      <c r="P127" s="501">
        <v>0</v>
      </c>
      <c r="Q127" s="501"/>
      <c r="R127" s="501">
        <v>0</v>
      </c>
      <c r="S127" s="501">
        <v>16.2</v>
      </c>
      <c r="T127" s="502"/>
      <c r="U127" s="501"/>
      <c r="V127" s="507">
        <f t="shared" si="67"/>
        <v>145.80000000000001</v>
      </c>
      <c r="W127" s="719"/>
      <c r="X127" s="449"/>
      <c r="Y127" s="449"/>
      <c r="Z127" s="449"/>
      <c r="AA127" s="449"/>
      <c r="AB127" s="449"/>
      <c r="AC127" s="449"/>
      <c r="AD127" s="449"/>
      <c r="AE127" s="449"/>
      <c r="AF127" s="449"/>
      <c r="AG127" s="449"/>
    </row>
    <row r="128" spans="1:33" s="455" customFormat="1" ht="18" customHeight="1">
      <c r="A128" s="451" t="s">
        <v>11</v>
      </c>
      <c r="B128" s="452" t="s">
        <v>310</v>
      </c>
      <c r="C128" s="453">
        <v>5.37</v>
      </c>
      <c r="D128" s="454"/>
      <c r="E128" s="501">
        <f t="shared" si="63"/>
        <v>5.37</v>
      </c>
      <c r="F128" s="501">
        <f t="shared" si="37"/>
        <v>0</v>
      </c>
      <c r="G128" s="501">
        <f t="shared" si="64"/>
        <v>5.37</v>
      </c>
      <c r="H128" s="501">
        <f t="shared" si="65"/>
        <v>5.37</v>
      </c>
      <c r="I128" s="501"/>
      <c r="J128" s="501">
        <v>5.37</v>
      </c>
      <c r="K128" s="501"/>
      <c r="L128" s="501"/>
      <c r="M128" s="501">
        <f t="shared" si="66"/>
        <v>0</v>
      </c>
      <c r="N128" s="501"/>
      <c r="O128" s="501">
        <v>0</v>
      </c>
      <c r="P128" s="501"/>
      <c r="Q128" s="501"/>
      <c r="R128" s="501"/>
      <c r="S128" s="501"/>
      <c r="T128" s="502"/>
      <c r="U128" s="501"/>
      <c r="V128" s="507">
        <f t="shared" si="67"/>
        <v>5.37</v>
      </c>
      <c r="W128" s="719"/>
      <c r="X128" s="449"/>
      <c r="Y128" s="449"/>
      <c r="Z128" s="449"/>
      <c r="AA128" s="449"/>
      <c r="AB128" s="449"/>
      <c r="AC128" s="449"/>
      <c r="AD128" s="449"/>
      <c r="AE128" s="449"/>
      <c r="AF128" s="449"/>
      <c r="AG128" s="449"/>
    </row>
    <row r="129" spans="1:33" s="455" customFormat="1" ht="26.25" customHeight="1">
      <c r="A129" s="451" t="s">
        <v>11</v>
      </c>
      <c r="B129" s="457" t="s">
        <v>192</v>
      </c>
      <c r="C129" s="453"/>
      <c r="D129" s="454"/>
      <c r="E129" s="501">
        <f t="shared" si="63"/>
        <v>9.5</v>
      </c>
      <c r="F129" s="501">
        <f t="shared" si="37"/>
        <v>9.5</v>
      </c>
      <c r="G129" s="501">
        <f t="shared" si="64"/>
        <v>9.5</v>
      </c>
      <c r="H129" s="501">
        <f t="shared" si="65"/>
        <v>9.5</v>
      </c>
      <c r="I129" s="501"/>
      <c r="J129" s="501">
        <f t="shared" si="68"/>
        <v>0</v>
      </c>
      <c r="K129" s="501"/>
      <c r="L129" s="501"/>
      <c r="M129" s="501">
        <f t="shared" si="66"/>
        <v>9.5</v>
      </c>
      <c r="N129" s="501">
        <v>9.5</v>
      </c>
      <c r="O129" s="501">
        <v>0</v>
      </c>
      <c r="P129" s="501"/>
      <c r="Q129" s="501"/>
      <c r="R129" s="501"/>
      <c r="S129" s="501"/>
      <c r="T129" s="502"/>
      <c r="U129" s="501">
        <v>9.5</v>
      </c>
      <c r="V129" s="507">
        <f t="shared" si="67"/>
        <v>0</v>
      </c>
      <c r="W129" s="719"/>
      <c r="X129" s="449"/>
      <c r="Y129" s="449"/>
      <c r="Z129" s="449"/>
      <c r="AA129" s="449"/>
      <c r="AB129" s="449"/>
      <c r="AC129" s="449"/>
      <c r="AD129" s="449"/>
      <c r="AE129" s="449"/>
      <c r="AF129" s="449"/>
      <c r="AG129" s="449"/>
    </row>
    <row r="130" spans="1:33" s="455" customFormat="1" ht="18" customHeight="1">
      <c r="A130" s="451" t="s">
        <v>11</v>
      </c>
      <c r="B130" s="452" t="s">
        <v>193</v>
      </c>
      <c r="C130" s="453">
        <v>500</v>
      </c>
      <c r="D130" s="454"/>
      <c r="E130" s="501">
        <f t="shared" si="63"/>
        <v>372.41</v>
      </c>
      <c r="F130" s="501">
        <f t="shared" si="37"/>
        <v>-127.58999999999997</v>
      </c>
      <c r="G130" s="501">
        <f t="shared" si="64"/>
        <v>372.41</v>
      </c>
      <c r="H130" s="501">
        <f t="shared" si="65"/>
        <v>0</v>
      </c>
      <c r="I130" s="501">
        <v>0</v>
      </c>
      <c r="J130" s="501">
        <f t="shared" si="68"/>
        <v>0</v>
      </c>
      <c r="K130" s="501"/>
      <c r="L130" s="501"/>
      <c r="M130" s="501">
        <f t="shared" si="66"/>
        <v>0</v>
      </c>
      <c r="N130" s="501"/>
      <c r="O130" s="501">
        <v>0</v>
      </c>
      <c r="P130" s="501">
        <v>372.41</v>
      </c>
      <c r="Q130" s="501"/>
      <c r="R130" s="501"/>
      <c r="S130" s="501">
        <v>22.3</v>
      </c>
      <c r="T130" s="502">
        <v>39.68</v>
      </c>
      <c r="U130" s="501"/>
      <c r="V130" s="507">
        <f t="shared" si="67"/>
        <v>389.79</v>
      </c>
      <c r="W130" s="719"/>
      <c r="X130" s="449"/>
      <c r="Y130" s="449"/>
      <c r="Z130" s="449"/>
      <c r="AA130" s="449"/>
      <c r="AB130" s="449"/>
      <c r="AC130" s="449"/>
      <c r="AD130" s="449"/>
      <c r="AE130" s="449"/>
      <c r="AF130" s="449"/>
      <c r="AG130" s="449"/>
    </row>
    <row r="131" spans="1:33" s="455" customFormat="1" ht="18" customHeight="1">
      <c r="A131" s="451" t="s">
        <v>11</v>
      </c>
      <c r="B131" s="452" t="s">
        <v>194</v>
      </c>
      <c r="C131" s="453">
        <v>200</v>
      </c>
      <c r="D131" s="454"/>
      <c r="E131" s="501">
        <f t="shared" si="63"/>
        <v>150</v>
      </c>
      <c r="F131" s="501">
        <f t="shared" si="37"/>
        <v>-50</v>
      </c>
      <c r="G131" s="501">
        <f t="shared" si="64"/>
        <v>150</v>
      </c>
      <c r="H131" s="501">
        <f t="shared" si="65"/>
        <v>0</v>
      </c>
      <c r="I131" s="501"/>
      <c r="J131" s="501">
        <f t="shared" si="68"/>
        <v>0</v>
      </c>
      <c r="K131" s="501"/>
      <c r="L131" s="501"/>
      <c r="M131" s="501">
        <f t="shared" si="66"/>
        <v>0</v>
      </c>
      <c r="N131" s="501"/>
      <c r="O131" s="501">
        <v>0</v>
      </c>
      <c r="P131" s="501">
        <v>150</v>
      </c>
      <c r="Q131" s="501"/>
      <c r="R131" s="501"/>
      <c r="S131" s="501"/>
      <c r="T131" s="502"/>
      <c r="U131" s="501"/>
      <c r="V131" s="507">
        <f t="shared" si="67"/>
        <v>150</v>
      </c>
      <c r="W131" s="711" t="s">
        <v>954</v>
      </c>
      <c r="X131" s="449"/>
      <c r="Y131" s="449"/>
      <c r="Z131" s="449"/>
      <c r="AA131" s="449"/>
      <c r="AB131" s="449"/>
      <c r="AC131" s="449"/>
      <c r="AD131" s="449"/>
      <c r="AE131" s="449"/>
      <c r="AF131" s="449"/>
      <c r="AG131" s="449"/>
    </row>
    <row r="132" spans="1:33" s="455" customFormat="1" ht="18" customHeight="1">
      <c r="A132" s="451" t="s">
        <v>11</v>
      </c>
      <c r="B132" s="452" t="s">
        <v>195</v>
      </c>
      <c r="C132" s="453">
        <v>40</v>
      </c>
      <c r="D132" s="454"/>
      <c r="E132" s="501">
        <f t="shared" si="63"/>
        <v>40</v>
      </c>
      <c r="F132" s="501">
        <f t="shared" si="37"/>
        <v>0</v>
      </c>
      <c r="G132" s="501">
        <f t="shared" si="64"/>
        <v>40</v>
      </c>
      <c r="H132" s="501">
        <f t="shared" si="65"/>
        <v>0</v>
      </c>
      <c r="I132" s="501"/>
      <c r="J132" s="501">
        <f t="shared" si="68"/>
        <v>0</v>
      </c>
      <c r="K132" s="501"/>
      <c r="L132" s="501"/>
      <c r="M132" s="501">
        <f t="shared" si="66"/>
        <v>0</v>
      </c>
      <c r="N132" s="501"/>
      <c r="O132" s="501">
        <v>0</v>
      </c>
      <c r="P132" s="501">
        <v>40</v>
      </c>
      <c r="Q132" s="501"/>
      <c r="R132" s="501"/>
      <c r="S132" s="501">
        <v>4</v>
      </c>
      <c r="T132" s="502"/>
      <c r="U132" s="501"/>
      <c r="V132" s="507">
        <f t="shared" ref="V132:V141" si="69">E132-S132</f>
        <v>36</v>
      </c>
      <c r="W132" s="711"/>
      <c r="X132" s="449"/>
      <c r="Y132" s="449"/>
      <c r="Z132" s="449"/>
      <c r="AA132" s="449"/>
      <c r="AB132" s="449"/>
      <c r="AC132" s="449"/>
      <c r="AD132" s="449"/>
      <c r="AE132" s="449"/>
      <c r="AF132" s="449"/>
      <c r="AG132" s="449"/>
    </row>
    <row r="133" spans="1:33" s="455" customFormat="1" ht="12.75" hidden="1">
      <c r="A133" s="451" t="s">
        <v>11</v>
      </c>
      <c r="B133" s="457" t="s">
        <v>788</v>
      </c>
      <c r="C133" s="453">
        <v>30</v>
      </c>
      <c r="D133" s="454"/>
      <c r="E133" s="501"/>
      <c r="F133" s="501">
        <f t="shared" si="37"/>
        <v>-30</v>
      </c>
      <c r="G133" s="501"/>
      <c r="H133" s="501"/>
      <c r="I133" s="501"/>
      <c r="J133" s="501"/>
      <c r="K133" s="501"/>
      <c r="L133" s="501"/>
      <c r="M133" s="501"/>
      <c r="N133" s="501"/>
      <c r="O133" s="501"/>
      <c r="P133" s="501"/>
      <c r="Q133" s="501"/>
      <c r="R133" s="501"/>
      <c r="S133" s="501"/>
      <c r="T133" s="502"/>
      <c r="U133" s="501"/>
      <c r="V133" s="507">
        <f t="shared" si="69"/>
        <v>0</v>
      </c>
      <c r="W133" s="585"/>
      <c r="X133" s="449"/>
      <c r="Y133" s="449"/>
      <c r="Z133" s="449"/>
      <c r="AA133" s="449"/>
      <c r="AB133" s="449"/>
      <c r="AC133" s="449"/>
      <c r="AD133" s="449"/>
      <c r="AE133" s="449"/>
      <c r="AF133" s="449"/>
      <c r="AG133" s="449"/>
    </row>
    <row r="134" spans="1:33" s="455" customFormat="1" ht="18" customHeight="1">
      <c r="A134" s="451" t="s">
        <v>30</v>
      </c>
      <c r="B134" s="452" t="s">
        <v>197</v>
      </c>
      <c r="C134" s="453">
        <v>400</v>
      </c>
      <c r="D134" s="454">
        <v>220</v>
      </c>
      <c r="E134" s="501">
        <f>G134+R134</f>
        <v>303</v>
      </c>
      <c r="F134" s="501">
        <f t="shared" si="37"/>
        <v>-97</v>
      </c>
      <c r="G134" s="501">
        <f t="shared" si="64"/>
        <v>303</v>
      </c>
      <c r="H134" s="501">
        <f t="shared" si="65"/>
        <v>0</v>
      </c>
      <c r="I134" s="501"/>
      <c r="J134" s="501">
        <f t="shared" si="68"/>
        <v>0</v>
      </c>
      <c r="K134" s="501"/>
      <c r="L134" s="501"/>
      <c r="M134" s="501">
        <f>N134+O134</f>
        <v>0</v>
      </c>
      <c r="N134" s="501"/>
      <c r="O134" s="501">
        <v>0</v>
      </c>
      <c r="P134" s="501">
        <f>253+50</f>
        <v>303</v>
      </c>
      <c r="Q134" s="501"/>
      <c r="R134" s="501"/>
      <c r="S134" s="501">
        <v>17.3</v>
      </c>
      <c r="T134" s="502">
        <v>62</v>
      </c>
      <c r="U134" s="501"/>
      <c r="V134" s="507">
        <f>E134-S134+T134-U134</f>
        <v>347.7</v>
      </c>
      <c r="W134" s="585" t="s">
        <v>196</v>
      </c>
      <c r="X134" s="449"/>
      <c r="Y134" s="449"/>
      <c r="Z134" s="449"/>
      <c r="AA134" s="449"/>
      <c r="AB134" s="449"/>
      <c r="AC134" s="449"/>
      <c r="AD134" s="449"/>
      <c r="AE134" s="449"/>
      <c r="AF134" s="449"/>
      <c r="AG134" s="449"/>
    </row>
    <row r="135" spans="1:33" s="455" customFormat="1" ht="18" customHeight="1">
      <c r="A135" s="451" t="s">
        <v>36</v>
      </c>
      <c r="B135" s="452" t="s">
        <v>198</v>
      </c>
      <c r="C135" s="453">
        <f>SUM(C136:C142)</f>
        <v>1173.77</v>
      </c>
      <c r="D135" s="454">
        <v>190</v>
      </c>
      <c r="E135" s="501">
        <f>SUM(E136:E142)</f>
        <v>1068</v>
      </c>
      <c r="F135" s="501">
        <f t="shared" si="37"/>
        <v>-105.76999999999998</v>
      </c>
      <c r="G135" s="501">
        <f t="shared" ref="G135:U135" si="70">SUM(G136:G142)</f>
        <v>1068</v>
      </c>
      <c r="H135" s="501">
        <f t="shared" si="70"/>
        <v>839.81</v>
      </c>
      <c r="I135" s="501">
        <f t="shared" si="70"/>
        <v>8</v>
      </c>
      <c r="J135" s="501">
        <f t="shared" si="70"/>
        <v>695.81</v>
      </c>
      <c r="K135" s="501">
        <f t="shared" si="70"/>
        <v>0</v>
      </c>
      <c r="L135" s="501">
        <f t="shared" si="70"/>
        <v>0</v>
      </c>
      <c r="M135" s="501">
        <f t="shared" si="70"/>
        <v>144</v>
      </c>
      <c r="N135" s="501">
        <f t="shared" si="70"/>
        <v>144</v>
      </c>
      <c r="O135" s="501">
        <f t="shared" si="70"/>
        <v>0</v>
      </c>
      <c r="P135" s="501">
        <f t="shared" si="70"/>
        <v>228.19</v>
      </c>
      <c r="Q135" s="501">
        <f t="shared" si="70"/>
        <v>0</v>
      </c>
      <c r="R135" s="501">
        <f t="shared" si="70"/>
        <v>0</v>
      </c>
      <c r="S135" s="501">
        <f t="shared" si="70"/>
        <v>28.4</v>
      </c>
      <c r="T135" s="502">
        <f t="shared" si="70"/>
        <v>0</v>
      </c>
      <c r="U135" s="501">
        <f t="shared" si="70"/>
        <v>137.41</v>
      </c>
      <c r="V135" s="501">
        <f>SUM(V136:V142)</f>
        <v>902.18999999999994</v>
      </c>
      <c r="W135" s="585" t="s">
        <v>196</v>
      </c>
      <c r="X135" s="449"/>
      <c r="Y135" s="449"/>
      <c r="Z135" s="449"/>
      <c r="AA135" s="449"/>
      <c r="AB135" s="449"/>
      <c r="AC135" s="449"/>
      <c r="AD135" s="449"/>
      <c r="AE135" s="449"/>
      <c r="AF135" s="449"/>
      <c r="AG135" s="449"/>
    </row>
    <row r="136" spans="1:33" s="455" customFormat="1" ht="18" customHeight="1">
      <c r="A136" s="451" t="s">
        <v>11</v>
      </c>
      <c r="B136" s="452" t="s">
        <v>199</v>
      </c>
      <c r="C136" s="453">
        <v>546.77</v>
      </c>
      <c r="D136" s="454"/>
      <c r="E136" s="501">
        <f t="shared" ref="E136:E142" si="71">G136+R136</f>
        <v>695.81</v>
      </c>
      <c r="F136" s="501">
        <f t="shared" si="37"/>
        <v>149.03999999999996</v>
      </c>
      <c r="G136" s="501">
        <f t="shared" ref="G136:G142" si="72">H136+P136+Q136</f>
        <v>695.81</v>
      </c>
      <c r="H136" s="501">
        <f t="shared" ref="H136:H142" si="73">J136+M136</f>
        <v>695.81</v>
      </c>
      <c r="I136" s="501">
        <v>8</v>
      </c>
      <c r="J136" s="501">
        <v>695.81</v>
      </c>
      <c r="K136" s="501"/>
      <c r="L136" s="501"/>
      <c r="M136" s="501">
        <f t="shared" ref="M136:M142" si="74">N136+O136</f>
        <v>0</v>
      </c>
      <c r="N136" s="501"/>
      <c r="O136" s="501"/>
      <c r="P136" s="501"/>
      <c r="Q136" s="501"/>
      <c r="R136" s="501"/>
      <c r="S136" s="501"/>
      <c r="T136" s="502"/>
      <c r="U136" s="501">
        <v>23.21</v>
      </c>
      <c r="V136" s="507">
        <f>E136-S136+T136-U136</f>
        <v>672.59999999999991</v>
      </c>
      <c r="W136" s="585"/>
      <c r="X136" s="449"/>
      <c r="Y136" s="449"/>
      <c r="Z136" s="449"/>
      <c r="AA136" s="449"/>
      <c r="AB136" s="449"/>
      <c r="AC136" s="449"/>
      <c r="AD136" s="449"/>
      <c r="AE136" s="449"/>
      <c r="AF136" s="449"/>
      <c r="AG136" s="449"/>
    </row>
    <row r="137" spans="1:33" s="455" customFormat="1" ht="18" customHeight="1">
      <c r="A137" s="451" t="s">
        <v>11</v>
      </c>
      <c r="B137" s="452" t="s">
        <v>789</v>
      </c>
      <c r="C137" s="453">
        <v>112</v>
      </c>
      <c r="D137" s="454"/>
      <c r="E137" s="501">
        <f t="shared" si="71"/>
        <v>144</v>
      </c>
      <c r="F137" s="501">
        <f t="shared" si="37"/>
        <v>32</v>
      </c>
      <c r="G137" s="501">
        <f t="shared" si="72"/>
        <v>144</v>
      </c>
      <c r="H137" s="501">
        <f t="shared" si="73"/>
        <v>144</v>
      </c>
      <c r="I137" s="501"/>
      <c r="J137" s="501">
        <f t="shared" si="68"/>
        <v>0</v>
      </c>
      <c r="K137" s="501"/>
      <c r="L137" s="501"/>
      <c r="M137" s="501">
        <f t="shared" si="74"/>
        <v>144</v>
      </c>
      <c r="N137" s="501">
        <f>8*18</f>
        <v>144</v>
      </c>
      <c r="O137" s="501">
        <v>0</v>
      </c>
      <c r="P137" s="501"/>
      <c r="Q137" s="501"/>
      <c r="R137" s="501">
        <v>0</v>
      </c>
      <c r="S137" s="501">
        <v>14.4</v>
      </c>
      <c r="T137" s="502"/>
      <c r="U137" s="501"/>
      <c r="V137" s="507">
        <f t="shared" si="69"/>
        <v>129.6</v>
      </c>
      <c r="W137" s="585"/>
      <c r="X137" s="449"/>
      <c r="Y137" s="449"/>
      <c r="Z137" s="449"/>
      <c r="AA137" s="449"/>
      <c r="AB137" s="449"/>
      <c r="AC137" s="449"/>
      <c r="AD137" s="449"/>
      <c r="AE137" s="449"/>
      <c r="AF137" s="449"/>
      <c r="AG137" s="449"/>
    </row>
    <row r="138" spans="1:33" s="455" customFormat="1" ht="18" hidden="1" customHeight="1">
      <c r="A138" s="451" t="s">
        <v>11</v>
      </c>
      <c r="B138" s="452" t="s">
        <v>200</v>
      </c>
      <c r="C138" s="453">
        <v>150</v>
      </c>
      <c r="D138" s="454"/>
      <c r="E138" s="501">
        <f t="shared" si="71"/>
        <v>0</v>
      </c>
      <c r="F138" s="501">
        <f t="shared" si="37"/>
        <v>-150</v>
      </c>
      <c r="G138" s="501">
        <f t="shared" si="72"/>
        <v>0</v>
      </c>
      <c r="H138" s="501">
        <f t="shared" si="73"/>
        <v>0</v>
      </c>
      <c r="I138" s="501"/>
      <c r="J138" s="501">
        <f t="shared" si="68"/>
        <v>0</v>
      </c>
      <c r="K138" s="501"/>
      <c r="L138" s="501"/>
      <c r="M138" s="501">
        <f t="shared" si="74"/>
        <v>0</v>
      </c>
      <c r="N138" s="501"/>
      <c r="O138" s="501">
        <v>0</v>
      </c>
      <c r="P138" s="501"/>
      <c r="Q138" s="501"/>
      <c r="R138" s="501"/>
      <c r="S138" s="501"/>
      <c r="T138" s="502"/>
      <c r="U138" s="501"/>
      <c r="V138" s="507">
        <f t="shared" si="69"/>
        <v>0</v>
      </c>
      <c r="W138" s="585"/>
      <c r="X138" s="449"/>
      <c r="Y138" s="449"/>
      <c r="Z138" s="449"/>
      <c r="AA138" s="449"/>
      <c r="AB138" s="449"/>
      <c r="AC138" s="449"/>
      <c r="AD138" s="449"/>
      <c r="AE138" s="449"/>
      <c r="AF138" s="449"/>
      <c r="AG138" s="449"/>
    </row>
    <row r="139" spans="1:33" s="455" customFormat="1" ht="18" hidden="1" customHeight="1">
      <c r="A139" s="451" t="s">
        <v>11</v>
      </c>
      <c r="B139" s="452" t="s">
        <v>201</v>
      </c>
      <c r="C139" s="453">
        <v>165</v>
      </c>
      <c r="D139" s="454"/>
      <c r="E139" s="501">
        <f t="shared" si="71"/>
        <v>0</v>
      </c>
      <c r="F139" s="501">
        <f t="shared" si="37"/>
        <v>-165</v>
      </c>
      <c r="G139" s="501">
        <f t="shared" si="72"/>
        <v>0</v>
      </c>
      <c r="H139" s="501">
        <f t="shared" si="73"/>
        <v>0</v>
      </c>
      <c r="I139" s="501"/>
      <c r="J139" s="501">
        <f t="shared" si="68"/>
        <v>0</v>
      </c>
      <c r="K139" s="501"/>
      <c r="L139" s="501"/>
      <c r="M139" s="501">
        <f t="shared" si="74"/>
        <v>0</v>
      </c>
      <c r="N139" s="501"/>
      <c r="O139" s="501">
        <v>0</v>
      </c>
      <c r="P139" s="501"/>
      <c r="Q139" s="501"/>
      <c r="R139" s="501"/>
      <c r="S139" s="501"/>
      <c r="T139" s="502"/>
      <c r="U139" s="501"/>
      <c r="V139" s="507">
        <f t="shared" si="69"/>
        <v>0</v>
      </c>
      <c r="W139" s="585"/>
      <c r="X139" s="449"/>
      <c r="Y139" s="449"/>
      <c r="Z139" s="449"/>
      <c r="AA139" s="449"/>
      <c r="AB139" s="449"/>
      <c r="AC139" s="449"/>
      <c r="AD139" s="449"/>
      <c r="AE139" s="449"/>
      <c r="AF139" s="449"/>
      <c r="AG139" s="449"/>
    </row>
    <row r="140" spans="1:33" s="455" customFormat="1" ht="27.75" hidden="1" customHeight="1">
      <c r="A140" s="451" t="s">
        <v>11</v>
      </c>
      <c r="B140" s="457" t="s">
        <v>202</v>
      </c>
      <c r="C140" s="453"/>
      <c r="D140" s="454"/>
      <c r="E140" s="501">
        <f t="shared" si="71"/>
        <v>0</v>
      </c>
      <c r="F140" s="501">
        <f t="shared" si="37"/>
        <v>0</v>
      </c>
      <c r="G140" s="501">
        <f t="shared" si="72"/>
        <v>0</v>
      </c>
      <c r="H140" s="501">
        <f t="shared" si="73"/>
        <v>0</v>
      </c>
      <c r="I140" s="501"/>
      <c r="J140" s="501">
        <f t="shared" si="68"/>
        <v>0</v>
      </c>
      <c r="K140" s="501"/>
      <c r="L140" s="501"/>
      <c r="M140" s="501">
        <f t="shared" si="74"/>
        <v>0</v>
      </c>
      <c r="N140" s="501"/>
      <c r="O140" s="501">
        <v>0</v>
      </c>
      <c r="P140" s="501"/>
      <c r="Q140" s="501"/>
      <c r="R140" s="501"/>
      <c r="S140" s="501"/>
      <c r="T140" s="502"/>
      <c r="U140" s="501"/>
      <c r="V140" s="507">
        <f t="shared" si="69"/>
        <v>0</v>
      </c>
      <c r="W140" s="585"/>
      <c r="X140" s="449"/>
      <c r="Y140" s="449"/>
      <c r="Z140" s="449"/>
      <c r="AA140" s="449"/>
      <c r="AB140" s="449"/>
      <c r="AC140" s="449"/>
      <c r="AD140" s="449"/>
      <c r="AE140" s="449"/>
      <c r="AF140" s="449"/>
      <c r="AG140" s="449"/>
    </row>
    <row r="141" spans="1:33" s="455" customFormat="1" ht="18" hidden="1" customHeight="1">
      <c r="A141" s="451" t="s">
        <v>11</v>
      </c>
      <c r="B141" s="452" t="s">
        <v>203</v>
      </c>
      <c r="C141" s="453"/>
      <c r="D141" s="454"/>
      <c r="E141" s="501">
        <f t="shared" si="71"/>
        <v>0</v>
      </c>
      <c r="F141" s="501">
        <f t="shared" si="37"/>
        <v>0</v>
      </c>
      <c r="G141" s="501">
        <f t="shared" si="72"/>
        <v>0</v>
      </c>
      <c r="H141" s="501">
        <f t="shared" si="73"/>
        <v>0</v>
      </c>
      <c r="I141" s="501"/>
      <c r="J141" s="501">
        <f>K141+L141</f>
        <v>0</v>
      </c>
      <c r="K141" s="501"/>
      <c r="L141" s="501"/>
      <c r="M141" s="501">
        <f t="shared" si="74"/>
        <v>0</v>
      </c>
      <c r="N141" s="501"/>
      <c r="O141" s="501">
        <v>0</v>
      </c>
      <c r="P141" s="501"/>
      <c r="Q141" s="501"/>
      <c r="R141" s="501"/>
      <c r="S141" s="501"/>
      <c r="T141" s="502"/>
      <c r="U141" s="501"/>
      <c r="V141" s="507">
        <f t="shared" si="69"/>
        <v>0</v>
      </c>
      <c r="W141" s="585"/>
      <c r="X141" s="449"/>
      <c r="Y141" s="449"/>
      <c r="Z141" s="449"/>
      <c r="AA141" s="449"/>
      <c r="AB141" s="449"/>
      <c r="AC141" s="449"/>
      <c r="AD141" s="449"/>
      <c r="AE141" s="449"/>
      <c r="AF141" s="449"/>
      <c r="AG141" s="449"/>
    </row>
    <row r="142" spans="1:33" s="455" customFormat="1" ht="63.75" customHeight="1">
      <c r="A142" s="451" t="s">
        <v>11</v>
      </c>
      <c r="B142" s="457" t="s">
        <v>790</v>
      </c>
      <c r="C142" s="453">
        <v>200</v>
      </c>
      <c r="D142" s="454"/>
      <c r="E142" s="501">
        <f t="shared" si="71"/>
        <v>228.19</v>
      </c>
      <c r="F142" s="501">
        <f t="shared" si="37"/>
        <v>28.189999999999998</v>
      </c>
      <c r="G142" s="501">
        <f t="shared" si="72"/>
        <v>228.19</v>
      </c>
      <c r="H142" s="501">
        <f t="shared" si="73"/>
        <v>0</v>
      </c>
      <c r="I142" s="501"/>
      <c r="J142" s="501">
        <f t="shared" si="68"/>
        <v>0</v>
      </c>
      <c r="K142" s="501"/>
      <c r="L142" s="501"/>
      <c r="M142" s="501">
        <f t="shared" si="74"/>
        <v>0</v>
      </c>
      <c r="N142" s="501"/>
      <c r="O142" s="501">
        <v>0</v>
      </c>
      <c r="P142" s="501">
        <v>228.19</v>
      </c>
      <c r="Q142" s="501"/>
      <c r="R142" s="501"/>
      <c r="S142" s="501">
        <v>14</v>
      </c>
      <c r="T142" s="502"/>
      <c r="U142" s="501">
        <v>114.2</v>
      </c>
      <c r="V142" s="507">
        <f>E142-S142+T142-U142</f>
        <v>99.99</v>
      </c>
      <c r="W142" s="585"/>
      <c r="X142" s="449"/>
      <c r="Y142" s="449"/>
      <c r="Z142" s="449"/>
      <c r="AA142" s="449"/>
      <c r="AB142" s="449"/>
      <c r="AC142" s="449"/>
      <c r="AD142" s="449"/>
      <c r="AE142" s="449"/>
      <c r="AF142" s="449"/>
      <c r="AG142" s="449"/>
    </row>
    <row r="143" spans="1:33" s="455" customFormat="1" ht="19.5" customHeight="1">
      <c r="A143" s="451" t="s">
        <v>204</v>
      </c>
      <c r="B143" s="452" t="s">
        <v>205</v>
      </c>
      <c r="C143" s="453">
        <f>C144+C147+C162+C163+C166</f>
        <v>7854.34</v>
      </c>
      <c r="D143" s="454">
        <v>370</v>
      </c>
      <c r="E143" s="501">
        <f>E144+E147+E162+E163+E166</f>
        <v>16244.78</v>
      </c>
      <c r="F143" s="501">
        <f t="shared" si="37"/>
        <v>8390.44</v>
      </c>
      <c r="G143" s="501">
        <f>G144+G147+G162+G163+G166</f>
        <v>16244.78</v>
      </c>
      <c r="H143" s="501">
        <f>H144+H147+H162+H163+H166</f>
        <v>99</v>
      </c>
      <c r="I143" s="501">
        <f>I144+I147+I162+I163+I166</f>
        <v>0</v>
      </c>
      <c r="J143" s="501">
        <f>J144+J147+J162+J163+J166</f>
        <v>0</v>
      </c>
      <c r="K143" s="501">
        <f>K144+K147+K162+K163+K166</f>
        <v>0</v>
      </c>
      <c r="L143" s="501"/>
      <c r="M143" s="501">
        <f t="shared" ref="M143:U143" si="75">M144+M147+M162+M163+M166</f>
        <v>99</v>
      </c>
      <c r="N143" s="501">
        <f t="shared" si="75"/>
        <v>99</v>
      </c>
      <c r="O143" s="501">
        <f t="shared" si="75"/>
        <v>0</v>
      </c>
      <c r="P143" s="501">
        <f t="shared" si="75"/>
        <v>16145.78</v>
      </c>
      <c r="Q143" s="501">
        <f t="shared" si="75"/>
        <v>0</v>
      </c>
      <c r="R143" s="501">
        <f t="shared" si="75"/>
        <v>0</v>
      </c>
      <c r="S143" s="501">
        <f t="shared" si="75"/>
        <v>126</v>
      </c>
      <c r="T143" s="502">
        <f t="shared" si="75"/>
        <v>360</v>
      </c>
      <c r="U143" s="501">
        <f t="shared" si="75"/>
        <v>401</v>
      </c>
      <c r="V143" s="501">
        <f>V144+V147+V162+V163+V166</f>
        <v>16077.78</v>
      </c>
      <c r="W143" s="585"/>
      <c r="X143" s="449"/>
      <c r="Y143" s="449"/>
      <c r="Z143" s="449"/>
      <c r="AA143" s="449"/>
      <c r="AB143" s="449"/>
      <c r="AC143" s="449"/>
      <c r="AD143" s="449"/>
      <c r="AE143" s="449"/>
      <c r="AF143" s="449"/>
      <c r="AG143" s="449"/>
    </row>
    <row r="144" spans="1:33" s="455" customFormat="1" ht="19.5" customHeight="1">
      <c r="A144" s="451" t="s">
        <v>206</v>
      </c>
      <c r="B144" s="452" t="s">
        <v>207</v>
      </c>
      <c r="C144" s="453">
        <f t="shared" ref="C144:V144" si="76">C146+C145</f>
        <v>65</v>
      </c>
      <c r="D144" s="454"/>
      <c r="E144" s="501">
        <f t="shared" si="76"/>
        <v>65</v>
      </c>
      <c r="F144" s="501">
        <f t="shared" si="37"/>
        <v>0</v>
      </c>
      <c r="G144" s="501">
        <f t="shared" si="76"/>
        <v>65</v>
      </c>
      <c r="H144" s="501">
        <f t="shared" si="76"/>
        <v>0</v>
      </c>
      <c r="I144" s="501">
        <f t="shared" si="76"/>
        <v>0</v>
      </c>
      <c r="J144" s="501">
        <f t="shared" si="76"/>
        <v>0</v>
      </c>
      <c r="K144" s="501">
        <f t="shared" si="76"/>
        <v>0</v>
      </c>
      <c r="L144" s="501"/>
      <c r="M144" s="501">
        <f t="shared" si="76"/>
        <v>0</v>
      </c>
      <c r="N144" s="501">
        <f t="shared" si="76"/>
        <v>0</v>
      </c>
      <c r="O144" s="501">
        <f t="shared" si="76"/>
        <v>0</v>
      </c>
      <c r="P144" s="501">
        <f>P146+P145</f>
        <v>65</v>
      </c>
      <c r="Q144" s="501">
        <f t="shared" si="76"/>
        <v>0</v>
      </c>
      <c r="R144" s="501">
        <f t="shared" si="76"/>
        <v>0</v>
      </c>
      <c r="S144" s="501">
        <f t="shared" si="76"/>
        <v>6.5</v>
      </c>
      <c r="T144" s="502">
        <f t="shared" si="76"/>
        <v>0</v>
      </c>
      <c r="U144" s="501">
        <f t="shared" si="76"/>
        <v>0</v>
      </c>
      <c r="V144" s="501">
        <f t="shared" si="76"/>
        <v>58.5</v>
      </c>
      <c r="W144" s="585" t="s">
        <v>139</v>
      </c>
      <c r="X144" s="449"/>
      <c r="Y144" s="449"/>
      <c r="Z144" s="449"/>
      <c r="AA144" s="449"/>
      <c r="AB144" s="449"/>
      <c r="AC144" s="449"/>
      <c r="AD144" s="449"/>
      <c r="AE144" s="449"/>
      <c r="AF144" s="449"/>
      <c r="AG144" s="449"/>
    </row>
    <row r="145" spans="1:33" s="455" customFormat="1" ht="19.5" customHeight="1">
      <c r="A145" s="451" t="s">
        <v>29</v>
      </c>
      <c r="B145" s="452" t="s">
        <v>791</v>
      </c>
      <c r="C145" s="453">
        <v>25</v>
      </c>
      <c r="D145" s="454"/>
      <c r="E145" s="501">
        <f>G145+R145</f>
        <v>25</v>
      </c>
      <c r="F145" s="501">
        <f t="shared" si="37"/>
        <v>0</v>
      </c>
      <c r="G145" s="501">
        <f>H145+P145+Q145</f>
        <v>25</v>
      </c>
      <c r="H145" s="501">
        <f>J145+M145</f>
        <v>0</v>
      </c>
      <c r="I145" s="501"/>
      <c r="J145" s="501">
        <f t="shared" si="68"/>
        <v>0</v>
      </c>
      <c r="K145" s="501"/>
      <c r="L145" s="501"/>
      <c r="M145" s="501">
        <f>N145+O145</f>
        <v>0</v>
      </c>
      <c r="N145" s="501"/>
      <c r="O145" s="501">
        <v>0</v>
      </c>
      <c r="P145" s="501">
        <v>25</v>
      </c>
      <c r="Q145" s="501"/>
      <c r="R145" s="501"/>
      <c r="S145" s="501">
        <v>2.5</v>
      </c>
      <c r="T145" s="502"/>
      <c r="U145" s="501"/>
      <c r="V145" s="507">
        <f t="shared" ref="V145:V166" si="77">E145-S145</f>
        <v>22.5</v>
      </c>
      <c r="W145" s="479"/>
      <c r="X145" s="449"/>
      <c r="Y145" s="449"/>
      <c r="Z145" s="449"/>
      <c r="AA145" s="449"/>
      <c r="AB145" s="449"/>
      <c r="AC145" s="449"/>
      <c r="AD145" s="449"/>
      <c r="AE145" s="449"/>
      <c r="AF145" s="449"/>
      <c r="AG145" s="449"/>
    </row>
    <row r="146" spans="1:33" s="455" customFormat="1" ht="19.5" customHeight="1">
      <c r="A146" s="451" t="s">
        <v>30</v>
      </c>
      <c r="B146" s="452" t="s">
        <v>208</v>
      </c>
      <c r="C146" s="453">
        <v>40</v>
      </c>
      <c r="D146" s="454"/>
      <c r="E146" s="501">
        <f>G146+R146</f>
        <v>40</v>
      </c>
      <c r="F146" s="501">
        <f t="shared" ref="F146:F203" si="78">E146-C146</f>
        <v>0</v>
      </c>
      <c r="G146" s="501">
        <f>H146+P146+Q146</f>
        <v>40</v>
      </c>
      <c r="H146" s="501">
        <f>J146+M146</f>
        <v>0</v>
      </c>
      <c r="I146" s="501"/>
      <c r="J146" s="501">
        <f t="shared" si="68"/>
        <v>0</v>
      </c>
      <c r="K146" s="501"/>
      <c r="L146" s="501"/>
      <c r="M146" s="501">
        <f>N146+O146</f>
        <v>0</v>
      </c>
      <c r="N146" s="501"/>
      <c r="O146" s="501">
        <v>0</v>
      </c>
      <c r="P146" s="501">
        <v>40</v>
      </c>
      <c r="Q146" s="501"/>
      <c r="R146" s="501"/>
      <c r="S146" s="501">
        <v>4</v>
      </c>
      <c r="T146" s="502"/>
      <c r="U146" s="501"/>
      <c r="V146" s="507">
        <f t="shared" si="77"/>
        <v>36</v>
      </c>
      <c r="W146" s="585"/>
      <c r="X146" s="449"/>
      <c r="Y146" s="449"/>
      <c r="Z146" s="449"/>
      <c r="AA146" s="449"/>
      <c r="AB146" s="449"/>
      <c r="AC146" s="449"/>
      <c r="AD146" s="449"/>
      <c r="AE146" s="449"/>
      <c r="AF146" s="449"/>
      <c r="AG146" s="449"/>
    </row>
    <row r="147" spans="1:33" s="455" customFormat="1" ht="21" customHeight="1">
      <c r="A147" s="451" t="s">
        <v>209</v>
      </c>
      <c r="B147" s="452" t="s">
        <v>210</v>
      </c>
      <c r="C147" s="453">
        <f>SUM(C148:C160)</f>
        <v>7094.34</v>
      </c>
      <c r="D147" s="454"/>
      <c r="E147" s="501">
        <f>SUM(E148:E161)</f>
        <v>14626.78</v>
      </c>
      <c r="F147" s="501">
        <f t="shared" ref="F147:V147" si="79">SUM(F148:F161)</f>
        <v>7532.4400000000005</v>
      </c>
      <c r="G147" s="501">
        <f t="shared" si="79"/>
        <v>14626.78</v>
      </c>
      <c r="H147" s="501">
        <f t="shared" si="79"/>
        <v>99</v>
      </c>
      <c r="I147" s="501">
        <f t="shared" si="79"/>
        <v>0</v>
      </c>
      <c r="J147" s="501">
        <f t="shared" si="79"/>
        <v>0</v>
      </c>
      <c r="K147" s="501">
        <f t="shared" si="79"/>
        <v>0</v>
      </c>
      <c r="L147" s="501">
        <f t="shared" si="79"/>
        <v>0</v>
      </c>
      <c r="M147" s="501">
        <f t="shared" si="79"/>
        <v>99</v>
      </c>
      <c r="N147" s="501">
        <f t="shared" si="79"/>
        <v>99</v>
      </c>
      <c r="O147" s="501">
        <f t="shared" si="79"/>
        <v>0</v>
      </c>
      <c r="P147" s="501">
        <f t="shared" si="79"/>
        <v>14527.78</v>
      </c>
      <c r="Q147" s="501">
        <f t="shared" si="79"/>
        <v>0</v>
      </c>
      <c r="R147" s="501">
        <f t="shared" si="79"/>
        <v>0</v>
      </c>
      <c r="S147" s="501">
        <f t="shared" si="79"/>
        <v>112.5</v>
      </c>
      <c r="T147" s="502">
        <f>SUM(T148:T161)</f>
        <v>360</v>
      </c>
      <c r="U147" s="501">
        <f>SUM(U148:U161)</f>
        <v>401</v>
      </c>
      <c r="V147" s="501">
        <f t="shared" si="79"/>
        <v>14473.28</v>
      </c>
      <c r="W147" s="585" t="s">
        <v>139</v>
      </c>
      <c r="X147" s="449">
        <f>E147-S147</f>
        <v>14514.28</v>
      </c>
      <c r="Y147" s="449"/>
      <c r="Z147" s="449"/>
      <c r="AA147" s="449"/>
      <c r="AB147" s="449"/>
      <c r="AC147" s="449"/>
      <c r="AD147" s="449"/>
      <c r="AE147" s="449"/>
      <c r="AF147" s="449"/>
      <c r="AG147" s="449"/>
    </row>
    <row r="148" spans="1:33" s="455" customFormat="1" ht="27.75" customHeight="1">
      <c r="A148" s="451" t="s">
        <v>11</v>
      </c>
      <c r="B148" s="457" t="s">
        <v>792</v>
      </c>
      <c r="C148" s="453">
        <v>5731</v>
      </c>
      <c r="D148" s="454"/>
      <c r="E148" s="501">
        <f>G148+R148</f>
        <v>12847.78</v>
      </c>
      <c r="F148" s="501">
        <f t="shared" si="78"/>
        <v>7116.7800000000007</v>
      </c>
      <c r="G148" s="501">
        <f t="shared" ref="G148:G162" si="80">H148+P148+Q148</f>
        <v>12847.78</v>
      </c>
      <c r="H148" s="501">
        <f t="shared" ref="H148:H162" si="81">J148+M148</f>
        <v>0</v>
      </c>
      <c r="I148" s="501"/>
      <c r="J148" s="501">
        <f t="shared" si="68"/>
        <v>0</v>
      </c>
      <c r="K148" s="501"/>
      <c r="L148" s="501"/>
      <c r="M148" s="501">
        <f t="shared" ref="M148:M162" si="82">N148+O148</f>
        <v>0</v>
      </c>
      <c r="N148" s="501"/>
      <c r="O148" s="501">
        <v>0</v>
      </c>
      <c r="P148" s="501">
        <v>12847.78</v>
      </c>
      <c r="Q148" s="501"/>
      <c r="R148" s="501"/>
      <c r="S148" s="501"/>
      <c r="T148" s="502"/>
      <c r="U148" s="501">
        <v>360</v>
      </c>
      <c r="V148" s="507">
        <f>E148-S148+T148-U148</f>
        <v>12487.78</v>
      </c>
      <c r="W148" s="585">
        <f>E148+E152+E153+E154+E155+E156+E158+E159+E160</f>
        <v>14263.78</v>
      </c>
      <c r="X148" s="449"/>
      <c r="Y148" s="449"/>
      <c r="Z148" s="449"/>
      <c r="AA148" s="449"/>
      <c r="AB148" s="449"/>
      <c r="AC148" s="449"/>
      <c r="AD148" s="449"/>
      <c r="AE148" s="449"/>
      <c r="AF148" s="449"/>
      <c r="AG148" s="449"/>
    </row>
    <row r="149" spans="1:33" s="455" customFormat="1" ht="35.25" hidden="1" customHeight="1">
      <c r="A149" s="451"/>
      <c r="B149" s="457"/>
      <c r="C149" s="453"/>
      <c r="D149" s="454"/>
      <c r="E149" s="501"/>
      <c r="F149" s="501">
        <f t="shared" si="78"/>
        <v>0</v>
      </c>
      <c r="G149" s="501">
        <f t="shared" si="80"/>
        <v>0</v>
      </c>
      <c r="H149" s="501">
        <f t="shared" si="81"/>
        <v>0</v>
      </c>
      <c r="I149" s="501"/>
      <c r="J149" s="501"/>
      <c r="K149" s="501"/>
      <c r="L149" s="501"/>
      <c r="M149" s="501">
        <f t="shared" si="82"/>
        <v>0</v>
      </c>
      <c r="N149" s="501"/>
      <c r="O149" s="501"/>
      <c r="P149" s="501"/>
      <c r="Q149" s="501"/>
      <c r="R149" s="501"/>
      <c r="S149" s="501"/>
      <c r="T149" s="502"/>
      <c r="U149" s="501"/>
      <c r="V149" s="507">
        <f t="shared" si="77"/>
        <v>0</v>
      </c>
      <c r="W149" s="585"/>
      <c r="X149" s="449"/>
      <c r="Y149" s="449"/>
      <c r="Z149" s="449"/>
      <c r="AA149" s="449"/>
      <c r="AB149" s="449"/>
      <c r="AC149" s="449"/>
      <c r="AD149" s="449"/>
      <c r="AE149" s="449"/>
      <c r="AF149" s="449"/>
      <c r="AG149" s="449"/>
    </row>
    <row r="150" spans="1:33" s="455" customFormat="1" ht="21.75" hidden="1" customHeight="1">
      <c r="A150" s="451"/>
      <c r="B150" s="457"/>
      <c r="C150" s="453"/>
      <c r="D150" s="454"/>
      <c r="E150" s="501"/>
      <c r="F150" s="501">
        <f t="shared" si="78"/>
        <v>0</v>
      </c>
      <c r="G150" s="501">
        <f t="shared" si="80"/>
        <v>0</v>
      </c>
      <c r="H150" s="501">
        <f t="shared" si="81"/>
        <v>0</v>
      </c>
      <c r="I150" s="501"/>
      <c r="J150" s="501"/>
      <c r="K150" s="501"/>
      <c r="L150" s="501"/>
      <c r="M150" s="501">
        <f t="shared" si="82"/>
        <v>0</v>
      </c>
      <c r="N150" s="501"/>
      <c r="O150" s="501"/>
      <c r="P150" s="501"/>
      <c r="Q150" s="501"/>
      <c r="R150" s="501"/>
      <c r="S150" s="501"/>
      <c r="T150" s="502"/>
      <c r="U150" s="501"/>
      <c r="V150" s="507">
        <f t="shared" si="77"/>
        <v>0</v>
      </c>
      <c r="W150" s="585"/>
      <c r="X150" s="449"/>
      <c r="Y150" s="449"/>
      <c r="Z150" s="449"/>
      <c r="AA150" s="449"/>
      <c r="AB150" s="449"/>
      <c r="AC150" s="449"/>
      <c r="AD150" s="449"/>
      <c r="AE150" s="449"/>
      <c r="AF150" s="449"/>
      <c r="AG150" s="449"/>
    </row>
    <row r="151" spans="1:33" s="455" customFormat="1" ht="28.5" customHeight="1">
      <c r="A151" s="456"/>
      <c r="B151" s="457" t="s">
        <v>793</v>
      </c>
      <c r="C151" s="453">
        <v>358</v>
      </c>
      <c r="D151" s="454"/>
      <c r="E151" s="501">
        <f>G151+R151</f>
        <v>363</v>
      </c>
      <c r="F151" s="501">
        <f t="shared" si="78"/>
        <v>5</v>
      </c>
      <c r="G151" s="501">
        <f t="shared" si="80"/>
        <v>363</v>
      </c>
      <c r="H151" s="501">
        <f t="shared" si="81"/>
        <v>0</v>
      </c>
      <c r="I151" s="501"/>
      <c r="J151" s="501"/>
      <c r="K151" s="501"/>
      <c r="L151" s="501"/>
      <c r="M151" s="501">
        <f t="shared" si="82"/>
        <v>0</v>
      </c>
      <c r="N151" s="501"/>
      <c r="O151" s="501"/>
      <c r="P151" s="501">
        <v>363</v>
      </c>
      <c r="Q151" s="501"/>
      <c r="R151" s="501"/>
      <c r="S151" s="501"/>
      <c r="T151" s="502"/>
      <c r="U151" s="501"/>
      <c r="V151" s="507">
        <f t="shared" si="77"/>
        <v>363</v>
      </c>
      <c r="W151" s="585">
        <f>S153+S154+S155+S156+S159</f>
        <v>112.5</v>
      </c>
      <c r="X151" s="449"/>
      <c r="Y151" s="449"/>
      <c r="Z151" s="449"/>
      <c r="AA151" s="449"/>
      <c r="AB151" s="449"/>
      <c r="AC151" s="449"/>
      <c r="AD151" s="449"/>
      <c r="AE151" s="449"/>
      <c r="AF151" s="449"/>
      <c r="AG151" s="449"/>
    </row>
    <row r="152" spans="1:33" s="455" customFormat="1" ht="42" customHeight="1">
      <c r="A152" s="451" t="s">
        <v>11</v>
      </c>
      <c r="B152" s="457" t="s">
        <v>211</v>
      </c>
      <c r="C152" s="453">
        <v>108</v>
      </c>
      <c r="D152" s="454"/>
      <c r="E152" s="501">
        <f t="shared" ref="E152:E162" si="83">G152+R152</f>
        <v>108</v>
      </c>
      <c r="F152" s="501">
        <f t="shared" si="78"/>
        <v>0</v>
      </c>
      <c r="G152" s="501">
        <f t="shared" si="80"/>
        <v>108</v>
      </c>
      <c r="H152" s="501">
        <f t="shared" si="81"/>
        <v>0</v>
      </c>
      <c r="I152" s="501"/>
      <c r="J152" s="501">
        <f t="shared" si="68"/>
        <v>0</v>
      </c>
      <c r="K152" s="501"/>
      <c r="L152" s="501"/>
      <c r="M152" s="501">
        <f t="shared" si="82"/>
        <v>0</v>
      </c>
      <c r="N152" s="501"/>
      <c r="O152" s="501">
        <v>0</v>
      </c>
      <c r="P152" s="501">
        <v>108</v>
      </c>
      <c r="Q152" s="501"/>
      <c r="R152" s="501"/>
      <c r="S152" s="501"/>
      <c r="T152" s="502"/>
      <c r="U152" s="501"/>
      <c r="V152" s="507">
        <f t="shared" si="77"/>
        <v>108</v>
      </c>
      <c r="W152" s="585">
        <f>W148-W151</f>
        <v>14151.28</v>
      </c>
      <c r="X152" s="449"/>
      <c r="Y152" s="449"/>
      <c r="Z152" s="449"/>
      <c r="AA152" s="449"/>
      <c r="AB152" s="449"/>
      <c r="AC152" s="449"/>
      <c r="AD152" s="449"/>
      <c r="AE152" s="449"/>
      <c r="AF152" s="449"/>
      <c r="AG152" s="449"/>
    </row>
    <row r="153" spans="1:33" s="455" customFormat="1" ht="18.75" customHeight="1">
      <c r="A153" s="451" t="s">
        <v>11</v>
      </c>
      <c r="B153" s="452" t="s">
        <v>212</v>
      </c>
      <c r="C153" s="453">
        <v>25</v>
      </c>
      <c r="D153" s="454"/>
      <c r="E153" s="501">
        <f t="shared" si="83"/>
        <v>25</v>
      </c>
      <c r="F153" s="501">
        <f t="shared" si="78"/>
        <v>0</v>
      </c>
      <c r="G153" s="501">
        <f t="shared" si="80"/>
        <v>25</v>
      </c>
      <c r="H153" s="501">
        <f t="shared" si="81"/>
        <v>0</v>
      </c>
      <c r="I153" s="501"/>
      <c r="J153" s="501">
        <f t="shared" si="68"/>
        <v>0</v>
      </c>
      <c r="K153" s="501"/>
      <c r="L153" s="501"/>
      <c r="M153" s="501">
        <f t="shared" si="82"/>
        <v>0</v>
      </c>
      <c r="N153" s="501"/>
      <c r="O153" s="501">
        <v>0</v>
      </c>
      <c r="P153" s="501">
        <v>25</v>
      </c>
      <c r="Q153" s="501"/>
      <c r="R153" s="501"/>
      <c r="S153" s="501">
        <v>2.5</v>
      </c>
      <c r="T153" s="502"/>
      <c r="U153" s="501"/>
      <c r="V153" s="507">
        <f t="shared" si="77"/>
        <v>22.5</v>
      </c>
      <c r="W153" s="585"/>
      <c r="X153" s="449"/>
      <c r="Y153" s="449"/>
      <c r="Z153" s="449"/>
      <c r="AA153" s="449"/>
      <c r="AB153" s="449"/>
      <c r="AC153" s="449"/>
      <c r="AD153" s="449"/>
      <c r="AE153" s="449"/>
      <c r="AF153" s="449"/>
      <c r="AG153" s="449"/>
    </row>
    <row r="154" spans="1:33" s="455" customFormat="1" ht="18.75" customHeight="1">
      <c r="A154" s="451" t="s">
        <v>11</v>
      </c>
      <c r="B154" s="452" t="s">
        <v>213</v>
      </c>
      <c r="C154" s="453">
        <v>800</v>
      </c>
      <c r="D154" s="454"/>
      <c r="E154" s="501">
        <f t="shared" si="83"/>
        <v>1000</v>
      </c>
      <c r="F154" s="501">
        <f t="shared" si="78"/>
        <v>200</v>
      </c>
      <c r="G154" s="501">
        <f t="shared" si="80"/>
        <v>1000</v>
      </c>
      <c r="H154" s="501">
        <f t="shared" si="81"/>
        <v>0</v>
      </c>
      <c r="I154" s="501"/>
      <c r="J154" s="501">
        <f t="shared" si="68"/>
        <v>0</v>
      </c>
      <c r="K154" s="501"/>
      <c r="L154" s="501"/>
      <c r="M154" s="501">
        <f t="shared" si="82"/>
        <v>0</v>
      </c>
      <c r="N154" s="501"/>
      <c r="O154" s="501">
        <v>0</v>
      </c>
      <c r="P154" s="501">
        <v>1000</v>
      </c>
      <c r="Q154" s="501"/>
      <c r="R154" s="501"/>
      <c r="S154" s="501">
        <v>100</v>
      </c>
      <c r="T154" s="502"/>
      <c r="U154" s="501"/>
      <c r="V154" s="507">
        <f>E154-S154+T154-U154</f>
        <v>900</v>
      </c>
      <c r="W154" s="585">
        <f>100-S154</f>
        <v>0</v>
      </c>
      <c r="X154" s="449">
        <f>42-W154</f>
        <v>42</v>
      </c>
      <c r="Y154" s="449"/>
      <c r="Z154" s="449"/>
      <c r="AA154" s="449"/>
      <c r="AB154" s="449"/>
      <c r="AC154" s="449"/>
      <c r="AD154" s="449"/>
      <c r="AE154" s="449"/>
      <c r="AF154" s="449"/>
      <c r="AG154" s="449"/>
    </row>
    <row r="155" spans="1:33" s="455" customFormat="1" ht="18.75" customHeight="1">
      <c r="A155" s="451" t="s">
        <v>11</v>
      </c>
      <c r="B155" s="452" t="s">
        <v>214</v>
      </c>
      <c r="C155" s="453">
        <v>45</v>
      </c>
      <c r="D155" s="454"/>
      <c r="E155" s="501">
        <f t="shared" si="83"/>
        <v>50</v>
      </c>
      <c r="F155" s="501">
        <f t="shared" si="78"/>
        <v>5</v>
      </c>
      <c r="G155" s="501">
        <f t="shared" si="80"/>
        <v>50</v>
      </c>
      <c r="H155" s="501">
        <f t="shared" si="81"/>
        <v>0</v>
      </c>
      <c r="I155" s="501"/>
      <c r="J155" s="501">
        <f t="shared" si="68"/>
        <v>0</v>
      </c>
      <c r="K155" s="501"/>
      <c r="L155" s="501"/>
      <c r="M155" s="501">
        <f t="shared" si="82"/>
        <v>0</v>
      </c>
      <c r="N155" s="501"/>
      <c r="O155" s="501">
        <v>0</v>
      </c>
      <c r="P155" s="501">
        <v>50</v>
      </c>
      <c r="Q155" s="501"/>
      <c r="R155" s="501"/>
      <c r="S155" s="501">
        <v>5</v>
      </c>
      <c r="T155" s="502"/>
      <c r="U155" s="501"/>
      <c r="V155" s="507">
        <f t="shared" si="77"/>
        <v>45</v>
      </c>
      <c r="W155" s="585">
        <f>30.3-18</f>
        <v>12.3</v>
      </c>
      <c r="X155" s="449"/>
      <c r="Y155" s="449"/>
      <c r="Z155" s="449"/>
      <c r="AA155" s="449"/>
      <c r="AB155" s="449"/>
      <c r="AC155" s="449"/>
      <c r="AD155" s="449"/>
      <c r="AE155" s="449"/>
      <c r="AF155" s="449"/>
      <c r="AG155" s="449"/>
    </row>
    <row r="156" spans="1:33" s="455" customFormat="1" ht="36.75" customHeight="1">
      <c r="A156" s="451" t="s">
        <v>11</v>
      </c>
      <c r="B156" s="457" t="s">
        <v>217</v>
      </c>
      <c r="C156" s="453">
        <v>21</v>
      </c>
      <c r="D156" s="454"/>
      <c r="E156" s="501">
        <f t="shared" si="83"/>
        <v>20</v>
      </c>
      <c r="F156" s="501">
        <f t="shared" si="78"/>
        <v>-1</v>
      </c>
      <c r="G156" s="501">
        <f t="shared" si="80"/>
        <v>20</v>
      </c>
      <c r="H156" s="501">
        <f t="shared" si="81"/>
        <v>0</v>
      </c>
      <c r="I156" s="501"/>
      <c r="J156" s="501">
        <f t="shared" si="68"/>
        <v>0</v>
      </c>
      <c r="K156" s="501"/>
      <c r="L156" s="501"/>
      <c r="M156" s="501">
        <f t="shared" si="82"/>
        <v>0</v>
      </c>
      <c r="N156" s="501"/>
      <c r="O156" s="501">
        <v>0</v>
      </c>
      <c r="P156" s="501">
        <v>20</v>
      </c>
      <c r="Q156" s="501"/>
      <c r="R156" s="501"/>
      <c r="S156" s="501">
        <v>2</v>
      </c>
      <c r="T156" s="502"/>
      <c r="U156" s="501"/>
      <c r="V156" s="507">
        <f t="shared" si="77"/>
        <v>18</v>
      </c>
      <c r="W156" s="585"/>
      <c r="X156" s="449"/>
      <c r="Y156" s="449"/>
      <c r="Z156" s="449"/>
      <c r="AA156" s="449"/>
      <c r="AB156" s="449"/>
      <c r="AC156" s="449"/>
      <c r="AD156" s="449"/>
      <c r="AE156" s="449"/>
      <c r="AF156" s="449"/>
      <c r="AG156" s="449"/>
    </row>
    <row r="157" spans="1:33" s="455" customFormat="1" ht="38.25" hidden="1" customHeight="1">
      <c r="A157" s="451" t="s">
        <v>11</v>
      </c>
      <c r="B157" s="457" t="s">
        <v>5</v>
      </c>
      <c r="C157" s="453"/>
      <c r="D157" s="454"/>
      <c r="E157" s="501">
        <f t="shared" si="83"/>
        <v>0</v>
      </c>
      <c r="F157" s="501">
        <f t="shared" si="78"/>
        <v>0</v>
      </c>
      <c r="G157" s="501">
        <f t="shared" si="80"/>
        <v>0</v>
      </c>
      <c r="H157" s="501">
        <f t="shared" si="81"/>
        <v>0</v>
      </c>
      <c r="I157" s="501"/>
      <c r="J157" s="501">
        <f>K157+L157</f>
        <v>0</v>
      </c>
      <c r="K157" s="501"/>
      <c r="L157" s="501"/>
      <c r="M157" s="501">
        <f t="shared" si="82"/>
        <v>0</v>
      </c>
      <c r="N157" s="501"/>
      <c r="O157" s="501">
        <v>0</v>
      </c>
      <c r="P157" s="501"/>
      <c r="Q157" s="501"/>
      <c r="R157" s="501"/>
      <c r="S157" s="501"/>
      <c r="T157" s="502"/>
      <c r="U157" s="501"/>
      <c r="V157" s="507">
        <f t="shared" si="77"/>
        <v>0</v>
      </c>
      <c r="W157" s="585"/>
      <c r="X157" s="449"/>
      <c r="Y157" s="449"/>
      <c r="Z157" s="449"/>
      <c r="AA157" s="449"/>
      <c r="AB157" s="449"/>
      <c r="AC157" s="449"/>
      <c r="AD157" s="449"/>
      <c r="AE157" s="449"/>
      <c r="AF157" s="449"/>
      <c r="AG157" s="449"/>
    </row>
    <row r="158" spans="1:33" s="455" customFormat="1" ht="38.25" customHeight="1">
      <c r="A158" s="451" t="s">
        <v>11</v>
      </c>
      <c r="B158" s="457" t="s">
        <v>794</v>
      </c>
      <c r="C158" s="453"/>
      <c r="D158" s="454"/>
      <c r="E158" s="501">
        <f t="shared" si="83"/>
        <v>84</v>
      </c>
      <c r="F158" s="501">
        <f t="shared" si="78"/>
        <v>84</v>
      </c>
      <c r="G158" s="501">
        <f t="shared" si="80"/>
        <v>84</v>
      </c>
      <c r="H158" s="501">
        <f t="shared" si="81"/>
        <v>0</v>
      </c>
      <c r="I158" s="501"/>
      <c r="J158" s="501">
        <f>K158+L158</f>
        <v>0</v>
      </c>
      <c r="K158" s="501"/>
      <c r="L158" s="501"/>
      <c r="M158" s="501">
        <f t="shared" si="82"/>
        <v>0</v>
      </c>
      <c r="N158" s="501"/>
      <c r="O158" s="501">
        <v>0</v>
      </c>
      <c r="P158" s="501">
        <v>84</v>
      </c>
      <c r="Q158" s="501"/>
      <c r="R158" s="501"/>
      <c r="S158" s="501"/>
      <c r="T158" s="502"/>
      <c r="U158" s="501"/>
      <c r="V158" s="507">
        <f t="shared" si="77"/>
        <v>84</v>
      </c>
      <c r="W158" s="585"/>
      <c r="X158" s="449"/>
      <c r="Y158" s="449"/>
      <c r="Z158" s="449"/>
      <c r="AA158" s="449"/>
      <c r="AB158" s="449"/>
      <c r="AC158" s="449"/>
      <c r="AD158" s="449"/>
      <c r="AE158" s="449"/>
      <c r="AF158" s="449"/>
      <c r="AG158" s="449"/>
    </row>
    <row r="159" spans="1:33" s="455" customFormat="1" ht="39" customHeight="1">
      <c r="A159" s="451" t="s">
        <v>11</v>
      </c>
      <c r="B159" s="457" t="s">
        <v>218</v>
      </c>
      <c r="C159" s="453"/>
      <c r="D159" s="454"/>
      <c r="E159" s="501">
        <f t="shared" si="83"/>
        <v>30</v>
      </c>
      <c r="F159" s="501">
        <f t="shared" si="78"/>
        <v>30</v>
      </c>
      <c r="G159" s="501">
        <f t="shared" si="80"/>
        <v>30</v>
      </c>
      <c r="H159" s="501">
        <f t="shared" si="81"/>
        <v>0</v>
      </c>
      <c r="I159" s="501"/>
      <c r="J159" s="501">
        <f t="shared" si="68"/>
        <v>0</v>
      </c>
      <c r="K159" s="501"/>
      <c r="L159" s="501"/>
      <c r="M159" s="501">
        <f t="shared" si="82"/>
        <v>0</v>
      </c>
      <c r="N159" s="501"/>
      <c r="O159" s="501">
        <v>0</v>
      </c>
      <c r="P159" s="501">
        <v>30</v>
      </c>
      <c r="Q159" s="501"/>
      <c r="R159" s="501"/>
      <c r="S159" s="501">
        <v>3</v>
      </c>
      <c r="T159" s="502"/>
      <c r="U159" s="501"/>
      <c r="V159" s="507">
        <f t="shared" si="77"/>
        <v>27</v>
      </c>
      <c r="W159" s="585"/>
      <c r="X159" s="449"/>
      <c r="Y159" s="449"/>
      <c r="Z159" s="449"/>
      <c r="AA159" s="449"/>
      <c r="AB159" s="449"/>
      <c r="AC159" s="449"/>
      <c r="AD159" s="449"/>
      <c r="AE159" s="449"/>
      <c r="AF159" s="449"/>
      <c r="AG159" s="449"/>
    </row>
    <row r="160" spans="1:33" s="455" customFormat="1" ht="28.5" customHeight="1">
      <c r="A160" s="456" t="s">
        <v>11</v>
      </c>
      <c r="B160" s="457" t="s">
        <v>219</v>
      </c>
      <c r="C160" s="453">
        <v>6.34</v>
      </c>
      <c r="D160" s="454"/>
      <c r="E160" s="501">
        <f t="shared" si="83"/>
        <v>99</v>
      </c>
      <c r="F160" s="501">
        <f t="shared" si="78"/>
        <v>92.66</v>
      </c>
      <c r="G160" s="501">
        <f t="shared" si="80"/>
        <v>99</v>
      </c>
      <c r="H160" s="501">
        <f t="shared" si="81"/>
        <v>99</v>
      </c>
      <c r="I160" s="501"/>
      <c r="J160" s="501">
        <f t="shared" si="68"/>
        <v>0</v>
      </c>
      <c r="K160" s="501"/>
      <c r="L160" s="501"/>
      <c r="M160" s="501">
        <f t="shared" si="82"/>
        <v>99</v>
      </c>
      <c r="N160" s="501">
        <v>99</v>
      </c>
      <c r="O160" s="501"/>
      <c r="P160" s="501"/>
      <c r="Q160" s="501"/>
      <c r="R160" s="501"/>
      <c r="S160" s="501"/>
      <c r="T160" s="502">
        <v>0</v>
      </c>
      <c r="U160" s="501">
        <v>41</v>
      </c>
      <c r="V160" s="507">
        <f>E160-S160+T160-U160</f>
        <v>58</v>
      </c>
      <c r="W160" s="585"/>
      <c r="X160" s="449"/>
      <c r="Y160" s="449"/>
      <c r="Z160" s="449"/>
      <c r="AA160" s="449"/>
      <c r="AB160" s="449"/>
      <c r="AC160" s="449"/>
      <c r="AD160" s="449"/>
      <c r="AE160" s="449"/>
      <c r="AF160" s="449"/>
      <c r="AG160" s="449"/>
    </row>
    <row r="161" spans="1:33" s="455" customFormat="1" ht="73.5" customHeight="1">
      <c r="A161" s="456" t="s">
        <v>11</v>
      </c>
      <c r="B161" s="457" t="s">
        <v>927</v>
      </c>
      <c r="C161" s="453"/>
      <c r="D161" s="454"/>
      <c r="E161" s="501"/>
      <c r="F161" s="501"/>
      <c r="G161" s="501"/>
      <c r="H161" s="501"/>
      <c r="I161" s="501"/>
      <c r="J161" s="501"/>
      <c r="K161" s="501"/>
      <c r="L161" s="501"/>
      <c r="M161" s="501"/>
      <c r="N161" s="501"/>
      <c r="O161" s="501"/>
      <c r="P161" s="501"/>
      <c r="Q161" s="501"/>
      <c r="R161" s="501"/>
      <c r="S161" s="501"/>
      <c r="T161" s="502">
        <v>360</v>
      </c>
      <c r="U161" s="501"/>
      <c r="V161" s="507">
        <f>T161-U161</f>
        <v>360</v>
      </c>
      <c r="W161" s="585"/>
      <c r="X161" s="449"/>
      <c r="Y161" s="449"/>
      <c r="Z161" s="449"/>
      <c r="AA161" s="449"/>
      <c r="AB161" s="449"/>
      <c r="AC161" s="449"/>
      <c r="AD161" s="449"/>
      <c r="AE161" s="449"/>
      <c r="AF161" s="449"/>
      <c r="AG161" s="449"/>
    </row>
    <row r="162" spans="1:33" s="455" customFormat="1" ht="20.25" customHeight="1">
      <c r="A162" s="451" t="s">
        <v>220</v>
      </c>
      <c r="B162" s="452" t="s">
        <v>221</v>
      </c>
      <c r="C162" s="453">
        <v>0</v>
      </c>
      <c r="D162" s="454"/>
      <c r="E162" s="501">
        <f t="shared" si="83"/>
        <v>0</v>
      </c>
      <c r="F162" s="501">
        <f t="shared" si="78"/>
        <v>0</v>
      </c>
      <c r="G162" s="501">
        <f t="shared" si="80"/>
        <v>0</v>
      </c>
      <c r="H162" s="501">
        <f t="shared" si="81"/>
        <v>0</v>
      </c>
      <c r="I162" s="501"/>
      <c r="J162" s="501">
        <f t="shared" si="68"/>
        <v>0</v>
      </c>
      <c r="K162" s="501"/>
      <c r="L162" s="501"/>
      <c r="M162" s="501">
        <f t="shared" si="82"/>
        <v>0</v>
      </c>
      <c r="N162" s="501"/>
      <c r="O162" s="501"/>
      <c r="P162" s="501"/>
      <c r="Q162" s="501"/>
      <c r="R162" s="501"/>
      <c r="S162" s="501"/>
      <c r="T162" s="502"/>
      <c r="U162" s="501"/>
      <c r="V162" s="507">
        <f t="shared" si="77"/>
        <v>0</v>
      </c>
      <c r="W162" s="585" t="s">
        <v>126</v>
      </c>
      <c r="X162" s="449"/>
      <c r="Y162" s="449"/>
      <c r="Z162" s="449"/>
      <c r="AA162" s="449"/>
      <c r="AB162" s="449"/>
      <c r="AC162" s="449"/>
      <c r="AD162" s="449"/>
      <c r="AE162" s="449"/>
      <c r="AF162" s="449"/>
      <c r="AG162" s="449"/>
    </row>
    <row r="163" spans="1:33" s="455" customFormat="1" ht="25.5">
      <c r="A163" s="451" t="s">
        <v>220</v>
      </c>
      <c r="B163" s="457" t="s">
        <v>223</v>
      </c>
      <c r="C163" s="453">
        <f t="shared" ref="C163:V163" si="84">SUM(C164:C165)</f>
        <v>187</v>
      </c>
      <c r="D163" s="454"/>
      <c r="E163" s="501">
        <f>SUM(E164:E165)</f>
        <v>177</v>
      </c>
      <c r="F163" s="501">
        <f t="shared" si="78"/>
        <v>-10</v>
      </c>
      <c r="G163" s="501">
        <f t="shared" si="84"/>
        <v>177</v>
      </c>
      <c r="H163" s="501">
        <f t="shared" si="84"/>
        <v>0</v>
      </c>
      <c r="I163" s="501">
        <f t="shared" si="84"/>
        <v>0</v>
      </c>
      <c r="J163" s="501">
        <f t="shared" si="84"/>
        <v>0</v>
      </c>
      <c r="K163" s="501">
        <f t="shared" si="84"/>
        <v>0</v>
      </c>
      <c r="L163" s="501"/>
      <c r="M163" s="501">
        <f t="shared" si="84"/>
        <v>0</v>
      </c>
      <c r="N163" s="501">
        <f t="shared" si="84"/>
        <v>0</v>
      </c>
      <c r="O163" s="501">
        <f t="shared" si="84"/>
        <v>0</v>
      </c>
      <c r="P163" s="501">
        <f t="shared" si="84"/>
        <v>177</v>
      </c>
      <c r="Q163" s="501">
        <f t="shared" si="84"/>
        <v>0</v>
      </c>
      <c r="R163" s="501">
        <f t="shared" si="84"/>
        <v>0</v>
      </c>
      <c r="S163" s="501">
        <f t="shared" si="84"/>
        <v>7</v>
      </c>
      <c r="T163" s="502">
        <f t="shared" si="84"/>
        <v>0</v>
      </c>
      <c r="U163" s="501">
        <f t="shared" si="84"/>
        <v>0</v>
      </c>
      <c r="V163" s="501">
        <f t="shared" si="84"/>
        <v>170</v>
      </c>
      <c r="W163" s="585"/>
      <c r="X163" s="449"/>
      <c r="Y163" s="449"/>
      <c r="Z163" s="449"/>
      <c r="AA163" s="449"/>
      <c r="AB163" s="449"/>
      <c r="AC163" s="449"/>
      <c r="AD163" s="449"/>
      <c r="AE163" s="449"/>
      <c r="AF163" s="449"/>
      <c r="AG163" s="449"/>
    </row>
    <row r="164" spans="1:33" s="455" customFormat="1" ht="25.5">
      <c r="A164" s="451" t="s">
        <v>11</v>
      </c>
      <c r="B164" s="457" t="s">
        <v>224</v>
      </c>
      <c r="C164" s="453">
        <v>117</v>
      </c>
      <c r="D164" s="454"/>
      <c r="E164" s="501">
        <f>G164+R164</f>
        <v>107</v>
      </c>
      <c r="F164" s="501">
        <f t="shared" si="78"/>
        <v>-10</v>
      </c>
      <c r="G164" s="501">
        <f>H164+P164+Q164</f>
        <v>107</v>
      </c>
      <c r="H164" s="501">
        <f>J164+M164</f>
        <v>0</v>
      </c>
      <c r="I164" s="501"/>
      <c r="J164" s="501">
        <f t="shared" si="68"/>
        <v>0</v>
      </c>
      <c r="K164" s="501"/>
      <c r="L164" s="501"/>
      <c r="M164" s="501">
        <f>N164+O164</f>
        <v>0</v>
      </c>
      <c r="N164" s="501"/>
      <c r="O164" s="501">
        <v>0</v>
      </c>
      <c r="P164" s="501">
        <v>107</v>
      </c>
      <c r="Q164" s="501"/>
      <c r="R164" s="501"/>
      <c r="S164" s="501"/>
      <c r="T164" s="502"/>
      <c r="U164" s="501"/>
      <c r="V164" s="507">
        <f t="shared" si="77"/>
        <v>107</v>
      </c>
      <c r="W164" s="585" t="s">
        <v>225</v>
      </c>
      <c r="X164" s="449"/>
      <c r="Y164" s="449"/>
      <c r="Z164" s="449"/>
      <c r="AA164" s="449"/>
      <c r="AB164" s="449"/>
      <c r="AC164" s="449"/>
      <c r="AD164" s="449"/>
      <c r="AE164" s="449"/>
      <c r="AF164" s="449"/>
      <c r="AG164" s="449"/>
    </row>
    <row r="165" spans="1:33" s="455" customFormat="1" ht="20.25" customHeight="1">
      <c r="A165" s="451" t="s">
        <v>11</v>
      </c>
      <c r="B165" s="452" t="s">
        <v>226</v>
      </c>
      <c r="C165" s="453">
        <v>70</v>
      </c>
      <c r="D165" s="454"/>
      <c r="E165" s="501">
        <f>G165+R165</f>
        <v>70</v>
      </c>
      <c r="F165" s="501">
        <f t="shared" si="78"/>
        <v>0</v>
      </c>
      <c r="G165" s="501">
        <f>H165+P165+Q165</f>
        <v>70</v>
      </c>
      <c r="H165" s="501">
        <f>J165+M165</f>
        <v>0</v>
      </c>
      <c r="I165" s="501"/>
      <c r="J165" s="501">
        <f t="shared" si="68"/>
        <v>0</v>
      </c>
      <c r="K165" s="501"/>
      <c r="L165" s="501"/>
      <c r="M165" s="501">
        <f>N165+O165</f>
        <v>0</v>
      </c>
      <c r="N165" s="501"/>
      <c r="O165" s="501">
        <v>0</v>
      </c>
      <c r="P165" s="501">
        <v>70</v>
      </c>
      <c r="Q165" s="501"/>
      <c r="R165" s="501">
        <v>0</v>
      </c>
      <c r="S165" s="501">
        <v>7</v>
      </c>
      <c r="T165" s="502"/>
      <c r="U165" s="501"/>
      <c r="V165" s="507">
        <f t="shared" si="77"/>
        <v>63</v>
      </c>
      <c r="W165" s="585" t="s">
        <v>227</v>
      </c>
      <c r="X165" s="449"/>
      <c r="Y165" s="449"/>
      <c r="Z165" s="449"/>
      <c r="AA165" s="449"/>
      <c r="AB165" s="449"/>
      <c r="AC165" s="449"/>
      <c r="AD165" s="449"/>
      <c r="AE165" s="449"/>
      <c r="AF165" s="449"/>
      <c r="AG165" s="449"/>
    </row>
    <row r="166" spans="1:33" s="455" customFormat="1" ht="20.25" customHeight="1">
      <c r="A166" s="451" t="s">
        <v>222</v>
      </c>
      <c r="B166" s="452" t="s">
        <v>228</v>
      </c>
      <c r="C166" s="453">
        <v>508</v>
      </c>
      <c r="D166" s="454"/>
      <c r="E166" s="501">
        <f>G166+R166</f>
        <v>1376</v>
      </c>
      <c r="F166" s="501">
        <f t="shared" si="78"/>
        <v>868</v>
      </c>
      <c r="G166" s="501">
        <f>H166+P166+Q166</f>
        <v>1376</v>
      </c>
      <c r="H166" s="501">
        <f>J166+M166</f>
        <v>0</v>
      </c>
      <c r="I166" s="501"/>
      <c r="J166" s="501">
        <f t="shared" si="68"/>
        <v>0</v>
      </c>
      <c r="K166" s="501"/>
      <c r="L166" s="501"/>
      <c r="M166" s="501">
        <f>N166+O166</f>
        <v>0</v>
      </c>
      <c r="N166" s="501"/>
      <c r="O166" s="501">
        <v>0</v>
      </c>
      <c r="P166" s="501">
        <v>1376</v>
      </c>
      <c r="Q166" s="501"/>
      <c r="R166" s="501"/>
      <c r="S166" s="501"/>
      <c r="T166" s="502"/>
      <c r="U166" s="501"/>
      <c r="V166" s="507">
        <f t="shared" si="77"/>
        <v>1376</v>
      </c>
      <c r="W166" s="585" t="s">
        <v>126</v>
      </c>
      <c r="X166" s="449"/>
      <c r="Y166" s="449"/>
      <c r="Z166" s="449"/>
      <c r="AA166" s="449"/>
      <c r="AB166" s="449"/>
      <c r="AC166" s="449"/>
      <c r="AD166" s="449"/>
      <c r="AE166" s="449"/>
      <c r="AF166" s="449"/>
      <c r="AG166" s="449"/>
    </row>
    <row r="167" spans="1:33" s="455" customFormat="1" ht="20.25" customHeight="1">
      <c r="A167" s="451" t="s">
        <v>229</v>
      </c>
      <c r="B167" s="452" t="s">
        <v>97</v>
      </c>
      <c r="C167" s="453">
        <f>C169+C201+C204+C270+C403</f>
        <v>27900.614000000001</v>
      </c>
      <c r="D167" s="454">
        <f>D169+D201+D204+D270+D403</f>
        <v>0</v>
      </c>
      <c r="E167" s="501">
        <f>E169+E201+E204+E270+E403</f>
        <v>27461.035020000003</v>
      </c>
      <c r="F167" s="501">
        <f t="shared" si="78"/>
        <v>-439.57897999999841</v>
      </c>
      <c r="G167" s="501">
        <f t="shared" ref="G167:V167" si="85">G169+G201+G204+G270+G403</f>
        <v>27461.035020000003</v>
      </c>
      <c r="H167" s="501">
        <f t="shared" si="85"/>
        <v>27461.035020000003</v>
      </c>
      <c r="I167" s="501">
        <f t="shared" si="85"/>
        <v>135</v>
      </c>
      <c r="J167" s="501">
        <f t="shared" si="85"/>
        <v>16657.615020000005</v>
      </c>
      <c r="K167" s="501">
        <f t="shared" si="85"/>
        <v>0</v>
      </c>
      <c r="L167" s="501">
        <f t="shared" si="85"/>
        <v>0</v>
      </c>
      <c r="M167" s="501">
        <f t="shared" si="85"/>
        <v>10803.42</v>
      </c>
      <c r="N167" s="501">
        <f t="shared" si="85"/>
        <v>3623.7999999999997</v>
      </c>
      <c r="O167" s="501">
        <f t="shared" si="85"/>
        <v>7179.62</v>
      </c>
      <c r="P167" s="501">
        <f t="shared" si="85"/>
        <v>0</v>
      </c>
      <c r="Q167" s="501">
        <f t="shared" si="85"/>
        <v>0</v>
      </c>
      <c r="R167" s="501">
        <f t="shared" si="85"/>
        <v>0</v>
      </c>
      <c r="S167" s="501">
        <f t="shared" si="85"/>
        <v>1017.7</v>
      </c>
      <c r="T167" s="502">
        <f t="shared" si="85"/>
        <v>302.20000000000005</v>
      </c>
      <c r="U167" s="501">
        <f t="shared" si="85"/>
        <v>464.68</v>
      </c>
      <c r="V167" s="501">
        <f t="shared" si="85"/>
        <v>26280.855020000003</v>
      </c>
      <c r="W167" s="585"/>
      <c r="X167" s="449">
        <f>W167-V167</f>
        <v>-26280.855020000003</v>
      </c>
      <c r="Y167" s="449"/>
      <c r="Z167" s="449"/>
      <c r="AA167" s="449"/>
      <c r="AB167" s="449"/>
      <c r="AC167" s="449"/>
      <c r="AD167" s="449"/>
      <c r="AE167" s="449"/>
      <c r="AF167" s="449"/>
      <c r="AG167" s="449"/>
    </row>
    <row r="168" spans="1:33" s="455" customFormat="1" ht="20.25" customHeight="1">
      <c r="A168" s="451" t="s">
        <v>157</v>
      </c>
      <c r="B168" s="452" t="s">
        <v>795</v>
      </c>
      <c r="C168" s="453"/>
      <c r="D168" s="454"/>
      <c r="E168" s="501">
        <f t="shared" ref="E168:V168" si="86">E172+E202+E206+E228+E237+E247+E259+E266+E273+E294+E302+E310+E321+E331+E341+E354+E363+E371+E380+E387+E395+E401</f>
        <v>15916.71502</v>
      </c>
      <c r="F168" s="501">
        <f t="shared" si="86"/>
        <v>59.011020000000229</v>
      </c>
      <c r="G168" s="501">
        <f t="shared" si="86"/>
        <v>15916.71502</v>
      </c>
      <c r="H168" s="501">
        <f t="shared" si="86"/>
        <v>15916.71502</v>
      </c>
      <c r="I168" s="501">
        <f t="shared" si="86"/>
        <v>135</v>
      </c>
      <c r="J168" s="501">
        <f t="shared" si="86"/>
        <v>15880.71502</v>
      </c>
      <c r="K168" s="501">
        <f t="shared" si="86"/>
        <v>0</v>
      </c>
      <c r="L168" s="501">
        <f t="shared" si="86"/>
        <v>0</v>
      </c>
      <c r="M168" s="501">
        <f t="shared" si="86"/>
        <v>36</v>
      </c>
      <c r="N168" s="501">
        <f t="shared" si="86"/>
        <v>36</v>
      </c>
      <c r="O168" s="501">
        <f t="shared" si="86"/>
        <v>0</v>
      </c>
      <c r="P168" s="501">
        <f t="shared" si="86"/>
        <v>0</v>
      </c>
      <c r="Q168" s="501">
        <f t="shared" si="86"/>
        <v>0</v>
      </c>
      <c r="R168" s="501">
        <f t="shared" si="86"/>
        <v>0</v>
      </c>
      <c r="S168" s="501">
        <f t="shared" si="86"/>
        <v>3.6</v>
      </c>
      <c r="T168" s="502">
        <f t="shared" si="86"/>
        <v>34.46</v>
      </c>
      <c r="U168" s="501">
        <f t="shared" si="86"/>
        <v>459.31000000000006</v>
      </c>
      <c r="V168" s="501">
        <f t="shared" si="86"/>
        <v>15488.265020000001</v>
      </c>
      <c r="W168" s="585"/>
      <c r="X168" s="449"/>
      <c r="Y168" s="449"/>
      <c r="Z168" s="449"/>
      <c r="AA168" s="449"/>
      <c r="AB168" s="449"/>
      <c r="AC168" s="449"/>
      <c r="AD168" s="449"/>
      <c r="AE168" s="449"/>
      <c r="AF168" s="449"/>
      <c r="AG168" s="449"/>
    </row>
    <row r="169" spans="1:33" s="455" customFormat="1" ht="20.25" customHeight="1">
      <c r="A169" s="451" t="s">
        <v>230</v>
      </c>
      <c r="B169" s="452" t="s">
        <v>231</v>
      </c>
      <c r="C169" s="453">
        <f>C170+C198</f>
        <v>8002.5260000000007</v>
      </c>
      <c r="D169" s="454"/>
      <c r="E169" s="501">
        <f>E170+E198</f>
        <v>7970.5520000000015</v>
      </c>
      <c r="F169" s="501">
        <f t="shared" si="78"/>
        <v>-31.973999999999251</v>
      </c>
      <c r="G169" s="501">
        <f t="shared" ref="G169:V169" si="87">G170+G198</f>
        <v>7970.5520000000015</v>
      </c>
      <c r="H169" s="501">
        <f t="shared" si="87"/>
        <v>7970.5520000000015</v>
      </c>
      <c r="I169" s="501">
        <f t="shared" si="87"/>
        <v>37</v>
      </c>
      <c r="J169" s="501">
        <f t="shared" si="87"/>
        <v>5190.1520000000019</v>
      </c>
      <c r="K169" s="501">
        <f t="shared" si="87"/>
        <v>0</v>
      </c>
      <c r="L169" s="501">
        <f t="shared" si="87"/>
        <v>0</v>
      </c>
      <c r="M169" s="501">
        <f t="shared" si="87"/>
        <v>2780.4</v>
      </c>
      <c r="N169" s="501">
        <f t="shared" si="87"/>
        <v>950.4</v>
      </c>
      <c r="O169" s="501">
        <f t="shared" si="87"/>
        <v>1830</v>
      </c>
      <c r="P169" s="501">
        <f t="shared" si="87"/>
        <v>0</v>
      </c>
      <c r="Q169" s="501">
        <f t="shared" si="87"/>
        <v>0</v>
      </c>
      <c r="R169" s="501">
        <f t="shared" si="87"/>
        <v>0</v>
      </c>
      <c r="S169" s="501">
        <f t="shared" si="87"/>
        <v>268</v>
      </c>
      <c r="T169" s="502">
        <f t="shared" si="87"/>
        <v>106</v>
      </c>
      <c r="U169" s="501">
        <f t="shared" si="87"/>
        <v>0</v>
      </c>
      <c r="V169" s="501">
        <f t="shared" si="87"/>
        <v>7808.5520000000015</v>
      </c>
      <c r="W169" s="448"/>
      <c r="X169" s="449">
        <f>V169-W169</f>
        <v>7808.5520000000015</v>
      </c>
      <c r="Y169" s="449"/>
      <c r="Z169" s="449"/>
      <c r="AA169" s="449"/>
      <c r="AB169" s="449"/>
      <c r="AC169" s="449"/>
      <c r="AD169" s="449"/>
      <c r="AE169" s="449"/>
      <c r="AF169" s="449"/>
      <c r="AG169" s="449"/>
    </row>
    <row r="170" spans="1:33" s="455" customFormat="1" ht="20.25" customHeight="1">
      <c r="A170" s="451" t="s">
        <v>29</v>
      </c>
      <c r="B170" s="452" t="s">
        <v>232</v>
      </c>
      <c r="C170" s="453">
        <f>C171+C184</f>
        <v>8002.5260000000007</v>
      </c>
      <c r="D170" s="454"/>
      <c r="E170" s="501">
        <f>E171+E184</f>
        <v>7970.5520000000015</v>
      </c>
      <c r="F170" s="501">
        <f t="shared" si="78"/>
        <v>-31.973999999999251</v>
      </c>
      <c r="G170" s="501">
        <f t="shared" ref="G170:R170" si="88">G171+G184</f>
        <v>7970.5520000000015</v>
      </c>
      <c r="H170" s="501">
        <f t="shared" si="88"/>
        <v>7970.5520000000015</v>
      </c>
      <c r="I170" s="501">
        <f t="shared" si="88"/>
        <v>37</v>
      </c>
      <c r="J170" s="501">
        <f t="shared" si="88"/>
        <v>5190.1520000000019</v>
      </c>
      <c r="K170" s="501">
        <f t="shared" si="88"/>
        <v>0</v>
      </c>
      <c r="L170" s="501">
        <f t="shared" si="88"/>
        <v>0</v>
      </c>
      <c r="M170" s="501">
        <f t="shared" si="88"/>
        <v>2780.4</v>
      </c>
      <c r="N170" s="501">
        <f t="shared" si="88"/>
        <v>950.4</v>
      </c>
      <c r="O170" s="501">
        <f t="shared" si="88"/>
        <v>1830</v>
      </c>
      <c r="P170" s="501">
        <f t="shared" si="88"/>
        <v>0</v>
      </c>
      <c r="Q170" s="501">
        <f t="shared" si="88"/>
        <v>0</v>
      </c>
      <c r="R170" s="501">
        <f t="shared" si="88"/>
        <v>0</v>
      </c>
      <c r="S170" s="501">
        <f>S171+S184</f>
        <v>268</v>
      </c>
      <c r="T170" s="502">
        <f>T171+T184</f>
        <v>106</v>
      </c>
      <c r="U170" s="501">
        <f>U171+U184</f>
        <v>0</v>
      </c>
      <c r="V170" s="501">
        <f>V171+V184</f>
        <v>7808.5520000000015</v>
      </c>
      <c r="W170" s="585" t="s">
        <v>232</v>
      </c>
      <c r="X170" s="449"/>
      <c r="Y170" s="449"/>
      <c r="Z170" s="449"/>
      <c r="AA170" s="449"/>
      <c r="AB170" s="449"/>
      <c r="AC170" s="449"/>
      <c r="AD170" s="449"/>
      <c r="AE170" s="449"/>
      <c r="AF170" s="449"/>
      <c r="AG170" s="449"/>
    </row>
    <row r="171" spans="1:33" s="455" customFormat="1" ht="20.25" customHeight="1">
      <c r="A171" s="451" t="s">
        <v>130</v>
      </c>
      <c r="B171" s="452" t="s">
        <v>233</v>
      </c>
      <c r="C171" s="453">
        <f>SUM(C172:C181)-C174-C175</f>
        <v>6322.5260000000007</v>
      </c>
      <c r="D171" s="454"/>
      <c r="E171" s="501">
        <f>SUM(E172:E181)-E174-E175</f>
        <v>6240.5520000000015</v>
      </c>
      <c r="F171" s="501">
        <f t="shared" si="78"/>
        <v>-81.973999999999251</v>
      </c>
      <c r="G171" s="501">
        <f t="shared" ref="G171:R171" si="89">SUM(G172:G181)-G174-G175</f>
        <v>6240.5520000000015</v>
      </c>
      <c r="H171" s="501">
        <f t="shared" si="89"/>
        <v>6240.5520000000015</v>
      </c>
      <c r="I171" s="501">
        <f t="shared" si="89"/>
        <v>37</v>
      </c>
      <c r="J171" s="501">
        <f t="shared" si="89"/>
        <v>5190.1520000000019</v>
      </c>
      <c r="K171" s="501">
        <f t="shared" si="89"/>
        <v>0</v>
      </c>
      <c r="L171" s="501">
        <f t="shared" si="89"/>
        <v>0</v>
      </c>
      <c r="M171" s="501">
        <f t="shared" si="89"/>
        <v>1050.4000000000001</v>
      </c>
      <c r="N171" s="501">
        <f t="shared" si="89"/>
        <v>950.4</v>
      </c>
      <c r="O171" s="501">
        <f t="shared" si="89"/>
        <v>100</v>
      </c>
      <c r="P171" s="501">
        <f t="shared" si="89"/>
        <v>0</v>
      </c>
      <c r="Q171" s="501">
        <f t="shared" si="89"/>
        <v>0</v>
      </c>
      <c r="R171" s="501">
        <f t="shared" si="89"/>
        <v>0</v>
      </c>
      <c r="S171" s="501">
        <f>SUM(S172:S181)-S174-S175</f>
        <v>95</v>
      </c>
      <c r="T171" s="502">
        <f>SUM(T172:T183)-T174-T175</f>
        <v>31</v>
      </c>
      <c r="U171" s="502">
        <f t="shared" ref="U171:V171" si="90">SUM(U172:U183)-U174-U175</f>
        <v>0</v>
      </c>
      <c r="V171" s="502">
        <f t="shared" si="90"/>
        <v>6176.5520000000015</v>
      </c>
      <c r="W171" s="585"/>
      <c r="X171" s="449"/>
      <c r="Y171" s="449"/>
      <c r="Z171" s="449"/>
      <c r="AA171" s="449"/>
      <c r="AB171" s="449"/>
      <c r="AC171" s="449"/>
      <c r="AD171" s="449"/>
      <c r="AE171" s="449"/>
      <c r="AF171" s="449"/>
      <c r="AG171" s="449"/>
    </row>
    <row r="172" spans="1:33" s="455" customFormat="1" ht="20.25" customHeight="1">
      <c r="A172" s="451" t="s">
        <v>11</v>
      </c>
      <c r="B172" s="452" t="s">
        <v>796</v>
      </c>
      <c r="C172" s="453">
        <v>4601.598</v>
      </c>
      <c r="D172" s="454"/>
      <c r="E172" s="501">
        <f>G172+R172</f>
        <v>4741.5200000000004</v>
      </c>
      <c r="F172" s="501">
        <f t="shared" si="78"/>
        <v>139.92200000000048</v>
      </c>
      <c r="G172" s="501">
        <f>H172+P172+Q172</f>
        <v>4741.5200000000004</v>
      </c>
      <c r="H172" s="501">
        <f>J172+M172</f>
        <v>4741.5200000000004</v>
      </c>
      <c r="I172" s="501">
        <v>37</v>
      </c>
      <c r="J172" s="501">
        <v>4741.5200000000004</v>
      </c>
      <c r="K172" s="501"/>
      <c r="L172" s="501"/>
      <c r="M172" s="501">
        <f>N172+O172</f>
        <v>0</v>
      </c>
      <c r="N172" s="501"/>
      <c r="O172" s="501">
        <v>0</v>
      </c>
      <c r="P172" s="501"/>
      <c r="Q172" s="501"/>
      <c r="R172" s="501">
        <v>0</v>
      </c>
      <c r="S172" s="501"/>
      <c r="T172" s="502"/>
      <c r="U172" s="501">
        <v>0</v>
      </c>
      <c r="V172" s="507">
        <f t="shared" ref="V172:V203" si="91">E172-S172</f>
        <v>4741.5200000000004</v>
      </c>
      <c r="W172" s="585"/>
      <c r="X172" s="449"/>
      <c r="Y172" s="449"/>
      <c r="Z172" s="449"/>
      <c r="AA172" s="449"/>
      <c r="AB172" s="449"/>
      <c r="AC172" s="449"/>
      <c r="AD172" s="449"/>
      <c r="AE172" s="449"/>
      <c r="AF172" s="449"/>
      <c r="AG172" s="449"/>
    </row>
    <row r="173" spans="1:33" s="455" customFormat="1" ht="17.25" customHeight="1">
      <c r="A173" s="451" t="s">
        <v>11</v>
      </c>
      <c r="B173" s="452" t="s">
        <v>797</v>
      </c>
      <c r="C173" s="453">
        <f>SUM(C174:C175)</f>
        <v>311.11200000000002</v>
      </c>
      <c r="D173" s="454"/>
      <c r="E173" s="501">
        <f t="shared" ref="E173:R173" si="92">SUM(E174:E175)</f>
        <v>300.38400000000001</v>
      </c>
      <c r="F173" s="501">
        <f t="shared" si="78"/>
        <v>-10.728000000000009</v>
      </c>
      <c r="G173" s="501">
        <f t="shared" si="92"/>
        <v>300.38400000000001</v>
      </c>
      <c r="H173" s="501">
        <f t="shared" si="92"/>
        <v>300.38400000000001</v>
      </c>
      <c r="I173" s="501">
        <f t="shared" si="92"/>
        <v>0</v>
      </c>
      <c r="J173" s="501">
        <f>SUM(J174:J175)</f>
        <v>300.38400000000001</v>
      </c>
      <c r="K173" s="501"/>
      <c r="L173" s="501">
        <f t="shared" si="92"/>
        <v>0</v>
      </c>
      <c r="M173" s="501">
        <f t="shared" si="92"/>
        <v>0</v>
      </c>
      <c r="N173" s="501">
        <f t="shared" si="92"/>
        <v>0</v>
      </c>
      <c r="O173" s="501">
        <f t="shared" si="92"/>
        <v>0</v>
      </c>
      <c r="P173" s="501">
        <f t="shared" si="92"/>
        <v>0</v>
      </c>
      <c r="Q173" s="501">
        <f t="shared" si="92"/>
        <v>0</v>
      </c>
      <c r="R173" s="501">
        <f t="shared" si="92"/>
        <v>0</v>
      </c>
      <c r="S173" s="501"/>
      <c r="T173" s="502"/>
      <c r="U173" s="501"/>
      <c r="V173" s="507">
        <f t="shared" si="91"/>
        <v>300.38400000000001</v>
      </c>
      <c r="W173" s="585"/>
      <c r="X173" s="449"/>
      <c r="Y173" s="449"/>
      <c r="Z173" s="449"/>
      <c r="AA173" s="449"/>
      <c r="AB173" s="449"/>
      <c r="AC173" s="449"/>
      <c r="AD173" s="449"/>
      <c r="AE173" s="449"/>
      <c r="AF173" s="449"/>
      <c r="AG173" s="449"/>
    </row>
    <row r="174" spans="1:33" s="455" customFormat="1" ht="17.25" customHeight="1">
      <c r="A174" s="451" t="s">
        <v>51</v>
      </c>
      <c r="B174" s="452" t="s">
        <v>234</v>
      </c>
      <c r="C174" s="453">
        <v>300.38400000000001</v>
      </c>
      <c r="D174" s="480">
        <v>278.92800000000005</v>
      </c>
      <c r="E174" s="501">
        <f>G174+R174</f>
        <v>289.654</v>
      </c>
      <c r="F174" s="501">
        <f t="shared" si="78"/>
        <v>-10.730000000000018</v>
      </c>
      <c r="G174" s="501">
        <f t="shared" ref="G174:G181" si="93">H174+P174+Q174</f>
        <v>289.654</v>
      </c>
      <c r="H174" s="501">
        <f t="shared" ref="H174:H181" si="94">J174+M174</f>
        <v>289.654</v>
      </c>
      <c r="I174" s="501"/>
      <c r="J174" s="501">
        <v>289.654</v>
      </c>
      <c r="K174" s="501"/>
      <c r="L174" s="501"/>
      <c r="M174" s="501">
        <f>N174+O174</f>
        <v>0</v>
      </c>
      <c r="N174" s="501"/>
      <c r="O174" s="501">
        <v>0</v>
      </c>
      <c r="P174" s="501"/>
      <c r="Q174" s="501"/>
      <c r="R174" s="501">
        <v>0</v>
      </c>
      <c r="S174" s="501"/>
      <c r="T174" s="502"/>
      <c r="U174" s="501"/>
      <c r="V174" s="507">
        <f t="shared" si="91"/>
        <v>289.654</v>
      </c>
      <c r="W174" s="585"/>
      <c r="X174" s="449"/>
      <c r="Y174" s="449"/>
      <c r="Z174" s="449"/>
      <c r="AA174" s="449"/>
      <c r="AB174" s="449"/>
      <c r="AC174" s="449"/>
      <c r="AD174" s="449"/>
      <c r="AE174" s="449"/>
      <c r="AF174" s="449"/>
      <c r="AG174" s="449"/>
    </row>
    <row r="175" spans="1:33" s="455" customFormat="1" ht="17.25" customHeight="1">
      <c r="A175" s="451" t="s">
        <v>51</v>
      </c>
      <c r="B175" s="452" t="s">
        <v>235</v>
      </c>
      <c r="C175" s="453">
        <v>10.728</v>
      </c>
      <c r="D175" s="454"/>
      <c r="E175" s="501">
        <f>G175+R175</f>
        <v>10.73</v>
      </c>
      <c r="F175" s="501">
        <f t="shared" si="78"/>
        <v>2.0000000000006679E-3</v>
      </c>
      <c r="G175" s="501">
        <f t="shared" si="93"/>
        <v>10.73</v>
      </c>
      <c r="H175" s="501">
        <f t="shared" si="94"/>
        <v>10.73</v>
      </c>
      <c r="I175" s="501"/>
      <c r="J175" s="501">
        <v>10.73</v>
      </c>
      <c r="K175" s="501"/>
      <c r="L175" s="501"/>
      <c r="M175" s="501">
        <f>N175+O175</f>
        <v>0</v>
      </c>
      <c r="N175" s="501"/>
      <c r="O175" s="501">
        <v>0</v>
      </c>
      <c r="P175" s="501"/>
      <c r="Q175" s="501"/>
      <c r="R175" s="501">
        <v>0</v>
      </c>
      <c r="S175" s="501"/>
      <c r="T175" s="502"/>
      <c r="U175" s="501"/>
      <c r="V175" s="507">
        <f t="shared" si="91"/>
        <v>10.73</v>
      </c>
      <c r="W175" s="585"/>
      <c r="X175" s="449"/>
      <c r="Y175" s="449"/>
      <c r="Z175" s="449"/>
      <c r="AA175" s="449"/>
      <c r="AB175" s="449"/>
      <c r="AC175" s="449"/>
      <c r="AD175" s="449"/>
      <c r="AE175" s="449"/>
      <c r="AF175" s="449"/>
      <c r="AG175" s="449"/>
    </row>
    <row r="176" spans="1:33" s="455" customFormat="1" ht="30" customHeight="1">
      <c r="A176" s="451" t="s">
        <v>11</v>
      </c>
      <c r="B176" s="457" t="s">
        <v>150</v>
      </c>
      <c r="C176" s="453">
        <v>61.706000000000003</v>
      </c>
      <c r="D176" s="454"/>
      <c r="E176" s="501">
        <f>G176</f>
        <v>61.71</v>
      </c>
      <c r="F176" s="501">
        <f t="shared" si="78"/>
        <v>3.9999999999977831E-3</v>
      </c>
      <c r="G176" s="501">
        <f t="shared" si="93"/>
        <v>61.71</v>
      </c>
      <c r="H176" s="501">
        <f t="shared" si="94"/>
        <v>61.71</v>
      </c>
      <c r="I176" s="501"/>
      <c r="J176" s="501">
        <v>61.71</v>
      </c>
      <c r="K176" s="501"/>
      <c r="L176" s="501"/>
      <c r="M176" s="501">
        <f>N176+O176</f>
        <v>0</v>
      </c>
      <c r="N176" s="501"/>
      <c r="O176" s="501">
        <v>0</v>
      </c>
      <c r="P176" s="501"/>
      <c r="Q176" s="501"/>
      <c r="R176" s="501">
        <v>0</v>
      </c>
      <c r="S176" s="501"/>
      <c r="T176" s="502"/>
      <c r="U176" s="501"/>
      <c r="V176" s="507">
        <f t="shared" si="91"/>
        <v>61.71</v>
      </c>
      <c r="W176" s="585"/>
      <c r="X176" s="449"/>
      <c r="Y176" s="449"/>
      <c r="Z176" s="449"/>
      <c r="AA176" s="449"/>
      <c r="AB176" s="449"/>
      <c r="AC176" s="449"/>
      <c r="AD176" s="449"/>
      <c r="AE176" s="449"/>
      <c r="AF176" s="449"/>
      <c r="AG176" s="449"/>
    </row>
    <row r="177" spans="1:33" s="455" customFormat="1" ht="17.25" customHeight="1">
      <c r="A177" s="451" t="s">
        <v>11</v>
      </c>
      <c r="B177" s="452" t="s">
        <v>798</v>
      </c>
      <c r="C177" s="453">
        <v>22.170999999999999</v>
      </c>
      <c r="D177" s="454"/>
      <c r="E177" s="501">
        <f>G177+R177</f>
        <v>22.17</v>
      </c>
      <c r="F177" s="501">
        <f t="shared" si="78"/>
        <v>-9.9999999999766942E-4</v>
      </c>
      <c r="G177" s="501">
        <f t="shared" si="93"/>
        <v>22.17</v>
      </c>
      <c r="H177" s="501">
        <f t="shared" si="94"/>
        <v>22.17</v>
      </c>
      <c r="I177" s="501"/>
      <c r="J177" s="501">
        <v>22.17</v>
      </c>
      <c r="K177" s="501"/>
      <c r="L177" s="501"/>
      <c r="M177" s="501">
        <f t="shared" ref="M177:M276" si="95">N177+O177</f>
        <v>0</v>
      </c>
      <c r="N177" s="501"/>
      <c r="O177" s="501">
        <v>0</v>
      </c>
      <c r="P177" s="501"/>
      <c r="Q177" s="501"/>
      <c r="R177" s="501"/>
      <c r="S177" s="501"/>
      <c r="T177" s="502"/>
      <c r="U177" s="501"/>
      <c r="V177" s="507">
        <f t="shared" si="91"/>
        <v>22.17</v>
      </c>
      <c r="W177" s="585"/>
      <c r="X177" s="449"/>
      <c r="Y177" s="449"/>
      <c r="Z177" s="449"/>
      <c r="AA177" s="449"/>
      <c r="AB177" s="449"/>
      <c r="AC177" s="449"/>
      <c r="AD177" s="449"/>
      <c r="AE177" s="449"/>
      <c r="AF177" s="449"/>
      <c r="AG177" s="449"/>
    </row>
    <row r="178" spans="1:33" s="455" customFormat="1" ht="17.25" customHeight="1">
      <c r="A178" s="451" t="s">
        <v>11</v>
      </c>
      <c r="B178" s="452" t="s">
        <v>799</v>
      </c>
      <c r="C178" s="453">
        <v>60.792000000000002</v>
      </c>
      <c r="D178" s="454"/>
      <c r="E178" s="501">
        <f>G178+R178</f>
        <v>64.367999999999995</v>
      </c>
      <c r="F178" s="501">
        <f t="shared" si="78"/>
        <v>3.5759999999999934</v>
      </c>
      <c r="G178" s="501">
        <f t="shared" si="93"/>
        <v>64.367999999999995</v>
      </c>
      <c r="H178" s="501">
        <f t="shared" si="94"/>
        <v>64.367999999999995</v>
      </c>
      <c r="I178" s="501"/>
      <c r="J178" s="501">
        <v>64.367999999999995</v>
      </c>
      <c r="K178" s="501"/>
      <c r="L178" s="501"/>
      <c r="M178" s="501">
        <f t="shared" si="95"/>
        <v>0</v>
      </c>
      <c r="N178" s="501"/>
      <c r="O178" s="501">
        <v>0</v>
      </c>
      <c r="P178" s="501"/>
      <c r="Q178" s="501"/>
      <c r="R178" s="501"/>
      <c r="S178" s="501"/>
      <c r="T178" s="502"/>
      <c r="U178" s="501"/>
      <c r="V178" s="507">
        <f t="shared" si="91"/>
        <v>64.367999999999995</v>
      </c>
      <c r="W178" s="585"/>
      <c r="X178" s="449"/>
      <c r="Y178" s="449"/>
      <c r="Z178" s="449"/>
      <c r="AA178" s="449"/>
      <c r="AB178" s="449"/>
      <c r="AC178" s="449"/>
      <c r="AD178" s="449"/>
      <c r="AE178" s="449"/>
      <c r="AF178" s="449"/>
      <c r="AG178" s="449"/>
    </row>
    <row r="179" spans="1:33" s="455" customFormat="1" ht="17.25" customHeight="1">
      <c r="A179" s="451" t="s">
        <v>11</v>
      </c>
      <c r="B179" s="452" t="s">
        <v>800</v>
      </c>
      <c r="C179" s="453">
        <v>1154.53</v>
      </c>
      <c r="D179" s="454"/>
      <c r="E179" s="501">
        <f>H179</f>
        <v>950.4</v>
      </c>
      <c r="F179" s="501">
        <f t="shared" si="78"/>
        <v>-204.13</v>
      </c>
      <c r="G179" s="501">
        <f>H179+P179+Q179</f>
        <v>950.4</v>
      </c>
      <c r="H179" s="501">
        <f>J179+M179</f>
        <v>950.4</v>
      </c>
      <c r="I179" s="501"/>
      <c r="J179" s="501">
        <f>K179+L179</f>
        <v>0</v>
      </c>
      <c r="K179" s="501"/>
      <c r="L179" s="501"/>
      <c r="M179" s="501">
        <f>N179+O179</f>
        <v>950.4</v>
      </c>
      <c r="N179" s="508">
        <f>33*16*1.8</f>
        <v>950.4</v>
      </c>
      <c r="O179" s="501">
        <v>0</v>
      </c>
      <c r="P179" s="501">
        <v>0</v>
      </c>
      <c r="Q179" s="501">
        <v>0</v>
      </c>
      <c r="R179" s="501">
        <v>0</v>
      </c>
      <c r="S179" s="501">
        <v>95</v>
      </c>
      <c r="T179" s="502"/>
      <c r="U179" s="501"/>
      <c r="V179" s="507">
        <f t="shared" si="91"/>
        <v>855.4</v>
      </c>
      <c r="W179" s="585">
        <f>E179-S179</f>
        <v>855.4</v>
      </c>
      <c r="X179" s="449"/>
      <c r="Y179" s="449"/>
      <c r="Z179" s="449"/>
      <c r="AA179" s="449"/>
      <c r="AB179" s="449"/>
      <c r="AC179" s="449"/>
      <c r="AD179" s="449"/>
      <c r="AE179" s="449"/>
      <c r="AF179" s="449"/>
      <c r="AG179" s="449"/>
    </row>
    <row r="180" spans="1:33" s="455" customFormat="1" ht="17.25" customHeight="1">
      <c r="A180" s="451" t="s">
        <v>11</v>
      </c>
      <c r="B180" s="452" t="s">
        <v>801</v>
      </c>
      <c r="C180" s="453">
        <v>100</v>
      </c>
      <c r="D180" s="454"/>
      <c r="E180" s="501">
        <f>H180</f>
        <v>100</v>
      </c>
      <c r="F180" s="501">
        <f t="shared" si="78"/>
        <v>0</v>
      </c>
      <c r="G180" s="501">
        <f>H180+P180+Q180</f>
        <v>100</v>
      </c>
      <c r="H180" s="501">
        <f>J180+M180</f>
        <v>100</v>
      </c>
      <c r="I180" s="501"/>
      <c r="J180" s="501">
        <f>K180+L180</f>
        <v>0</v>
      </c>
      <c r="K180" s="501"/>
      <c r="L180" s="501"/>
      <c r="M180" s="501">
        <f>N180+O180</f>
        <v>100</v>
      </c>
      <c r="N180" s="501"/>
      <c r="O180" s="501">
        <v>100</v>
      </c>
      <c r="P180" s="501">
        <v>0</v>
      </c>
      <c r="Q180" s="501">
        <v>0</v>
      </c>
      <c r="R180" s="501">
        <v>0</v>
      </c>
      <c r="S180" s="501"/>
      <c r="T180" s="502"/>
      <c r="U180" s="501"/>
      <c r="V180" s="507">
        <f t="shared" si="91"/>
        <v>100</v>
      </c>
      <c r="W180" s="585"/>
      <c r="X180" s="449"/>
      <c r="Y180" s="449"/>
      <c r="Z180" s="449"/>
      <c r="AA180" s="449"/>
      <c r="AB180" s="449"/>
      <c r="AC180" s="449"/>
      <c r="AD180" s="449"/>
      <c r="AE180" s="449"/>
      <c r="AF180" s="449"/>
      <c r="AG180" s="449"/>
    </row>
    <row r="181" spans="1:33" s="455" customFormat="1" ht="17.25" hidden="1" customHeight="1">
      <c r="A181" s="451" t="s">
        <v>11</v>
      </c>
      <c r="B181" s="452" t="s">
        <v>236</v>
      </c>
      <c r="C181" s="453">
        <v>10.617000000000001</v>
      </c>
      <c r="D181" s="454"/>
      <c r="E181" s="501">
        <f>H181</f>
        <v>0</v>
      </c>
      <c r="F181" s="501">
        <f t="shared" si="78"/>
        <v>-10.617000000000001</v>
      </c>
      <c r="G181" s="501">
        <f t="shared" si="93"/>
        <v>0</v>
      </c>
      <c r="H181" s="501">
        <f t="shared" si="94"/>
        <v>0</v>
      </c>
      <c r="I181" s="501"/>
      <c r="J181" s="501">
        <f t="shared" ref="J181:J254" si="96">K181+L181</f>
        <v>0</v>
      </c>
      <c r="K181" s="501"/>
      <c r="L181" s="501"/>
      <c r="M181" s="501">
        <f t="shared" si="95"/>
        <v>0</v>
      </c>
      <c r="N181" s="501"/>
      <c r="O181" s="501">
        <v>0</v>
      </c>
      <c r="P181" s="501">
        <v>0</v>
      </c>
      <c r="Q181" s="501">
        <v>0</v>
      </c>
      <c r="R181" s="501">
        <v>0</v>
      </c>
      <c r="S181" s="501"/>
      <c r="T181" s="502"/>
      <c r="U181" s="501"/>
      <c r="V181" s="507">
        <f t="shared" si="91"/>
        <v>0</v>
      </c>
      <c r="W181" s="585"/>
      <c r="X181" s="449"/>
      <c r="Y181" s="449"/>
      <c r="Z181" s="449"/>
      <c r="AA181" s="449"/>
      <c r="AB181" s="449"/>
      <c r="AC181" s="449"/>
      <c r="AD181" s="449"/>
      <c r="AE181" s="449"/>
      <c r="AF181" s="449"/>
      <c r="AG181" s="449"/>
    </row>
    <row r="182" spans="1:33" s="455" customFormat="1" ht="17.25" customHeight="1">
      <c r="A182" s="451"/>
      <c r="B182" s="452" t="s">
        <v>939</v>
      </c>
      <c r="C182" s="453"/>
      <c r="D182" s="454"/>
      <c r="E182" s="501"/>
      <c r="F182" s="501"/>
      <c r="G182" s="501"/>
      <c r="H182" s="501"/>
      <c r="I182" s="501"/>
      <c r="J182" s="501"/>
      <c r="K182" s="501"/>
      <c r="L182" s="501"/>
      <c r="M182" s="501"/>
      <c r="N182" s="501"/>
      <c r="O182" s="501"/>
      <c r="P182" s="501"/>
      <c r="Q182" s="501"/>
      <c r="R182" s="501"/>
      <c r="S182" s="501"/>
      <c r="T182" s="502">
        <v>6</v>
      </c>
      <c r="U182" s="501"/>
      <c r="V182" s="507">
        <f>E182-S182+T182-U182</f>
        <v>6</v>
      </c>
      <c r="W182" s="585"/>
      <c r="X182" s="449"/>
      <c r="Y182" s="449"/>
      <c r="Z182" s="449"/>
      <c r="AA182" s="449"/>
      <c r="AB182" s="449"/>
      <c r="AC182" s="449"/>
      <c r="AD182" s="449"/>
      <c r="AE182" s="449"/>
      <c r="AF182" s="449"/>
      <c r="AG182" s="449"/>
    </row>
    <row r="183" spans="1:33" s="455" customFormat="1" ht="17.25" customHeight="1">
      <c r="A183" s="451"/>
      <c r="B183" s="452" t="s">
        <v>940</v>
      </c>
      <c r="C183" s="453"/>
      <c r="D183" s="454"/>
      <c r="E183" s="501"/>
      <c r="F183" s="501"/>
      <c r="G183" s="501"/>
      <c r="H183" s="501"/>
      <c r="I183" s="501"/>
      <c r="J183" s="501"/>
      <c r="K183" s="501"/>
      <c r="L183" s="501"/>
      <c r="M183" s="501"/>
      <c r="N183" s="501"/>
      <c r="O183" s="501"/>
      <c r="P183" s="501"/>
      <c r="Q183" s="501"/>
      <c r="R183" s="501"/>
      <c r="S183" s="501"/>
      <c r="T183" s="502">
        <v>25</v>
      </c>
      <c r="U183" s="501"/>
      <c r="V183" s="507">
        <f>E183-S183+T183-U183</f>
        <v>25</v>
      </c>
      <c r="W183" s="585"/>
      <c r="X183" s="449"/>
      <c r="Y183" s="449"/>
      <c r="Z183" s="449"/>
      <c r="AA183" s="449"/>
      <c r="AB183" s="449"/>
      <c r="AC183" s="449"/>
      <c r="AD183" s="449"/>
      <c r="AE183" s="449"/>
      <c r="AF183" s="449"/>
      <c r="AG183" s="449"/>
    </row>
    <row r="184" spans="1:33" s="455" customFormat="1" ht="17.25" customHeight="1">
      <c r="A184" s="451" t="s">
        <v>237</v>
      </c>
      <c r="B184" s="452" t="s">
        <v>238</v>
      </c>
      <c r="C184" s="453">
        <f>SUM(C185:C199)</f>
        <v>1680</v>
      </c>
      <c r="D184" s="453">
        <f>SUM(D185:D199)</f>
        <v>0</v>
      </c>
      <c r="E184" s="501">
        <f>SUM(E185:E200)</f>
        <v>1730</v>
      </c>
      <c r="F184" s="501">
        <f t="shared" ref="F184:U184" si="97">SUM(F185:F200)</f>
        <v>50</v>
      </c>
      <c r="G184" s="501">
        <f t="shared" si="97"/>
        <v>1730</v>
      </c>
      <c r="H184" s="501">
        <f t="shared" si="97"/>
        <v>1730</v>
      </c>
      <c r="I184" s="501">
        <f t="shared" si="97"/>
        <v>0</v>
      </c>
      <c r="J184" s="501">
        <f t="shared" si="97"/>
        <v>0</v>
      </c>
      <c r="K184" s="501">
        <f t="shared" si="97"/>
        <v>0</v>
      </c>
      <c r="L184" s="501">
        <f t="shared" si="97"/>
        <v>0</v>
      </c>
      <c r="M184" s="501">
        <f t="shared" si="97"/>
        <v>1730</v>
      </c>
      <c r="N184" s="501">
        <f t="shared" si="97"/>
        <v>0</v>
      </c>
      <c r="O184" s="501">
        <f t="shared" si="97"/>
        <v>1730</v>
      </c>
      <c r="P184" s="501">
        <f t="shared" si="97"/>
        <v>0</v>
      </c>
      <c r="Q184" s="501">
        <f t="shared" si="97"/>
        <v>0</v>
      </c>
      <c r="R184" s="501">
        <f t="shared" si="97"/>
        <v>0</v>
      </c>
      <c r="S184" s="501">
        <f t="shared" si="97"/>
        <v>173</v>
      </c>
      <c r="T184" s="502">
        <f>SUM(T185:T200)</f>
        <v>75</v>
      </c>
      <c r="U184" s="501">
        <f t="shared" si="97"/>
        <v>0</v>
      </c>
      <c r="V184" s="501">
        <f>SUM(V185:V200)</f>
        <v>1632</v>
      </c>
      <c r="W184" s="585">
        <f>S184+55</f>
        <v>228</v>
      </c>
      <c r="X184" s="449"/>
      <c r="Y184" s="449"/>
      <c r="Z184" s="449"/>
      <c r="AA184" s="449"/>
      <c r="AB184" s="449"/>
      <c r="AC184" s="449"/>
      <c r="AD184" s="449"/>
      <c r="AE184" s="449"/>
      <c r="AF184" s="449"/>
      <c r="AG184" s="449"/>
    </row>
    <row r="185" spans="1:33" s="455" customFormat="1" ht="32.25" customHeight="1">
      <c r="A185" s="451" t="s">
        <v>11</v>
      </c>
      <c r="B185" s="457" t="s">
        <v>802</v>
      </c>
      <c r="C185" s="453">
        <v>200</v>
      </c>
      <c r="D185" s="454"/>
      <c r="E185" s="501">
        <f>G185</f>
        <v>250</v>
      </c>
      <c r="F185" s="501">
        <f t="shared" si="78"/>
        <v>50</v>
      </c>
      <c r="G185" s="501">
        <f t="shared" ref="G185:G199" si="98">H185+P185+Q185</f>
        <v>250</v>
      </c>
      <c r="H185" s="501">
        <f t="shared" ref="H185:H199" si="99">J185+M185</f>
        <v>250</v>
      </c>
      <c r="I185" s="501"/>
      <c r="J185" s="501">
        <f t="shared" si="96"/>
        <v>0</v>
      </c>
      <c r="K185" s="501"/>
      <c r="L185" s="501"/>
      <c r="M185" s="501">
        <f t="shared" si="95"/>
        <v>250</v>
      </c>
      <c r="N185" s="501"/>
      <c r="O185" s="501">
        <v>250</v>
      </c>
      <c r="P185" s="501">
        <v>0</v>
      </c>
      <c r="Q185" s="501"/>
      <c r="R185" s="501"/>
      <c r="S185" s="501">
        <v>25</v>
      </c>
      <c r="T185" s="502">
        <v>75</v>
      </c>
      <c r="U185" s="501">
        <v>0</v>
      </c>
      <c r="V185" s="507">
        <f>E185-S185+T185-U185</f>
        <v>300</v>
      </c>
      <c r="W185" s="585"/>
      <c r="X185" s="449"/>
      <c r="Y185" s="449"/>
      <c r="Z185" s="449"/>
      <c r="AA185" s="449"/>
      <c r="AB185" s="449"/>
      <c r="AC185" s="449"/>
      <c r="AD185" s="449"/>
      <c r="AE185" s="449"/>
      <c r="AF185" s="449"/>
      <c r="AG185" s="449"/>
    </row>
    <row r="186" spans="1:33" s="455" customFormat="1" ht="17.25" customHeight="1">
      <c r="A186" s="451" t="s">
        <v>11</v>
      </c>
      <c r="B186" s="457" t="s">
        <v>239</v>
      </c>
      <c r="C186" s="453">
        <v>500</v>
      </c>
      <c r="D186" s="454"/>
      <c r="E186" s="501">
        <f t="shared" ref="E186:E199" si="100">G186+R186</f>
        <v>600</v>
      </c>
      <c r="F186" s="501">
        <f t="shared" si="78"/>
        <v>100</v>
      </c>
      <c r="G186" s="501">
        <f t="shared" si="98"/>
        <v>600</v>
      </c>
      <c r="H186" s="501">
        <f t="shared" si="99"/>
        <v>600</v>
      </c>
      <c r="I186" s="501"/>
      <c r="J186" s="501">
        <f t="shared" si="96"/>
        <v>0</v>
      </c>
      <c r="K186" s="501"/>
      <c r="L186" s="501"/>
      <c r="M186" s="501">
        <f t="shared" si="95"/>
        <v>600</v>
      </c>
      <c r="N186" s="501"/>
      <c r="O186" s="501">
        <v>600</v>
      </c>
      <c r="P186" s="501">
        <v>0</v>
      </c>
      <c r="Q186" s="501"/>
      <c r="R186" s="501"/>
      <c r="S186" s="501">
        <v>60</v>
      </c>
      <c r="T186" s="502"/>
      <c r="U186" s="501"/>
      <c r="V186" s="507">
        <f t="shared" si="91"/>
        <v>540</v>
      </c>
      <c r="W186" s="585"/>
      <c r="X186" s="449"/>
      <c r="Y186" s="449"/>
      <c r="Z186" s="449"/>
      <c r="AA186" s="449"/>
      <c r="AB186" s="449"/>
      <c r="AC186" s="449"/>
      <c r="AD186" s="449"/>
      <c r="AE186" s="449"/>
      <c r="AF186" s="449"/>
      <c r="AG186" s="449"/>
    </row>
    <row r="187" spans="1:33" s="455" customFormat="1" ht="51.75" customHeight="1">
      <c r="A187" s="451" t="s">
        <v>11</v>
      </c>
      <c r="B187" s="457" t="s">
        <v>803</v>
      </c>
      <c r="C187" s="453"/>
      <c r="D187" s="454"/>
      <c r="E187" s="501">
        <f t="shared" si="100"/>
        <v>200</v>
      </c>
      <c r="F187" s="501">
        <f t="shared" si="78"/>
        <v>200</v>
      </c>
      <c r="G187" s="501">
        <f t="shared" si="98"/>
        <v>200</v>
      </c>
      <c r="H187" s="501">
        <f t="shared" si="99"/>
        <v>200</v>
      </c>
      <c r="I187" s="501"/>
      <c r="J187" s="501">
        <f t="shared" si="96"/>
        <v>0</v>
      </c>
      <c r="K187" s="501"/>
      <c r="L187" s="501"/>
      <c r="M187" s="501">
        <f t="shared" si="95"/>
        <v>200</v>
      </c>
      <c r="N187" s="501"/>
      <c r="O187" s="501">
        <v>200</v>
      </c>
      <c r="P187" s="501">
        <v>0</v>
      </c>
      <c r="Q187" s="501"/>
      <c r="R187" s="501"/>
      <c r="S187" s="501">
        <v>20</v>
      </c>
      <c r="T187" s="502"/>
      <c r="U187" s="501"/>
      <c r="V187" s="507">
        <f t="shared" si="91"/>
        <v>180</v>
      </c>
      <c r="W187" s="585"/>
      <c r="X187" s="449"/>
      <c r="Y187" s="449"/>
      <c r="Z187" s="449"/>
      <c r="AA187" s="449"/>
      <c r="AB187" s="449"/>
      <c r="AC187" s="449"/>
      <c r="AD187" s="449"/>
      <c r="AE187" s="449"/>
      <c r="AF187" s="449"/>
      <c r="AG187" s="449"/>
    </row>
    <row r="188" spans="1:33" s="455" customFormat="1" ht="17.25" hidden="1" customHeight="1">
      <c r="A188" s="451" t="s">
        <v>11</v>
      </c>
      <c r="B188" s="452" t="s">
        <v>240</v>
      </c>
      <c r="C188" s="453">
        <v>150</v>
      </c>
      <c r="D188" s="454"/>
      <c r="E188" s="501">
        <f t="shared" si="100"/>
        <v>0</v>
      </c>
      <c r="F188" s="501">
        <f t="shared" si="78"/>
        <v>-150</v>
      </c>
      <c r="G188" s="501">
        <f t="shared" si="98"/>
        <v>0</v>
      </c>
      <c r="H188" s="501">
        <f t="shared" si="99"/>
        <v>0</v>
      </c>
      <c r="I188" s="501"/>
      <c r="J188" s="501">
        <f t="shared" si="96"/>
        <v>0</v>
      </c>
      <c r="K188" s="501"/>
      <c r="L188" s="501"/>
      <c r="M188" s="501">
        <f t="shared" si="95"/>
        <v>0</v>
      </c>
      <c r="N188" s="501"/>
      <c r="O188" s="501"/>
      <c r="P188" s="501">
        <v>0</v>
      </c>
      <c r="Q188" s="501"/>
      <c r="R188" s="501"/>
      <c r="S188" s="501"/>
      <c r="T188" s="502"/>
      <c r="U188" s="501"/>
      <c r="V188" s="507">
        <f t="shared" si="91"/>
        <v>0</v>
      </c>
      <c r="W188" s="585"/>
      <c r="X188" s="449"/>
      <c r="Y188" s="449"/>
      <c r="Z188" s="449"/>
      <c r="AA188" s="449"/>
      <c r="AB188" s="449"/>
      <c r="AC188" s="449"/>
      <c r="AD188" s="449"/>
      <c r="AE188" s="449"/>
      <c r="AF188" s="449"/>
      <c r="AG188" s="449"/>
    </row>
    <row r="189" spans="1:33" s="455" customFormat="1" ht="50.25" customHeight="1">
      <c r="A189" s="451" t="s">
        <v>11</v>
      </c>
      <c r="B189" s="457" t="s">
        <v>804</v>
      </c>
      <c r="C189" s="453">
        <v>80</v>
      </c>
      <c r="D189" s="454"/>
      <c r="E189" s="501">
        <f t="shared" si="100"/>
        <v>80</v>
      </c>
      <c r="F189" s="501">
        <f t="shared" si="78"/>
        <v>0</v>
      </c>
      <c r="G189" s="501">
        <f t="shared" si="98"/>
        <v>80</v>
      </c>
      <c r="H189" s="501">
        <f t="shared" si="99"/>
        <v>80</v>
      </c>
      <c r="I189" s="501"/>
      <c r="J189" s="501">
        <f t="shared" si="96"/>
        <v>0</v>
      </c>
      <c r="K189" s="501"/>
      <c r="L189" s="501"/>
      <c r="M189" s="501">
        <f>N189+O189</f>
        <v>80</v>
      </c>
      <c r="N189" s="501"/>
      <c r="O189" s="501">
        <v>80</v>
      </c>
      <c r="P189" s="501">
        <v>0</v>
      </c>
      <c r="Q189" s="501"/>
      <c r="R189" s="501"/>
      <c r="S189" s="501">
        <v>8</v>
      </c>
      <c r="T189" s="502"/>
      <c r="U189" s="501"/>
      <c r="V189" s="507">
        <f t="shared" si="91"/>
        <v>72</v>
      </c>
      <c r="W189" s="585"/>
      <c r="X189" s="449"/>
      <c r="Y189" s="449"/>
      <c r="Z189" s="449"/>
      <c r="AA189" s="449"/>
      <c r="AB189" s="449"/>
      <c r="AC189" s="449"/>
      <c r="AD189" s="449"/>
      <c r="AE189" s="449"/>
      <c r="AF189" s="449"/>
      <c r="AG189" s="449"/>
    </row>
    <row r="190" spans="1:33" s="455" customFormat="1" ht="25.5" customHeight="1">
      <c r="A190" s="451" t="s">
        <v>11</v>
      </c>
      <c r="B190" s="457" t="s">
        <v>805</v>
      </c>
      <c r="C190" s="453">
        <v>200</v>
      </c>
      <c r="D190" s="454"/>
      <c r="E190" s="501">
        <f t="shared" si="100"/>
        <v>170</v>
      </c>
      <c r="F190" s="501">
        <f t="shared" si="78"/>
        <v>-30</v>
      </c>
      <c r="G190" s="501">
        <f t="shared" si="98"/>
        <v>170</v>
      </c>
      <c r="H190" s="501">
        <f t="shared" si="99"/>
        <v>170</v>
      </c>
      <c r="I190" s="501"/>
      <c r="J190" s="501">
        <f t="shared" si="96"/>
        <v>0</v>
      </c>
      <c r="K190" s="501"/>
      <c r="L190" s="501"/>
      <c r="M190" s="501">
        <f t="shared" si="95"/>
        <v>170</v>
      </c>
      <c r="N190" s="501"/>
      <c r="O190" s="501">
        <v>170</v>
      </c>
      <c r="P190" s="501">
        <v>0</v>
      </c>
      <c r="Q190" s="501"/>
      <c r="R190" s="501"/>
      <c r="S190" s="501">
        <v>17</v>
      </c>
      <c r="T190" s="502"/>
      <c r="U190" s="501"/>
      <c r="V190" s="507">
        <f t="shared" si="91"/>
        <v>153</v>
      </c>
      <c r="W190" s="585"/>
      <c r="X190" s="449"/>
      <c r="Y190" s="449"/>
      <c r="Z190" s="449"/>
      <c r="AA190" s="449"/>
      <c r="AB190" s="449"/>
      <c r="AC190" s="449"/>
      <c r="AD190" s="449"/>
      <c r="AE190" s="449"/>
      <c r="AF190" s="449"/>
      <c r="AG190" s="449"/>
    </row>
    <row r="191" spans="1:33" s="455" customFormat="1" ht="17.25" hidden="1" customHeight="1">
      <c r="A191" s="451" t="s">
        <v>11</v>
      </c>
      <c r="B191" s="452" t="s">
        <v>241</v>
      </c>
      <c r="C191" s="453">
        <v>150</v>
      </c>
      <c r="D191" s="454"/>
      <c r="E191" s="501">
        <f t="shared" si="100"/>
        <v>0</v>
      </c>
      <c r="F191" s="501">
        <f t="shared" si="78"/>
        <v>-150</v>
      </c>
      <c r="G191" s="501">
        <f t="shared" si="98"/>
        <v>0</v>
      </c>
      <c r="H191" s="501">
        <f t="shared" si="99"/>
        <v>0</v>
      </c>
      <c r="I191" s="501"/>
      <c r="J191" s="501">
        <f t="shared" si="96"/>
        <v>0</v>
      </c>
      <c r="K191" s="501"/>
      <c r="L191" s="501"/>
      <c r="M191" s="501">
        <f t="shared" si="95"/>
        <v>0</v>
      </c>
      <c r="N191" s="501"/>
      <c r="O191" s="501"/>
      <c r="P191" s="501">
        <v>0</v>
      </c>
      <c r="Q191" s="501"/>
      <c r="R191" s="501"/>
      <c r="S191" s="501"/>
      <c r="T191" s="502"/>
      <c r="U191" s="501"/>
      <c r="V191" s="507">
        <f t="shared" si="91"/>
        <v>0</v>
      </c>
      <c r="W191" s="585"/>
      <c r="X191" s="449"/>
      <c r="Y191" s="449"/>
      <c r="Z191" s="449"/>
      <c r="AA191" s="449"/>
      <c r="AB191" s="449"/>
      <c r="AC191" s="449"/>
      <c r="AD191" s="449"/>
      <c r="AE191" s="449"/>
      <c r="AF191" s="449"/>
      <c r="AG191" s="449"/>
    </row>
    <row r="192" spans="1:33" s="455" customFormat="1" ht="32.25" customHeight="1">
      <c r="A192" s="451" t="s">
        <v>11</v>
      </c>
      <c r="B192" s="457" t="s">
        <v>806</v>
      </c>
      <c r="C192" s="453">
        <v>400</v>
      </c>
      <c r="D192" s="454"/>
      <c r="E192" s="501">
        <f t="shared" si="100"/>
        <v>150</v>
      </c>
      <c r="F192" s="501">
        <f t="shared" si="78"/>
        <v>-250</v>
      </c>
      <c r="G192" s="501">
        <f t="shared" si="98"/>
        <v>150</v>
      </c>
      <c r="H192" s="501">
        <f t="shared" si="99"/>
        <v>150</v>
      </c>
      <c r="I192" s="501"/>
      <c r="J192" s="501">
        <f t="shared" si="96"/>
        <v>0</v>
      </c>
      <c r="K192" s="501"/>
      <c r="L192" s="501"/>
      <c r="M192" s="501">
        <f>N192+O192</f>
        <v>150</v>
      </c>
      <c r="N192" s="501"/>
      <c r="O192" s="501">
        <v>150</v>
      </c>
      <c r="P192" s="501">
        <v>0</v>
      </c>
      <c r="Q192" s="501"/>
      <c r="R192" s="501"/>
      <c r="S192" s="501">
        <v>15</v>
      </c>
      <c r="T192" s="502"/>
      <c r="U192" s="501"/>
      <c r="V192" s="507">
        <f t="shared" si="91"/>
        <v>135</v>
      </c>
      <c r="W192" s="585"/>
      <c r="X192" s="449"/>
      <c r="Y192" s="449"/>
      <c r="Z192" s="449"/>
      <c r="AA192" s="449"/>
      <c r="AB192" s="449"/>
      <c r="AC192" s="449"/>
      <c r="AD192" s="449"/>
      <c r="AE192" s="449"/>
      <c r="AF192" s="449"/>
      <c r="AG192" s="449"/>
    </row>
    <row r="193" spans="1:33" s="455" customFormat="1" ht="34.5" hidden="1" customHeight="1">
      <c r="A193" s="451" t="s">
        <v>11</v>
      </c>
      <c r="B193" s="457" t="s">
        <v>807</v>
      </c>
      <c r="C193" s="453"/>
      <c r="D193" s="454"/>
      <c r="E193" s="501">
        <f t="shared" si="100"/>
        <v>0</v>
      </c>
      <c r="F193" s="501">
        <f t="shared" si="78"/>
        <v>0</v>
      </c>
      <c r="G193" s="501">
        <f t="shared" si="98"/>
        <v>0</v>
      </c>
      <c r="H193" s="501">
        <f t="shared" si="99"/>
        <v>0</v>
      </c>
      <c r="I193" s="501"/>
      <c r="J193" s="501">
        <f t="shared" si="96"/>
        <v>0</v>
      </c>
      <c r="K193" s="501"/>
      <c r="L193" s="501"/>
      <c r="M193" s="501">
        <f t="shared" ref="M193:M199" si="101">N193+O193</f>
        <v>0</v>
      </c>
      <c r="N193" s="501"/>
      <c r="O193" s="501"/>
      <c r="P193" s="501"/>
      <c r="Q193" s="501"/>
      <c r="R193" s="501"/>
      <c r="S193" s="501"/>
      <c r="T193" s="502"/>
      <c r="U193" s="501"/>
      <c r="V193" s="507">
        <f t="shared" si="91"/>
        <v>0</v>
      </c>
      <c r="W193" s="585"/>
      <c r="X193" s="449"/>
      <c r="Y193" s="449"/>
      <c r="Z193" s="449"/>
      <c r="AA193" s="449"/>
      <c r="AB193" s="449"/>
      <c r="AC193" s="449"/>
      <c r="AD193" s="449"/>
      <c r="AE193" s="449"/>
      <c r="AF193" s="449"/>
      <c r="AG193" s="449"/>
    </row>
    <row r="194" spans="1:33" s="455" customFormat="1" ht="17.25" hidden="1" customHeight="1">
      <c r="A194" s="451" t="s">
        <v>11</v>
      </c>
      <c r="B194" s="452" t="s">
        <v>242</v>
      </c>
      <c r="C194" s="453"/>
      <c r="D194" s="454"/>
      <c r="E194" s="501">
        <f t="shared" si="100"/>
        <v>0</v>
      </c>
      <c r="F194" s="501">
        <f t="shared" si="78"/>
        <v>0</v>
      </c>
      <c r="G194" s="501">
        <f t="shared" si="98"/>
        <v>0</v>
      </c>
      <c r="H194" s="501">
        <f t="shared" si="99"/>
        <v>0</v>
      </c>
      <c r="I194" s="501"/>
      <c r="J194" s="501">
        <f t="shared" si="96"/>
        <v>0</v>
      </c>
      <c r="K194" s="501"/>
      <c r="L194" s="501"/>
      <c r="M194" s="501">
        <f t="shared" si="101"/>
        <v>0</v>
      </c>
      <c r="N194" s="501"/>
      <c r="O194" s="501"/>
      <c r="P194" s="501">
        <v>0</v>
      </c>
      <c r="Q194" s="501"/>
      <c r="R194" s="501"/>
      <c r="S194" s="501"/>
      <c r="T194" s="502"/>
      <c r="U194" s="501"/>
      <c r="V194" s="507">
        <f t="shared" si="91"/>
        <v>0</v>
      </c>
      <c r="W194" s="585"/>
      <c r="X194" s="449"/>
      <c r="Y194" s="449"/>
      <c r="Z194" s="449"/>
      <c r="AA194" s="449"/>
      <c r="AB194" s="449"/>
      <c r="AC194" s="449"/>
      <c r="AD194" s="449"/>
      <c r="AE194" s="449"/>
      <c r="AF194" s="449"/>
      <c r="AG194" s="449"/>
    </row>
    <row r="195" spans="1:33" s="455" customFormat="1" ht="17.25" hidden="1" customHeight="1">
      <c r="A195" s="451" t="s">
        <v>11</v>
      </c>
      <c r="B195" s="481" t="s">
        <v>808</v>
      </c>
      <c r="C195" s="453"/>
      <c r="D195" s="454"/>
      <c r="E195" s="501">
        <f t="shared" si="100"/>
        <v>0</v>
      </c>
      <c r="F195" s="501">
        <f t="shared" si="78"/>
        <v>0</v>
      </c>
      <c r="G195" s="501">
        <f t="shared" si="98"/>
        <v>0</v>
      </c>
      <c r="H195" s="501">
        <f t="shared" si="99"/>
        <v>0</v>
      </c>
      <c r="I195" s="501"/>
      <c r="J195" s="501">
        <f t="shared" si="96"/>
        <v>0</v>
      </c>
      <c r="K195" s="501"/>
      <c r="L195" s="501"/>
      <c r="M195" s="501">
        <f t="shared" si="101"/>
        <v>0</v>
      </c>
      <c r="N195" s="501"/>
      <c r="O195" s="501"/>
      <c r="P195" s="501"/>
      <c r="Q195" s="501"/>
      <c r="R195" s="501"/>
      <c r="S195" s="501"/>
      <c r="T195" s="502"/>
      <c r="U195" s="501"/>
      <c r="V195" s="507">
        <f t="shared" si="91"/>
        <v>0</v>
      </c>
      <c r="W195" s="585"/>
      <c r="X195" s="449"/>
      <c r="Y195" s="449"/>
      <c r="Z195" s="449"/>
      <c r="AA195" s="449"/>
      <c r="AB195" s="449"/>
      <c r="AC195" s="449"/>
      <c r="AD195" s="449"/>
      <c r="AE195" s="449"/>
      <c r="AF195" s="449"/>
      <c r="AG195" s="449"/>
    </row>
    <row r="196" spans="1:33" s="455" customFormat="1" ht="22.5" hidden="1" customHeight="1">
      <c r="A196" s="451" t="s">
        <v>11</v>
      </c>
      <c r="B196" s="481" t="s">
        <v>809</v>
      </c>
      <c r="C196" s="453"/>
      <c r="D196" s="454"/>
      <c r="E196" s="501">
        <f t="shared" si="100"/>
        <v>0</v>
      </c>
      <c r="F196" s="501">
        <f t="shared" si="78"/>
        <v>0</v>
      </c>
      <c r="G196" s="501">
        <f t="shared" si="98"/>
        <v>0</v>
      </c>
      <c r="H196" s="501">
        <f t="shared" si="99"/>
        <v>0</v>
      </c>
      <c r="I196" s="501"/>
      <c r="J196" s="501">
        <f t="shared" si="96"/>
        <v>0</v>
      </c>
      <c r="K196" s="501"/>
      <c r="L196" s="501"/>
      <c r="M196" s="501">
        <f t="shared" si="101"/>
        <v>0</v>
      </c>
      <c r="N196" s="501"/>
      <c r="O196" s="501"/>
      <c r="P196" s="501"/>
      <c r="Q196" s="501"/>
      <c r="R196" s="501"/>
      <c r="S196" s="501"/>
      <c r="T196" s="502"/>
      <c r="U196" s="501"/>
      <c r="V196" s="507">
        <f t="shared" si="91"/>
        <v>0</v>
      </c>
      <c r="W196" s="585"/>
      <c r="X196" s="449"/>
      <c r="Y196" s="449"/>
      <c r="Z196" s="449"/>
      <c r="AA196" s="449"/>
      <c r="AB196" s="449"/>
      <c r="AC196" s="449"/>
      <c r="AD196" s="449"/>
      <c r="AE196" s="449"/>
      <c r="AF196" s="449"/>
      <c r="AG196" s="449"/>
    </row>
    <row r="197" spans="1:33" s="455" customFormat="1" ht="41.25" hidden="1" customHeight="1">
      <c r="A197" s="451" t="s">
        <v>11</v>
      </c>
      <c r="B197" s="481" t="s">
        <v>810</v>
      </c>
      <c r="C197" s="453"/>
      <c r="D197" s="454"/>
      <c r="E197" s="501">
        <f t="shared" si="100"/>
        <v>0</v>
      </c>
      <c r="F197" s="501">
        <f t="shared" si="78"/>
        <v>0</v>
      </c>
      <c r="G197" s="501">
        <f t="shared" si="98"/>
        <v>0</v>
      </c>
      <c r="H197" s="501">
        <f t="shared" si="99"/>
        <v>0</v>
      </c>
      <c r="I197" s="501"/>
      <c r="J197" s="501">
        <f t="shared" si="96"/>
        <v>0</v>
      </c>
      <c r="K197" s="501"/>
      <c r="L197" s="501"/>
      <c r="M197" s="501">
        <f t="shared" si="101"/>
        <v>0</v>
      </c>
      <c r="N197" s="501"/>
      <c r="O197" s="501"/>
      <c r="P197" s="501"/>
      <c r="Q197" s="501"/>
      <c r="R197" s="501"/>
      <c r="S197" s="501"/>
      <c r="T197" s="502"/>
      <c r="U197" s="501"/>
      <c r="V197" s="507">
        <f t="shared" si="91"/>
        <v>0</v>
      </c>
      <c r="W197" s="585"/>
      <c r="X197" s="449"/>
      <c r="Y197" s="449"/>
      <c r="Z197" s="449"/>
      <c r="AA197" s="449"/>
      <c r="AB197" s="449"/>
      <c r="AC197" s="449"/>
      <c r="AD197" s="449"/>
      <c r="AE197" s="449"/>
      <c r="AF197" s="449"/>
      <c r="AG197" s="449"/>
    </row>
    <row r="198" spans="1:33" s="455" customFormat="1" ht="17.25" hidden="1" customHeight="1">
      <c r="A198" s="451"/>
      <c r="B198" s="452"/>
      <c r="C198" s="453"/>
      <c r="D198" s="454"/>
      <c r="E198" s="501">
        <f t="shared" si="100"/>
        <v>0</v>
      </c>
      <c r="F198" s="501">
        <f t="shared" si="78"/>
        <v>0</v>
      </c>
      <c r="G198" s="501">
        <f t="shared" si="98"/>
        <v>0</v>
      </c>
      <c r="H198" s="501">
        <f t="shared" si="99"/>
        <v>0</v>
      </c>
      <c r="I198" s="501"/>
      <c r="J198" s="501">
        <f t="shared" si="96"/>
        <v>0</v>
      </c>
      <c r="K198" s="501"/>
      <c r="L198" s="501"/>
      <c r="M198" s="501">
        <f t="shared" si="101"/>
        <v>0</v>
      </c>
      <c r="N198" s="501"/>
      <c r="O198" s="501"/>
      <c r="P198" s="501"/>
      <c r="Q198" s="501"/>
      <c r="R198" s="501"/>
      <c r="S198" s="501"/>
      <c r="T198" s="502"/>
      <c r="U198" s="501"/>
      <c r="V198" s="507">
        <f t="shared" si="91"/>
        <v>0</v>
      </c>
      <c r="W198" s="585"/>
      <c r="X198" s="449"/>
      <c r="Y198" s="449"/>
      <c r="Z198" s="449"/>
      <c r="AA198" s="449"/>
      <c r="AB198" s="449"/>
      <c r="AC198" s="449"/>
      <c r="AD198" s="449"/>
      <c r="AE198" s="449"/>
      <c r="AF198" s="449"/>
      <c r="AG198" s="449"/>
    </row>
    <row r="199" spans="1:33" s="455" customFormat="1" ht="27" customHeight="1">
      <c r="A199" s="451"/>
      <c r="B199" s="457" t="s">
        <v>809</v>
      </c>
      <c r="C199" s="453"/>
      <c r="D199" s="454"/>
      <c r="E199" s="501">
        <f t="shared" si="100"/>
        <v>280</v>
      </c>
      <c r="F199" s="501">
        <f t="shared" si="78"/>
        <v>280</v>
      </c>
      <c r="G199" s="501">
        <f t="shared" si="98"/>
        <v>280</v>
      </c>
      <c r="H199" s="501">
        <f t="shared" si="99"/>
        <v>280</v>
      </c>
      <c r="I199" s="501"/>
      <c r="J199" s="501">
        <f t="shared" si="96"/>
        <v>0</v>
      </c>
      <c r="K199" s="501"/>
      <c r="L199" s="501"/>
      <c r="M199" s="501">
        <f t="shared" si="101"/>
        <v>280</v>
      </c>
      <c r="N199" s="501"/>
      <c r="O199" s="501">
        <v>280</v>
      </c>
      <c r="P199" s="501"/>
      <c r="Q199" s="501"/>
      <c r="R199" s="501"/>
      <c r="S199" s="501">
        <v>28</v>
      </c>
      <c r="T199" s="502"/>
      <c r="U199" s="501"/>
      <c r="V199" s="507">
        <f t="shared" si="91"/>
        <v>252</v>
      </c>
      <c r="W199" s="585"/>
      <c r="X199" s="449"/>
      <c r="Y199" s="449"/>
      <c r="Z199" s="449"/>
      <c r="AA199" s="449"/>
      <c r="AB199" s="449"/>
      <c r="AC199" s="449"/>
      <c r="AD199" s="449"/>
      <c r="AE199" s="449"/>
      <c r="AF199" s="449"/>
      <c r="AG199" s="449"/>
    </row>
    <row r="200" spans="1:33" s="455" customFormat="1" ht="27" hidden="1" customHeight="1">
      <c r="A200" s="451"/>
      <c r="B200" s="457"/>
      <c r="C200" s="453"/>
      <c r="D200" s="454"/>
      <c r="E200" s="501"/>
      <c r="F200" s="501"/>
      <c r="G200" s="501"/>
      <c r="H200" s="501"/>
      <c r="I200" s="501"/>
      <c r="J200" s="501"/>
      <c r="K200" s="501"/>
      <c r="L200" s="501"/>
      <c r="M200" s="501"/>
      <c r="N200" s="501"/>
      <c r="O200" s="501"/>
      <c r="P200" s="501"/>
      <c r="Q200" s="501"/>
      <c r="R200" s="501"/>
      <c r="S200" s="501"/>
      <c r="T200" s="502"/>
      <c r="U200" s="501"/>
      <c r="V200" s="507"/>
      <c r="W200" s="585"/>
      <c r="X200" s="449"/>
      <c r="Y200" s="449"/>
      <c r="Z200" s="449"/>
      <c r="AA200" s="449"/>
      <c r="AB200" s="449"/>
      <c r="AC200" s="449"/>
      <c r="AD200" s="449"/>
      <c r="AE200" s="449"/>
      <c r="AF200" s="449"/>
      <c r="AG200" s="449"/>
    </row>
    <row r="201" spans="1:33" s="455" customFormat="1" ht="17.25" customHeight="1">
      <c r="A201" s="451" t="s">
        <v>243</v>
      </c>
      <c r="B201" s="452" t="s">
        <v>244</v>
      </c>
      <c r="C201" s="453">
        <f t="shared" ref="C201:V201" si="102">SUM(C202:C203)</f>
        <v>1288.912</v>
      </c>
      <c r="D201" s="454"/>
      <c r="E201" s="501">
        <f t="shared" si="102"/>
        <v>1437.6120000000001</v>
      </c>
      <c r="F201" s="501">
        <f t="shared" si="78"/>
        <v>148.70000000000005</v>
      </c>
      <c r="G201" s="501">
        <f t="shared" si="102"/>
        <v>1437.6120000000001</v>
      </c>
      <c r="H201" s="501">
        <f t="shared" si="102"/>
        <v>1437.6120000000001</v>
      </c>
      <c r="I201" s="501">
        <f t="shared" si="102"/>
        <v>0</v>
      </c>
      <c r="J201" s="501">
        <f t="shared" si="102"/>
        <v>221.71200000000002</v>
      </c>
      <c r="K201" s="501">
        <f t="shared" si="102"/>
        <v>0</v>
      </c>
      <c r="L201" s="501">
        <f t="shared" si="102"/>
        <v>0</v>
      </c>
      <c r="M201" s="501">
        <f t="shared" si="102"/>
        <v>1215.9000000000001</v>
      </c>
      <c r="N201" s="501">
        <f t="shared" si="102"/>
        <v>0</v>
      </c>
      <c r="O201" s="501">
        <f t="shared" si="102"/>
        <v>1215.9000000000001</v>
      </c>
      <c r="P201" s="501">
        <f t="shared" si="102"/>
        <v>0</v>
      </c>
      <c r="Q201" s="501">
        <f t="shared" si="102"/>
        <v>0</v>
      </c>
      <c r="R201" s="501">
        <f t="shared" si="102"/>
        <v>0</v>
      </c>
      <c r="S201" s="501">
        <f t="shared" si="102"/>
        <v>122</v>
      </c>
      <c r="T201" s="502">
        <f t="shared" si="102"/>
        <v>0</v>
      </c>
      <c r="U201" s="501">
        <f t="shared" si="102"/>
        <v>0</v>
      </c>
      <c r="V201" s="501">
        <f t="shared" si="102"/>
        <v>1315.6120000000001</v>
      </c>
      <c r="W201" s="585" t="s">
        <v>190</v>
      </c>
      <c r="X201" s="449"/>
      <c r="Y201" s="449"/>
      <c r="Z201" s="449"/>
      <c r="AA201" s="449"/>
      <c r="AB201" s="449"/>
      <c r="AC201" s="449"/>
      <c r="AD201" s="449"/>
      <c r="AE201" s="449"/>
      <c r="AF201" s="449"/>
      <c r="AG201" s="449"/>
    </row>
    <row r="202" spans="1:33" s="455" customFormat="1" ht="17.25" customHeight="1">
      <c r="A202" s="451" t="s">
        <v>11</v>
      </c>
      <c r="B202" s="452" t="s">
        <v>245</v>
      </c>
      <c r="C202" s="453">
        <v>221.71199999999999</v>
      </c>
      <c r="D202" s="454"/>
      <c r="E202" s="501">
        <f>G202+R202</f>
        <v>221.71200000000002</v>
      </c>
      <c r="F202" s="501">
        <f t="shared" si="78"/>
        <v>0</v>
      </c>
      <c r="G202" s="501">
        <f>H202+P202+Q202</f>
        <v>221.71200000000002</v>
      </c>
      <c r="H202" s="501">
        <f>J202+M202</f>
        <v>221.71200000000002</v>
      </c>
      <c r="I202" s="501"/>
      <c r="J202" s="501">
        <f>31*12*0.4*1.49</f>
        <v>221.71200000000002</v>
      </c>
      <c r="K202" s="501"/>
      <c r="L202" s="501"/>
      <c r="M202" s="501">
        <f t="shared" si="95"/>
        <v>0</v>
      </c>
      <c r="N202" s="501"/>
      <c r="O202" s="501"/>
      <c r="P202" s="501"/>
      <c r="Q202" s="501"/>
      <c r="R202" s="501"/>
      <c r="S202" s="501">
        <v>0</v>
      </c>
      <c r="T202" s="502"/>
      <c r="U202" s="501"/>
      <c r="V202" s="507">
        <f t="shared" si="91"/>
        <v>221.71200000000002</v>
      </c>
      <c r="W202" s="585"/>
      <c r="X202" s="449"/>
      <c r="Y202" s="449"/>
      <c r="Z202" s="449"/>
      <c r="AA202" s="449"/>
      <c r="AB202" s="449"/>
      <c r="AC202" s="449"/>
      <c r="AD202" s="449"/>
      <c r="AE202" s="449"/>
      <c r="AF202" s="449"/>
      <c r="AG202" s="449"/>
    </row>
    <row r="203" spans="1:33" s="455" customFormat="1" ht="26.25" customHeight="1">
      <c r="A203" s="451" t="s">
        <v>11</v>
      </c>
      <c r="B203" s="457" t="s">
        <v>955</v>
      </c>
      <c r="C203" s="453">
        <v>1067.2</v>
      </c>
      <c r="D203" s="454"/>
      <c r="E203" s="501">
        <f>G203+R203</f>
        <v>1215.9000000000001</v>
      </c>
      <c r="F203" s="501">
        <f t="shared" si="78"/>
        <v>148.70000000000005</v>
      </c>
      <c r="G203" s="501">
        <f>H203+P203+Q203</f>
        <v>1215.9000000000001</v>
      </c>
      <c r="H203" s="501">
        <f>J203+M203</f>
        <v>1215.9000000000001</v>
      </c>
      <c r="I203" s="501"/>
      <c r="J203" s="501">
        <f t="shared" si="96"/>
        <v>0</v>
      </c>
      <c r="K203" s="501"/>
      <c r="L203" s="501"/>
      <c r="M203" s="501">
        <f t="shared" si="95"/>
        <v>1215.9000000000001</v>
      </c>
      <c r="N203" s="501"/>
      <c r="O203" s="501">
        <f>(31*12*0.35+31*2.8+31*1.4+31*2.1+700+31*1.4)+150-3</f>
        <v>1215.9000000000001</v>
      </c>
      <c r="P203" s="501">
        <v>0</v>
      </c>
      <c r="Q203" s="501"/>
      <c r="R203" s="501"/>
      <c r="S203" s="501">
        <v>122</v>
      </c>
      <c r="T203" s="502"/>
      <c r="U203" s="501"/>
      <c r="V203" s="507">
        <f t="shared" si="91"/>
        <v>1093.9000000000001</v>
      </c>
      <c r="W203" s="585"/>
      <c r="X203" s="449"/>
      <c r="Y203" s="449"/>
      <c r="Z203" s="449"/>
      <c r="AA203" s="449"/>
      <c r="AB203" s="449"/>
      <c r="AC203" s="449"/>
      <c r="AD203" s="449"/>
      <c r="AE203" s="449"/>
      <c r="AF203" s="449"/>
      <c r="AG203" s="449"/>
    </row>
    <row r="204" spans="1:33" s="455" customFormat="1" ht="17.25" customHeight="1">
      <c r="A204" s="451" t="s">
        <v>246</v>
      </c>
      <c r="B204" s="452" t="s">
        <v>247</v>
      </c>
      <c r="C204" s="453">
        <f>C205+C227+C236+C246+C258+C265</f>
        <v>3316.1019999999994</v>
      </c>
      <c r="D204" s="454"/>
      <c r="E204" s="501">
        <f t="shared" ref="E204:V204" si="103">E205+E227+E236+E246+E258+E265</f>
        <v>2959.1079999999997</v>
      </c>
      <c r="F204" s="501">
        <f t="shared" si="103"/>
        <v>-356.99399999999991</v>
      </c>
      <c r="G204" s="501">
        <f t="shared" si="103"/>
        <v>2959.1079999999997</v>
      </c>
      <c r="H204" s="501">
        <f t="shared" si="103"/>
        <v>2959.1079999999997</v>
      </c>
      <c r="I204" s="501">
        <f t="shared" si="103"/>
        <v>15</v>
      </c>
      <c r="J204" s="501">
        <f t="shared" si="103"/>
        <v>1846.1879999999996</v>
      </c>
      <c r="K204" s="501">
        <f t="shared" si="103"/>
        <v>0</v>
      </c>
      <c r="L204" s="501">
        <f t="shared" si="103"/>
        <v>0</v>
      </c>
      <c r="M204" s="501">
        <f t="shared" si="103"/>
        <v>1112.9200000000003</v>
      </c>
      <c r="N204" s="501">
        <f t="shared" si="103"/>
        <v>394.2</v>
      </c>
      <c r="O204" s="501">
        <f t="shared" si="103"/>
        <v>718.72</v>
      </c>
      <c r="P204" s="501">
        <f t="shared" si="103"/>
        <v>0</v>
      </c>
      <c r="Q204" s="501">
        <f t="shared" si="103"/>
        <v>0</v>
      </c>
      <c r="R204" s="501">
        <f t="shared" si="103"/>
        <v>0</v>
      </c>
      <c r="S204" s="501">
        <f t="shared" si="103"/>
        <v>104.3</v>
      </c>
      <c r="T204" s="502">
        <f t="shared" si="103"/>
        <v>137.42000000000002</v>
      </c>
      <c r="U204" s="501">
        <f t="shared" si="103"/>
        <v>45.05</v>
      </c>
      <c r="V204" s="501">
        <f t="shared" si="103"/>
        <v>2947.1779999999999</v>
      </c>
      <c r="W204" s="448">
        <f>45.5-6.2</f>
        <v>39.299999999999997</v>
      </c>
      <c r="X204" s="449">
        <f>V204-W204</f>
        <v>2907.8779999999997</v>
      </c>
      <c r="Y204" s="449"/>
      <c r="Z204" s="449"/>
      <c r="AA204" s="449"/>
      <c r="AB204" s="449"/>
      <c r="AC204" s="449"/>
      <c r="AD204" s="449"/>
      <c r="AE204" s="449"/>
      <c r="AF204" s="449"/>
      <c r="AG204" s="449"/>
    </row>
    <row r="205" spans="1:33" s="455" customFormat="1" ht="17.25" customHeight="1">
      <c r="A205" s="451" t="s">
        <v>29</v>
      </c>
      <c r="B205" s="452" t="s">
        <v>248</v>
      </c>
      <c r="C205" s="453">
        <f>SUM(C206:C226)</f>
        <v>863.22199999999998</v>
      </c>
      <c r="D205" s="454"/>
      <c r="E205" s="501">
        <f>SUM(E206:E226)</f>
        <v>644.47400000000005</v>
      </c>
      <c r="F205" s="501">
        <f t="shared" ref="F205:F273" si="104">E205-C205</f>
        <v>-218.74799999999993</v>
      </c>
      <c r="G205" s="501">
        <f t="shared" ref="G205:V205" si="105">SUM(G206:G226)</f>
        <v>644.47400000000005</v>
      </c>
      <c r="H205" s="501">
        <f t="shared" si="105"/>
        <v>644.47400000000005</v>
      </c>
      <c r="I205" s="501">
        <f t="shared" si="105"/>
        <v>3</v>
      </c>
      <c r="J205" s="501">
        <f t="shared" si="105"/>
        <v>401.154</v>
      </c>
      <c r="K205" s="501">
        <f t="shared" si="105"/>
        <v>0</v>
      </c>
      <c r="L205" s="501">
        <f t="shared" si="105"/>
        <v>0</v>
      </c>
      <c r="M205" s="501">
        <f t="shared" si="105"/>
        <v>243.32000000000002</v>
      </c>
      <c r="N205" s="501">
        <f t="shared" si="105"/>
        <v>79.600000000000009</v>
      </c>
      <c r="O205" s="501">
        <f t="shared" si="105"/>
        <v>163.72</v>
      </c>
      <c r="P205" s="501">
        <f t="shared" si="105"/>
        <v>0</v>
      </c>
      <c r="Q205" s="501">
        <f t="shared" si="105"/>
        <v>0</v>
      </c>
      <c r="R205" s="501">
        <f t="shared" si="105"/>
        <v>0</v>
      </c>
      <c r="S205" s="501">
        <f t="shared" si="105"/>
        <v>21.5</v>
      </c>
      <c r="T205" s="502">
        <f t="shared" si="105"/>
        <v>54.93</v>
      </c>
      <c r="U205" s="501">
        <f t="shared" si="105"/>
        <v>0</v>
      </c>
      <c r="V205" s="501">
        <f t="shared" si="105"/>
        <v>677.904</v>
      </c>
      <c r="W205" s="585" t="s">
        <v>249</v>
      </c>
      <c r="X205" s="449"/>
      <c r="Y205" s="449"/>
      <c r="Z205" s="449"/>
      <c r="AA205" s="449"/>
      <c r="AB205" s="449"/>
      <c r="AC205" s="449"/>
      <c r="AD205" s="449"/>
      <c r="AE205" s="449"/>
      <c r="AF205" s="449"/>
      <c r="AG205" s="449"/>
    </row>
    <row r="206" spans="1:33" s="455" customFormat="1" ht="17.25" customHeight="1">
      <c r="A206" s="451" t="s">
        <v>11</v>
      </c>
      <c r="B206" s="452" t="s">
        <v>811</v>
      </c>
      <c r="C206" s="453">
        <v>408.55799999999999</v>
      </c>
      <c r="D206" s="454"/>
      <c r="E206" s="501">
        <f t="shared" ref="E206:E226" si="106">G206+R206</f>
        <v>333.20400000000001</v>
      </c>
      <c r="F206" s="501">
        <f t="shared" si="104"/>
        <v>-75.353999999999985</v>
      </c>
      <c r="G206" s="501">
        <f t="shared" ref="G206:G226" si="107">H206+P206+Q206</f>
        <v>333.20400000000001</v>
      </c>
      <c r="H206" s="501">
        <f t="shared" ref="H206:H226" si="108">J206+M206</f>
        <v>333.20400000000001</v>
      </c>
      <c r="I206" s="501">
        <v>3</v>
      </c>
      <c r="J206" s="501">
        <v>333.20400000000001</v>
      </c>
      <c r="K206" s="501"/>
      <c r="L206" s="501"/>
      <c r="M206" s="501">
        <f t="shared" si="95"/>
        <v>0</v>
      </c>
      <c r="N206" s="501"/>
      <c r="O206" s="501"/>
      <c r="P206" s="501"/>
      <c r="Q206" s="501"/>
      <c r="R206" s="501"/>
      <c r="S206" s="501">
        <v>0</v>
      </c>
      <c r="T206" s="502">
        <v>15.63</v>
      </c>
      <c r="U206" s="501"/>
      <c r="V206" s="507">
        <f>E206-S206+T206-U206</f>
        <v>348.834</v>
      </c>
      <c r="W206" s="585"/>
      <c r="X206" s="449"/>
      <c r="Y206" s="449"/>
      <c r="Z206" s="449"/>
      <c r="AA206" s="449"/>
      <c r="AB206" s="449"/>
      <c r="AC206" s="449"/>
      <c r="AD206" s="449"/>
      <c r="AE206" s="449"/>
      <c r="AF206" s="449"/>
      <c r="AG206" s="449"/>
    </row>
    <row r="207" spans="1:33" s="455" customFormat="1" ht="17.25" customHeight="1">
      <c r="A207" s="451" t="s">
        <v>11</v>
      </c>
      <c r="B207" s="452" t="s">
        <v>812</v>
      </c>
      <c r="C207" s="453">
        <v>93.6</v>
      </c>
      <c r="D207" s="454"/>
      <c r="E207" s="501">
        <f t="shared" si="106"/>
        <v>70.2</v>
      </c>
      <c r="F207" s="501">
        <f t="shared" si="104"/>
        <v>-23.399999999999991</v>
      </c>
      <c r="G207" s="501">
        <f t="shared" si="107"/>
        <v>70.2</v>
      </c>
      <c r="H207" s="501">
        <f t="shared" si="108"/>
        <v>70.2</v>
      </c>
      <c r="I207" s="501"/>
      <c r="J207" s="501">
        <f t="shared" si="96"/>
        <v>0</v>
      </c>
      <c r="K207" s="501"/>
      <c r="L207" s="501"/>
      <c r="M207" s="501">
        <f t="shared" si="95"/>
        <v>70.2</v>
      </c>
      <c r="N207" s="501">
        <f>3*18*1.3</f>
        <v>70.2</v>
      </c>
      <c r="O207" s="501"/>
      <c r="P207" s="501"/>
      <c r="Q207" s="501">
        <v>0</v>
      </c>
      <c r="R207" s="501">
        <v>0</v>
      </c>
      <c r="S207" s="501">
        <v>7</v>
      </c>
      <c r="T207" s="502"/>
      <c r="U207" s="501"/>
      <c r="V207" s="507">
        <f t="shared" ref="V207:V222" si="109">E207-S207</f>
        <v>63.2</v>
      </c>
      <c r="W207" s="585"/>
      <c r="X207" s="449"/>
      <c r="Y207" s="449"/>
      <c r="Z207" s="449"/>
      <c r="AA207" s="449"/>
      <c r="AB207" s="449"/>
      <c r="AC207" s="449"/>
      <c r="AD207" s="449"/>
      <c r="AE207" s="449"/>
      <c r="AF207" s="449"/>
      <c r="AG207" s="449"/>
    </row>
    <row r="208" spans="1:33" s="455" customFormat="1" ht="17.25" customHeight="1">
      <c r="A208" s="451" t="s">
        <v>11</v>
      </c>
      <c r="B208" s="452" t="s">
        <v>250</v>
      </c>
      <c r="C208" s="453">
        <v>10.728</v>
      </c>
      <c r="D208" s="454"/>
      <c r="E208" s="501">
        <f t="shared" si="106"/>
        <v>10.73</v>
      </c>
      <c r="F208" s="501">
        <f t="shared" si="104"/>
        <v>2.0000000000006679E-3</v>
      </c>
      <c r="G208" s="501">
        <f t="shared" si="107"/>
        <v>10.73</v>
      </c>
      <c r="H208" s="501">
        <f t="shared" si="108"/>
        <v>10.73</v>
      </c>
      <c r="I208" s="501"/>
      <c r="J208" s="501">
        <v>10.73</v>
      </c>
      <c r="K208" s="501"/>
      <c r="L208" s="501"/>
      <c r="M208" s="501">
        <f t="shared" si="95"/>
        <v>0</v>
      </c>
      <c r="N208" s="501"/>
      <c r="O208" s="501"/>
      <c r="P208" s="501"/>
      <c r="Q208" s="501"/>
      <c r="R208" s="501"/>
      <c r="S208" s="501">
        <v>0</v>
      </c>
      <c r="T208" s="502"/>
      <c r="U208" s="501"/>
      <c r="V208" s="507">
        <f t="shared" si="109"/>
        <v>10.73</v>
      </c>
      <c r="W208" s="585"/>
      <c r="X208" s="449"/>
      <c r="Y208" s="449"/>
      <c r="Z208" s="449"/>
      <c r="AA208" s="449"/>
      <c r="AB208" s="449"/>
      <c r="AC208" s="449"/>
      <c r="AD208" s="449"/>
      <c r="AE208" s="449"/>
      <c r="AF208" s="449"/>
      <c r="AG208" s="449"/>
    </row>
    <row r="209" spans="1:33" s="455" customFormat="1" ht="27.75" customHeight="1">
      <c r="A209" s="451" t="s">
        <v>11</v>
      </c>
      <c r="B209" s="457" t="s">
        <v>150</v>
      </c>
      <c r="C209" s="453">
        <v>9.4</v>
      </c>
      <c r="D209" s="454"/>
      <c r="E209" s="501">
        <f t="shared" si="106"/>
        <v>9.4</v>
      </c>
      <c r="F209" s="501">
        <f t="shared" si="104"/>
        <v>0</v>
      </c>
      <c r="G209" s="501">
        <f t="shared" si="107"/>
        <v>9.4</v>
      </c>
      <c r="H209" s="501">
        <f t="shared" si="108"/>
        <v>9.4</v>
      </c>
      <c r="I209" s="501"/>
      <c r="J209" s="501">
        <f t="shared" si="96"/>
        <v>0</v>
      </c>
      <c r="K209" s="501"/>
      <c r="L209" s="501"/>
      <c r="M209" s="501">
        <f t="shared" si="95"/>
        <v>9.4</v>
      </c>
      <c r="N209" s="501">
        <v>9.4</v>
      </c>
      <c r="O209" s="501"/>
      <c r="P209" s="501"/>
      <c r="Q209" s="501"/>
      <c r="R209" s="501"/>
      <c r="S209" s="501"/>
      <c r="T209" s="502"/>
      <c r="U209" s="501"/>
      <c r="V209" s="507">
        <f t="shared" si="109"/>
        <v>9.4</v>
      </c>
      <c r="W209" s="585"/>
      <c r="X209" s="449"/>
      <c r="Y209" s="449"/>
      <c r="Z209" s="449"/>
      <c r="AA209" s="449"/>
      <c r="AB209" s="449"/>
      <c r="AC209" s="449"/>
      <c r="AD209" s="449"/>
      <c r="AE209" s="449"/>
      <c r="AF209" s="449"/>
      <c r="AG209" s="449"/>
    </row>
    <row r="210" spans="1:33" s="455" customFormat="1" ht="47.25" customHeight="1">
      <c r="A210" s="451" t="s">
        <v>11</v>
      </c>
      <c r="B210" s="457" t="s">
        <v>813</v>
      </c>
      <c r="C210" s="453">
        <v>107.21599999999999</v>
      </c>
      <c r="D210" s="454"/>
      <c r="E210" s="501">
        <f t="shared" si="106"/>
        <v>77.22</v>
      </c>
      <c r="F210" s="501">
        <f t="shared" si="104"/>
        <v>-29.995999999999995</v>
      </c>
      <c r="G210" s="501">
        <f t="shared" si="107"/>
        <v>77.22</v>
      </c>
      <c r="H210" s="501">
        <f t="shared" si="108"/>
        <v>77.22</v>
      </c>
      <c r="I210" s="501"/>
      <c r="J210" s="501">
        <v>57.22</v>
      </c>
      <c r="K210" s="501"/>
      <c r="L210" s="501"/>
      <c r="M210" s="501">
        <f t="shared" si="95"/>
        <v>20</v>
      </c>
      <c r="N210" s="501"/>
      <c r="O210" s="501">
        <v>20</v>
      </c>
      <c r="P210" s="501"/>
      <c r="Q210" s="501"/>
      <c r="R210" s="501">
        <v>0</v>
      </c>
      <c r="S210" s="501">
        <v>2</v>
      </c>
      <c r="T210" s="502"/>
      <c r="U210" s="501"/>
      <c r="V210" s="507">
        <f t="shared" si="109"/>
        <v>75.22</v>
      </c>
      <c r="W210" s="585"/>
      <c r="X210" s="449"/>
      <c r="Y210" s="449"/>
      <c r="Z210" s="449"/>
      <c r="AA210" s="449"/>
      <c r="AB210" s="449"/>
      <c r="AC210" s="449"/>
      <c r="AD210" s="449"/>
      <c r="AE210" s="449"/>
      <c r="AF210" s="449"/>
      <c r="AG210" s="449"/>
    </row>
    <row r="211" spans="1:33" s="455" customFormat="1" ht="29.25" customHeight="1">
      <c r="A211" s="451" t="s">
        <v>11</v>
      </c>
      <c r="B211" s="457" t="s">
        <v>251</v>
      </c>
      <c r="C211" s="453">
        <v>50</v>
      </c>
      <c r="D211" s="454"/>
      <c r="E211" s="501">
        <f t="shared" si="106"/>
        <v>50</v>
      </c>
      <c r="F211" s="501">
        <f t="shared" si="104"/>
        <v>0</v>
      </c>
      <c r="G211" s="501">
        <f t="shared" si="107"/>
        <v>50</v>
      </c>
      <c r="H211" s="501">
        <f t="shared" si="108"/>
        <v>50</v>
      </c>
      <c r="I211" s="501"/>
      <c r="J211" s="501">
        <f t="shared" si="96"/>
        <v>0</v>
      </c>
      <c r="K211" s="501"/>
      <c r="L211" s="501"/>
      <c r="M211" s="501">
        <f t="shared" si="95"/>
        <v>50</v>
      </c>
      <c r="N211" s="501"/>
      <c r="O211" s="501">
        <v>50</v>
      </c>
      <c r="P211" s="501"/>
      <c r="Q211" s="501"/>
      <c r="R211" s="501"/>
      <c r="S211" s="501">
        <v>5</v>
      </c>
      <c r="T211" s="502"/>
      <c r="U211" s="501"/>
      <c r="V211" s="507">
        <f t="shared" si="109"/>
        <v>45</v>
      </c>
      <c r="W211" s="585"/>
      <c r="X211" s="449"/>
      <c r="Y211" s="449"/>
      <c r="Z211" s="449"/>
      <c r="AA211" s="449"/>
      <c r="AB211" s="449"/>
      <c r="AC211" s="449"/>
      <c r="AD211" s="449"/>
      <c r="AE211" s="449"/>
      <c r="AF211" s="449"/>
      <c r="AG211" s="449"/>
    </row>
    <row r="212" spans="1:33" s="455" customFormat="1" ht="28.5" customHeight="1">
      <c r="A212" s="451" t="s">
        <v>11</v>
      </c>
      <c r="B212" s="457" t="s">
        <v>252</v>
      </c>
      <c r="C212" s="453">
        <v>18.72</v>
      </c>
      <c r="D212" s="454"/>
      <c r="E212" s="501">
        <f t="shared" si="106"/>
        <v>18.72</v>
      </c>
      <c r="F212" s="501">
        <f t="shared" si="104"/>
        <v>0</v>
      </c>
      <c r="G212" s="501">
        <f t="shared" si="107"/>
        <v>18.72</v>
      </c>
      <c r="H212" s="501">
        <f t="shared" si="108"/>
        <v>18.72</v>
      </c>
      <c r="I212" s="501"/>
      <c r="J212" s="501">
        <f t="shared" si="96"/>
        <v>0</v>
      </c>
      <c r="K212" s="501"/>
      <c r="L212" s="501"/>
      <c r="M212" s="501">
        <f t="shared" si="95"/>
        <v>18.72</v>
      </c>
      <c r="N212" s="501"/>
      <c r="O212" s="501">
        <v>18.72</v>
      </c>
      <c r="P212" s="501"/>
      <c r="Q212" s="501"/>
      <c r="R212" s="501"/>
      <c r="S212" s="501">
        <v>0</v>
      </c>
      <c r="T212" s="502"/>
      <c r="U212" s="501"/>
      <c r="V212" s="507">
        <f t="shared" si="109"/>
        <v>18.72</v>
      </c>
      <c r="W212" s="585"/>
      <c r="X212" s="449"/>
      <c r="Y212" s="449"/>
      <c r="Z212" s="449"/>
      <c r="AA212" s="449"/>
      <c r="AB212" s="449"/>
      <c r="AC212" s="449"/>
      <c r="AD212" s="449"/>
      <c r="AE212" s="449"/>
      <c r="AF212" s="449"/>
      <c r="AG212" s="449"/>
    </row>
    <row r="213" spans="1:33" s="455" customFormat="1" ht="43.5" customHeight="1">
      <c r="A213" s="451" t="s">
        <v>11</v>
      </c>
      <c r="B213" s="457" t="s">
        <v>253</v>
      </c>
      <c r="C213" s="453">
        <v>20</v>
      </c>
      <c r="D213" s="454"/>
      <c r="E213" s="501">
        <f t="shared" si="106"/>
        <v>20</v>
      </c>
      <c r="F213" s="501">
        <f t="shared" si="104"/>
        <v>0</v>
      </c>
      <c r="G213" s="501">
        <f t="shared" si="107"/>
        <v>20</v>
      </c>
      <c r="H213" s="501">
        <f t="shared" si="108"/>
        <v>20</v>
      </c>
      <c r="I213" s="501"/>
      <c r="J213" s="501">
        <f t="shared" si="96"/>
        <v>0</v>
      </c>
      <c r="K213" s="501"/>
      <c r="L213" s="501"/>
      <c r="M213" s="501">
        <f t="shared" si="95"/>
        <v>20</v>
      </c>
      <c r="N213" s="501"/>
      <c r="O213" s="501">
        <v>20</v>
      </c>
      <c r="P213" s="501"/>
      <c r="Q213" s="501"/>
      <c r="R213" s="501"/>
      <c r="S213" s="501">
        <v>2</v>
      </c>
      <c r="T213" s="502"/>
      <c r="U213" s="501"/>
      <c r="V213" s="507">
        <f t="shared" si="109"/>
        <v>18</v>
      </c>
      <c r="W213" s="585"/>
      <c r="X213" s="449"/>
      <c r="Y213" s="449"/>
      <c r="Z213" s="449"/>
      <c r="AA213" s="449"/>
      <c r="AB213" s="449"/>
      <c r="AC213" s="449"/>
      <c r="AD213" s="449"/>
      <c r="AE213" s="449"/>
      <c r="AF213" s="449"/>
      <c r="AG213" s="449"/>
    </row>
    <row r="214" spans="1:33" s="455" customFormat="1" ht="45" customHeight="1">
      <c r="A214" s="451" t="s">
        <v>11</v>
      </c>
      <c r="B214" s="457" t="s">
        <v>254</v>
      </c>
      <c r="C214" s="453">
        <v>15</v>
      </c>
      <c r="D214" s="454"/>
      <c r="E214" s="501">
        <f t="shared" si="106"/>
        <v>15</v>
      </c>
      <c r="F214" s="501">
        <f t="shared" si="104"/>
        <v>0</v>
      </c>
      <c r="G214" s="501">
        <f t="shared" si="107"/>
        <v>15</v>
      </c>
      <c r="H214" s="501">
        <f t="shared" si="108"/>
        <v>15</v>
      </c>
      <c r="I214" s="501"/>
      <c r="J214" s="501">
        <f t="shared" si="96"/>
        <v>0</v>
      </c>
      <c r="K214" s="501"/>
      <c r="L214" s="501"/>
      <c r="M214" s="501">
        <f t="shared" si="95"/>
        <v>15</v>
      </c>
      <c r="N214" s="501"/>
      <c r="O214" s="501">
        <v>15</v>
      </c>
      <c r="P214" s="501"/>
      <c r="Q214" s="501"/>
      <c r="R214" s="501"/>
      <c r="S214" s="501">
        <v>1.5</v>
      </c>
      <c r="T214" s="502"/>
      <c r="U214" s="501"/>
      <c r="V214" s="507">
        <f t="shared" si="109"/>
        <v>13.5</v>
      </c>
      <c r="W214" s="585"/>
      <c r="X214" s="449"/>
      <c r="Y214" s="449"/>
      <c r="Z214" s="449"/>
      <c r="AA214" s="449"/>
      <c r="AB214" s="449"/>
      <c r="AC214" s="449"/>
      <c r="AD214" s="449"/>
      <c r="AE214" s="449"/>
      <c r="AF214" s="449"/>
      <c r="AG214" s="449"/>
    </row>
    <row r="215" spans="1:33" s="455" customFormat="1" ht="28.5" customHeight="1">
      <c r="A215" s="451" t="s">
        <v>11</v>
      </c>
      <c r="B215" s="457" t="s">
        <v>255</v>
      </c>
      <c r="C215" s="453">
        <v>20</v>
      </c>
      <c r="D215" s="454"/>
      <c r="E215" s="501">
        <f t="shared" si="106"/>
        <v>20</v>
      </c>
      <c r="F215" s="501">
        <f t="shared" si="104"/>
        <v>0</v>
      </c>
      <c r="G215" s="501">
        <f t="shared" si="107"/>
        <v>20</v>
      </c>
      <c r="H215" s="501">
        <f t="shared" si="108"/>
        <v>20</v>
      </c>
      <c r="I215" s="501"/>
      <c r="J215" s="501">
        <f t="shared" si="96"/>
        <v>0</v>
      </c>
      <c r="K215" s="501"/>
      <c r="L215" s="501"/>
      <c r="M215" s="501">
        <f t="shared" si="95"/>
        <v>20</v>
      </c>
      <c r="N215" s="501">
        <v>0</v>
      </c>
      <c r="O215" s="501">
        <v>20</v>
      </c>
      <c r="P215" s="501"/>
      <c r="Q215" s="501"/>
      <c r="R215" s="501"/>
      <c r="S215" s="501">
        <v>2</v>
      </c>
      <c r="T215" s="502"/>
      <c r="U215" s="501"/>
      <c r="V215" s="507">
        <f t="shared" si="109"/>
        <v>18</v>
      </c>
      <c r="W215" s="585"/>
      <c r="X215" s="449"/>
      <c r="Y215" s="449"/>
      <c r="Z215" s="449"/>
      <c r="AA215" s="449"/>
      <c r="AB215" s="449"/>
      <c r="AC215" s="449"/>
      <c r="AD215" s="449"/>
      <c r="AE215" s="449"/>
      <c r="AF215" s="449"/>
      <c r="AG215" s="449"/>
    </row>
    <row r="216" spans="1:33" s="455" customFormat="1" ht="17.25" hidden="1" customHeight="1">
      <c r="A216" s="451" t="s">
        <v>11</v>
      </c>
      <c r="B216" s="452" t="s">
        <v>256</v>
      </c>
      <c r="C216" s="453">
        <v>10</v>
      </c>
      <c r="D216" s="454"/>
      <c r="E216" s="501">
        <f t="shared" si="106"/>
        <v>0</v>
      </c>
      <c r="F216" s="501">
        <f t="shared" si="104"/>
        <v>-10</v>
      </c>
      <c r="G216" s="501">
        <f t="shared" si="107"/>
        <v>0</v>
      </c>
      <c r="H216" s="501">
        <f t="shared" si="108"/>
        <v>0</v>
      </c>
      <c r="I216" s="501"/>
      <c r="J216" s="501">
        <f t="shared" si="96"/>
        <v>0</v>
      </c>
      <c r="K216" s="501"/>
      <c r="L216" s="501"/>
      <c r="M216" s="501">
        <f t="shared" si="95"/>
        <v>0</v>
      </c>
      <c r="N216" s="501"/>
      <c r="O216" s="501">
        <v>0</v>
      </c>
      <c r="P216" s="501"/>
      <c r="Q216" s="501"/>
      <c r="R216" s="501"/>
      <c r="S216" s="501"/>
      <c r="T216" s="502"/>
      <c r="U216" s="501"/>
      <c r="V216" s="507">
        <f t="shared" si="109"/>
        <v>0</v>
      </c>
      <c r="W216" s="585"/>
      <c r="X216" s="449"/>
      <c r="Y216" s="449"/>
      <c r="Z216" s="449"/>
      <c r="AA216" s="449"/>
      <c r="AB216" s="449"/>
      <c r="AC216" s="449"/>
      <c r="AD216" s="449"/>
      <c r="AE216" s="449"/>
      <c r="AF216" s="449"/>
      <c r="AG216" s="449"/>
    </row>
    <row r="217" spans="1:33" s="455" customFormat="1" ht="17.25" customHeight="1">
      <c r="A217" s="451" t="s">
        <v>11</v>
      </c>
      <c r="B217" s="452" t="s">
        <v>257</v>
      </c>
      <c r="C217" s="453">
        <v>10</v>
      </c>
      <c r="D217" s="454"/>
      <c r="E217" s="501">
        <f t="shared" si="106"/>
        <v>10</v>
      </c>
      <c r="F217" s="501">
        <f t="shared" si="104"/>
        <v>0</v>
      </c>
      <c r="G217" s="501">
        <f t="shared" si="107"/>
        <v>10</v>
      </c>
      <c r="H217" s="501">
        <f t="shared" si="108"/>
        <v>10</v>
      </c>
      <c r="I217" s="501"/>
      <c r="J217" s="501">
        <f t="shared" si="96"/>
        <v>0</v>
      </c>
      <c r="K217" s="501"/>
      <c r="L217" s="501"/>
      <c r="M217" s="501">
        <f t="shared" si="95"/>
        <v>10</v>
      </c>
      <c r="N217" s="501"/>
      <c r="O217" s="501">
        <v>10</v>
      </c>
      <c r="P217" s="501"/>
      <c r="Q217" s="501"/>
      <c r="R217" s="501"/>
      <c r="S217" s="501">
        <v>1</v>
      </c>
      <c r="T217" s="502"/>
      <c r="U217" s="501"/>
      <c r="V217" s="507">
        <f t="shared" si="109"/>
        <v>9</v>
      </c>
      <c r="W217" s="585"/>
      <c r="X217" s="449"/>
      <c r="Y217" s="449"/>
      <c r="Z217" s="449"/>
      <c r="AA217" s="449"/>
      <c r="AB217" s="449"/>
      <c r="AC217" s="449"/>
      <c r="AD217" s="449"/>
      <c r="AE217" s="449"/>
      <c r="AF217" s="449"/>
      <c r="AG217" s="449"/>
    </row>
    <row r="218" spans="1:33" s="455" customFormat="1" ht="93" customHeight="1">
      <c r="A218" s="451"/>
      <c r="B218" s="5" t="s">
        <v>929</v>
      </c>
      <c r="C218" s="453"/>
      <c r="D218" s="454"/>
      <c r="E218" s="501"/>
      <c r="F218" s="501"/>
      <c r="G218" s="501"/>
      <c r="H218" s="501"/>
      <c r="I218" s="501"/>
      <c r="J218" s="501"/>
      <c r="K218" s="501"/>
      <c r="L218" s="501"/>
      <c r="M218" s="501"/>
      <c r="N218" s="501"/>
      <c r="O218" s="501"/>
      <c r="P218" s="501"/>
      <c r="Q218" s="501"/>
      <c r="R218" s="501"/>
      <c r="S218" s="501"/>
      <c r="T218" s="502">
        <v>23.8</v>
      </c>
      <c r="U218" s="501">
        <v>0</v>
      </c>
      <c r="V218" s="507">
        <f>T218-U218</f>
        <v>23.8</v>
      </c>
      <c r="W218" s="585"/>
      <c r="X218" s="449"/>
      <c r="Y218" s="449"/>
      <c r="Z218" s="449"/>
      <c r="AA218" s="449"/>
      <c r="AB218" s="449"/>
      <c r="AC218" s="449"/>
      <c r="AD218" s="449"/>
      <c r="AE218" s="449"/>
      <c r="AF218" s="449"/>
      <c r="AG218" s="449"/>
    </row>
    <row r="219" spans="1:33" s="455" customFormat="1" ht="46.5" hidden="1" customHeight="1">
      <c r="A219" s="451"/>
      <c r="B219" s="5"/>
      <c r="C219" s="453"/>
      <c r="D219" s="454"/>
      <c r="E219" s="501"/>
      <c r="F219" s="501"/>
      <c r="G219" s="501"/>
      <c r="H219" s="501"/>
      <c r="I219" s="501"/>
      <c r="J219" s="501"/>
      <c r="K219" s="501"/>
      <c r="L219" s="501"/>
      <c r="M219" s="501"/>
      <c r="N219" s="501"/>
      <c r="O219" s="501"/>
      <c r="P219" s="501"/>
      <c r="Q219" s="501"/>
      <c r="R219" s="501"/>
      <c r="S219" s="501"/>
      <c r="T219" s="502"/>
      <c r="U219" s="501"/>
      <c r="V219" s="507"/>
      <c r="W219" s="585"/>
      <c r="X219" s="449"/>
      <c r="Y219" s="449"/>
      <c r="Z219" s="449"/>
      <c r="AA219" s="449"/>
      <c r="AB219" s="449"/>
      <c r="AC219" s="449"/>
      <c r="AD219" s="449"/>
      <c r="AE219" s="449"/>
      <c r="AF219" s="449"/>
      <c r="AG219" s="449"/>
    </row>
    <row r="220" spans="1:33" s="455" customFormat="1" ht="33.75" customHeight="1">
      <c r="A220" s="451"/>
      <c r="B220" s="5" t="s">
        <v>930</v>
      </c>
      <c r="C220" s="453"/>
      <c r="D220" s="454"/>
      <c r="E220" s="501"/>
      <c r="F220" s="501"/>
      <c r="G220" s="501"/>
      <c r="H220" s="501"/>
      <c r="I220" s="501"/>
      <c r="J220" s="501"/>
      <c r="K220" s="501"/>
      <c r="L220" s="501"/>
      <c r="M220" s="501"/>
      <c r="N220" s="501"/>
      <c r="O220" s="501"/>
      <c r="P220" s="501"/>
      <c r="Q220" s="501"/>
      <c r="R220" s="501"/>
      <c r="S220" s="501"/>
      <c r="T220" s="502">
        <v>10</v>
      </c>
      <c r="U220" s="501">
        <v>0</v>
      </c>
      <c r="V220" s="507">
        <f>T220-U220</f>
        <v>10</v>
      </c>
      <c r="W220" s="585"/>
      <c r="X220" s="449"/>
      <c r="Y220" s="449"/>
      <c r="Z220" s="449"/>
      <c r="AA220" s="449"/>
      <c r="AB220" s="449"/>
      <c r="AC220" s="449"/>
      <c r="AD220" s="449"/>
      <c r="AE220" s="449"/>
      <c r="AF220" s="449"/>
      <c r="AG220" s="449"/>
    </row>
    <row r="221" spans="1:33" s="455" customFormat="1" ht="33.75" customHeight="1">
      <c r="A221" s="451"/>
      <c r="B221" s="5" t="s">
        <v>931</v>
      </c>
      <c r="C221" s="453"/>
      <c r="D221" s="454"/>
      <c r="E221" s="501"/>
      <c r="F221" s="501"/>
      <c r="G221" s="501"/>
      <c r="H221" s="501"/>
      <c r="I221" s="501"/>
      <c r="J221" s="501"/>
      <c r="K221" s="501"/>
      <c r="L221" s="501"/>
      <c r="M221" s="501"/>
      <c r="N221" s="501"/>
      <c r="O221" s="501"/>
      <c r="P221" s="501"/>
      <c r="Q221" s="501"/>
      <c r="R221" s="501"/>
      <c r="S221" s="501"/>
      <c r="T221" s="502">
        <v>5.5</v>
      </c>
      <c r="U221" s="501">
        <v>0</v>
      </c>
      <c r="V221" s="507">
        <f>T221-U221</f>
        <v>5.5</v>
      </c>
      <c r="W221" s="585"/>
      <c r="X221" s="449"/>
      <c r="Y221" s="449"/>
      <c r="Z221" s="449"/>
      <c r="AA221" s="449"/>
      <c r="AB221" s="449"/>
      <c r="AC221" s="449"/>
      <c r="AD221" s="449"/>
      <c r="AE221" s="449"/>
      <c r="AF221" s="449"/>
      <c r="AG221" s="449"/>
    </row>
    <row r="222" spans="1:33" s="455" customFormat="1" ht="17.25" customHeight="1">
      <c r="A222" s="451" t="s">
        <v>11</v>
      </c>
      <c r="B222" s="452" t="s">
        <v>258</v>
      </c>
      <c r="C222" s="453">
        <v>10</v>
      </c>
      <c r="D222" s="454"/>
      <c r="E222" s="501">
        <f t="shared" si="106"/>
        <v>10</v>
      </c>
      <c r="F222" s="501">
        <f t="shared" si="104"/>
        <v>0</v>
      </c>
      <c r="G222" s="501">
        <f t="shared" si="107"/>
        <v>10</v>
      </c>
      <c r="H222" s="501">
        <f t="shared" si="108"/>
        <v>10</v>
      </c>
      <c r="I222" s="501"/>
      <c r="J222" s="501">
        <f t="shared" si="96"/>
        <v>0</v>
      </c>
      <c r="K222" s="501"/>
      <c r="L222" s="501"/>
      <c r="M222" s="501">
        <f>N222+O222</f>
        <v>10</v>
      </c>
      <c r="N222" s="501"/>
      <c r="O222" s="501">
        <v>10</v>
      </c>
      <c r="P222" s="501"/>
      <c r="Q222" s="501"/>
      <c r="R222" s="501"/>
      <c r="S222" s="501">
        <v>1</v>
      </c>
      <c r="T222" s="502"/>
      <c r="U222" s="501"/>
      <c r="V222" s="507">
        <f t="shared" si="109"/>
        <v>9</v>
      </c>
      <c r="W222" s="585"/>
      <c r="X222" s="449"/>
      <c r="Y222" s="449"/>
      <c r="Z222" s="449"/>
      <c r="AA222" s="449"/>
      <c r="AB222" s="449"/>
      <c r="AC222" s="449"/>
      <c r="AD222" s="449"/>
      <c r="AE222" s="449"/>
      <c r="AF222" s="449"/>
      <c r="AG222" s="449"/>
    </row>
    <row r="223" spans="1:33" s="455" customFormat="1" ht="20.25" hidden="1" customHeight="1">
      <c r="A223" s="451" t="s">
        <v>11</v>
      </c>
      <c r="B223" s="457" t="s">
        <v>814</v>
      </c>
      <c r="C223" s="453">
        <v>30</v>
      </c>
      <c r="D223" s="454"/>
      <c r="E223" s="501">
        <f t="shared" si="106"/>
        <v>0</v>
      </c>
      <c r="F223" s="501">
        <f t="shared" si="104"/>
        <v>-30</v>
      </c>
      <c r="G223" s="501">
        <f t="shared" si="107"/>
        <v>0</v>
      </c>
      <c r="H223" s="501">
        <f t="shared" si="108"/>
        <v>0</v>
      </c>
      <c r="I223" s="501"/>
      <c r="J223" s="501">
        <f>K223+L223</f>
        <v>0</v>
      </c>
      <c r="K223" s="501"/>
      <c r="L223" s="501"/>
      <c r="M223" s="501">
        <f>N223+O223</f>
        <v>0</v>
      </c>
      <c r="N223" s="501"/>
      <c r="O223" s="501"/>
      <c r="P223" s="501"/>
      <c r="Q223" s="501"/>
      <c r="R223" s="501"/>
      <c r="S223" s="501"/>
      <c r="T223" s="502"/>
      <c r="U223" s="501"/>
      <c r="V223" s="501"/>
      <c r="W223" s="585"/>
      <c r="X223" s="449"/>
      <c r="Y223" s="449"/>
      <c r="Z223" s="449"/>
      <c r="AA223" s="449"/>
      <c r="AB223" s="449"/>
      <c r="AC223" s="449"/>
      <c r="AD223" s="449"/>
      <c r="AE223" s="449"/>
      <c r="AF223" s="449"/>
      <c r="AG223" s="449"/>
    </row>
    <row r="224" spans="1:33" s="455" customFormat="1" ht="31.5" hidden="1" customHeight="1">
      <c r="A224" s="451" t="s">
        <v>11</v>
      </c>
      <c r="B224" s="457" t="s">
        <v>815</v>
      </c>
      <c r="C224" s="453"/>
      <c r="D224" s="454"/>
      <c r="E224" s="501">
        <f>G224+R224</f>
        <v>0</v>
      </c>
      <c r="F224" s="501">
        <f t="shared" si="104"/>
        <v>0</v>
      </c>
      <c r="G224" s="501">
        <f>H224+P224+Q224</f>
        <v>0</v>
      </c>
      <c r="H224" s="501">
        <f>J224+M224</f>
        <v>0</v>
      </c>
      <c r="I224" s="501"/>
      <c r="J224" s="501">
        <f>K224+L224</f>
        <v>0</v>
      </c>
      <c r="K224" s="501"/>
      <c r="L224" s="501"/>
      <c r="M224" s="501">
        <f>N224+O224</f>
        <v>0</v>
      </c>
      <c r="N224" s="501"/>
      <c r="O224" s="501"/>
      <c r="P224" s="501"/>
      <c r="Q224" s="501"/>
      <c r="R224" s="501"/>
      <c r="S224" s="501"/>
      <c r="T224" s="502"/>
      <c r="U224" s="501"/>
      <c r="V224" s="501"/>
      <c r="W224" s="585"/>
      <c r="X224" s="449"/>
      <c r="Y224" s="449"/>
      <c r="Z224" s="449"/>
      <c r="AA224" s="449"/>
      <c r="AB224" s="449"/>
      <c r="AC224" s="449"/>
      <c r="AD224" s="449"/>
      <c r="AE224" s="449"/>
      <c r="AF224" s="449"/>
      <c r="AG224" s="449"/>
    </row>
    <row r="225" spans="1:33" s="455" customFormat="1" ht="17.25" hidden="1" customHeight="1">
      <c r="A225" s="451" t="s">
        <v>11</v>
      </c>
      <c r="B225" s="452" t="s">
        <v>788</v>
      </c>
      <c r="C225" s="453">
        <v>50</v>
      </c>
      <c r="D225" s="454"/>
      <c r="E225" s="501">
        <f>G225+R225</f>
        <v>0</v>
      </c>
      <c r="F225" s="501">
        <f t="shared" si="104"/>
        <v>-50</v>
      </c>
      <c r="G225" s="501">
        <f>H225+P225+Q225</f>
        <v>0</v>
      </c>
      <c r="H225" s="501">
        <f>J225+M225</f>
        <v>0</v>
      </c>
      <c r="I225" s="501"/>
      <c r="J225" s="501">
        <f>K225+L225</f>
        <v>0</v>
      </c>
      <c r="K225" s="501"/>
      <c r="L225" s="501"/>
      <c r="M225" s="501">
        <f>N225+O225</f>
        <v>0</v>
      </c>
      <c r="N225" s="501"/>
      <c r="O225" s="501"/>
      <c r="P225" s="501"/>
      <c r="Q225" s="501"/>
      <c r="R225" s="501"/>
      <c r="S225" s="501"/>
      <c r="T225" s="502"/>
      <c r="U225" s="501"/>
      <c r="V225" s="501"/>
      <c r="W225" s="585"/>
      <c r="X225" s="449"/>
      <c r="Y225" s="449"/>
      <c r="Z225" s="449"/>
      <c r="AA225" s="449"/>
      <c r="AB225" s="449"/>
      <c r="AC225" s="449"/>
      <c r="AD225" s="449"/>
      <c r="AE225" s="449"/>
      <c r="AF225" s="449"/>
      <c r="AG225" s="449"/>
    </row>
    <row r="226" spans="1:33" s="455" customFormat="1" ht="17.25" hidden="1" customHeight="1">
      <c r="A226" s="451" t="s">
        <v>11</v>
      </c>
      <c r="B226" s="452" t="s">
        <v>816</v>
      </c>
      <c r="C226" s="453"/>
      <c r="D226" s="454"/>
      <c r="E226" s="501">
        <f t="shared" si="106"/>
        <v>0</v>
      </c>
      <c r="F226" s="501">
        <f t="shared" si="104"/>
        <v>0</v>
      </c>
      <c r="G226" s="501">
        <f t="shared" si="107"/>
        <v>0</v>
      </c>
      <c r="H226" s="501">
        <f t="shared" si="108"/>
        <v>0</v>
      </c>
      <c r="I226" s="501"/>
      <c r="J226" s="501">
        <f t="shared" si="96"/>
        <v>0</v>
      </c>
      <c r="K226" s="501"/>
      <c r="L226" s="501"/>
      <c r="M226" s="501">
        <f t="shared" si="95"/>
        <v>0</v>
      </c>
      <c r="N226" s="501"/>
      <c r="O226" s="501"/>
      <c r="P226" s="501"/>
      <c r="Q226" s="501"/>
      <c r="R226" s="501"/>
      <c r="S226" s="501"/>
      <c r="T226" s="502"/>
      <c r="U226" s="501"/>
      <c r="V226" s="501"/>
      <c r="W226" s="585"/>
      <c r="X226" s="449"/>
      <c r="Y226" s="449"/>
      <c r="Z226" s="449"/>
      <c r="AA226" s="449"/>
      <c r="AB226" s="449"/>
      <c r="AC226" s="449"/>
      <c r="AD226" s="449"/>
      <c r="AE226" s="449"/>
      <c r="AF226" s="449"/>
      <c r="AG226" s="449"/>
    </row>
    <row r="227" spans="1:33" s="455" customFormat="1" ht="17.25" customHeight="1">
      <c r="A227" s="451" t="s">
        <v>30</v>
      </c>
      <c r="B227" s="452" t="s">
        <v>259</v>
      </c>
      <c r="C227" s="453">
        <f>SUM(C228:C235)</f>
        <v>721.47900000000004</v>
      </c>
      <c r="D227" s="454"/>
      <c r="E227" s="501">
        <f>SUM(E228:E235)</f>
        <v>592.98799999999994</v>
      </c>
      <c r="F227" s="501">
        <f t="shared" ref="F227:U227" si="110">SUM(F228:F235)</f>
        <v>-128.49100000000004</v>
      </c>
      <c r="G227" s="501">
        <f t="shared" si="110"/>
        <v>592.98799999999994</v>
      </c>
      <c r="H227" s="501">
        <f t="shared" si="110"/>
        <v>592.98799999999994</v>
      </c>
      <c r="I227" s="501">
        <f t="shared" si="110"/>
        <v>3</v>
      </c>
      <c r="J227" s="501">
        <f t="shared" si="110"/>
        <v>373.38799999999998</v>
      </c>
      <c r="K227" s="501">
        <f t="shared" si="110"/>
        <v>0</v>
      </c>
      <c r="L227" s="501">
        <f t="shared" si="110"/>
        <v>0</v>
      </c>
      <c r="M227" s="501">
        <f t="shared" si="110"/>
        <v>219.60000000000002</v>
      </c>
      <c r="N227" s="501">
        <f t="shared" si="110"/>
        <v>79.600000000000009</v>
      </c>
      <c r="O227" s="501">
        <f t="shared" si="110"/>
        <v>140</v>
      </c>
      <c r="P227" s="501">
        <f t="shared" si="110"/>
        <v>0</v>
      </c>
      <c r="Q227" s="501">
        <f t="shared" si="110"/>
        <v>0</v>
      </c>
      <c r="R227" s="501">
        <f t="shared" si="110"/>
        <v>0</v>
      </c>
      <c r="S227" s="501">
        <f t="shared" si="110"/>
        <v>21</v>
      </c>
      <c r="T227" s="502">
        <f t="shared" si="110"/>
        <v>27.05</v>
      </c>
      <c r="U227" s="501">
        <f t="shared" si="110"/>
        <v>0</v>
      </c>
      <c r="V227" s="501">
        <f>SUM(V228:V235)</f>
        <v>599.03800000000001</v>
      </c>
      <c r="W227" s="585" t="s">
        <v>259</v>
      </c>
      <c r="X227" s="449"/>
      <c r="Y227" s="449"/>
      <c r="Z227" s="449"/>
      <c r="AA227" s="449"/>
      <c r="AB227" s="449"/>
      <c r="AC227" s="449"/>
      <c r="AD227" s="449"/>
      <c r="AE227" s="449"/>
      <c r="AF227" s="449"/>
      <c r="AG227" s="449"/>
    </row>
    <row r="228" spans="1:33" s="455" customFormat="1" ht="17.25" customHeight="1">
      <c r="A228" s="451" t="s">
        <v>11</v>
      </c>
      <c r="B228" s="452" t="s">
        <v>260</v>
      </c>
      <c r="C228" s="453">
        <v>351.87900000000002</v>
      </c>
      <c r="D228" s="454"/>
      <c r="E228" s="501">
        <f>G228+R228</f>
        <v>373.38799999999998</v>
      </c>
      <c r="F228" s="501">
        <f t="shared" si="104"/>
        <v>21.508999999999958</v>
      </c>
      <c r="G228" s="501">
        <f t="shared" ref="G228:G235" si="111">H228+P228+Q228</f>
        <v>373.38799999999998</v>
      </c>
      <c r="H228" s="501">
        <f t="shared" ref="H228:H235" si="112">J228+M228</f>
        <v>373.38799999999998</v>
      </c>
      <c r="I228" s="501">
        <v>3</v>
      </c>
      <c r="J228" s="501">
        <v>373.38799999999998</v>
      </c>
      <c r="K228" s="501"/>
      <c r="L228" s="501"/>
      <c r="M228" s="501">
        <f t="shared" si="95"/>
        <v>0</v>
      </c>
      <c r="N228" s="501"/>
      <c r="O228" s="501">
        <v>0</v>
      </c>
      <c r="P228" s="501"/>
      <c r="Q228" s="501"/>
      <c r="R228" s="501"/>
      <c r="S228" s="501"/>
      <c r="T228" s="502">
        <v>5.05</v>
      </c>
      <c r="U228" s="501"/>
      <c r="V228" s="507">
        <f>E228-S228+T228-U228</f>
        <v>378.43799999999999</v>
      </c>
      <c r="W228" s="585"/>
      <c r="X228" s="449"/>
      <c r="Y228" s="449"/>
      <c r="Z228" s="449"/>
      <c r="AA228" s="449"/>
      <c r="AB228" s="449"/>
      <c r="AC228" s="449"/>
      <c r="AD228" s="449"/>
      <c r="AE228" s="449"/>
      <c r="AF228" s="449"/>
      <c r="AG228" s="449"/>
    </row>
    <row r="229" spans="1:33" s="455" customFormat="1" ht="17.25" customHeight="1">
      <c r="A229" s="451" t="s">
        <v>11</v>
      </c>
      <c r="B229" s="452" t="s">
        <v>261</v>
      </c>
      <c r="C229" s="453">
        <v>70.2</v>
      </c>
      <c r="D229" s="454"/>
      <c r="E229" s="501">
        <f t="shared" ref="E229:E235" si="113">G229+R229</f>
        <v>70.2</v>
      </c>
      <c r="F229" s="501">
        <f t="shared" si="104"/>
        <v>0</v>
      </c>
      <c r="G229" s="501">
        <f t="shared" si="111"/>
        <v>70.2</v>
      </c>
      <c r="H229" s="501">
        <f t="shared" si="112"/>
        <v>70.2</v>
      </c>
      <c r="I229" s="501"/>
      <c r="J229" s="501">
        <f t="shared" si="96"/>
        <v>0</v>
      </c>
      <c r="K229" s="501"/>
      <c r="L229" s="501"/>
      <c r="M229" s="501">
        <f t="shared" si="95"/>
        <v>70.2</v>
      </c>
      <c r="N229" s="501">
        <f>3*18*1.3</f>
        <v>70.2</v>
      </c>
      <c r="O229" s="501">
        <v>0</v>
      </c>
      <c r="P229" s="501">
        <v>0</v>
      </c>
      <c r="Q229" s="501">
        <v>0</v>
      </c>
      <c r="R229" s="501">
        <v>0</v>
      </c>
      <c r="S229" s="501">
        <v>7</v>
      </c>
      <c r="T229" s="502"/>
      <c r="U229" s="501"/>
      <c r="V229" s="507">
        <f t="shared" ref="V229:V234" si="114">E229-S229</f>
        <v>63.2</v>
      </c>
      <c r="W229" s="585"/>
      <c r="X229" s="449"/>
      <c r="Y229" s="449"/>
      <c r="Z229" s="449"/>
      <c r="AA229" s="449"/>
      <c r="AB229" s="449"/>
      <c r="AC229" s="449"/>
      <c r="AD229" s="449"/>
      <c r="AE229" s="449"/>
      <c r="AF229" s="449"/>
      <c r="AG229" s="449"/>
    </row>
    <row r="230" spans="1:33" s="455" customFormat="1" ht="28.5" customHeight="1">
      <c r="A230" s="451" t="s">
        <v>11</v>
      </c>
      <c r="B230" s="457" t="s">
        <v>150</v>
      </c>
      <c r="C230" s="453">
        <v>9.4</v>
      </c>
      <c r="D230" s="454"/>
      <c r="E230" s="501">
        <f t="shared" si="113"/>
        <v>9.4</v>
      </c>
      <c r="F230" s="501">
        <f t="shared" si="104"/>
        <v>0</v>
      </c>
      <c r="G230" s="501">
        <f t="shared" si="111"/>
        <v>9.4</v>
      </c>
      <c r="H230" s="501">
        <f t="shared" si="112"/>
        <v>9.4</v>
      </c>
      <c r="I230" s="501"/>
      <c r="J230" s="501">
        <f t="shared" si="96"/>
        <v>0</v>
      </c>
      <c r="K230" s="501"/>
      <c r="L230" s="501"/>
      <c r="M230" s="501">
        <f t="shared" si="95"/>
        <v>9.4</v>
      </c>
      <c r="N230" s="501">
        <v>9.4</v>
      </c>
      <c r="O230" s="501">
        <v>0</v>
      </c>
      <c r="P230" s="501"/>
      <c r="Q230" s="501"/>
      <c r="R230" s="501"/>
      <c r="S230" s="501"/>
      <c r="T230" s="502"/>
      <c r="U230" s="501"/>
      <c r="V230" s="507">
        <f t="shared" si="114"/>
        <v>9.4</v>
      </c>
      <c r="W230" s="585"/>
      <c r="X230" s="449"/>
      <c r="Y230" s="449"/>
      <c r="Z230" s="449"/>
      <c r="AA230" s="449"/>
      <c r="AB230" s="449"/>
      <c r="AC230" s="449"/>
      <c r="AD230" s="449"/>
      <c r="AE230" s="449"/>
      <c r="AF230" s="449"/>
      <c r="AG230" s="449"/>
    </row>
    <row r="231" spans="1:33" s="455" customFormat="1" ht="21" hidden="1" customHeight="1">
      <c r="A231" s="451" t="s">
        <v>11</v>
      </c>
      <c r="B231" s="457" t="s">
        <v>170</v>
      </c>
      <c r="C231" s="453"/>
      <c r="D231" s="454"/>
      <c r="E231" s="501">
        <f t="shared" si="113"/>
        <v>0</v>
      </c>
      <c r="F231" s="501">
        <f t="shared" si="104"/>
        <v>0</v>
      </c>
      <c r="G231" s="501">
        <f t="shared" si="111"/>
        <v>0</v>
      </c>
      <c r="H231" s="501">
        <f t="shared" si="112"/>
        <v>0</v>
      </c>
      <c r="I231" s="501"/>
      <c r="J231" s="501">
        <f t="shared" si="96"/>
        <v>0</v>
      </c>
      <c r="K231" s="501"/>
      <c r="L231" s="501"/>
      <c r="M231" s="501">
        <f t="shared" si="95"/>
        <v>0</v>
      </c>
      <c r="N231" s="501"/>
      <c r="O231" s="501">
        <v>0</v>
      </c>
      <c r="P231" s="501"/>
      <c r="Q231" s="501"/>
      <c r="R231" s="501"/>
      <c r="S231" s="501"/>
      <c r="T231" s="502"/>
      <c r="U231" s="501"/>
      <c r="V231" s="507">
        <f t="shared" si="114"/>
        <v>0</v>
      </c>
      <c r="W231" s="585"/>
      <c r="X231" s="449"/>
      <c r="Y231" s="449"/>
      <c r="Z231" s="449"/>
      <c r="AA231" s="449"/>
      <c r="AB231" s="449"/>
      <c r="AC231" s="449"/>
      <c r="AD231" s="449"/>
      <c r="AE231" s="449"/>
      <c r="AF231" s="449"/>
      <c r="AG231" s="449"/>
    </row>
    <row r="232" spans="1:33" s="455" customFormat="1" ht="17.25" customHeight="1">
      <c r="A232" s="451" t="s">
        <v>11</v>
      </c>
      <c r="B232" s="452" t="s">
        <v>262</v>
      </c>
      <c r="C232" s="453">
        <v>10</v>
      </c>
      <c r="D232" s="454"/>
      <c r="E232" s="501">
        <f t="shared" si="113"/>
        <v>10</v>
      </c>
      <c r="F232" s="501">
        <f t="shared" si="104"/>
        <v>0</v>
      </c>
      <c r="G232" s="501">
        <f t="shared" si="111"/>
        <v>10</v>
      </c>
      <c r="H232" s="501">
        <f t="shared" si="112"/>
        <v>10</v>
      </c>
      <c r="I232" s="501"/>
      <c r="J232" s="501">
        <f t="shared" si="96"/>
        <v>0</v>
      </c>
      <c r="K232" s="501"/>
      <c r="L232" s="501"/>
      <c r="M232" s="501">
        <f t="shared" si="95"/>
        <v>10</v>
      </c>
      <c r="N232" s="501"/>
      <c r="O232" s="501">
        <v>10</v>
      </c>
      <c r="P232" s="501"/>
      <c r="Q232" s="501"/>
      <c r="R232" s="501"/>
      <c r="S232" s="501">
        <v>1</v>
      </c>
      <c r="T232" s="502"/>
      <c r="U232" s="501"/>
      <c r="V232" s="507">
        <f t="shared" si="114"/>
        <v>9</v>
      </c>
      <c r="W232" s="585"/>
      <c r="X232" s="449"/>
      <c r="Y232" s="449"/>
      <c r="Z232" s="449"/>
      <c r="AA232" s="449"/>
      <c r="AB232" s="449"/>
      <c r="AC232" s="449"/>
      <c r="AD232" s="449"/>
      <c r="AE232" s="449"/>
      <c r="AF232" s="449"/>
      <c r="AG232" s="449"/>
    </row>
    <row r="233" spans="1:33" s="455" customFormat="1" ht="26.25" customHeight="1">
      <c r="A233" s="451" t="s">
        <v>11</v>
      </c>
      <c r="B233" s="457" t="s">
        <v>263</v>
      </c>
      <c r="C233" s="453">
        <v>80</v>
      </c>
      <c r="D233" s="454"/>
      <c r="E233" s="501">
        <f t="shared" si="113"/>
        <v>80</v>
      </c>
      <c r="F233" s="501">
        <f t="shared" si="104"/>
        <v>0</v>
      </c>
      <c r="G233" s="501">
        <f t="shared" si="111"/>
        <v>80</v>
      </c>
      <c r="H233" s="501">
        <f t="shared" si="112"/>
        <v>80</v>
      </c>
      <c r="I233" s="501"/>
      <c r="J233" s="501">
        <f t="shared" si="96"/>
        <v>0</v>
      </c>
      <c r="K233" s="501"/>
      <c r="L233" s="501"/>
      <c r="M233" s="501">
        <f t="shared" si="95"/>
        <v>80</v>
      </c>
      <c r="N233" s="501"/>
      <c r="O233" s="501">
        <v>80</v>
      </c>
      <c r="P233" s="501"/>
      <c r="Q233" s="501"/>
      <c r="R233" s="501"/>
      <c r="S233" s="501">
        <v>8</v>
      </c>
      <c r="T233" s="502"/>
      <c r="U233" s="501"/>
      <c r="V233" s="507">
        <f t="shared" si="114"/>
        <v>72</v>
      </c>
      <c r="W233" s="585"/>
      <c r="X233" s="449"/>
      <c r="Y233" s="449"/>
      <c r="Z233" s="449"/>
      <c r="AA233" s="449"/>
      <c r="AB233" s="449"/>
      <c r="AC233" s="449"/>
      <c r="AD233" s="449"/>
      <c r="AE233" s="449"/>
      <c r="AF233" s="449"/>
      <c r="AG233" s="449"/>
    </row>
    <row r="234" spans="1:33" s="455" customFormat="1" ht="46.5" customHeight="1">
      <c r="A234" s="451" t="s">
        <v>11</v>
      </c>
      <c r="B234" s="457" t="s">
        <v>264</v>
      </c>
      <c r="C234" s="453">
        <v>50</v>
      </c>
      <c r="D234" s="454"/>
      <c r="E234" s="501">
        <f t="shared" si="113"/>
        <v>50</v>
      </c>
      <c r="F234" s="501">
        <f t="shared" si="104"/>
        <v>0</v>
      </c>
      <c r="G234" s="501">
        <f t="shared" si="111"/>
        <v>50</v>
      </c>
      <c r="H234" s="501">
        <f t="shared" si="112"/>
        <v>50</v>
      </c>
      <c r="I234" s="501"/>
      <c r="J234" s="501">
        <f>K234+L234</f>
        <v>0</v>
      </c>
      <c r="K234" s="501"/>
      <c r="L234" s="501"/>
      <c r="M234" s="501">
        <f t="shared" si="95"/>
        <v>50</v>
      </c>
      <c r="N234" s="501"/>
      <c r="O234" s="501">
        <v>50</v>
      </c>
      <c r="P234" s="501"/>
      <c r="Q234" s="501"/>
      <c r="R234" s="501"/>
      <c r="S234" s="501">
        <v>5</v>
      </c>
      <c r="T234" s="502"/>
      <c r="U234" s="501"/>
      <c r="V234" s="507">
        <f t="shared" si="114"/>
        <v>45</v>
      </c>
      <c r="W234" s="585"/>
      <c r="X234" s="449"/>
      <c r="Y234" s="449"/>
      <c r="Z234" s="449"/>
      <c r="AA234" s="449"/>
      <c r="AB234" s="449"/>
      <c r="AC234" s="449"/>
      <c r="AD234" s="449"/>
      <c r="AE234" s="449"/>
      <c r="AF234" s="449"/>
      <c r="AG234" s="449"/>
    </row>
    <row r="235" spans="1:33" s="455" customFormat="1" ht="22.5" customHeight="1">
      <c r="A235" s="451" t="s">
        <v>11</v>
      </c>
      <c r="B235" s="457" t="s">
        <v>928</v>
      </c>
      <c r="C235" s="453">
        <v>150</v>
      </c>
      <c r="D235" s="454"/>
      <c r="E235" s="501">
        <f t="shared" si="113"/>
        <v>0</v>
      </c>
      <c r="F235" s="501">
        <f t="shared" si="104"/>
        <v>-150</v>
      </c>
      <c r="G235" s="501">
        <f t="shared" si="111"/>
        <v>0</v>
      </c>
      <c r="H235" s="501">
        <f t="shared" si="112"/>
        <v>0</v>
      </c>
      <c r="I235" s="501"/>
      <c r="J235" s="501"/>
      <c r="K235" s="501"/>
      <c r="L235" s="501"/>
      <c r="M235" s="501">
        <f t="shared" si="95"/>
        <v>0</v>
      </c>
      <c r="N235" s="501"/>
      <c r="O235" s="501"/>
      <c r="P235" s="501"/>
      <c r="Q235" s="501"/>
      <c r="R235" s="501"/>
      <c r="S235" s="501"/>
      <c r="T235" s="502">
        <v>22</v>
      </c>
      <c r="U235" s="501">
        <v>0</v>
      </c>
      <c r="V235" s="507">
        <f>T235-U235</f>
        <v>22</v>
      </c>
      <c r="W235" s="585"/>
      <c r="X235" s="449"/>
      <c r="Y235" s="449"/>
      <c r="Z235" s="449"/>
      <c r="AA235" s="449"/>
      <c r="AB235" s="449"/>
      <c r="AC235" s="449"/>
      <c r="AD235" s="449"/>
      <c r="AE235" s="449"/>
      <c r="AF235" s="449"/>
      <c r="AG235" s="449"/>
    </row>
    <row r="236" spans="1:33" s="455" customFormat="1" ht="17.25" customHeight="1">
      <c r="A236" s="451" t="s">
        <v>36</v>
      </c>
      <c r="B236" s="452" t="s">
        <v>265</v>
      </c>
      <c r="C236" s="453">
        <f>SUM(C237:C245)</f>
        <v>716.27099999999996</v>
      </c>
      <c r="D236" s="454"/>
      <c r="E236" s="501">
        <f>SUM(E237:E245)</f>
        <v>699.55899999999997</v>
      </c>
      <c r="F236" s="501">
        <f t="shared" si="104"/>
        <v>-16.711999999999989</v>
      </c>
      <c r="G236" s="501">
        <f t="shared" ref="G236:R236" si="115">SUM(G237:G245)</f>
        <v>699.55899999999997</v>
      </c>
      <c r="H236" s="501">
        <f t="shared" si="115"/>
        <v>699.55899999999997</v>
      </c>
      <c r="I236" s="501">
        <f t="shared" si="115"/>
        <v>3</v>
      </c>
      <c r="J236" s="501">
        <f t="shared" si="115"/>
        <v>369.95899999999995</v>
      </c>
      <c r="K236" s="501">
        <f t="shared" si="115"/>
        <v>0</v>
      </c>
      <c r="L236" s="501">
        <f t="shared" si="115"/>
        <v>0</v>
      </c>
      <c r="M236" s="501">
        <f t="shared" si="115"/>
        <v>329.6</v>
      </c>
      <c r="N236" s="501">
        <f t="shared" si="115"/>
        <v>79.600000000000009</v>
      </c>
      <c r="O236" s="501">
        <f t="shared" si="115"/>
        <v>250</v>
      </c>
      <c r="P236" s="501">
        <f t="shared" si="115"/>
        <v>0</v>
      </c>
      <c r="Q236" s="501">
        <f t="shared" si="115"/>
        <v>0</v>
      </c>
      <c r="R236" s="501">
        <f t="shared" si="115"/>
        <v>0</v>
      </c>
      <c r="S236" s="501">
        <f>SUM(S237:S245)</f>
        <v>32</v>
      </c>
      <c r="T236" s="502">
        <f>SUM(T237:T245)</f>
        <v>15.68</v>
      </c>
      <c r="U236" s="501">
        <f>SUM(U237:U245)</f>
        <v>31.8</v>
      </c>
      <c r="V236" s="501">
        <f>SUM(V237:V245)</f>
        <v>651.43899999999985</v>
      </c>
      <c r="W236" s="585" t="s">
        <v>265</v>
      </c>
      <c r="X236" s="449"/>
      <c r="Y236" s="449"/>
      <c r="Z236" s="449"/>
      <c r="AA236" s="449"/>
      <c r="AB236" s="449"/>
      <c r="AC236" s="449"/>
      <c r="AD236" s="449"/>
      <c r="AE236" s="449"/>
      <c r="AF236" s="449"/>
      <c r="AG236" s="449"/>
    </row>
    <row r="237" spans="1:33" s="455" customFormat="1" ht="17.25" customHeight="1">
      <c r="A237" s="451" t="s">
        <v>11</v>
      </c>
      <c r="B237" s="452" t="s">
        <v>308</v>
      </c>
      <c r="C237" s="453">
        <v>406.05500000000001</v>
      </c>
      <c r="D237" s="454"/>
      <c r="E237" s="501">
        <f t="shared" ref="E237:E245" si="116">G237+R237</f>
        <v>312.73899999999998</v>
      </c>
      <c r="F237" s="501">
        <f t="shared" si="104"/>
        <v>-93.316000000000031</v>
      </c>
      <c r="G237" s="501">
        <f t="shared" ref="G237:G245" si="117">H237+P237+Q237</f>
        <v>312.73899999999998</v>
      </c>
      <c r="H237" s="501">
        <f t="shared" ref="H237:H245" si="118">J237+M237</f>
        <v>312.73899999999998</v>
      </c>
      <c r="I237" s="501">
        <v>3</v>
      </c>
      <c r="J237" s="501">
        <v>312.73899999999998</v>
      </c>
      <c r="K237" s="501"/>
      <c r="L237" s="501"/>
      <c r="M237" s="501">
        <f t="shared" si="95"/>
        <v>0</v>
      </c>
      <c r="N237" s="501"/>
      <c r="O237" s="501">
        <v>0</v>
      </c>
      <c r="P237" s="501"/>
      <c r="Q237" s="501"/>
      <c r="R237" s="501"/>
      <c r="S237" s="501">
        <v>0</v>
      </c>
      <c r="T237" s="502"/>
      <c r="U237" s="501">
        <v>31.8</v>
      </c>
      <c r="V237" s="507">
        <f>E237-S237+T237-U237</f>
        <v>280.93899999999996</v>
      </c>
      <c r="W237" s="585"/>
      <c r="X237" s="449"/>
      <c r="Y237" s="449"/>
      <c r="Z237" s="449"/>
      <c r="AA237" s="449"/>
      <c r="AB237" s="449"/>
      <c r="AC237" s="449"/>
      <c r="AD237" s="449"/>
      <c r="AE237" s="449"/>
      <c r="AF237" s="449"/>
      <c r="AG237" s="449"/>
    </row>
    <row r="238" spans="1:33" s="455" customFormat="1" ht="17.25" customHeight="1">
      <c r="A238" s="451" t="s">
        <v>11</v>
      </c>
      <c r="B238" s="452" t="s">
        <v>261</v>
      </c>
      <c r="C238" s="453">
        <v>93.6</v>
      </c>
      <c r="D238" s="454"/>
      <c r="E238" s="501">
        <f t="shared" si="116"/>
        <v>70.2</v>
      </c>
      <c r="F238" s="501">
        <f t="shared" si="104"/>
        <v>-23.399999999999991</v>
      </c>
      <c r="G238" s="501">
        <f t="shared" si="117"/>
        <v>70.2</v>
      </c>
      <c r="H238" s="501">
        <f t="shared" si="118"/>
        <v>70.2</v>
      </c>
      <c r="I238" s="501"/>
      <c r="J238" s="501"/>
      <c r="K238" s="501"/>
      <c r="L238" s="501"/>
      <c r="M238" s="501">
        <f t="shared" si="95"/>
        <v>70.2</v>
      </c>
      <c r="N238" s="501">
        <f>3*18*1.3</f>
        <v>70.2</v>
      </c>
      <c r="O238" s="501">
        <v>0</v>
      </c>
      <c r="P238" s="501">
        <v>0</v>
      </c>
      <c r="Q238" s="501">
        <v>0</v>
      </c>
      <c r="R238" s="501">
        <v>0</v>
      </c>
      <c r="S238" s="501">
        <v>7</v>
      </c>
      <c r="T238" s="502"/>
      <c r="U238" s="501"/>
      <c r="V238" s="507">
        <f t="shared" ref="V238:V269" si="119">E238-S238</f>
        <v>63.2</v>
      </c>
      <c r="W238" s="585"/>
      <c r="X238" s="449"/>
      <c r="Y238" s="449"/>
      <c r="Z238" s="449"/>
      <c r="AA238" s="449"/>
      <c r="AB238" s="449"/>
      <c r="AC238" s="449"/>
      <c r="AD238" s="449"/>
      <c r="AE238" s="449"/>
      <c r="AF238" s="449"/>
      <c r="AG238" s="449"/>
    </row>
    <row r="239" spans="1:33" s="455" customFormat="1" ht="33" customHeight="1">
      <c r="A239" s="451" t="s">
        <v>11</v>
      </c>
      <c r="B239" s="457" t="s">
        <v>150</v>
      </c>
      <c r="C239" s="453">
        <v>9.4</v>
      </c>
      <c r="D239" s="454"/>
      <c r="E239" s="501">
        <f t="shared" si="116"/>
        <v>9.4</v>
      </c>
      <c r="F239" s="501">
        <f t="shared" si="104"/>
        <v>0</v>
      </c>
      <c r="G239" s="501">
        <f t="shared" si="117"/>
        <v>9.4</v>
      </c>
      <c r="H239" s="501">
        <f t="shared" si="118"/>
        <v>9.4</v>
      </c>
      <c r="I239" s="501"/>
      <c r="J239" s="501"/>
      <c r="K239" s="501"/>
      <c r="L239" s="501"/>
      <c r="M239" s="501">
        <f t="shared" si="95"/>
        <v>9.4</v>
      </c>
      <c r="N239" s="501">
        <v>9.4</v>
      </c>
      <c r="O239" s="501">
        <v>0</v>
      </c>
      <c r="P239" s="501"/>
      <c r="Q239" s="501"/>
      <c r="R239" s="501"/>
      <c r="S239" s="501"/>
      <c r="T239" s="502"/>
      <c r="U239" s="501"/>
      <c r="V239" s="507">
        <f t="shared" si="119"/>
        <v>9.4</v>
      </c>
      <c r="W239" s="585"/>
      <c r="X239" s="449"/>
      <c r="Y239" s="449"/>
      <c r="Z239" s="449"/>
      <c r="AA239" s="449"/>
      <c r="AB239" s="449"/>
      <c r="AC239" s="449"/>
      <c r="AD239" s="449"/>
      <c r="AE239" s="449"/>
      <c r="AF239" s="449"/>
      <c r="AG239" s="449"/>
    </row>
    <row r="240" spans="1:33" s="455" customFormat="1" ht="21" hidden="1" customHeight="1">
      <c r="A240" s="451" t="s">
        <v>11</v>
      </c>
      <c r="B240" s="457" t="s">
        <v>817</v>
      </c>
      <c r="C240" s="453">
        <v>50</v>
      </c>
      <c r="D240" s="454"/>
      <c r="E240" s="501">
        <f t="shared" si="116"/>
        <v>0</v>
      </c>
      <c r="F240" s="501">
        <f t="shared" si="104"/>
        <v>-50</v>
      </c>
      <c r="G240" s="501">
        <f t="shared" si="117"/>
        <v>0</v>
      </c>
      <c r="H240" s="501">
        <f t="shared" si="118"/>
        <v>0</v>
      </c>
      <c r="I240" s="501"/>
      <c r="J240" s="501">
        <f t="shared" si="96"/>
        <v>0</v>
      </c>
      <c r="K240" s="501"/>
      <c r="L240" s="501"/>
      <c r="M240" s="501">
        <f>N240+O240</f>
        <v>0</v>
      </c>
      <c r="N240" s="501"/>
      <c r="O240" s="501">
        <v>0</v>
      </c>
      <c r="P240" s="501"/>
      <c r="Q240" s="501"/>
      <c r="R240" s="501"/>
      <c r="S240" s="501"/>
      <c r="T240" s="502"/>
      <c r="U240" s="501"/>
      <c r="V240" s="507">
        <f t="shared" si="119"/>
        <v>0</v>
      </c>
      <c r="W240" s="585"/>
      <c r="X240" s="449"/>
      <c r="Y240" s="449"/>
      <c r="Z240" s="449"/>
      <c r="AA240" s="449"/>
      <c r="AB240" s="449"/>
      <c r="AC240" s="449"/>
      <c r="AD240" s="449"/>
      <c r="AE240" s="449"/>
      <c r="AF240" s="449"/>
      <c r="AG240" s="449"/>
    </row>
    <row r="241" spans="1:33" s="455" customFormat="1" ht="19.5" customHeight="1">
      <c r="A241" s="451" t="s">
        <v>11</v>
      </c>
      <c r="B241" s="481" t="s">
        <v>818</v>
      </c>
      <c r="C241" s="453">
        <v>80</v>
      </c>
      <c r="D241" s="454"/>
      <c r="E241" s="501">
        <f t="shared" si="116"/>
        <v>80</v>
      </c>
      <c r="F241" s="501">
        <f t="shared" si="104"/>
        <v>0</v>
      </c>
      <c r="G241" s="501">
        <f t="shared" si="117"/>
        <v>80</v>
      </c>
      <c r="H241" s="501">
        <f t="shared" si="118"/>
        <v>80</v>
      </c>
      <c r="I241" s="501"/>
      <c r="J241" s="501"/>
      <c r="K241" s="501"/>
      <c r="L241" s="501"/>
      <c r="M241" s="501">
        <f t="shared" si="95"/>
        <v>80</v>
      </c>
      <c r="N241" s="501"/>
      <c r="O241" s="501">
        <v>80</v>
      </c>
      <c r="P241" s="501"/>
      <c r="Q241" s="501"/>
      <c r="R241" s="501"/>
      <c r="S241" s="501">
        <v>8</v>
      </c>
      <c r="T241" s="502"/>
      <c r="U241" s="501"/>
      <c r="V241" s="507">
        <f t="shared" si="119"/>
        <v>72</v>
      </c>
      <c r="W241" s="585"/>
      <c r="X241" s="449"/>
      <c r="Y241" s="449"/>
      <c r="Z241" s="449"/>
      <c r="AA241" s="449"/>
      <c r="AB241" s="449"/>
      <c r="AC241" s="449"/>
      <c r="AD241" s="449"/>
      <c r="AE241" s="449"/>
      <c r="AF241" s="449"/>
      <c r="AG241" s="449"/>
    </row>
    <row r="242" spans="1:33" s="455" customFormat="1" ht="17.25" customHeight="1">
      <c r="A242" s="451" t="s">
        <v>11</v>
      </c>
      <c r="B242" s="452" t="s">
        <v>262</v>
      </c>
      <c r="C242" s="453">
        <v>10</v>
      </c>
      <c r="D242" s="454"/>
      <c r="E242" s="501">
        <f t="shared" si="116"/>
        <v>10</v>
      </c>
      <c r="F242" s="501">
        <f t="shared" si="104"/>
        <v>0</v>
      </c>
      <c r="G242" s="501">
        <f t="shared" si="117"/>
        <v>10</v>
      </c>
      <c r="H242" s="501">
        <f t="shared" si="118"/>
        <v>10</v>
      </c>
      <c r="I242" s="501"/>
      <c r="J242" s="501"/>
      <c r="K242" s="501"/>
      <c r="L242" s="501"/>
      <c r="M242" s="501">
        <f>N242+O242</f>
        <v>10</v>
      </c>
      <c r="N242" s="501"/>
      <c r="O242" s="501">
        <v>10</v>
      </c>
      <c r="P242" s="501"/>
      <c r="Q242" s="501"/>
      <c r="R242" s="501"/>
      <c r="S242" s="501">
        <v>1</v>
      </c>
      <c r="T242" s="502"/>
      <c r="U242" s="501"/>
      <c r="V242" s="507">
        <f t="shared" si="119"/>
        <v>9</v>
      </c>
      <c r="W242" s="585"/>
      <c r="X242" s="449"/>
      <c r="Y242" s="449"/>
      <c r="Z242" s="449"/>
      <c r="AA242" s="449"/>
      <c r="AB242" s="449"/>
      <c r="AC242" s="449"/>
      <c r="AD242" s="449"/>
      <c r="AE242" s="449"/>
      <c r="AF242" s="449"/>
      <c r="AG242" s="449"/>
    </row>
    <row r="243" spans="1:33" s="455" customFormat="1" ht="41.25" customHeight="1">
      <c r="A243" s="451" t="s">
        <v>11</v>
      </c>
      <c r="B243" s="457" t="s">
        <v>819</v>
      </c>
      <c r="C243" s="453">
        <v>67.215999999999994</v>
      </c>
      <c r="D243" s="454"/>
      <c r="E243" s="501">
        <f t="shared" si="116"/>
        <v>67.22</v>
      </c>
      <c r="F243" s="501">
        <f t="shared" si="104"/>
        <v>4.0000000000048885E-3</v>
      </c>
      <c r="G243" s="501">
        <f t="shared" si="117"/>
        <v>67.22</v>
      </c>
      <c r="H243" s="501">
        <f t="shared" si="118"/>
        <v>67.22</v>
      </c>
      <c r="I243" s="501"/>
      <c r="J243" s="501">
        <v>57.22</v>
      </c>
      <c r="K243" s="501"/>
      <c r="L243" s="501"/>
      <c r="M243" s="501">
        <f>N243+O243</f>
        <v>10</v>
      </c>
      <c r="N243" s="501"/>
      <c r="O243" s="501">
        <v>10</v>
      </c>
      <c r="P243" s="501"/>
      <c r="Q243" s="501"/>
      <c r="R243" s="501">
        <v>0</v>
      </c>
      <c r="S243" s="501">
        <v>1</v>
      </c>
      <c r="T243" s="502"/>
      <c r="U243" s="501"/>
      <c r="V243" s="507">
        <f t="shared" si="119"/>
        <v>66.22</v>
      </c>
      <c r="W243" s="585"/>
      <c r="X243" s="449"/>
      <c r="Y243" s="449"/>
      <c r="Z243" s="449"/>
      <c r="AA243" s="449"/>
      <c r="AB243" s="449"/>
      <c r="AC243" s="449"/>
      <c r="AD243" s="449"/>
      <c r="AE243" s="449"/>
      <c r="AF243" s="449"/>
      <c r="AG243" s="449"/>
    </row>
    <row r="244" spans="1:33" s="455" customFormat="1" ht="36.75" customHeight="1">
      <c r="A244" s="451" t="s">
        <v>11</v>
      </c>
      <c r="B244" s="5" t="s">
        <v>941</v>
      </c>
      <c r="C244" s="453"/>
      <c r="D244" s="454"/>
      <c r="E244" s="501">
        <v>0</v>
      </c>
      <c r="F244" s="501"/>
      <c r="G244" s="501"/>
      <c r="H244" s="501"/>
      <c r="I244" s="501"/>
      <c r="J244" s="501"/>
      <c r="K244" s="501"/>
      <c r="L244" s="501"/>
      <c r="M244" s="501"/>
      <c r="N244" s="501"/>
      <c r="O244" s="501"/>
      <c r="P244" s="501"/>
      <c r="Q244" s="501"/>
      <c r="R244" s="501"/>
      <c r="S244" s="501"/>
      <c r="T244" s="502">
        <v>15.68</v>
      </c>
      <c r="U244" s="501"/>
      <c r="V244" s="507">
        <f>T244-U244</f>
        <v>15.68</v>
      </c>
      <c r="W244" s="585"/>
      <c r="X244" s="449"/>
      <c r="Y244" s="449"/>
      <c r="Z244" s="449"/>
      <c r="AA244" s="449"/>
      <c r="AB244" s="449"/>
      <c r="AC244" s="449"/>
      <c r="AD244" s="449"/>
      <c r="AE244" s="449"/>
      <c r="AF244" s="449"/>
      <c r="AG244" s="449"/>
    </row>
    <row r="245" spans="1:33" s="455" customFormat="1" ht="26.25" customHeight="1">
      <c r="A245" s="451"/>
      <c r="B245" s="457" t="s">
        <v>820</v>
      </c>
      <c r="C245" s="453"/>
      <c r="D245" s="454"/>
      <c r="E245" s="501">
        <f t="shared" si="116"/>
        <v>150</v>
      </c>
      <c r="F245" s="501">
        <f t="shared" si="104"/>
        <v>150</v>
      </c>
      <c r="G245" s="501">
        <f t="shared" si="117"/>
        <v>150</v>
      </c>
      <c r="H245" s="501">
        <f t="shared" si="118"/>
        <v>150</v>
      </c>
      <c r="I245" s="501"/>
      <c r="J245" s="501"/>
      <c r="K245" s="501"/>
      <c r="L245" s="501"/>
      <c r="M245" s="501">
        <f>N245+O245</f>
        <v>150</v>
      </c>
      <c r="N245" s="501"/>
      <c r="O245" s="501">
        <v>150</v>
      </c>
      <c r="P245" s="501"/>
      <c r="Q245" s="501"/>
      <c r="R245" s="501"/>
      <c r="S245" s="501">
        <v>15</v>
      </c>
      <c r="T245" s="502"/>
      <c r="U245" s="501"/>
      <c r="V245" s="507">
        <f t="shared" si="119"/>
        <v>135</v>
      </c>
      <c r="W245" s="585"/>
      <c r="X245" s="449"/>
      <c r="Y245" s="449"/>
      <c r="Z245" s="449"/>
      <c r="AA245" s="449"/>
      <c r="AB245" s="449"/>
      <c r="AC245" s="449"/>
      <c r="AD245" s="449"/>
      <c r="AE245" s="449"/>
      <c r="AF245" s="449"/>
      <c r="AG245" s="449"/>
    </row>
    <row r="246" spans="1:33" s="455" customFormat="1" ht="17.25" customHeight="1">
      <c r="A246" s="451" t="s">
        <v>37</v>
      </c>
      <c r="B246" s="452" t="s">
        <v>266</v>
      </c>
      <c r="C246" s="453">
        <f>SUM(C247:C257)</f>
        <v>454.70899999999995</v>
      </c>
      <c r="D246" s="454"/>
      <c r="E246" s="501">
        <f>SUM(E247:E257)</f>
        <v>465.2</v>
      </c>
      <c r="F246" s="501">
        <f t="shared" si="104"/>
        <v>10.491000000000042</v>
      </c>
      <c r="G246" s="501">
        <f t="shared" ref="G246:V246" si="120">SUM(G247:G257)</f>
        <v>465.2</v>
      </c>
      <c r="H246" s="501">
        <f t="shared" si="120"/>
        <v>465.2</v>
      </c>
      <c r="I246" s="501">
        <f t="shared" si="120"/>
        <v>3</v>
      </c>
      <c r="J246" s="501">
        <f t="shared" si="120"/>
        <v>370</v>
      </c>
      <c r="K246" s="501">
        <f t="shared" si="120"/>
        <v>0</v>
      </c>
      <c r="L246" s="501">
        <f t="shared" si="120"/>
        <v>0</v>
      </c>
      <c r="M246" s="501">
        <f t="shared" si="120"/>
        <v>95.2</v>
      </c>
      <c r="N246" s="501">
        <f t="shared" si="120"/>
        <v>85.2</v>
      </c>
      <c r="O246" s="501">
        <f t="shared" si="120"/>
        <v>10</v>
      </c>
      <c r="P246" s="501">
        <f t="shared" si="120"/>
        <v>0</v>
      </c>
      <c r="Q246" s="501">
        <f t="shared" si="120"/>
        <v>0</v>
      </c>
      <c r="R246" s="501">
        <f t="shared" si="120"/>
        <v>0</v>
      </c>
      <c r="S246" s="501">
        <f t="shared" si="120"/>
        <v>8</v>
      </c>
      <c r="T246" s="502">
        <f>SUM(T247:T257)</f>
        <v>39.760000000000005</v>
      </c>
      <c r="U246" s="501">
        <f t="shared" si="120"/>
        <v>13.25</v>
      </c>
      <c r="V246" s="501">
        <f t="shared" si="120"/>
        <v>483.71</v>
      </c>
      <c r="W246" s="585" t="s">
        <v>266</v>
      </c>
      <c r="X246" s="449"/>
      <c r="Y246" s="449"/>
      <c r="Z246" s="449"/>
      <c r="AA246" s="449"/>
      <c r="AB246" s="449"/>
      <c r="AC246" s="449"/>
      <c r="AD246" s="449"/>
      <c r="AE246" s="449"/>
      <c r="AF246" s="449"/>
      <c r="AG246" s="449"/>
    </row>
    <row r="247" spans="1:33" s="455" customFormat="1" ht="17.25" customHeight="1">
      <c r="A247" s="456" t="s">
        <v>11</v>
      </c>
      <c r="B247" s="452" t="s">
        <v>267</v>
      </c>
      <c r="C247" s="453">
        <v>359.745</v>
      </c>
      <c r="D247" s="454"/>
      <c r="E247" s="501">
        <f>G247+R247</f>
        <v>370</v>
      </c>
      <c r="F247" s="501">
        <f t="shared" si="104"/>
        <v>10.254999999999995</v>
      </c>
      <c r="G247" s="501">
        <f t="shared" ref="G247:G257" si="121">H247+P247+Q247</f>
        <v>370</v>
      </c>
      <c r="H247" s="501">
        <f t="shared" ref="H247:H257" si="122">J247+M247</f>
        <v>370</v>
      </c>
      <c r="I247" s="501">
        <v>3</v>
      </c>
      <c r="J247" s="501">
        <v>370</v>
      </c>
      <c r="K247" s="501"/>
      <c r="L247" s="501"/>
      <c r="M247" s="501">
        <f t="shared" si="95"/>
        <v>0</v>
      </c>
      <c r="N247" s="501"/>
      <c r="O247" s="501">
        <v>0</v>
      </c>
      <c r="P247" s="501"/>
      <c r="Q247" s="501"/>
      <c r="R247" s="501"/>
      <c r="S247" s="501"/>
      <c r="T247" s="502"/>
      <c r="U247" s="501">
        <v>13.25</v>
      </c>
      <c r="V247" s="507">
        <f>E247-S247+T247-U247</f>
        <v>356.75</v>
      </c>
      <c r="W247" s="585"/>
      <c r="X247" s="449"/>
      <c r="Y247" s="449"/>
      <c r="Z247" s="449"/>
      <c r="AA247" s="449"/>
      <c r="AB247" s="449"/>
      <c r="AC247" s="449"/>
      <c r="AD247" s="449"/>
      <c r="AE247" s="449"/>
      <c r="AF247" s="449"/>
      <c r="AG247" s="449"/>
    </row>
    <row r="248" spans="1:33" s="455" customFormat="1" ht="17.25" customHeight="1">
      <c r="A248" s="456" t="s">
        <v>11</v>
      </c>
      <c r="B248" s="452" t="s">
        <v>268</v>
      </c>
      <c r="C248" s="453">
        <v>70.2</v>
      </c>
      <c r="D248" s="454"/>
      <c r="E248" s="501">
        <f>G248</f>
        <v>70.2</v>
      </c>
      <c r="F248" s="501">
        <f t="shared" si="104"/>
        <v>0</v>
      </c>
      <c r="G248" s="501">
        <f t="shared" si="121"/>
        <v>70.2</v>
      </c>
      <c r="H248" s="501">
        <f t="shared" si="122"/>
        <v>70.2</v>
      </c>
      <c r="I248" s="501"/>
      <c r="J248" s="501">
        <f t="shared" si="96"/>
        <v>0</v>
      </c>
      <c r="K248" s="501"/>
      <c r="L248" s="501"/>
      <c r="M248" s="501">
        <f t="shared" si="95"/>
        <v>70.2</v>
      </c>
      <c r="N248" s="501">
        <f>3*18*1.3</f>
        <v>70.2</v>
      </c>
      <c r="O248" s="501">
        <v>0</v>
      </c>
      <c r="P248" s="501">
        <v>0</v>
      </c>
      <c r="Q248" s="501">
        <v>0</v>
      </c>
      <c r="R248" s="501">
        <v>0</v>
      </c>
      <c r="S248" s="501">
        <v>7</v>
      </c>
      <c r="T248" s="502"/>
      <c r="U248" s="501"/>
      <c r="V248" s="507">
        <f t="shared" si="119"/>
        <v>63.2</v>
      </c>
      <c r="W248" s="585"/>
      <c r="X248" s="449"/>
      <c r="Y248" s="449"/>
      <c r="Z248" s="449"/>
      <c r="AA248" s="449"/>
      <c r="AB248" s="449"/>
      <c r="AC248" s="449"/>
      <c r="AD248" s="449"/>
      <c r="AE248" s="449"/>
      <c r="AF248" s="449"/>
      <c r="AG248" s="449"/>
    </row>
    <row r="249" spans="1:33" s="455" customFormat="1" ht="17.25" customHeight="1">
      <c r="A249" s="456" t="s">
        <v>11</v>
      </c>
      <c r="B249" s="452" t="s">
        <v>269</v>
      </c>
      <c r="C249" s="453">
        <v>5.3639999999999999</v>
      </c>
      <c r="D249" s="454"/>
      <c r="E249" s="501">
        <f t="shared" ref="E249:E257" si="123">G249+R249</f>
        <v>0</v>
      </c>
      <c r="F249" s="501">
        <f t="shared" si="104"/>
        <v>-5.3639999999999999</v>
      </c>
      <c r="G249" s="501">
        <f t="shared" si="121"/>
        <v>0</v>
      </c>
      <c r="H249" s="501">
        <f t="shared" si="122"/>
        <v>0</v>
      </c>
      <c r="I249" s="501"/>
      <c r="J249" s="501"/>
      <c r="K249" s="501"/>
      <c r="L249" s="501"/>
      <c r="M249" s="501">
        <f t="shared" si="95"/>
        <v>0</v>
      </c>
      <c r="N249" s="501"/>
      <c r="O249" s="501">
        <v>0</v>
      </c>
      <c r="P249" s="501"/>
      <c r="Q249" s="501"/>
      <c r="R249" s="501"/>
      <c r="S249" s="501"/>
      <c r="T249" s="502">
        <v>5.36</v>
      </c>
      <c r="U249" s="501"/>
      <c r="V249" s="507">
        <f>T249+U249</f>
        <v>5.36</v>
      </c>
      <c r="W249" s="585"/>
      <c r="X249" s="449"/>
      <c r="Y249" s="449"/>
      <c r="Z249" s="449"/>
      <c r="AA249" s="449"/>
      <c r="AB249" s="449"/>
      <c r="AC249" s="449"/>
      <c r="AD249" s="449"/>
      <c r="AE249" s="449"/>
      <c r="AF249" s="449"/>
      <c r="AG249" s="449"/>
    </row>
    <row r="250" spans="1:33" s="455" customFormat="1" ht="28.5" customHeight="1">
      <c r="A250" s="451" t="s">
        <v>11</v>
      </c>
      <c r="B250" s="457" t="s">
        <v>150</v>
      </c>
      <c r="C250" s="453">
        <v>9.4</v>
      </c>
      <c r="D250" s="454"/>
      <c r="E250" s="501">
        <f t="shared" si="123"/>
        <v>0</v>
      </c>
      <c r="F250" s="501">
        <f t="shared" si="104"/>
        <v>-9.4</v>
      </c>
      <c r="G250" s="501">
        <f t="shared" si="121"/>
        <v>0</v>
      </c>
      <c r="H250" s="501">
        <f t="shared" si="122"/>
        <v>0</v>
      </c>
      <c r="I250" s="501"/>
      <c r="J250" s="501">
        <f t="shared" si="96"/>
        <v>0</v>
      </c>
      <c r="K250" s="501"/>
      <c r="L250" s="501"/>
      <c r="M250" s="501">
        <f t="shared" si="95"/>
        <v>0</v>
      </c>
      <c r="N250" s="501"/>
      <c r="O250" s="501">
        <v>0</v>
      </c>
      <c r="P250" s="501"/>
      <c r="Q250" s="501"/>
      <c r="R250" s="501"/>
      <c r="S250" s="501"/>
      <c r="T250" s="502">
        <v>9.4</v>
      </c>
      <c r="U250" s="501"/>
      <c r="V250" s="507">
        <f>T250+U250</f>
        <v>9.4</v>
      </c>
      <c r="W250" s="585"/>
      <c r="X250" s="449"/>
      <c r="Y250" s="449"/>
      <c r="Z250" s="449"/>
      <c r="AA250" s="449"/>
      <c r="AB250" s="449"/>
      <c r="AC250" s="449"/>
      <c r="AD250" s="449"/>
      <c r="AE250" s="449"/>
      <c r="AF250" s="449"/>
      <c r="AG250" s="449"/>
    </row>
    <row r="251" spans="1:33" s="455" customFormat="1" ht="17.25" customHeight="1">
      <c r="A251" s="456" t="s">
        <v>11</v>
      </c>
      <c r="B251" s="452" t="s">
        <v>262</v>
      </c>
      <c r="C251" s="453">
        <v>10</v>
      </c>
      <c r="D251" s="454"/>
      <c r="E251" s="501">
        <f t="shared" si="123"/>
        <v>10</v>
      </c>
      <c r="F251" s="501">
        <f t="shared" si="104"/>
        <v>0</v>
      </c>
      <c r="G251" s="501">
        <f t="shared" si="121"/>
        <v>10</v>
      </c>
      <c r="H251" s="501">
        <f t="shared" si="122"/>
        <v>10</v>
      </c>
      <c r="I251" s="501"/>
      <c r="J251" s="501">
        <f>K251+L251</f>
        <v>0</v>
      </c>
      <c r="K251" s="501"/>
      <c r="L251" s="501"/>
      <c r="M251" s="501">
        <f>N251+O251</f>
        <v>10</v>
      </c>
      <c r="N251" s="501"/>
      <c r="O251" s="501">
        <v>10</v>
      </c>
      <c r="P251" s="501"/>
      <c r="Q251" s="501"/>
      <c r="R251" s="501"/>
      <c r="S251" s="501">
        <v>1</v>
      </c>
      <c r="T251" s="502"/>
      <c r="U251" s="501"/>
      <c r="V251" s="507">
        <f t="shared" si="119"/>
        <v>9</v>
      </c>
      <c r="W251" s="585"/>
      <c r="X251" s="449"/>
      <c r="Y251" s="449"/>
      <c r="Z251" s="449"/>
      <c r="AA251" s="449"/>
      <c r="AB251" s="449"/>
      <c r="AC251" s="449"/>
      <c r="AD251" s="449"/>
      <c r="AE251" s="449"/>
      <c r="AF251" s="449"/>
      <c r="AG251" s="449"/>
    </row>
    <row r="252" spans="1:33" s="455" customFormat="1" ht="40.5" hidden="1" customHeight="1">
      <c r="A252" s="456"/>
      <c r="B252" s="481" t="s">
        <v>821</v>
      </c>
      <c r="C252" s="453"/>
      <c r="D252" s="454"/>
      <c r="E252" s="501">
        <f t="shared" si="123"/>
        <v>0</v>
      </c>
      <c r="F252" s="501">
        <f t="shared" si="104"/>
        <v>0</v>
      </c>
      <c r="G252" s="501">
        <f t="shared" si="121"/>
        <v>0</v>
      </c>
      <c r="H252" s="501">
        <f t="shared" si="122"/>
        <v>0</v>
      </c>
      <c r="I252" s="501"/>
      <c r="J252" s="501"/>
      <c r="K252" s="501"/>
      <c r="L252" s="501"/>
      <c r="M252" s="501">
        <f>N252+O252</f>
        <v>0</v>
      </c>
      <c r="N252" s="501"/>
      <c r="O252" s="501"/>
      <c r="P252" s="501"/>
      <c r="Q252" s="501"/>
      <c r="R252" s="501"/>
      <c r="S252" s="501"/>
      <c r="T252" s="502"/>
      <c r="U252" s="501"/>
      <c r="V252" s="507">
        <f t="shared" si="119"/>
        <v>0</v>
      </c>
      <c r="W252" s="585"/>
      <c r="X252" s="449"/>
      <c r="Y252" s="449"/>
      <c r="Z252" s="449"/>
      <c r="AA252" s="449"/>
      <c r="AB252" s="449"/>
      <c r="AC252" s="449"/>
      <c r="AD252" s="449"/>
      <c r="AE252" s="449"/>
      <c r="AF252" s="449"/>
      <c r="AG252" s="449"/>
    </row>
    <row r="253" spans="1:33" s="455" customFormat="1" ht="34.5" hidden="1" customHeight="1">
      <c r="A253" s="456"/>
      <c r="B253" s="481" t="s">
        <v>822</v>
      </c>
      <c r="C253" s="453"/>
      <c r="D253" s="454"/>
      <c r="E253" s="501">
        <f t="shared" si="123"/>
        <v>0</v>
      </c>
      <c r="F253" s="501">
        <f t="shared" si="104"/>
        <v>0</v>
      </c>
      <c r="G253" s="501">
        <f t="shared" si="121"/>
        <v>0</v>
      </c>
      <c r="H253" s="501">
        <f t="shared" si="122"/>
        <v>0</v>
      </c>
      <c r="I253" s="501"/>
      <c r="J253" s="501"/>
      <c r="K253" s="501"/>
      <c r="L253" s="501"/>
      <c r="M253" s="501">
        <f>N253+O253</f>
        <v>0</v>
      </c>
      <c r="N253" s="501"/>
      <c r="O253" s="501"/>
      <c r="P253" s="501"/>
      <c r="Q253" s="501"/>
      <c r="R253" s="501"/>
      <c r="S253" s="501"/>
      <c r="T253" s="502"/>
      <c r="U253" s="501"/>
      <c r="V253" s="507">
        <f t="shared" si="119"/>
        <v>0</v>
      </c>
      <c r="W253" s="585"/>
      <c r="X253" s="449"/>
      <c r="Y253" s="449"/>
      <c r="Z253" s="449"/>
      <c r="AA253" s="449"/>
      <c r="AB253" s="449"/>
      <c r="AC253" s="449"/>
      <c r="AD253" s="449"/>
      <c r="AE253" s="449"/>
      <c r="AF253" s="449"/>
      <c r="AG253" s="449"/>
    </row>
    <row r="254" spans="1:33" s="455" customFormat="1" ht="43.5" hidden="1" customHeight="1">
      <c r="A254" s="451" t="s">
        <v>11</v>
      </c>
      <c r="B254" s="481" t="s">
        <v>823</v>
      </c>
      <c r="C254" s="453"/>
      <c r="D254" s="454"/>
      <c r="E254" s="501">
        <f t="shared" si="123"/>
        <v>0</v>
      </c>
      <c r="F254" s="501">
        <f t="shared" si="104"/>
        <v>0</v>
      </c>
      <c r="G254" s="501">
        <f t="shared" si="121"/>
        <v>0</v>
      </c>
      <c r="H254" s="501">
        <f t="shared" si="122"/>
        <v>0</v>
      </c>
      <c r="I254" s="501"/>
      <c r="J254" s="501">
        <f t="shared" si="96"/>
        <v>0</v>
      </c>
      <c r="K254" s="501"/>
      <c r="L254" s="501"/>
      <c r="M254" s="501">
        <f>N254+O254</f>
        <v>0</v>
      </c>
      <c r="N254" s="501"/>
      <c r="O254" s="501"/>
      <c r="P254" s="501"/>
      <c r="Q254" s="501"/>
      <c r="R254" s="501"/>
      <c r="S254" s="501"/>
      <c r="T254" s="502"/>
      <c r="U254" s="501"/>
      <c r="V254" s="507">
        <f t="shared" si="119"/>
        <v>0</v>
      </c>
      <c r="W254" s="585"/>
      <c r="X254" s="449"/>
      <c r="Y254" s="449"/>
      <c r="Z254" s="449"/>
      <c r="AA254" s="449"/>
      <c r="AB254" s="449"/>
      <c r="AC254" s="449"/>
      <c r="AD254" s="449"/>
      <c r="AE254" s="449"/>
      <c r="AF254" s="449"/>
      <c r="AG254" s="449"/>
    </row>
    <row r="255" spans="1:33" s="455" customFormat="1" ht="28.5" customHeight="1">
      <c r="A255" s="451"/>
      <c r="B255" s="457" t="s">
        <v>824</v>
      </c>
      <c r="C255" s="453"/>
      <c r="D255" s="454"/>
      <c r="E255" s="501"/>
      <c r="F255" s="501"/>
      <c r="G255" s="501"/>
      <c r="H255" s="501"/>
      <c r="I255" s="501"/>
      <c r="J255" s="501"/>
      <c r="K255" s="501"/>
      <c r="L255" s="501"/>
      <c r="M255" s="501"/>
      <c r="N255" s="501"/>
      <c r="O255" s="501"/>
      <c r="P255" s="501"/>
      <c r="Q255" s="501"/>
      <c r="R255" s="501"/>
      <c r="S255" s="501"/>
      <c r="T255" s="502">
        <v>25</v>
      </c>
      <c r="U255" s="501">
        <v>0</v>
      </c>
      <c r="V255" s="507">
        <f>T255-U255</f>
        <v>25</v>
      </c>
      <c r="W255" s="585"/>
      <c r="X255" s="449"/>
      <c r="Y255" s="449"/>
      <c r="Z255" s="449"/>
      <c r="AA255" s="449"/>
      <c r="AB255" s="449"/>
      <c r="AC255" s="449"/>
      <c r="AD255" s="449"/>
      <c r="AE255" s="449"/>
      <c r="AF255" s="449"/>
      <c r="AG255" s="449"/>
    </row>
    <row r="256" spans="1:33" s="455" customFormat="1" ht="25.5" customHeight="1">
      <c r="A256" s="456" t="s">
        <v>11</v>
      </c>
      <c r="B256" s="457" t="s">
        <v>825</v>
      </c>
      <c r="C256" s="453"/>
      <c r="D256" s="454"/>
      <c r="E256" s="501">
        <f t="shared" si="123"/>
        <v>15</v>
      </c>
      <c r="F256" s="501">
        <f t="shared" si="104"/>
        <v>15</v>
      </c>
      <c r="G256" s="501">
        <f t="shared" si="121"/>
        <v>15</v>
      </c>
      <c r="H256" s="501">
        <f t="shared" si="122"/>
        <v>15</v>
      </c>
      <c r="I256" s="501"/>
      <c r="J256" s="501">
        <f>K256+L256</f>
        <v>0</v>
      </c>
      <c r="K256" s="501"/>
      <c r="L256" s="501"/>
      <c r="M256" s="501">
        <f t="shared" si="95"/>
        <v>15</v>
      </c>
      <c r="N256" s="501">
        <v>15</v>
      </c>
      <c r="O256" s="501"/>
      <c r="P256" s="501"/>
      <c r="Q256" s="501"/>
      <c r="R256" s="501"/>
      <c r="S256" s="501">
        <v>0</v>
      </c>
      <c r="T256" s="502"/>
      <c r="U256" s="501"/>
      <c r="V256" s="507">
        <f t="shared" si="119"/>
        <v>15</v>
      </c>
      <c r="W256" s="585"/>
      <c r="X256" s="449"/>
      <c r="Y256" s="449"/>
      <c r="Z256" s="449"/>
      <c r="AA256" s="449"/>
      <c r="AB256" s="449"/>
      <c r="AC256" s="449"/>
      <c r="AD256" s="449"/>
      <c r="AE256" s="449"/>
      <c r="AF256" s="449"/>
      <c r="AG256" s="449"/>
    </row>
    <row r="257" spans="1:33" s="455" customFormat="1" ht="17.25" customHeight="1">
      <c r="A257" s="456" t="s">
        <v>11</v>
      </c>
      <c r="B257" s="457" t="s">
        <v>826</v>
      </c>
      <c r="C257" s="453"/>
      <c r="D257" s="454"/>
      <c r="E257" s="501">
        <f t="shared" si="123"/>
        <v>0</v>
      </c>
      <c r="F257" s="501">
        <f t="shared" si="104"/>
        <v>0</v>
      </c>
      <c r="G257" s="501">
        <f t="shared" si="121"/>
        <v>0</v>
      </c>
      <c r="H257" s="501">
        <f t="shared" si="122"/>
        <v>0</v>
      </c>
      <c r="I257" s="501"/>
      <c r="J257" s="501">
        <f>K257+L257</f>
        <v>0</v>
      </c>
      <c r="K257" s="501"/>
      <c r="L257" s="501"/>
      <c r="M257" s="501">
        <f t="shared" si="95"/>
        <v>0</v>
      </c>
      <c r="N257" s="501"/>
      <c r="O257" s="501"/>
      <c r="P257" s="501"/>
      <c r="Q257" s="501"/>
      <c r="R257" s="501"/>
      <c r="S257" s="501"/>
      <c r="T257" s="502"/>
      <c r="U257" s="501"/>
      <c r="V257" s="507">
        <f t="shared" si="119"/>
        <v>0</v>
      </c>
      <c r="W257" s="585"/>
      <c r="X257" s="449"/>
      <c r="Y257" s="449"/>
      <c r="Z257" s="449"/>
      <c r="AA257" s="449"/>
      <c r="AB257" s="449"/>
      <c r="AC257" s="449"/>
      <c r="AD257" s="449"/>
      <c r="AE257" s="449"/>
      <c r="AF257" s="449"/>
      <c r="AG257" s="449"/>
    </row>
    <row r="258" spans="1:33" s="455" customFormat="1" ht="17.25" customHeight="1">
      <c r="A258" s="451" t="s">
        <v>75</v>
      </c>
      <c r="B258" s="452" t="s">
        <v>270</v>
      </c>
      <c r="C258" s="453">
        <f>SUM(C259:C264)</f>
        <v>372.79599999999999</v>
      </c>
      <c r="D258" s="454"/>
      <c r="E258" s="501">
        <f>SUM(E259:E264)</f>
        <v>436.18700000000001</v>
      </c>
      <c r="F258" s="501">
        <f t="shared" si="104"/>
        <v>63.39100000000002</v>
      </c>
      <c r="G258" s="501">
        <f t="shared" ref="G258:R258" si="124">SUM(G259:G264)</f>
        <v>436.18700000000001</v>
      </c>
      <c r="H258" s="501">
        <f t="shared" si="124"/>
        <v>436.18700000000001</v>
      </c>
      <c r="I258" s="501">
        <f t="shared" si="124"/>
        <v>2</v>
      </c>
      <c r="J258" s="501">
        <f t="shared" si="124"/>
        <v>264.387</v>
      </c>
      <c r="K258" s="501">
        <f t="shared" si="124"/>
        <v>0</v>
      </c>
      <c r="L258" s="501">
        <f t="shared" si="124"/>
        <v>0</v>
      </c>
      <c r="M258" s="501">
        <f t="shared" si="124"/>
        <v>171.8</v>
      </c>
      <c r="N258" s="501">
        <f t="shared" si="124"/>
        <v>46.800000000000004</v>
      </c>
      <c r="O258" s="501">
        <f t="shared" si="124"/>
        <v>125</v>
      </c>
      <c r="P258" s="501">
        <f t="shared" si="124"/>
        <v>0</v>
      </c>
      <c r="Q258" s="501">
        <f t="shared" si="124"/>
        <v>0</v>
      </c>
      <c r="R258" s="501">
        <f t="shared" si="124"/>
        <v>0</v>
      </c>
      <c r="S258" s="501">
        <f>SUM(S259:S264)</f>
        <v>16.5</v>
      </c>
      <c r="T258" s="502">
        <f>SUM(T259:T264)</f>
        <v>0</v>
      </c>
      <c r="U258" s="501">
        <f>SUM(U259:U264)</f>
        <v>0</v>
      </c>
      <c r="V258" s="501">
        <f>SUM(V259:V264)</f>
        <v>419.68700000000001</v>
      </c>
      <c r="W258" s="585" t="s">
        <v>270</v>
      </c>
      <c r="X258" s="449"/>
      <c r="Y258" s="449"/>
      <c r="Z258" s="449"/>
      <c r="AA258" s="449"/>
      <c r="AB258" s="449"/>
      <c r="AC258" s="449"/>
      <c r="AD258" s="449"/>
      <c r="AE258" s="449"/>
      <c r="AF258" s="449"/>
      <c r="AG258" s="449"/>
    </row>
    <row r="259" spans="1:33" s="455" customFormat="1" ht="17.25" customHeight="1">
      <c r="A259" s="456" t="s">
        <v>11</v>
      </c>
      <c r="B259" s="452" t="s">
        <v>271</v>
      </c>
      <c r="C259" s="453">
        <v>212.59299999999999</v>
      </c>
      <c r="D259" s="454"/>
      <c r="E259" s="501">
        <f t="shared" ref="E259:E264" si="125">G259+R259</f>
        <v>207.167</v>
      </c>
      <c r="F259" s="501">
        <f t="shared" si="104"/>
        <v>-5.4259999999999877</v>
      </c>
      <c r="G259" s="501">
        <f t="shared" ref="G259:G264" si="126">H259+P259+Q259</f>
        <v>207.167</v>
      </c>
      <c r="H259" s="501">
        <f t="shared" ref="H259:H264" si="127">J259+M259</f>
        <v>207.167</v>
      </c>
      <c r="I259" s="501">
        <v>2</v>
      </c>
      <c r="J259" s="501">
        <v>207.167</v>
      </c>
      <c r="K259" s="501"/>
      <c r="L259" s="501"/>
      <c r="M259" s="501">
        <f t="shared" si="95"/>
        <v>0</v>
      </c>
      <c r="N259" s="501"/>
      <c r="O259" s="501">
        <v>0</v>
      </c>
      <c r="P259" s="501"/>
      <c r="Q259" s="501"/>
      <c r="R259" s="501"/>
      <c r="S259" s="501"/>
      <c r="T259" s="502"/>
      <c r="U259" s="501"/>
      <c r="V259" s="507">
        <f t="shared" si="119"/>
        <v>207.167</v>
      </c>
      <c r="W259" s="585"/>
      <c r="X259" s="449"/>
      <c r="Y259" s="449"/>
      <c r="Z259" s="449"/>
      <c r="AA259" s="449"/>
      <c r="AB259" s="449"/>
      <c r="AC259" s="449"/>
      <c r="AD259" s="449"/>
      <c r="AE259" s="449"/>
      <c r="AF259" s="449"/>
      <c r="AG259" s="449"/>
    </row>
    <row r="260" spans="1:33" s="455" customFormat="1" ht="17.25" customHeight="1">
      <c r="A260" s="456" t="s">
        <v>11</v>
      </c>
      <c r="B260" s="452" t="s">
        <v>272</v>
      </c>
      <c r="C260" s="453">
        <v>46.8</v>
      </c>
      <c r="D260" s="454"/>
      <c r="E260" s="501">
        <f t="shared" si="125"/>
        <v>46.800000000000004</v>
      </c>
      <c r="F260" s="501">
        <f t="shared" si="104"/>
        <v>0</v>
      </c>
      <c r="G260" s="501">
        <f t="shared" si="126"/>
        <v>46.800000000000004</v>
      </c>
      <c r="H260" s="501">
        <f t="shared" si="127"/>
        <v>46.800000000000004</v>
      </c>
      <c r="I260" s="501"/>
      <c r="J260" s="501">
        <f>K260+L260</f>
        <v>0</v>
      </c>
      <c r="K260" s="501"/>
      <c r="L260" s="501"/>
      <c r="M260" s="501">
        <f t="shared" si="95"/>
        <v>46.800000000000004</v>
      </c>
      <c r="N260" s="501">
        <f>2*18*1.3</f>
        <v>46.800000000000004</v>
      </c>
      <c r="O260" s="501">
        <v>0</v>
      </c>
      <c r="P260" s="501">
        <v>0</v>
      </c>
      <c r="Q260" s="501">
        <v>0</v>
      </c>
      <c r="R260" s="501">
        <v>0</v>
      </c>
      <c r="S260" s="501">
        <v>4.5</v>
      </c>
      <c r="T260" s="502"/>
      <c r="U260" s="501"/>
      <c r="V260" s="507">
        <f t="shared" si="119"/>
        <v>42.300000000000004</v>
      </c>
      <c r="W260" s="585"/>
      <c r="X260" s="449"/>
      <c r="Y260" s="449"/>
      <c r="Z260" s="449"/>
      <c r="AA260" s="449"/>
      <c r="AB260" s="449"/>
      <c r="AC260" s="449"/>
      <c r="AD260" s="449"/>
      <c r="AE260" s="449"/>
      <c r="AF260" s="449"/>
      <c r="AG260" s="449"/>
    </row>
    <row r="261" spans="1:33" s="455" customFormat="1" ht="32.25" hidden="1" customHeight="1">
      <c r="A261" s="451" t="s">
        <v>11</v>
      </c>
      <c r="B261" s="457" t="s">
        <v>827</v>
      </c>
      <c r="C261" s="453">
        <v>31.187000000000001</v>
      </c>
      <c r="D261" s="454"/>
      <c r="E261" s="501">
        <f t="shared" si="125"/>
        <v>0</v>
      </c>
      <c r="F261" s="501">
        <f t="shared" si="104"/>
        <v>-31.187000000000001</v>
      </c>
      <c r="G261" s="501">
        <f t="shared" si="126"/>
        <v>0</v>
      </c>
      <c r="H261" s="501">
        <f t="shared" si="127"/>
        <v>0</v>
      </c>
      <c r="I261" s="501"/>
      <c r="J261" s="501">
        <f>K261+L261</f>
        <v>0</v>
      </c>
      <c r="K261" s="501"/>
      <c r="L261" s="501"/>
      <c r="M261" s="501">
        <f>N261+O261</f>
        <v>0</v>
      </c>
      <c r="N261" s="501"/>
      <c r="O261" s="501">
        <v>0</v>
      </c>
      <c r="P261" s="501"/>
      <c r="Q261" s="501"/>
      <c r="R261" s="501"/>
      <c r="S261" s="501"/>
      <c r="T261" s="502"/>
      <c r="U261" s="501"/>
      <c r="V261" s="507">
        <f t="shared" si="119"/>
        <v>0</v>
      </c>
      <c r="W261" s="585"/>
      <c r="X261" s="449"/>
      <c r="Y261" s="449"/>
      <c r="Z261" s="449"/>
      <c r="AA261" s="449"/>
      <c r="AB261" s="449"/>
      <c r="AC261" s="449"/>
      <c r="AD261" s="449"/>
      <c r="AE261" s="449"/>
      <c r="AF261" s="449"/>
      <c r="AG261" s="449"/>
    </row>
    <row r="262" spans="1:33" s="455" customFormat="1" ht="42" customHeight="1">
      <c r="A262" s="456" t="s">
        <v>11</v>
      </c>
      <c r="B262" s="457" t="s">
        <v>828</v>
      </c>
      <c r="C262" s="453">
        <v>77.215999999999994</v>
      </c>
      <c r="D262" s="454"/>
      <c r="E262" s="501">
        <f t="shared" si="125"/>
        <v>77.22</v>
      </c>
      <c r="F262" s="501">
        <f t="shared" si="104"/>
        <v>4.0000000000048885E-3</v>
      </c>
      <c r="G262" s="501">
        <f t="shared" si="126"/>
        <v>77.22</v>
      </c>
      <c r="H262" s="501">
        <f t="shared" si="127"/>
        <v>77.22</v>
      </c>
      <c r="I262" s="501"/>
      <c r="J262" s="501">
        <v>57.22</v>
      </c>
      <c r="K262" s="501"/>
      <c r="L262" s="501"/>
      <c r="M262" s="501">
        <f>N262+O262</f>
        <v>20</v>
      </c>
      <c r="N262" s="501"/>
      <c r="O262" s="501">
        <v>20</v>
      </c>
      <c r="P262" s="501"/>
      <c r="Q262" s="501"/>
      <c r="R262" s="501">
        <v>0</v>
      </c>
      <c r="S262" s="501">
        <v>2</v>
      </c>
      <c r="T262" s="502"/>
      <c r="U262" s="501"/>
      <c r="V262" s="507">
        <f t="shared" si="119"/>
        <v>75.22</v>
      </c>
      <c r="W262" s="585"/>
      <c r="X262" s="449"/>
      <c r="Y262" s="449"/>
      <c r="Z262" s="449"/>
      <c r="AA262" s="449"/>
      <c r="AB262" s="449"/>
      <c r="AC262" s="449"/>
      <c r="AD262" s="449"/>
      <c r="AE262" s="449"/>
      <c r="AF262" s="449"/>
      <c r="AG262" s="449"/>
    </row>
    <row r="263" spans="1:33" s="455" customFormat="1" ht="17.25" customHeight="1">
      <c r="A263" s="456" t="s">
        <v>11</v>
      </c>
      <c r="B263" s="452" t="s">
        <v>262</v>
      </c>
      <c r="C263" s="453">
        <v>5</v>
      </c>
      <c r="D263" s="454"/>
      <c r="E263" s="501">
        <f t="shared" si="125"/>
        <v>5</v>
      </c>
      <c r="F263" s="501">
        <f t="shared" si="104"/>
        <v>0</v>
      </c>
      <c r="G263" s="501">
        <f t="shared" si="126"/>
        <v>5</v>
      </c>
      <c r="H263" s="501">
        <f t="shared" si="127"/>
        <v>5</v>
      </c>
      <c r="I263" s="501"/>
      <c r="J263" s="501">
        <f>K263+L263</f>
        <v>0</v>
      </c>
      <c r="K263" s="501"/>
      <c r="L263" s="501"/>
      <c r="M263" s="501">
        <f>N263+O263</f>
        <v>5</v>
      </c>
      <c r="N263" s="501"/>
      <c r="O263" s="501">
        <v>5</v>
      </c>
      <c r="P263" s="501"/>
      <c r="Q263" s="501"/>
      <c r="R263" s="501"/>
      <c r="S263" s="501">
        <v>0</v>
      </c>
      <c r="T263" s="502"/>
      <c r="U263" s="501"/>
      <c r="V263" s="507">
        <f t="shared" si="119"/>
        <v>5</v>
      </c>
      <c r="W263" s="585"/>
      <c r="X263" s="449"/>
      <c r="Y263" s="449"/>
      <c r="Z263" s="449"/>
      <c r="AA263" s="449"/>
      <c r="AB263" s="449"/>
      <c r="AC263" s="449"/>
      <c r="AD263" s="449"/>
      <c r="AE263" s="449"/>
      <c r="AF263" s="449"/>
      <c r="AG263" s="449"/>
    </row>
    <row r="264" spans="1:33" s="455" customFormat="1" ht="23.25" customHeight="1">
      <c r="A264" s="456" t="s">
        <v>11</v>
      </c>
      <c r="B264" s="457" t="s">
        <v>829</v>
      </c>
      <c r="C264" s="453"/>
      <c r="D264" s="454"/>
      <c r="E264" s="501">
        <f t="shared" si="125"/>
        <v>100</v>
      </c>
      <c r="F264" s="501">
        <f t="shared" si="104"/>
        <v>100</v>
      </c>
      <c r="G264" s="501">
        <f t="shared" si="126"/>
        <v>100</v>
      </c>
      <c r="H264" s="501">
        <f t="shared" si="127"/>
        <v>100</v>
      </c>
      <c r="I264" s="501"/>
      <c r="J264" s="501"/>
      <c r="K264" s="501"/>
      <c r="L264" s="501"/>
      <c r="M264" s="501">
        <f>N264+O264</f>
        <v>100</v>
      </c>
      <c r="N264" s="501"/>
      <c r="O264" s="501">
        <v>100</v>
      </c>
      <c r="P264" s="501"/>
      <c r="Q264" s="501"/>
      <c r="R264" s="501"/>
      <c r="S264" s="501">
        <v>10</v>
      </c>
      <c r="T264" s="502"/>
      <c r="U264" s="501"/>
      <c r="V264" s="507">
        <f t="shared" si="119"/>
        <v>90</v>
      </c>
      <c r="W264" s="585"/>
      <c r="X264" s="449"/>
      <c r="Y264" s="449"/>
      <c r="Z264" s="449"/>
      <c r="AA264" s="449"/>
      <c r="AB264" s="449"/>
      <c r="AC264" s="449"/>
      <c r="AD264" s="449"/>
      <c r="AE264" s="449"/>
      <c r="AF264" s="449"/>
      <c r="AG264" s="449"/>
    </row>
    <row r="265" spans="1:33" s="455" customFormat="1" ht="17.25" customHeight="1">
      <c r="A265" s="451" t="s">
        <v>74</v>
      </c>
      <c r="B265" s="452" t="s">
        <v>274</v>
      </c>
      <c r="C265" s="453">
        <f t="shared" ref="C265:V265" si="128">SUM(C266:C269)</f>
        <v>187.625</v>
      </c>
      <c r="D265" s="454"/>
      <c r="E265" s="501">
        <f t="shared" si="128"/>
        <v>120.7</v>
      </c>
      <c r="F265" s="501">
        <f t="shared" si="128"/>
        <v>-66.924999999999997</v>
      </c>
      <c r="G265" s="501">
        <f t="shared" si="128"/>
        <v>120.7</v>
      </c>
      <c r="H265" s="501">
        <f t="shared" si="128"/>
        <v>120.7</v>
      </c>
      <c r="I265" s="501">
        <f t="shared" si="128"/>
        <v>1</v>
      </c>
      <c r="J265" s="501">
        <f t="shared" si="128"/>
        <v>67.3</v>
      </c>
      <c r="K265" s="501">
        <f t="shared" si="128"/>
        <v>0</v>
      </c>
      <c r="L265" s="501">
        <f t="shared" si="128"/>
        <v>0</v>
      </c>
      <c r="M265" s="501">
        <f t="shared" si="128"/>
        <v>53.400000000000006</v>
      </c>
      <c r="N265" s="501">
        <f t="shared" si="128"/>
        <v>23.400000000000002</v>
      </c>
      <c r="O265" s="501">
        <f t="shared" si="128"/>
        <v>30</v>
      </c>
      <c r="P265" s="501">
        <f t="shared" si="128"/>
        <v>0</v>
      </c>
      <c r="Q265" s="501">
        <f t="shared" si="128"/>
        <v>0</v>
      </c>
      <c r="R265" s="501">
        <f t="shared" si="128"/>
        <v>0</v>
      </c>
      <c r="S265" s="501">
        <f t="shared" si="128"/>
        <v>5.3</v>
      </c>
      <c r="T265" s="502">
        <f t="shared" si="128"/>
        <v>0</v>
      </c>
      <c r="U265" s="501">
        <f t="shared" si="128"/>
        <v>0</v>
      </c>
      <c r="V265" s="501">
        <f t="shared" si="128"/>
        <v>115.4</v>
      </c>
      <c r="W265" s="585" t="s">
        <v>275</v>
      </c>
      <c r="X265" s="449"/>
      <c r="Y265" s="449"/>
      <c r="Z265" s="449"/>
      <c r="AA265" s="449"/>
      <c r="AB265" s="449"/>
      <c r="AC265" s="449"/>
      <c r="AD265" s="449"/>
      <c r="AE265" s="449"/>
      <c r="AF265" s="449"/>
      <c r="AG265" s="449"/>
    </row>
    <row r="266" spans="1:33" s="455" customFormat="1" ht="17.25" customHeight="1">
      <c r="A266" s="456" t="s">
        <v>11</v>
      </c>
      <c r="B266" s="452" t="s">
        <v>276</v>
      </c>
      <c r="C266" s="453">
        <v>69.375</v>
      </c>
      <c r="D266" s="454"/>
      <c r="E266" s="501">
        <f>G266+R266</f>
        <v>67.3</v>
      </c>
      <c r="F266" s="501">
        <f t="shared" si="104"/>
        <v>-2.0750000000000028</v>
      </c>
      <c r="G266" s="501">
        <f>H266+P266+Q266</f>
        <v>67.3</v>
      </c>
      <c r="H266" s="501">
        <f>J266+M266</f>
        <v>67.3</v>
      </c>
      <c r="I266" s="501">
        <v>1</v>
      </c>
      <c r="J266" s="501">
        <f>58.8+8.5</f>
        <v>67.3</v>
      </c>
      <c r="K266" s="501"/>
      <c r="L266" s="501"/>
      <c r="M266" s="501">
        <f t="shared" si="95"/>
        <v>0</v>
      </c>
      <c r="N266" s="501"/>
      <c r="O266" s="501">
        <v>0</v>
      </c>
      <c r="P266" s="501"/>
      <c r="Q266" s="501"/>
      <c r="R266" s="501"/>
      <c r="S266" s="501">
        <v>0</v>
      </c>
      <c r="T266" s="502"/>
      <c r="U266" s="501"/>
      <c r="V266" s="507">
        <f t="shared" si="119"/>
        <v>67.3</v>
      </c>
      <c r="W266" s="585"/>
      <c r="X266" s="449"/>
      <c r="Y266" s="449"/>
      <c r="Z266" s="449"/>
      <c r="AA266" s="449"/>
      <c r="AB266" s="449"/>
      <c r="AC266" s="449"/>
      <c r="AD266" s="449"/>
      <c r="AE266" s="449"/>
      <c r="AF266" s="449"/>
      <c r="AG266" s="449"/>
    </row>
    <row r="267" spans="1:33" s="455" customFormat="1" ht="17.25" customHeight="1">
      <c r="A267" s="456" t="s">
        <v>11</v>
      </c>
      <c r="B267" s="452" t="s">
        <v>830</v>
      </c>
      <c r="C267" s="453">
        <v>18</v>
      </c>
      <c r="D267" s="454"/>
      <c r="E267" s="501">
        <f>G267+R267</f>
        <v>23.400000000000002</v>
      </c>
      <c r="F267" s="501">
        <f t="shared" si="104"/>
        <v>5.4000000000000021</v>
      </c>
      <c r="G267" s="501">
        <f>H267+P267+Q267</f>
        <v>23.400000000000002</v>
      </c>
      <c r="H267" s="501">
        <f>J267+M267</f>
        <v>23.400000000000002</v>
      </c>
      <c r="I267" s="501"/>
      <c r="J267" s="501">
        <f>K267+L267</f>
        <v>0</v>
      </c>
      <c r="K267" s="501"/>
      <c r="L267" s="501"/>
      <c r="M267" s="501">
        <f t="shared" si="95"/>
        <v>23.400000000000002</v>
      </c>
      <c r="N267" s="501">
        <f>18*1.3</f>
        <v>23.400000000000002</v>
      </c>
      <c r="O267" s="501">
        <v>0</v>
      </c>
      <c r="P267" s="501">
        <v>0</v>
      </c>
      <c r="Q267" s="501"/>
      <c r="R267" s="501">
        <v>0</v>
      </c>
      <c r="S267" s="501">
        <v>2.2999999999999998</v>
      </c>
      <c r="T267" s="502"/>
      <c r="U267" s="501"/>
      <c r="V267" s="507">
        <f t="shared" si="119"/>
        <v>21.1</v>
      </c>
      <c r="W267" s="585"/>
      <c r="X267" s="449"/>
      <c r="Y267" s="449"/>
      <c r="Z267" s="449"/>
      <c r="AA267" s="449"/>
      <c r="AB267" s="449"/>
      <c r="AC267" s="449"/>
      <c r="AD267" s="449"/>
      <c r="AE267" s="449"/>
      <c r="AF267" s="449"/>
      <c r="AG267" s="449"/>
    </row>
    <row r="268" spans="1:33" s="455" customFormat="1" ht="17.25" customHeight="1">
      <c r="A268" s="456" t="s">
        <v>11</v>
      </c>
      <c r="B268" s="452" t="s">
        <v>831</v>
      </c>
      <c r="C268" s="453">
        <v>30</v>
      </c>
      <c r="D268" s="454"/>
      <c r="E268" s="501">
        <f>G268+R268</f>
        <v>30</v>
      </c>
      <c r="F268" s="501">
        <f t="shared" si="104"/>
        <v>0</v>
      </c>
      <c r="G268" s="501">
        <f>H268+P268+Q268</f>
        <v>30</v>
      </c>
      <c r="H268" s="501">
        <f>J268+M268</f>
        <v>30</v>
      </c>
      <c r="I268" s="501"/>
      <c r="J268" s="501">
        <f>K268+L268</f>
        <v>0</v>
      </c>
      <c r="K268" s="501"/>
      <c r="L268" s="501"/>
      <c r="M268" s="501">
        <f>N268+O268</f>
        <v>30</v>
      </c>
      <c r="N268" s="501"/>
      <c r="O268" s="501">
        <v>30</v>
      </c>
      <c r="P268" s="501"/>
      <c r="Q268" s="501"/>
      <c r="R268" s="501"/>
      <c r="S268" s="501">
        <v>3</v>
      </c>
      <c r="T268" s="502"/>
      <c r="U268" s="501"/>
      <c r="V268" s="507">
        <f t="shared" si="119"/>
        <v>27</v>
      </c>
      <c r="W268" s="585"/>
      <c r="X268" s="449"/>
      <c r="Y268" s="449"/>
      <c r="Z268" s="449"/>
      <c r="AA268" s="449"/>
      <c r="AB268" s="449"/>
      <c r="AC268" s="449"/>
      <c r="AD268" s="449"/>
      <c r="AE268" s="449"/>
      <c r="AF268" s="449"/>
      <c r="AG268" s="449"/>
    </row>
    <row r="269" spans="1:33" s="455" customFormat="1" ht="17.25" hidden="1" customHeight="1">
      <c r="A269" s="456"/>
      <c r="B269" s="452" t="s">
        <v>832</v>
      </c>
      <c r="C269" s="453">
        <v>70.25</v>
      </c>
      <c r="D269" s="454"/>
      <c r="E269" s="501"/>
      <c r="F269" s="501">
        <f t="shared" si="104"/>
        <v>-70.25</v>
      </c>
      <c r="G269" s="501"/>
      <c r="H269" s="501"/>
      <c r="I269" s="501"/>
      <c r="J269" s="501"/>
      <c r="K269" s="501"/>
      <c r="L269" s="501"/>
      <c r="M269" s="501"/>
      <c r="N269" s="501"/>
      <c r="O269" s="501"/>
      <c r="P269" s="501"/>
      <c r="Q269" s="501"/>
      <c r="R269" s="501"/>
      <c r="S269" s="501"/>
      <c r="T269" s="502"/>
      <c r="U269" s="501"/>
      <c r="V269" s="507">
        <f t="shared" si="119"/>
        <v>0</v>
      </c>
      <c r="W269" s="585"/>
      <c r="X269" s="449"/>
      <c r="Y269" s="449"/>
      <c r="Z269" s="449"/>
      <c r="AA269" s="449"/>
      <c r="AB269" s="449"/>
      <c r="AC269" s="449"/>
      <c r="AD269" s="449"/>
      <c r="AE269" s="449"/>
      <c r="AF269" s="449"/>
      <c r="AG269" s="449"/>
    </row>
    <row r="270" spans="1:33" s="455" customFormat="1" ht="17.25" customHeight="1">
      <c r="A270" s="451" t="s">
        <v>277</v>
      </c>
      <c r="B270" s="452" t="s">
        <v>278</v>
      </c>
      <c r="C270" s="453">
        <f>C271+C293+C301+C308+C319+C330+C339+C352+C362+C370+C379+C386+C394+C401+C402</f>
        <v>15293.074000000001</v>
      </c>
      <c r="D270" s="454">
        <f>D271+D293+D301+D308+D319+D330+D339+D352+D362+D370+D379+D386+D394+D401+D402</f>
        <v>0</v>
      </c>
      <c r="E270" s="501">
        <f>E271+E293+E301+E308+E319+E330+E339+E352+E362+E370+E379+E386+E394+E401+E402</f>
        <v>15093.763020000002</v>
      </c>
      <c r="F270" s="501">
        <f t="shared" si="104"/>
        <v>-199.31097999999838</v>
      </c>
      <c r="G270" s="501">
        <f>G271+G293+G301+G308+G319+G330+G339+G352+G362+G370+G379+G386+G394+G401+G402</f>
        <v>15093.763020000002</v>
      </c>
      <c r="H270" s="501">
        <f>H271+H293+H301+H308+H319+H330+H339+H352+H362+H370+H379+H386+H394+H401+H402</f>
        <v>15093.763020000002</v>
      </c>
      <c r="I270" s="501">
        <f>I271+I293+I301+I308+I319+I330+I339+I352+I362+I370+I379+I386+I394+I401</f>
        <v>83</v>
      </c>
      <c r="J270" s="501">
        <f t="shared" ref="J270:V270" si="129">J271+J293+J301+J308+J319+J330+J339+J352+J362+J370+J379+J386+J394+J401+J402</f>
        <v>9399.5630200000014</v>
      </c>
      <c r="K270" s="501">
        <f t="shared" si="129"/>
        <v>0</v>
      </c>
      <c r="L270" s="501">
        <f t="shared" si="129"/>
        <v>0</v>
      </c>
      <c r="M270" s="501">
        <f t="shared" si="129"/>
        <v>5694.2</v>
      </c>
      <c r="N270" s="501">
        <f t="shared" si="129"/>
        <v>2279.1999999999998</v>
      </c>
      <c r="O270" s="501">
        <f t="shared" si="129"/>
        <v>3415</v>
      </c>
      <c r="P270" s="501">
        <f t="shared" si="129"/>
        <v>0</v>
      </c>
      <c r="Q270" s="501">
        <f t="shared" si="129"/>
        <v>0</v>
      </c>
      <c r="R270" s="501">
        <f t="shared" si="129"/>
        <v>0</v>
      </c>
      <c r="S270" s="501">
        <f t="shared" si="129"/>
        <v>523.4</v>
      </c>
      <c r="T270" s="502">
        <f t="shared" si="129"/>
        <v>58.78</v>
      </c>
      <c r="U270" s="501">
        <f t="shared" si="129"/>
        <v>419.63</v>
      </c>
      <c r="V270" s="501">
        <f t="shared" si="129"/>
        <v>14209.513020000002</v>
      </c>
      <c r="W270" s="448">
        <f>E270-S270+T270-U270</f>
        <v>14209.513020000004</v>
      </c>
      <c r="X270" s="449">
        <f>V270-W270</f>
        <v>0</v>
      </c>
      <c r="Y270" s="449"/>
      <c r="Z270" s="449"/>
      <c r="AA270" s="449"/>
      <c r="AB270" s="449"/>
      <c r="AC270" s="449"/>
      <c r="AD270" s="449"/>
      <c r="AE270" s="449"/>
      <c r="AF270" s="449"/>
      <c r="AG270" s="449"/>
    </row>
    <row r="271" spans="1:33" s="455" customFormat="1" ht="17.25" customHeight="1">
      <c r="A271" s="451" t="s">
        <v>29</v>
      </c>
      <c r="B271" s="452" t="s">
        <v>279</v>
      </c>
      <c r="C271" s="453">
        <f>C272+C281+C289</f>
        <v>5405.1930000000002</v>
      </c>
      <c r="D271" s="454"/>
      <c r="E271" s="501">
        <f>E272+E281+E289</f>
        <v>4794.07</v>
      </c>
      <c r="F271" s="501">
        <f t="shared" si="104"/>
        <v>-611.1230000000005</v>
      </c>
      <c r="G271" s="501">
        <f t="shared" ref="G271:V271" si="130">G272+G281+G289</f>
        <v>4794.07</v>
      </c>
      <c r="H271" s="501">
        <f t="shared" si="130"/>
        <v>4794.07</v>
      </c>
      <c r="I271" s="501">
        <f t="shared" si="130"/>
        <v>23</v>
      </c>
      <c r="J271" s="501">
        <f t="shared" si="130"/>
        <v>2419.67</v>
      </c>
      <c r="K271" s="501">
        <f t="shared" si="130"/>
        <v>0</v>
      </c>
      <c r="L271" s="501">
        <f t="shared" si="130"/>
        <v>0</v>
      </c>
      <c r="M271" s="501">
        <f t="shared" si="130"/>
        <v>2374.4</v>
      </c>
      <c r="N271" s="501">
        <f t="shared" si="130"/>
        <v>674.4</v>
      </c>
      <c r="O271" s="501">
        <f t="shared" si="130"/>
        <v>1700</v>
      </c>
      <c r="P271" s="501">
        <f t="shared" si="130"/>
        <v>0</v>
      </c>
      <c r="Q271" s="501">
        <f t="shared" si="130"/>
        <v>0</v>
      </c>
      <c r="R271" s="501">
        <f t="shared" si="130"/>
        <v>0</v>
      </c>
      <c r="S271" s="501">
        <f t="shared" si="130"/>
        <v>236.2</v>
      </c>
      <c r="T271" s="502">
        <f t="shared" si="130"/>
        <v>45</v>
      </c>
      <c r="U271" s="501">
        <f t="shared" si="130"/>
        <v>160.36000000000001</v>
      </c>
      <c r="V271" s="501">
        <f t="shared" si="130"/>
        <v>4442.51</v>
      </c>
      <c r="W271" s="585" t="s">
        <v>279</v>
      </c>
      <c r="X271" s="449"/>
      <c r="Y271" s="449"/>
      <c r="Z271" s="449"/>
      <c r="AA271" s="449"/>
      <c r="AB271" s="449"/>
      <c r="AC271" s="449"/>
      <c r="AD271" s="449"/>
      <c r="AE271" s="449"/>
      <c r="AF271" s="449"/>
      <c r="AG271" s="449"/>
    </row>
    <row r="272" spans="1:33" s="469" customFormat="1" ht="17.25" customHeight="1">
      <c r="A272" s="451" t="s">
        <v>130</v>
      </c>
      <c r="B272" s="452" t="s">
        <v>280</v>
      </c>
      <c r="C272" s="453">
        <f>SUM(C273:C279)</f>
        <v>3710.1930000000002</v>
      </c>
      <c r="D272" s="454"/>
      <c r="E272" s="501">
        <f>SUM(E273:E280)</f>
        <v>3344.07</v>
      </c>
      <c r="F272" s="501">
        <f t="shared" ref="F272:V272" si="131">SUM(F273:F280)</f>
        <v>-366.12299999999999</v>
      </c>
      <c r="G272" s="501">
        <f t="shared" si="131"/>
        <v>3344.07</v>
      </c>
      <c r="H272" s="501">
        <f t="shared" si="131"/>
        <v>3344.07</v>
      </c>
      <c r="I272" s="501">
        <f t="shared" si="131"/>
        <v>23</v>
      </c>
      <c r="J272" s="501">
        <f t="shared" si="131"/>
        <v>2419.67</v>
      </c>
      <c r="K272" s="501">
        <f t="shared" si="131"/>
        <v>0</v>
      </c>
      <c r="L272" s="501">
        <f t="shared" si="131"/>
        <v>0</v>
      </c>
      <c r="M272" s="501">
        <f t="shared" si="131"/>
        <v>924.4</v>
      </c>
      <c r="N272" s="501">
        <f t="shared" si="131"/>
        <v>674.4</v>
      </c>
      <c r="O272" s="501">
        <f t="shared" si="131"/>
        <v>250</v>
      </c>
      <c r="P272" s="501">
        <f t="shared" si="131"/>
        <v>0</v>
      </c>
      <c r="Q272" s="501">
        <f t="shared" si="131"/>
        <v>0</v>
      </c>
      <c r="R272" s="501">
        <f t="shared" si="131"/>
        <v>0</v>
      </c>
      <c r="S272" s="501">
        <f t="shared" si="131"/>
        <v>91.2</v>
      </c>
      <c r="T272" s="501">
        <f t="shared" si="131"/>
        <v>15</v>
      </c>
      <c r="U272" s="501">
        <f t="shared" si="131"/>
        <v>160.36000000000001</v>
      </c>
      <c r="V272" s="501">
        <f t="shared" si="131"/>
        <v>3107.5099999999998</v>
      </c>
      <c r="W272" s="585"/>
      <c r="X272" s="468"/>
      <c r="Y272" s="468"/>
      <c r="Z272" s="468"/>
      <c r="AA272" s="468"/>
      <c r="AB272" s="468"/>
      <c r="AC272" s="468"/>
      <c r="AD272" s="468"/>
      <c r="AE272" s="468"/>
      <c r="AF272" s="468"/>
      <c r="AG272" s="468"/>
    </row>
    <row r="273" spans="1:33" s="455" customFormat="1" ht="19.5" customHeight="1">
      <c r="A273" s="451" t="s">
        <v>11</v>
      </c>
      <c r="B273" s="457" t="s">
        <v>964</v>
      </c>
      <c r="C273" s="453">
        <v>2656.44</v>
      </c>
      <c r="D273" s="454"/>
      <c r="E273" s="501">
        <f t="shared" ref="E273:E279" si="132">G273+R273</f>
        <v>2400.71</v>
      </c>
      <c r="F273" s="501">
        <f t="shared" si="104"/>
        <v>-255.73000000000002</v>
      </c>
      <c r="G273" s="501">
        <f t="shared" ref="G273:G279" si="133">H273+P273+Q273</f>
        <v>2400.71</v>
      </c>
      <c r="H273" s="501">
        <f t="shared" ref="H273:H279" si="134">J273+M273</f>
        <v>2400.71</v>
      </c>
      <c r="I273" s="501">
        <v>23</v>
      </c>
      <c r="J273" s="501">
        <v>2400.71</v>
      </c>
      <c r="K273" s="501"/>
      <c r="L273" s="501"/>
      <c r="M273" s="501">
        <f t="shared" si="95"/>
        <v>0</v>
      </c>
      <c r="N273" s="501"/>
      <c r="O273" s="501"/>
      <c r="P273" s="501"/>
      <c r="Q273" s="501"/>
      <c r="R273" s="501"/>
      <c r="S273" s="501"/>
      <c r="T273" s="502"/>
      <c r="U273" s="501">
        <f>166.56-6.2</f>
        <v>160.36000000000001</v>
      </c>
      <c r="V273" s="507">
        <f>E273-S273+T273-U273</f>
        <v>2240.35</v>
      </c>
      <c r="W273" s="585"/>
      <c r="X273" s="449"/>
      <c r="Y273" s="449"/>
      <c r="Z273" s="449"/>
      <c r="AA273" s="449"/>
      <c r="AB273" s="449"/>
      <c r="AC273" s="449"/>
      <c r="AD273" s="449"/>
      <c r="AE273" s="449"/>
      <c r="AF273" s="449"/>
      <c r="AG273" s="449"/>
    </row>
    <row r="274" spans="1:33" s="455" customFormat="1" ht="18" customHeight="1">
      <c r="A274" s="451" t="s">
        <v>11</v>
      </c>
      <c r="B274" s="457" t="s">
        <v>833</v>
      </c>
      <c r="C274" s="453">
        <v>819.9</v>
      </c>
      <c r="D274" s="454"/>
      <c r="E274" s="501">
        <f t="shared" si="132"/>
        <v>662.4</v>
      </c>
      <c r="F274" s="501">
        <f t="shared" ref="F274:F338" si="135">E274-C274</f>
        <v>-157.5</v>
      </c>
      <c r="G274" s="501">
        <f t="shared" si="133"/>
        <v>662.4</v>
      </c>
      <c r="H274" s="501">
        <f t="shared" si="134"/>
        <v>662.4</v>
      </c>
      <c r="I274" s="501"/>
      <c r="J274" s="501">
        <f>K274+L274</f>
        <v>0</v>
      </c>
      <c r="K274" s="501"/>
      <c r="L274" s="501"/>
      <c r="M274" s="501">
        <f>N274+O274</f>
        <v>662.4</v>
      </c>
      <c r="N274" s="501">
        <f>23*16*1.8</f>
        <v>662.4</v>
      </c>
      <c r="O274" s="501">
        <v>0</v>
      </c>
      <c r="P274" s="501">
        <v>0</v>
      </c>
      <c r="Q274" s="501">
        <v>0</v>
      </c>
      <c r="R274" s="501">
        <v>0</v>
      </c>
      <c r="S274" s="501">
        <v>66.2</v>
      </c>
      <c r="T274" s="502"/>
      <c r="U274" s="501"/>
      <c r="V274" s="507">
        <f t="shared" ref="V274:V288" si="136">E274-S274</f>
        <v>596.19999999999993</v>
      </c>
      <c r="W274" s="585"/>
      <c r="X274" s="449"/>
      <c r="Y274" s="449"/>
      <c r="Z274" s="449"/>
      <c r="AA274" s="449"/>
      <c r="AB274" s="449"/>
      <c r="AC274" s="449"/>
      <c r="AD274" s="449"/>
      <c r="AE274" s="449"/>
      <c r="AF274" s="449"/>
      <c r="AG274" s="449"/>
    </row>
    <row r="275" spans="1:33" s="455" customFormat="1" ht="18" customHeight="1">
      <c r="A275" s="451" t="s">
        <v>11</v>
      </c>
      <c r="B275" s="452" t="s">
        <v>169</v>
      </c>
      <c r="C275" s="453">
        <v>10.728</v>
      </c>
      <c r="D275" s="454"/>
      <c r="E275" s="501">
        <f t="shared" si="132"/>
        <v>10.73</v>
      </c>
      <c r="F275" s="501">
        <f t="shared" si="135"/>
        <v>2.0000000000006679E-3</v>
      </c>
      <c r="G275" s="501">
        <f t="shared" si="133"/>
        <v>10.73</v>
      </c>
      <c r="H275" s="501">
        <f t="shared" si="134"/>
        <v>10.73</v>
      </c>
      <c r="I275" s="501"/>
      <c r="J275" s="501">
        <v>10.73</v>
      </c>
      <c r="K275" s="501"/>
      <c r="L275" s="501"/>
      <c r="M275" s="501">
        <f t="shared" si="95"/>
        <v>0</v>
      </c>
      <c r="N275" s="501"/>
      <c r="O275" s="501">
        <v>0</v>
      </c>
      <c r="P275" s="501"/>
      <c r="Q275" s="501"/>
      <c r="R275" s="501"/>
      <c r="S275" s="501"/>
      <c r="T275" s="502"/>
      <c r="U275" s="501"/>
      <c r="V275" s="507">
        <f t="shared" si="136"/>
        <v>10.73</v>
      </c>
      <c r="W275" s="585"/>
      <c r="X275" s="449"/>
      <c r="Y275" s="449"/>
      <c r="Z275" s="449"/>
      <c r="AA275" s="449"/>
      <c r="AB275" s="449"/>
      <c r="AC275" s="449"/>
      <c r="AD275" s="449"/>
      <c r="AE275" s="449"/>
      <c r="AF275" s="449"/>
      <c r="AG275" s="449"/>
    </row>
    <row r="276" spans="1:33" s="455" customFormat="1" ht="31.5" customHeight="1">
      <c r="A276" s="451" t="s">
        <v>11</v>
      </c>
      <c r="B276" s="457" t="s">
        <v>150</v>
      </c>
      <c r="C276" s="453">
        <v>14.9</v>
      </c>
      <c r="D276" s="454"/>
      <c r="E276" s="501">
        <f t="shared" si="132"/>
        <v>12</v>
      </c>
      <c r="F276" s="501">
        <f t="shared" si="135"/>
        <v>-2.9000000000000004</v>
      </c>
      <c r="G276" s="501">
        <f t="shared" si="133"/>
        <v>12</v>
      </c>
      <c r="H276" s="501">
        <f t="shared" si="134"/>
        <v>12</v>
      </c>
      <c r="I276" s="501"/>
      <c r="J276" s="501">
        <f>K276+L276</f>
        <v>0</v>
      </c>
      <c r="K276" s="501"/>
      <c r="L276" s="501"/>
      <c r="M276" s="501">
        <f t="shared" si="95"/>
        <v>12</v>
      </c>
      <c r="N276" s="501">
        <v>12</v>
      </c>
      <c r="O276" s="501">
        <v>0</v>
      </c>
      <c r="P276" s="501"/>
      <c r="Q276" s="501"/>
      <c r="R276" s="501"/>
      <c r="S276" s="501"/>
      <c r="T276" s="502"/>
      <c r="U276" s="501"/>
      <c r="V276" s="507">
        <f t="shared" si="136"/>
        <v>12</v>
      </c>
      <c r="W276" s="585"/>
      <c r="X276" s="449"/>
      <c r="Y276" s="449"/>
      <c r="Z276" s="449"/>
      <c r="AA276" s="449"/>
      <c r="AB276" s="449"/>
      <c r="AC276" s="449"/>
      <c r="AD276" s="449"/>
      <c r="AE276" s="449"/>
      <c r="AF276" s="449"/>
      <c r="AG276" s="449"/>
    </row>
    <row r="277" spans="1:33" s="455" customFormat="1" ht="17.25" customHeight="1">
      <c r="A277" s="451" t="s">
        <v>11</v>
      </c>
      <c r="B277" s="452" t="s">
        <v>798</v>
      </c>
      <c r="C277" s="453">
        <v>8.2249999999999996</v>
      </c>
      <c r="D277" s="454"/>
      <c r="E277" s="501">
        <f t="shared" si="132"/>
        <v>8.23</v>
      </c>
      <c r="F277" s="501">
        <f t="shared" si="135"/>
        <v>5.0000000000007816E-3</v>
      </c>
      <c r="G277" s="501">
        <f t="shared" si="133"/>
        <v>8.23</v>
      </c>
      <c r="H277" s="501">
        <f t="shared" si="134"/>
        <v>8.23</v>
      </c>
      <c r="I277" s="501"/>
      <c r="J277" s="501">
        <v>8.23</v>
      </c>
      <c r="K277" s="501"/>
      <c r="L277" s="501"/>
      <c r="M277" s="501">
        <f t="shared" ref="M277:M346" si="137">N277+O277</f>
        <v>0</v>
      </c>
      <c r="N277" s="501"/>
      <c r="O277" s="501">
        <v>0</v>
      </c>
      <c r="P277" s="501"/>
      <c r="Q277" s="501"/>
      <c r="R277" s="501"/>
      <c r="S277" s="501"/>
      <c r="T277" s="502"/>
      <c r="U277" s="501"/>
      <c r="V277" s="507">
        <f t="shared" si="136"/>
        <v>8.23</v>
      </c>
      <c r="W277" s="585"/>
      <c r="X277" s="449"/>
      <c r="Y277" s="449"/>
      <c r="Z277" s="449"/>
      <c r="AA277" s="449"/>
      <c r="AB277" s="449"/>
      <c r="AC277" s="449"/>
      <c r="AD277" s="449"/>
      <c r="AE277" s="449"/>
      <c r="AF277" s="449"/>
      <c r="AG277" s="449"/>
    </row>
    <row r="278" spans="1:33" s="455" customFormat="1" ht="17.25" customHeight="1">
      <c r="A278" s="451" t="s">
        <v>11</v>
      </c>
      <c r="B278" s="452" t="s">
        <v>834</v>
      </c>
      <c r="C278" s="453">
        <v>200</v>
      </c>
      <c r="D278" s="454"/>
      <c r="E278" s="501">
        <f t="shared" si="132"/>
        <v>250</v>
      </c>
      <c r="F278" s="501">
        <f t="shared" si="135"/>
        <v>50</v>
      </c>
      <c r="G278" s="501">
        <f t="shared" si="133"/>
        <v>250</v>
      </c>
      <c r="H278" s="501">
        <f t="shared" si="134"/>
        <v>250</v>
      </c>
      <c r="I278" s="501"/>
      <c r="J278" s="501">
        <f>K278+L278</f>
        <v>0</v>
      </c>
      <c r="K278" s="501"/>
      <c r="L278" s="501"/>
      <c r="M278" s="501">
        <f t="shared" si="137"/>
        <v>250</v>
      </c>
      <c r="N278" s="501"/>
      <c r="O278" s="501">
        <v>250</v>
      </c>
      <c r="P278" s="501"/>
      <c r="Q278" s="501"/>
      <c r="R278" s="501"/>
      <c r="S278" s="501">
        <v>25</v>
      </c>
      <c r="T278" s="502"/>
      <c r="U278" s="501"/>
      <c r="V278" s="507">
        <f t="shared" si="136"/>
        <v>225</v>
      </c>
      <c r="W278" s="585"/>
      <c r="X278" s="449"/>
      <c r="Y278" s="449"/>
      <c r="Z278" s="449"/>
      <c r="AA278" s="449"/>
      <c r="AB278" s="449"/>
      <c r="AC278" s="449"/>
      <c r="AD278" s="449"/>
      <c r="AE278" s="449"/>
      <c r="AF278" s="449"/>
      <c r="AG278" s="449"/>
    </row>
    <row r="279" spans="1:33" s="455" customFormat="1" ht="17.25" hidden="1" customHeight="1">
      <c r="A279" s="451" t="s">
        <v>11</v>
      </c>
      <c r="B279" s="452" t="s">
        <v>281</v>
      </c>
      <c r="C279" s="453"/>
      <c r="D279" s="454"/>
      <c r="E279" s="501">
        <f t="shared" si="132"/>
        <v>0</v>
      </c>
      <c r="F279" s="501">
        <f t="shared" si="135"/>
        <v>0</v>
      </c>
      <c r="G279" s="501">
        <f t="shared" si="133"/>
        <v>0</v>
      </c>
      <c r="H279" s="501">
        <f t="shared" si="134"/>
        <v>0</v>
      </c>
      <c r="I279" s="501"/>
      <c r="J279" s="501">
        <f>K279+L279</f>
        <v>0</v>
      </c>
      <c r="K279" s="501"/>
      <c r="L279" s="501"/>
      <c r="M279" s="501">
        <f t="shared" si="137"/>
        <v>0</v>
      </c>
      <c r="N279" s="501"/>
      <c r="O279" s="501"/>
      <c r="P279" s="501"/>
      <c r="Q279" s="501"/>
      <c r="R279" s="501"/>
      <c r="S279" s="501"/>
      <c r="T279" s="502"/>
      <c r="U279" s="501"/>
      <c r="V279" s="507">
        <f t="shared" si="136"/>
        <v>0</v>
      </c>
      <c r="W279" s="585"/>
      <c r="X279" s="449"/>
      <c r="Y279" s="449"/>
      <c r="Z279" s="449"/>
      <c r="AA279" s="449"/>
      <c r="AB279" s="449"/>
      <c r="AC279" s="449"/>
      <c r="AD279" s="449"/>
      <c r="AE279" s="449"/>
      <c r="AF279" s="449"/>
      <c r="AG279" s="449"/>
    </row>
    <row r="280" spans="1:33" s="455" customFormat="1" ht="17.25" customHeight="1">
      <c r="A280" s="451" t="s">
        <v>11</v>
      </c>
      <c r="B280" s="452" t="s">
        <v>963</v>
      </c>
      <c r="C280" s="453"/>
      <c r="D280" s="454"/>
      <c r="E280" s="501">
        <v>0</v>
      </c>
      <c r="F280" s="501"/>
      <c r="G280" s="501"/>
      <c r="H280" s="501"/>
      <c r="I280" s="501"/>
      <c r="J280" s="501"/>
      <c r="K280" s="501"/>
      <c r="L280" s="501"/>
      <c r="M280" s="501"/>
      <c r="N280" s="501"/>
      <c r="O280" s="501"/>
      <c r="P280" s="501"/>
      <c r="Q280" s="501"/>
      <c r="R280" s="501"/>
      <c r="S280" s="501">
        <v>0</v>
      </c>
      <c r="T280" s="502">
        <v>15</v>
      </c>
      <c r="U280" s="501">
        <v>0</v>
      </c>
      <c r="V280" s="507">
        <f>T280-U280</f>
        <v>15</v>
      </c>
      <c r="W280" s="585"/>
      <c r="X280" s="449"/>
      <c r="Y280" s="449"/>
      <c r="Z280" s="449"/>
      <c r="AA280" s="449"/>
      <c r="AB280" s="449"/>
      <c r="AC280" s="449"/>
      <c r="AD280" s="449"/>
      <c r="AE280" s="449"/>
      <c r="AF280" s="449"/>
      <c r="AG280" s="449"/>
    </row>
    <row r="281" spans="1:33" s="469" customFormat="1" ht="17.25" customHeight="1">
      <c r="A281" s="451" t="s">
        <v>134</v>
      </c>
      <c r="B281" s="452" t="s">
        <v>282</v>
      </c>
      <c r="C281" s="453">
        <f t="shared" ref="C281:U281" si="138">SUM(C282:C288)</f>
        <v>1170</v>
      </c>
      <c r="D281" s="454"/>
      <c r="E281" s="501">
        <f t="shared" si="138"/>
        <v>1220</v>
      </c>
      <c r="F281" s="501">
        <f t="shared" si="135"/>
        <v>50</v>
      </c>
      <c r="G281" s="501">
        <f>SUM(G282:G288)</f>
        <v>1220</v>
      </c>
      <c r="H281" s="501">
        <f t="shared" si="138"/>
        <v>1220</v>
      </c>
      <c r="I281" s="501">
        <f t="shared" si="138"/>
        <v>0</v>
      </c>
      <c r="J281" s="501">
        <f t="shared" si="138"/>
        <v>0</v>
      </c>
      <c r="K281" s="501">
        <f t="shared" si="138"/>
        <v>0</v>
      </c>
      <c r="L281" s="501"/>
      <c r="M281" s="501">
        <f t="shared" si="138"/>
        <v>1220</v>
      </c>
      <c r="N281" s="501">
        <f t="shared" si="138"/>
        <v>0</v>
      </c>
      <c r="O281" s="501">
        <f t="shared" si="138"/>
        <v>1220</v>
      </c>
      <c r="P281" s="501">
        <f t="shared" si="138"/>
        <v>0</v>
      </c>
      <c r="Q281" s="501">
        <f t="shared" si="138"/>
        <v>0</v>
      </c>
      <c r="R281" s="501">
        <f t="shared" si="138"/>
        <v>0</v>
      </c>
      <c r="S281" s="501">
        <f t="shared" si="138"/>
        <v>122</v>
      </c>
      <c r="T281" s="502">
        <f t="shared" si="138"/>
        <v>30</v>
      </c>
      <c r="U281" s="501">
        <f t="shared" si="138"/>
        <v>0</v>
      </c>
      <c r="V281" s="501">
        <f>SUM(V282:V288)</f>
        <v>1128</v>
      </c>
      <c r="W281" s="585"/>
      <c r="X281" s="468"/>
      <c r="Y281" s="468"/>
      <c r="Z281" s="468"/>
      <c r="AA281" s="468"/>
      <c r="AB281" s="468"/>
      <c r="AC281" s="468"/>
      <c r="AD281" s="468"/>
      <c r="AE281" s="468"/>
      <c r="AF281" s="468"/>
      <c r="AG281" s="468"/>
    </row>
    <row r="282" spans="1:33" s="455" customFormat="1" ht="28.5" customHeight="1">
      <c r="A282" s="451" t="s">
        <v>11</v>
      </c>
      <c r="B282" s="457" t="s">
        <v>283</v>
      </c>
      <c r="C282" s="453">
        <v>250</v>
      </c>
      <c r="D282" s="454"/>
      <c r="E282" s="501">
        <f t="shared" ref="E282:E288" si="139">G282+R282</f>
        <v>250</v>
      </c>
      <c r="F282" s="501">
        <f t="shared" si="135"/>
        <v>0</v>
      </c>
      <c r="G282" s="501">
        <f t="shared" ref="G282:G288" si="140">H282+P282+Q282</f>
        <v>250</v>
      </c>
      <c r="H282" s="501">
        <f t="shared" ref="H282:H288" si="141">J282+M282</f>
        <v>250</v>
      </c>
      <c r="I282" s="501"/>
      <c r="J282" s="501">
        <f>K282+L282</f>
        <v>0</v>
      </c>
      <c r="K282" s="501"/>
      <c r="L282" s="501"/>
      <c r="M282" s="501">
        <f t="shared" si="137"/>
        <v>250</v>
      </c>
      <c r="N282" s="501"/>
      <c r="O282" s="501">
        <v>250</v>
      </c>
      <c r="P282" s="501"/>
      <c r="Q282" s="501"/>
      <c r="R282" s="501"/>
      <c r="S282" s="501">
        <v>25</v>
      </c>
      <c r="T282" s="502"/>
      <c r="U282" s="501"/>
      <c r="V282" s="507">
        <f t="shared" si="136"/>
        <v>225</v>
      </c>
      <c r="W282" s="585"/>
      <c r="X282" s="449"/>
      <c r="Y282" s="449"/>
      <c r="Z282" s="449"/>
      <c r="AA282" s="449"/>
      <c r="AB282" s="449"/>
      <c r="AC282" s="449"/>
      <c r="AD282" s="449"/>
      <c r="AE282" s="449"/>
      <c r="AF282" s="449"/>
      <c r="AG282" s="449"/>
    </row>
    <row r="283" spans="1:33" s="455" customFormat="1" ht="17.25" customHeight="1">
      <c r="A283" s="451" t="s">
        <v>11</v>
      </c>
      <c r="B283" s="452" t="s">
        <v>284</v>
      </c>
      <c r="C283" s="453">
        <v>500</v>
      </c>
      <c r="D283" s="454"/>
      <c r="E283" s="501">
        <f t="shared" si="139"/>
        <v>500</v>
      </c>
      <c r="F283" s="501">
        <f t="shared" si="135"/>
        <v>0</v>
      </c>
      <c r="G283" s="501">
        <f t="shared" si="140"/>
        <v>500</v>
      </c>
      <c r="H283" s="501">
        <f t="shared" si="141"/>
        <v>500</v>
      </c>
      <c r="I283" s="501"/>
      <c r="J283" s="501">
        <f>K283+L283</f>
        <v>0</v>
      </c>
      <c r="K283" s="501"/>
      <c r="L283" s="501"/>
      <c r="M283" s="501">
        <f t="shared" si="137"/>
        <v>500</v>
      </c>
      <c r="N283" s="501"/>
      <c r="O283" s="501">
        <v>500</v>
      </c>
      <c r="P283" s="501"/>
      <c r="Q283" s="501"/>
      <c r="R283" s="501"/>
      <c r="S283" s="501">
        <v>50</v>
      </c>
      <c r="T283" s="502"/>
      <c r="U283" s="501"/>
      <c r="V283" s="507">
        <f t="shared" si="136"/>
        <v>450</v>
      </c>
      <c r="W283" s="585"/>
      <c r="X283" s="449"/>
      <c r="Y283" s="449"/>
      <c r="Z283" s="449"/>
      <c r="AA283" s="449"/>
      <c r="AB283" s="449"/>
      <c r="AC283" s="449"/>
      <c r="AD283" s="449"/>
      <c r="AE283" s="449"/>
      <c r="AF283" s="449"/>
      <c r="AG283" s="449"/>
    </row>
    <row r="284" spans="1:33" s="455" customFormat="1" ht="36" customHeight="1">
      <c r="A284" s="451" t="s">
        <v>11</v>
      </c>
      <c r="B284" s="482" t="s">
        <v>835</v>
      </c>
      <c r="C284" s="453">
        <v>300</v>
      </c>
      <c r="D284" s="454"/>
      <c r="E284" s="501">
        <f t="shared" si="139"/>
        <v>350</v>
      </c>
      <c r="F284" s="501">
        <f t="shared" si="135"/>
        <v>50</v>
      </c>
      <c r="G284" s="501">
        <f t="shared" si="140"/>
        <v>350</v>
      </c>
      <c r="H284" s="501">
        <f t="shared" si="141"/>
        <v>350</v>
      </c>
      <c r="I284" s="501"/>
      <c r="J284" s="501">
        <f>K284+L284</f>
        <v>0</v>
      </c>
      <c r="K284" s="501"/>
      <c r="L284" s="501"/>
      <c r="M284" s="501">
        <f t="shared" si="137"/>
        <v>350</v>
      </c>
      <c r="N284" s="501"/>
      <c r="O284" s="501">
        <v>350</v>
      </c>
      <c r="P284" s="501"/>
      <c r="Q284" s="501"/>
      <c r="R284" s="501"/>
      <c r="S284" s="501">
        <v>35</v>
      </c>
      <c r="T284" s="502"/>
      <c r="U284" s="501"/>
      <c r="V284" s="507">
        <f t="shared" si="136"/>
        <v>315</v>
      </c>
      <c r="W284" s="585"/>
      <c r="X284" s="449"/>
      <c r="Y284" s="449"/>
      <c r="Z284" s="449"/>
      <c r="AA284" s="449"/>
      <c r="AB284" s="449"/>
      <c r="AC284" s="449"/>
      <c r="AD284" s="449"/>
      <c r="AE284" s="449"/>
      <c r="AF284" s="449"/>
      <c r="AG284" s="449"/>
    </row>
    <row r="285" spans="1:33" s="455" customFormat="1" ht="17.25" customHeight="1">
      <c r="A285" s="451" t="s">
        <v>11</v>
      </c>
      <c r="B285" s="452" t="s">
        <v>285</v>
      </c>
      <c r="C285" s="453">
        <v>50</v>
      </c>
      <c r="D285" s="454"/>
      <c r="E285" s="501">
        <f t="shared" si="139"/>
        <v>50</v>
      </c>
      <c r="F285" s="501">
        <f t="shared" si="135"/>
        <v>0</v>
      </c>
      <c r="G285" s="501">
        <f t="shared" si="140"/>
        <v>50</v>
      </c>
      <c r="H285" s="501">
        <f t="shared" si="141"/>
        <v>50</v>
      </c>
      <c r="I285" s="501"/>
      <c r="J285" s="501">
        <f>K285+L285</f>
        <v>0</v>
      </c>
      <c r="K285" s="501"/>
      <c r="L285" s="501"/>
      <c r="M285" s="501">
        <f>N285+O285</f>
        <v>50</v>
      </c>
      <c r="N285" s="501"/>
      <c r="O285" s="501">
        <v>50</v>
      </c>
      <c r="P285" s="501"/>
      <c r="Q285" s="501"/>
      <c r="R285" s="501"/>
      <c r="S285" s="501">
        <v>5</v>
      </c>
      <c r="T285" s="502"/>
      <c r="U285" s="501"/>
      <c r="V285" s="507">
        <f t="shared" si="136"/>
        <v>45</v>
      </c>
      <c r="W285" s="585"/>
      <c r="X285" s="449"/>
      <c r="Y285" s="449"/>
      <c r="Z285" s="449"/>
      <c r="AA285" s="449"/>
      <c r="AB285" s="449"/>
      <c r="AC285" s="449"/>
      <c r="AD285" s="449"/>
      <c r="AE285" s="449"/>
      <c r="AF285" s="449"/>
      <c r="AG285" s="449"/>
    </row>
    <row r="286" spans="1:33" s="455" customFormat="1" ht="45.75" customHeight="1">
      <c r="A286" s="451" t="s">
        <v>11</v>
      </c>
      <c r="B286" s="461" t="s">
        <v>286</v>
      </c>
      <c r="C286" s="453">
        <v>20</v>
      </c>
      <c r="D286" s="454"/>
      <c r="E286" s="501">
        <f t="shared" si="139"/>
        <v>20</v>
      </c>
      <c r="F286" s="501">
        <f t="shared" si="135"/>
        <v>0</v>
      </c>
      <c r="G286" s="501">
        <f t="shared" si="140"/>
        <v>20</v>
      </c>
      <c r="H286" s="501">
        <f t="shared" si="141"/>
        <v>20</v>
      </c>
      <c r="I286" s="501"/>
      <c r="J286" s="501">
        <f>K286+L286</f>
        <v>0</v>
      </c>
      <c r="K286" s="501"/>
      <c r="L286" s="501"/>
      <c r="M286" s="501">
        <f t="shared" si="137"/>
        <v>20</v>
      </c>
      <c r="N286" s="501"/>
      <c r="O286" s="501">
        <v>20</v>
      </c>
      <c r="P286" s="501"/>
      <c r="Q286" s="501"/>
      <c r="R286" s="501"/>
      <c r="S286" s="501">
        <v>2</v>
      </c>
      <c r="T286" s="502"/>
      <c r="U286" s="501"/>
      <c r="V286" s="507">
        <f t="shared" si="136"/>
        <v>18</v>
      </c>
      <c r="W286" s="585"/>
      <c r="X286" s="449"/>
      <c r="Y286" s="449"/>
      <c r="Z286" s="449"/>
      <c r="AA286" s="449"/>
      <c r="AB286" s="449"/>
      <c r="AC286" s="449"/>
      <c r="AD286" s="449"/>
      <c r="AE286" s="449"/>
      <c r="AF286" s="449"/>
      <c r="AG286" s="449"/>
    </row>
    <row r="287" spans="1:33" s="455" customFormat="1" ht="34.5" customHeight="1">
      <c r="A287" s="451"/>
      <c r="B287" s="513" t="s">
        <v>958</v>
      </c>
      <c r="C287" s="453"/>
      <c r="D287" s="454"/>
      <c r="E287" s="501"/>
      <c r="F287" s="501"/>
      <c r="G287" s="501"/>
      <c r="H287" s="501"/>
      <c r="I287" s="501"/>
      <c r="J287" s="501"/>
      <c r="K287" s="501"/>
      <c r="L287" s="501"/>
      <c r="M287" s="501"/>
      <c r="N287" s="501"/>
      <c r="O287" s="501"/>
      <c r="P287" s="501"/>
      <c r="Q287" s="501"/>
      <c r="R287" s="501"/>
      <c r="S287" s="501"/>
      <c r="T287" s="502">
        <v>30</v>
      </c>
      <c r="U287" s="501">
        <v>0</v>
      </c>
      <c r="V287" s="507">
        <f>T287-U287</f>
        <v>30</v>
      </c>
      <c r="W287" s="585"/>
      <c r="X287" s="449"/>
      <c r="Y287" s="449"/>
      <c r="Z287" s="449"/>
      <c r="AA287" s="449"/>
      <c r="AB287" s="449"/>
      <c r="AC287" s="449"/>
      <c r="AD287" s="449"/>
      <c r="AE287" s="449"/>
      <c r="AF287" s="449"/>
      <c r="AG287" s="449"/>
    </row>
    <row r="288" spans="1:33" s="455" customFormat="1" ht="17.25" customHeight="1">
      <c r="A288" s="451" t="s">
        <v>11</v>
      </c>
      <c r="B288" s="452" t="s">
        <v>287</v>
      </c>
      <c r="C288" s="453">
        <v>50</v>
      </c>
      <c r="D288" s="454"/>
      <c r="E288" s="501">
        <f t="shared" si="139"/>
        <v>50</v>
      </c>
      <c r="F288" s="501">
        <f t="shared" si="135"/>
        <v>0</v>
      </c>
      <c r="G288" s="501">
        <f t="shared" si="140"/>
        <v>50</v>
      </c>
      <c r="H288" s="501">
        <f t="shared" si="141"/>
        <v>50</v>
      </c>
      <c r="I288" s="501"/>
      <c r="J288" s="501">
        <f>K288+L288</f>
        <v>0</v>
      </c>
      <c r="K288" s="501"/>
      <c r="L288" s="501"/>
      <c r="M288" s="501">
        <f t="shared" si="137"/>
        <v>50</v>
      </c>
      <c r="N288" s="501"/>
      <c r="O288" s="501">
        <v>50</v>
      </c>
      <c r="P288" s="501"/>
      <c r="Q288" s="501"/>
      <c r="R288" s="501"/>
      <c r="S288" s="501">
        <v>5</v>
      </c>
      <c r="T288" s="502"/>
      <c r="U288" s="501"/>
      <c r="V288" s="507">
        <f t="shared" si="136"/>
        <v>45</v>
      </c>
      <c r="W288" s="585"/>
      <c r="X288" s="449"/>
      <c r="Y288" s="449"/>
      <c r="Z288" s="449"/>
      <c r="AA288" s="449"/>
      <c r="AB288" s="449"/>
      <c r="AC288" s="449"/>
      <c r="AD288" s="449"/>
      <c r="AE288" s="449"/>
      <c r="AF288" s="449"/>
      <c r="AG288" s="449"/>
    </row>
    <row r="289" spans="1:33" s="455" customFormat="1" ht="17.25" customHeight="1">
      <c r="A289" s="451" t="s">
        <v>288</v>
      </c>
      <c r="B289" s="452" t="s">
        <v>289</v>
      </c>
      <c r="C289" s="453">
        <f>SUM(C290:C292)</f>
        <v>525</v>
      </c>
      <c r="D289" s="454"/>
      <c r="E289" s="501">
        <f t="shared" ref="E289:K289" si="142">SUM(E290:E292)</f>
        <v>230</v>
      </c>
      <c r="F289" s="501">
        <f t="shared" si="135"/>
        <v>-295</v>
      </c>
      <c r="G289" s="501">
        <f t="shared" si="142"/>
        <v>230</v>
      </c>
      <c r="H289" s="501">
        <f t="shared" si="142"/>
        <v>230</v>
      </c>
      <c r="I289" s="501">
        <f t="shared" si="142"/>
        <v>0</v>
      </c>
      <c r="J289" s="501">
        <f t="shared" si="142"/>
        <v>0</v>
      </c>
      <c r="K289" s="501">
        <f t="shared" si="142"/>
        <v>0</v>
      </c>
      <c r="L289" s="501"/>
      <c r="M289" s="501">
        <f t="shared" ref="M289:V289" si="143">SUM(M290:M292)</f>
        <v>230</v>
      </c>
      <c r="N289" s="501">
        <f t="shared" si="143"/>
        <v>0</v>
      </c>
      <c r="O289" s="501">
        <f t="shared" si="143"/>
        <v>230</v>
      </c>
      <c r="P289" s="501">
        <f t="shared" si="143"/>
        <v>0</v>
      </c>
      <c r="Q289" s="501">
        <f t="shared" si="143"/>
        <v>0</v>
      </c>
      <c r="R289" s="501">
        <f t="shared" si="143"/>
        <v>0</v>
      </c>
      <c r="S289" s="501">
        <f t="shared" si="143"/>
        <v>23</v>
      </c>
      <c r="T289" s="502">
        <f t="shared" si="143"/>
        <v>0</v>
      </c>
      <c r="U289" s="501">
        <f t="shared" si="143"/>
        <v>0</v>
      </c>
      <c r="V289" s="501">
        <f t="shared" si="143"/>
        <v>207</v>
      </c>
      <c r="W289" s="585"/>
      <c r="X289" s="449"/>
      <c r="Y289" s="449"/>
      <c r="Z289" s="449"/>
      <c r="AA289" s="449"/>
      <c r="AB289" s="449"/>
      <c r="AC289" s="449"/>
      <c r="AD289" s="449"/>
      <c r="AE289" s="449"/>
      <c r="AF289" s="449"/>
      <c r="AG289" s="449"/>
    </row>
    <row r="290" spans="1:33" s="455" customFormat="1" ht="19.5" hidden="1" customHeight="1">
      <c r="A290" s="451" t="s">
        <v>11</v>
      </c>
      <c r="B290" s="457" t="s">
        <v>290</v>
      </c>
      <c r="C290" s="453">
        <v>180</v>
      </c>
      <c r="D290" s="454"/>
      <c r="E290" s="501">
        <f>G290+R290</f>
        <v>0</v>
      </c>
      <c r="F290" s="501">
        <f t="shared" si="135"/>
        <v>-180</v>
      </c>
      <c r="G290" s="501">
        <f>H290+P290+Q290</f>
        <v>0</v>
      </c>
      <c r="H290" s="501">
        <f>J290+M290</f>
        <v>0</v>
      </c>
      <c r="I290" s="501"/>
      <c r="J290" s="501">
        <f>K290+L290</f>
        <v>0</v>
      </c>
      <c r="K290" s="501"/>
      <c r="L290" s="501"/>
      <c r="M290" s="501">
        <f t="shared" si="137"/>
        <v>0</v>
      </c>
      <c r="N290" s="501"/>
      <c r="O290" s="501"/>
      <c r="P290" s="501"/>
      <c r="Q290" s="501"/>
      <c r="R290" s="501"/>
      <c r="S290" s="501"/>
      <c r="T290" s="502"/>
      <c r="U290" s="501"/>
      <c r="V290" s="501"/>
      <c r="W290" s="585"/>
      <c r="X290" s="449"/>
      <c r="Y290" s="449"/>
      <c r="Z290" s="449"/>
      <c r="AA290" s="449"/>
      <c r="AB290" s="449"/>
      <c r="AC290" s="449"/>
      <c r="AD290" s="449"/>
      <c r="AE290" s="449"/>
      <c r="AF290" s="449"/>
      <c r="AG290" s="449"/>
    </row>
    <row r="291" spans="1:33" s="455" customFormat="1" ht="28.5" customHeight="1">
      <c r="A291" s="451"/>
      <c r="B291" s="457" t="s">
        <v>836</v>
      </c>
      <c r="C291" s="453">
        <v>45</v>
      </c>
      <c r="D291" s="454"/>
      <c r="E291" s="501">
        <f>G291+R291</f>
        <v>50</v>
      </c>
      <c r="F291" s="501">
        <f t="shared" si="135"/>
        <v>5</v>
      </c>
      <c r="G291" s="501">
        <f>H291+P291+Q291</f>
        <v>50</v>
      </c>
      <c r="H291" s="501">
        <f>J291+M291</f>
        <v>50</v>
      </c>
      <c r="I291" s="501"/>
      <c r="J291" s="501"/>
      <c r="K291" s="501"/>
      <c r="L291" s="501"/>
      <c r="M291" s="501">
        <f t="shared" si="137"/>
        <v>50</v>
      </c>
      <c r="N291" s="501"/>
      <c r="O291" s="501">
        <v>50</v>
      </c>
      <c r="P291" s="501"/>
      <c r="Q291" s="501"/>
      <c r="R291" s="501"/>
      <c r="S291" s="501">
        <v>5</v>
      </c>
      <c r="T291" s="502"/>
      <c r="U291" s="501"/>
      <c r="V291" s="507">
        <f t="shared" ref="V291:V298" si="144">E291-S291</f>
        <v>45</v>
      </c>
      <c r="W291" s="585"/>
      <c r="X291" s="449"/>
      <c r="Y291" s="449"/>
      <c r="Z291" s="449"/>
      <c r="AA291" s="449"/>
      <c r="AB291" s="449"/>
      <c r="AC291" s="449"/>
      <c r="AD291" s="449"/>
      <c r="AE291" s="449"/>
      <c r="AF291" s="449"/>
      <c r="AG291" s="449"/>
    </row>
    <row r="292" spans="1:33" s="455" customFormat="1" ht="40.5" customHeight="1">
      <c r="A292" s="451" t="s">
        <v>11</v>
      </c>
      <c r="B292" s="457" t="s">
        <v>837</v>
      </c>
      <c r="C292" s="453">
        <v>300</v>
      </c>
      <c r="D292" s="454"/>
      <c r="E292" s="501">
        <f>G292+R292</f>
        <v>180</v>
      </c>
      <c r="F292" s="501">
        <f t="shared" si="135"/>
        <v>-120</v>
      </c>
      <c r="G292" s="501">
        <f>H292+P292+Q292</f>
        <v>180</v>
      </c>
      <c r="H292" s="501">
        <f>J292+M292</f>
        <v>180</v>
      </c>
      <c r="I292" s="501"/>
      <c r="J292" s="501">
        <f>K292+L292</f>
        <v>0</v>
      </c>
      <c r="K292" s="501"/>
      <c r="L292" s="501"/>
      <c r="M292" s="501">
        <f t="shared" si="137"/>
        <v>180</v>
      </c>
      <c r="N292" s="501"/>
      <c r="O292" s="501">
        <v>180</v>
      </c>
      <c r="P292" s="501"/>
      <c r="Q292" s="501"/>
      <c r="R292" s="501"/>
      <c r="S292" s="501">
        <v>18</v>
      </c>
      <c r="T292" s="502"/>
      <c r="U292" s="501"/>
      <c r="V292" s="507">
        <f t="shared" si="144"/>
        <v>162</v>
      </c>
      <c r="W292" s="585"/>
      <c r="X292" s="449"/>
      <c r="Y292" s="449"/>
      <c r="Z292" s="449"/>
      <c r="AA292" s="449"/>
      <c r="AB292" s="449"/>
      <c r="AC292" s="449"/>
      <c r="AD292" s="449"/>
      <c r="AE292" s="449"/>
      <c r="AF292" s="449"/>
      <c r="AG292" s="449"/>
    </row>
    <row r="293" spans="1:33" s="455" customFormat="1" ht="17.25" customHeight="1">
      <c r="A293" s="451" t="s">
        <v>30</v>
      </c>
      <c r="B293" s="452" t="s">
        <v>291</v>
      </c>
      <c r="C293" s="453">
        <f>SUM(C294:C300)</f>
        <v>845.42599999999993</v>
      </c>
      <c r="D293" s="454"/>
      <c r="E293" s="501">
        <f t="shared" ref="E293:V293" si="145">SUM(E294:E300)</f>
        <v>962.8069999999999</v>
      </c>
      <c r="F293" s="501">
        <f t="shared" si="135"/>
        <v>117.38099999999997</v>
      </c>
      <c r="G293" s="501">
        <f t="shared" si="145"/>
        <v>962.8069999999999</v>
      </c>
      <c r="H293" s="501">
        <f t="shared" si="145"/>
        <v>962.8069999999999</v>
      </c>
      <c r="I293" s="501">
        <f t="shared" si="145"/>
        <v>7</v>
      </c>
      <c r="J293" s="501">
        <f t="shared" si="145"/>
        <v>769.60699999999997</v>
      </c>
      <c r="K293" s="501">
        <f t="shared" si="145"/>
        <v>0</v>
      </c>
      <c r="L293" s="501">
        <f t="shared" si="145"/>
        <v>0</v>
      </c>
      <c r="M293" s="501">
        <f t="shared" si="145"/>
        <v>193.20000000000002</v>
      </c>
      <c r="N293" s="501">
        <f t="shared" si="145"/>
        <v>173.20000000000002</v>
      </c>
      <c r="O293" s="501">
        <f t="shared" si="145"/>
        <v>20</v>
      </c>
      <c r="P293" s="501">
        <f t="shared" si="145"/>
        <v>0</v>
      </c>
      <c r="Q293" s="501">
        <f t="shared" si="145"/>
        <v>0</v>
      </c>
      <c r="R293" s="501">
        <f t="shared" si="145"/>
        <v>0</v>
      </c>
      <c r="S293" s="501">
        <f t="shared" si="145"/>
        <v>18.399999999999999</v>
      </c>
      <c r="T293" s="502">
        <f t="shared" si="145"/>
        <v>0</v>
      </c>
      <c r="U293" s="501">
        <f t="shared" si="145"/>
        <v>0</v>
      </c>
      <c r="V293" s="501">
        <f t="shared" si="145"/>
        <v>944.40699999999993</v>
      </c>
      <c r="W293" s="585" t="s">
        <v>292</v>
      </c>
      <c r="X293" s="449"/>
      <c r="Y293" s="449"/>
      <c r="Z293" s="449"/>
      <c r="AA293" s="449"/>
      <c r="AB293" s="449"/>
      <c r="AC293" s="449"/>
      <c r="AD293" s="449"/>
      <c r="AE293" s="449"/>
      <c r="AF293" s="449"/>
      <c r="AG293" s="449"/>
    </row>
    <row r="294" spans="1:33" s="455" customFormat="1" ht="17.25" customHeight="1">
      <c r="A294" s="451" t="s">
        <v>11</v>
      </c>
      <c r="B294" s="452" t="s">
        <v>956</v>
      </c>
      <c r="C294" s="453">
        <v>676.226</v>
      </c>
      <c r="D294" s="454"/>
      <c r="E294" s="501">
        <f t="shared" ref="E294:E300" si="146">G294+R294</f>
        <v>769.60699999999997</v>
      </c>
      <c r="F294" s="501">
        <f t="shared" si="135"/>
        <v>93.380999999999972</v>
      </c>
      <c r="G294" s="501">
        <f t="shared" ref="G294:G300" si="147">H294+P294+Q294</f>
        <v>769.60699999999997</v>
      </c>
      <c r="H294" s="501">
        <f t="shared" ref="H294:H300" si="148">J294+M294</f>
        <v>769.60699999999997</v>
      </c>
      <c r="I294" s="501">
        <v>7</v>
      </c>
      <c r="J294" s="501">
        <f>769.607</f>
        <v>769.60699999999997</v>
      </c>
      <c r="K294" s="501"/>
      <c r="L294" s="501"/>
      <c r="M294" s="501">
        <f t="shared" si="137"/>
        <v>0</v>
      </c>
      <c r="N294" s="501"/>
      <c r="O294" s="501">
        <v>0</v>
      </c>
      <c r="P294" s="501"/>
      <c r="Q294" s="501"/>
      <c r="R294" s="501"/>
      <c r="S294" s="501"/>
      <c r="T294" s="502"/>
      <c r="U294" s="501">
        <v>0</v>
      </c>
      <c r="V294" s="507">
        <f>E294-S294+T294-U294</f>
        <v>769.60699999999997</v>
      </c>
      <c r="W294" s="585"/>
      <c r="X294" s="449"/>
      <c r="Y294" s="449"/>
      <c r="Z294" s="449"/>
      <c r="AA294" s="449"/>
      <c r="AB294" s="449"/>
      <c r="AC294" s="449"/>
      <c r="AD294" s="449"/>
      <c r="AE294" s="449"/>
      <c r="AF294" s="449"/>
      <c r="AG294" s="449"/>
    </row>
    <row r="295" spans="1:33" s="455" customFormat="1" ht="17.25" customHeight="1">
      <c r="A295" s="451" t="s">
        <v>11</v>
      </c>
      <c r="B295" s="452" t="s">
        <v>957</v>
      </c>
      <c r="C295" s="453">
        <v>124.8</v>
      </c>
      <c r="D295" s="454"/>
      <c r="E295" s="501">
        <f t="shared" si="146"/>
        <v>163.80000000000001</v>
      </c>
      <c r="F295" s="501">
        <f t="shared" si="135"/>
        <v>39.000000000000014</v>
      </c>
      <c r="G295" s="501">
        <f t="shared" si="147"/>
        <v>163.80000000000001</v>
      </c>
      <c r="H295" s="501">
        <f t="shared" si="148"/>
        <v>163.80000000000001</v>
      </c>
      <c r="I295" s="501"/>
      <c r="J295" s="501">
        <f t="shared" ref="J295:J300" si="149">K295+L295</f>
        <v>0</v>
      </c>
      <c r="K295" s="501"/>
      <c r="L295" s="501"/>
      <c r="M295" s="501">
        <f t="shared" si="137"/>
        <v>163.80000000000001</v>
      </c>
      <c r="N295" s="501">
        <f>7*18*1.3</f>
        <v>163.80000000000001</v>
      </c>
      <c r="O295" s="501">
        <v>0</v>
      </c>
      <c r="P295" s="501">
        <v>0</v>
      </c>
      <c r="Q295" s="501">
        <v>0</v>
      </c>
      <c r="R295" s="501"/>
      <c r="S295" s="501">
        <v>16.399999999999999</v>
      </c>
      <c r="T295" s="502"/>
      <c r="U295" s="501"/>
      <c r="V295" s="507">
        <f t="shared" si="144"/>
        <v>147.4</v>
      </c>
      <c r="W295" s="585"/>
      <c r="X295" s="449"/>
      <c r="Y295" s="449"/>
      <c r="Z295" s="449"/>
      <c r="AA295" s="449"/>
      <c r="AB295" s="449"/>
      <c r="AC295" s="449"/>
      <c r="AD295" s="449"/>
      <c r="AE295" s="449"/>
      <c r="AF295" s="449"/>
      <c r="AG295" s="449"/>
    </row>
    <row r="296" spans="1:33" s="455" customFormat="1" ht="29.25" customHeight="1">
      <c r="A296" s="451" t="s">
        <v>11</v>
      </c>
      <c r="B296" s="457" t="s">
        <v>150</v>
      </c>
      <c r="C296" s="453">
        <v>9.4</v>
      </c>
      <c r="D296" s="454"/>
      <c r="E296" s="501">
        <f t="shared" si="146"/>
        <v>9.4</v>
      </c>
      <c r="F296" s="501">
        <f t="shared" si="135"/>
        <v>0</v>
      </c>
      <c r="G296" s="501">
        <f t="shared" si="147"/>
        <v>9.4</v>
      </c>
      <c r="H296" s="501">
        <f t="shared" si="148"/>
        <v>9.4</v>
      </c>
      <c r="I296" s="501"/>
      <c r="J296" s="501">
        <f t="shared" si="149"/>
        <v>0</v>
      </c>
      <c r="K296" s="501"/>
      <c r="L296" s="501"/>
      <c r="M296" s="501">
        <f t="shared" si="137"/>
        <v>9.4</v>
      </c>
      <c r="N296" s="501">
        <v>9.4</v>
      </c>
      <c r="O296" s="501">
        <v>0</v>
      </c>
      <c r="P296" s="501"/>
      <c r="Q296" s="501"/>
      <c r="R296" s="501"/>
      <c r="S296" s="501"/>
      <c r="T296" s="502"/>
      <c r="U296" s="501"/>
      <c r="V296" s="507">
        <f t="shared" si="144"/>
        <v>9.4</v>
      </c>
      <c r="W296" s="585"/>
      <c r="X296" s="449"/>
      <c r="Y296" s="449"/>
      <c r="Z296" s="449"/>
      <c r="AA296" s="449"/>
      <c r="AB296" s="449"/>
      <c r="AC296" s="449"/>
      <c r="AD296" s="449"/>
      <c r="AE296" s="449"/>
      <c r="AF296" s="449"/>
      <c r="AG296" s="449"/>
    </row>
    <row r="297" spans="1:33" s="455" customFormat="1" ht="18.75" hidden="1" customHeight="1">
      <c r="A297" s="451" t="s">
        <v>11</v>
      </c>
      <c r="B297" s="457" t="s">
        <v>170</v>
      </c>
      <c r="C297" s="453"/>
      <c r="D297" s="454"/>
      <c r="E297" s="501">
        <f t="shared" si="146"/>
        <v>0</v>
      </c>
      <c r="F297" s="501">
        <f t="shared" si="135"/>
        <v>0</v>
      </c>
      <c r="G297" s="501">
        <f t="shared" si="147"/>
        <v>0</v>
      </c>
      <c r="H297" s="501">
        <f t="shared" si="148"/>
        <v>0</v>
      </c>
      <c r="I297" s="501"/>
      <c r="J297" s="501">
        <f t="shared" si="149"/>
        <v>0</v>
      </c>
      <c r="K297" s="501"/>
      <c r="L297" s="501"/>
      <c r="M297" s="501">
        <f>N297+O297</f>
        <v>0</v>
      </c>
      <c r="N297" s="501"/>
      <c r="O297" s="501">
        <v>0</v>
      </c>
      <c r="P297" s="501"/>
      <c r="Q297" s="501"/>
      <c r="R297" s="501"/>
      <c r="S297" s="501"/>
      <c r="T297" s="502"/>
      <c r="U297" s="501"/>
      <c r="V297" s="507">
        <f t="shared" si="144"/>
        <v>0</v>
      </c>
      <c r="W297" s="585"/>
      <c r="X297" s="449"/>
      <c r="Y297" s="449"/>
      <c r="Z297" s="449"/>
      <c r="AA297" s="449"/>
      <c r="AB297" s="449"/>
      <c r="AC297" s="449"/>
      <c r="AD297" s="449"/>
      <c r="AE297" s="449"/>
      <c r="AF297" s="449"/>
      <c r="AG297" s="449"/>
    </row>
    <row r="298" spans="1:33" s="455" customFormat="1" ht="17.25" customHeight="1">
      <c r="A298" s="451" t="s">
        <v>11</v>
      </c>
      <c r="B298" s="452" t="s">
        <v>293</v>
      </c>
      <c r="C298" s="453">
        <v>20</v>
      </c>
      <c r="D298" s="454"/>
      <c r="E298" s="501">
        <f t="shared" si="146"/>
        <v>20</v>
      </c>
      <c r="F298" s="501">
        <f t="shared" si="135"/>
        <v>0</v>
      </c>
      <c r="G298" s="501">
        <f t="shared" si="147"/>
        <v>20</v>
      </c>
      <c r="H298" s="501">
        <f t="shared" si="148"/>
        <v>20</v>
      </c>
      <c r="I298" s="501"/>
      <c r="J298" s="501">
        <f t="shared" si="149"/>
        <v>0</v>
      </c>
      <c r="K298" s="501"/>
      <c r="L298" s="501"/>
      <c r="M298" s="501">
        <f>N298+O298</f>
        <v>20</v>
      </c>
      <c r="N298" s="501"/>
      <c r="O298" s="501">
        <v>20</v>
      </c>
      <c r="P298" s="501"/>
      <c r="Q298" s="501"/>
      <c r="R298" s="501"/>
      <c r="S298" s="501">
        <v>2</v>
      </c>
      <c r="T298" s="502"/>
      <c r="U298" s="501"/>
      <c r="V298" s="507">
        <f t="shared" si="144"/>
        <v>18</v>
      </c>
      <c r="W298" s="585"/>
      <c r="X298" s="449"/>
      <c r="Y298" s="449"/>
      <c r="Z298" s="449"/>
      <c r="AA298" s="449"/>
      <c r="AB298" s="449"/>
      <c r="AC298" s="449"/>
      <c r="AD298" s="449"/>
      <c r="AE298" s="449"/>
      <c r="AF298" s="449"/>
      <c r="AG298" s="449"/>
    </row>
    <row r="299" spans="1:33" s="455" customFormat="1" ht="17.25" hidden="1" customHeight="1">
      <c r="A299" s="451" t="s">
        <v>11</v>
      </c>
      <c r="B299" s="452" t="s">
        <v>294</v>
      </c>
      <c r="C299" s="453">
        <v>15</v>
      </c>
      <c r="D299" s="454"/>
      <c r="E299" s="501">
        <f t="shared" si="146"/>
        <v>0</v>
      </c>
      <c r="F299" s="501">
        <f t="shared" si="135"/>
        <v>-15</v>
      </c>
      <c r="G299" s="501">
        <f t="shared" si="147"/>
        <v>0</v>
      </c>
      <c r="H299" s="501">
        <f t="shared" si="148"/>
        <v>0</v>
      </c>
      <c r="I299" s="501"/>
      <c r="J299" s="501">
        <f t="shared" si="149"/>
        <v>0</v>
      </c>
      <c r="K299" s="501"/>
      <c r="L299" s="501"/>
      <c r="M299" s="501">
        <f>N299+O299</f>
        <v>0</v>
      </c>
      <c r="N299" s="501"/>
      <c r="O299" s="501"/>
      <c r="P299" s="501"/>
      <c r="Q299" s="501"/>
      <c r="R299" s="501"/>
      <c r="S299" s="501"/>
      <c r="T299" s="502"/>
      <c r="U299" s="501"/>
      <c r="V299" s="501"/>
      <c r="W299" s="585"/>
      <c r="X299" s="449"/>
      <c r="Y299" s="449"/>
      <c r="Z299" s="449"/>
      <c r="AA299" s="449"/>
      <c r="AB299" s="449"/>
      <c r="AC299" s="449"/>
      <c r="AD299" s="449"/>
      <c r="AE299" s="449"/>
      <c r="AF299" s="449"/>
      <c r="AG299" s="449"/>
    </row>
    <row r="300" spans="1:33" s="455" customFormat="1" ht="17.25" hidden="1" customHeight="1">
      <c r="A300" s="451" t="s">
        <v>11</v>
      </c>
      <c r="B300" s="452" t="s">
        <v>838</v>
      </c>
      <c r="C300" s="453"/>
      <c r="D300" s="454"/>
      <c r="E300" s="501">
        <f t="shared" si="146"/>
        <v>0</v>
      </c>
      <c r="F300" s="501">
        <f t="shared" si="135"/>
        <v>0</v>
      </c>
      <c r="G300" s="501">
        <f t="shared" si="147"/>
        <v>0</v>
      </c>
      <c r="H300" s="501">
        <f t="shared" si="148"/>
        <v>0</v>
      </c>
      <c r="I300" s="501"/>
      <c r="J300" s="501">
        <f t="shared" si="149"/>
        <v>0</v>
      </c>
      <c r="K300" s="501"/>
      <c r="L300" s="501"/>
      <c r="M300" s="501">
        <f t="shared" si="137"/>
        <v>0</v>
      </c>
      <c r="N300" s="501"/>
      <c r="O300" s="501"/>
      <c r="P300" s="501"/>
      <c r="Q300" s="501"/>
      <c r="R300" s="501"/>
      <c r="S300" s="501"/>
      <c r="T300" s="502"/>
      <c r="U300" s="501"/>
      <c r="V300" s="501"/>
      <c r="W300" s="585"/>
      <c r="X300" s="449"/>
      <c r="Y300" s="449"/>
      <c r="Z300" s="449"/>
      <c r="AA300" s="449"/>
      <c r="AB300" s="449"/>
      <c r="AC300" s="449"/>
      <c r="AD300" s="449"/>
      <c r="AE300" s="449"/>
      <c r="AF300" s="449"/>
      <c r="AG300" s="449"/>
    </row>
    <row r="301" spans="1:33" s="455" customFormat="1" ht="17.25" customHeight="1">
      <c r="A301" s="451" t="s">
        <v>36</v>
      </c>
      <c r="B301" s="452" t="s">
        <v>296</v>
      </c>
      <c r="C301" s="453">
        <f t="shared" ref="C301:V301" si="150">SUM(C302:C307)</f>
        <v>780.86799999999994</v>
      </c>
      <c r="D301" s="454"/>
      <c r="E301" s="501">
        <f>SUM(E302:E307)</f>
        <v>951.72799999999995</v>
      </c>
      <c r="F301" s="501">
        <f t="shared" si="135"/>
        <v>170.86</v>
      </c>
      <c r="G301" s="501">
        <f t="shared" si="150"/>
        <v>951.72799999999995</v>
      </c>
      <c r="H301" s="501">
        <f t="shared" si="150"/>
        <v>951.72799999999995</v>
      </c>
      <c r="I301" s="501">
        <f t="shared" si="150"/>
        <v>6</v>
      </c>
      <c r="J301" s="501">
        <f t="shared" si="150"/>
        <v>799.82799999999997</v>
      </c>
      <c r="K301" s="501">
        <f t="shared" si="150"/>
        <v>0</v>
      </c>
      <c r="L301" s="501">
        <f t="shared" si="150"/>
        <v>0</v>
      </c>
      <c r="M301" s="501">
        <f t="shared" si="150"/>
        <v>151.9</v>
      </c>
      <c r="N301" s="501">
        <f t="shared" si="150"/>
        <v>151.9</v>
      </c>
      <c r="O301" s="501">
        <f t="shared" si="150"/>
        <v>0</v>
      </c>
      <c r="P301" s="501">
        <f t="shared" si="150"/>
        <v>0</v>
      </c>
      <c r="Q301" s="501">
        <f t="shared" si="150"/>
        <v>0</v>
      </c>
      <c r="R301" s="501">
        <f t="shared" si="150"/>
        <v>0</v>
      </c>
      <c r="S301" s="501">
        <f t="shared" si="150"/>
        <v>14</v>
      </c>
      <c r="T301" s="502">
        <f t="shared" si="150"/>
        <v>0</v>
      </c>
      <c r="U301" s="501">
        <f t="shared" si="150"/>
        <v>225.8</v>
      </c>
      <c r="V301" s="501">
        <f t="shared" si="150"/>
        <v>711.92799999999988</v>
      </c>
      <c r="W301" s="585" t="s">
        <v>296</v>
      </c>
      <c r="X301" s="449"/>
      <c r="Y301" s="449"/>
      <c r="Z301" s="449"/>
      <c r="AA301" s="449"/>
      <c r="AB301" s="449"/>
      <c r="AC301" s="449"/>
      <c r="AD301" s="449"/>
      <c r="AE301" s="449"/>
      <c r="AF301" s="449"/>
      <c r="AG301" s="449"/>
    </row>
    <row r="302" spans="1:33" s="455" customFormat="1" ht="17.25" customHeight="1">
      <c r="A302" s="451" t="s">
        <v>11</v>
      </c>
      <c r="B302" s="452" t="s">
        <v>959</v>
      </c>
      <c r="C302" s="453">
        <v>633.84</v>
      </c>
      <c r="D302" s="454"/>
      <c r="E302" s="501">
        <f t="shared" ref="E302:E307" si="151">G302+R302</f>
        <v>789.1</v>
      </c>
      <c r="F302" s="501">
        <f t="shared" si="135"/>
        <v>155.26</v>
      </c>
      <c r="G302" s="501">
        <f t="shared" ref="G302:G307" si="152">H302+P302+Q302</f>
        <v>789.1</v>
      </c>
      <c r="H302" s="501">
        <f t="shared" ref="H302:H307" si="153">J302+M302</f>
        <v>789.1</v>
      </c>
      <c r="I302" s="501">
        <v>6</v>
      </c>
      <c r="J302" s="501">
        <v>789.1</v>
      </c>
      <c r="K302" s="501"/>
      <c r="L302" s="501"/>
      <c r="M302" s="501">
        <f t="shared" si="137"/>
        <v>0</v>
      </c>
      <c r="N302" s="501"/>
      <c r="O302" s="501">
        <v>0</v>
      </c>
      <c r="P302" s="501"/>
      <c r="Q302" s="501"/>
      <c r="R302" s="501"/>
      <c r="S302" s="501"/>
      <c r="T302" s="502"/>
      <c r="U302" s="501">
        <v>225.8</v>
      </c>
      <c r="V302" s="507">
        <f>E302-S302+T302-U302</f>
        <v>563.29999999999995</v>
      </c>
      <c r="W302" s="585"/>
      <c r="X302" s="449"/>
      <c r="Y302" s="449"/>
      <c r="Z302" s="449"/>
      <c r="AA302" s="449"/>
      <c r="AB302" s="449"/>
      <c r="AC302" s="449"/>
      <c r="AD302" s="449"/>
      <c r="AE302" s="449"/>
      <c r="AF302" s="449"/>
      <c r="AG302" s="449"/>
    </row>
    <row r="303" spans="1:33" s="455" customFormat="1" ht="17.25" customHeight="1">
      <c r="A303" s="451" t="s">
        <v>11</v>
      </c>
      <c r="B303" s="452" t="s">
        <v>839</v>
      </c>
      <c r="C303" s="453">
        <v>124.8</v>
      </c>
      <c r="D303" s="454"/>
      <c r="E303" s="501">
        <f t="shared" si="151"/>
        <v>140.4</v>
      </c>
      <c r="F303" s="501">
        <f t="shared" si="135"/>
        <v>15.600000000000009</v>
      </c>
      <c r="G303" s="501">
        <f t="shared" si="152"/>
        <v>140.4</v>
      </c>
      <c r="H303" s="501">
        <f t="shared" si="153"/>
        <v>140.4</v>
      </c>
      <c r="I303" s="501"/>
      <c r="J303" s="501">
        <f>K303+L303</f>
        <v>0</v>
      </c>
      <c r="K303" s="501"/>
      <c r="L303" s="501"/>
      <c r="M303" s="501">
        <f t="shared" si="137"/>
        <v>140.4</v>
      </c>
      <c r="N303" s="501">
        <f>6*18*1.3</f>
        <v>140.4</v>
      </c>
      <c r="O303" s="501">
        <v>0</v>
      </c>
      <c r="P303" s="501">
        <v>0</v>
      </c>
      <c r="Q303" s="501">
        <v>0</v>
      </c>
      <c r="R303" s="501">
        <v>0</v>
      </c>
      <c r="S303" s="501">
        <v>14</v>
      </c>
      <c r="T303" s="502"/>
      <c r="U303" s="501"/>
      <c r="V303" s="507">
        <f>E303-S303</f>
        <v>126.4</v>
      </c>
      <c r="W303" s="585"/>
      <c r="X303" s="449"/>
      <c r="Y303" s="449"/>
      <c r="Z303" s="449"/>
      <c r="AA303" s="449"/>
      <c r="AB303" s="449"/>
      <c r="AC303" s="449"/>
      <c r="AD303" s="449"/>
      <c r="AE303" s="449"/>
      <c r="AF303" s="449"/>
      <c r="AG303" s="449"/>
    </row>
    <row r="304" spans="1:33" s="455" customFormat="1" ht="17.25" customHeight="1">
      <c r="A304" s="451" t="s">
        <v>11</v>
      </c>
      <c r="B304" s="452" t="s">
        <v>250</v>
      </c>
      <c r="C304" s="453">
        <v>10.728</v>
      </c>
      <c r="D304" s="454"/>
      <c r="E304" s="501">
        <f t="shared" si="151"/>
        <v>10.728</v>
      </c>
      <c r="F304" s="501">
        <f t="shared" si="135"/>
        <v>0</v>
      </c>
      <c r="G304" s="501">
        <f t="shared" si="152"/>
        <v>10.728</v>
      </c>
      <c r="H304" s="501">
        <f t="shared" si="153"/>
        <v>10.728</v>
      </c>
      <c r="I304" s="501"/>
      <c r="J304" s="501">
        <f>5.364*2</f>
        <v>10.728</v>
      </c>
      <c r="K304" s="501"/>
      <c r="L304" s="501"/>
      <c r="M304" s="501">
        <f t="shared" si="137"/>
        <v>0</v>
      </c>
      <c r="N304" s="501"/>
      <c r="O304" s="501">
        <v>0</v>
      </c>
      <c r="P304" s="501"/>
      <c r="Q304" s="501"/>
      <c r="R304" s="501"/>
      <c r="S304" s="501"/>
      <c r="T304" s="502"/>
      <c r="U304" s="501"/>
      <c r="V304" s="507">
        <f>E304-S304</f>
        <v>10.728</v>
      </c>
      <c r="W304" s="585"/>
      <c r="X304" s="449"/>
      <c r="Y304" s="449"/>
      <c r="Z304" s="449"/>
      <c r="AA304" s="449"/>
      <c r="AB304" s="449"/>
      <c r="AC304" s="449"/>
      <c r="AD304" s="449"/>
      <c r="AE304" s="449"/>
      <c r="AF304" s="449"/>
      <c r="AG304" s="449"/>
    </row>
    <row r="305" spans="1:33" s="455" customFormat="1" ht="25.5" customHeight="1">
      <c r="A305" s="451" t="s">
        <v>11</v>
      </c>
      <c r="B305" s="457" t="s">
        <v>150</v>
      </c>
      <c r="C305" s="453">
        <v>11.5</v>
      </c>
      <c r="D305" s="454"/>
      <c r="E305" s="501">
        <f t="shared" si="151"/>
        <v>11.5</v>
      </c>
      <c r="F305" s="501">
        <f t="shared" si="135"/>
        <v>0</v>
      </c>
      <c r="G305" s="501">
        <f t="shared" si="152"/>
        <v>11.5</v>
      </c>
      <c r="H305" s="501">
        <f t="shared" si="153"/>
        <v>11.5</v>
      </c>
      <c r="I305" s="501"/>
      <c r="J305" s="501">
        <f>K305+L305</f>
        <v>0</v>
      </c>
      <c r="K305" s="501"/>
      <c r="L305" s="501"/>
      <c r="M305" s="501">
        <f t="shared" si="137"/>
        <v>11.5</v>
      </c>
      <c r="N305" s="501">
        <v>11.5</v>
      </c>
      <c r="O305" s="501">
        <v>0</v>
      </c>
      <c r="P305" s="501"/>
      <c r="Q305" s="501"/>
      <c r="R305" s="501"/>
      <c r="S305" s="501"/>
      <c r="T305" s="502"/>
      <c r="U305" s="501"/>
      <c r="V305" s="507">
        <f>E305-S305</f>
        <v>11.5</v>
      </c>
      <c r="W305" s="585"/>
      <c r="X305" s="449"/>
      <c r="Y305" s="449"/>
      <c r="Z305" s="449"/>
      <c r="AA305" s="449"/>
      <c r="AB305" s="449"/>
      <c r="AC305" s="449"/>
      <c r="AD305" s="449"/>
      <c r="AE305" s="449"/>
      <c r="AF305" s="449"/>
      <c r="AG305" s="449"/>
    </row>
    <row r="306" spans="1:33" s="455" customFormat="1" ht="18.75" hidden="1" customHeight="1">
      <c r="A306" s="451" t="s">
        <v>11</v>
      </c>
      <c r="B306" s="457" t="s">
        <v>170</v>
      </c>
      <c r="C306" s="453"/>
      <c r="D306" s="454"/>
      <c r="E306" s="501">
        <f t="shared" si="151"/>
        <v>0</v>
      </c>
      <c r="F306" s="501">
        <f t="shared" si="135"/>
        <v>0</v>
      </c>
      <c r="G306" s="501">
        <f t="shared" si="152"/>
        <v>0</v>
      </c>
      <c r="H306" s="501">
        <f t="shared" si="153"/>
        <v>0</v>
      </c>
      <c r="I306" s="501"/>
      <c r="J306" s="501">
        <f>K306+L306</f>
        <v>0</v>
      </c>
      <c r="K306" s="501"/>
      <c r="L306" s="501"/>
      <c r="M306" s="501">
        <f>N306+O306</f>
        <v>0</v>
      </c>
      <c r="N306" s="501"/>
      <c r="O306" s="501">
        <v>0</v>
      </c>
      <c r="P306" s="501"/>
      <c r="Q306" s="501"/>
      <c r="R306" s="501"/>
      <c r="S306" s="501"/>
      <c r="T306" s="502"/>
      <c r="U306" s="501"/>
      <c r="V306" s="507">
        <f>E306-S306</f>
        <v>0</v>
      </c>
      <c r="W306" s="585"/>
      <c r="X306" s="449"/>
      <c r="Y306" s="449"/>
      <c r="Z306" s="449"/>
      <c r="AA306" s="449"/>
      <c r="AB306" s="449"/>
      <c r="AC306" s="449"/>
      <c r="AD306" s="449"/>
      <c r="AE306" s="449"/>
      <c r="AF306" s="449"/>
      <c r="AG306" s="449"/>
    </row>
    <row r="307" spans="1:33" s="455" customFormat="1" ht="18.75" hidden="1" customHeight="1">
      <c r="A307" s="451" t="s">
        <v>11</v>
      </c>
      <c r="B307" s="452" t="s">
        <v>295</v>
      </c>
      <c r="C307" s="453"/>
      <c r="D307" s="454"/>
      <c r="E307" s="501">
        <f t="shared" si="151"/>
        <v>0</v>
      </c>
      <c r="F307" s="501">
        <f t="shared" si="135"/>
        <v>0</v>
      </c>
      <c r="G307" s="501">
        <f t="shared" si="152"/>
        <v>0</v>
      </c>
      <c r="H307" s="501">
        <f t="shared" si="153"/>
        <v>0</v>
      </c>
      <c r="I307" s="501"/>
      <c r="J307" s="501">
        <f>K307+L307</f>
        <v>0</v>
      </c>
      <c r="K307" s="501"/>
      <c r="L307" s="501"/>
      <c r="M307" s="501">
        <f>N307+O307</f>
        <v>0</v>
      </c>
      <c r="N307" s="501"/>
      <c r="O307" s="501">
        <v>0</v>
      </c>
      <c r="P307" s="501"/>
      <c r="Q307" s="501"/>
      <c r="R307" s="501"/>
      <c r="S307" s="501"/>
      <c r="T307" s="502"/>
      <c r="U307" s="501"/>
      <c r="V307" s="507">
        <f>E307-S307</f>
        <v>0</v>
      </c>
      <c r="W307" s="585"/>
      <c r="X307" s="449"/>
      <c r="Y307" s="449"/>
      <c r="Z307" s="449"/>
      <c r="AA307" s="449"/>
      <c r="AB307" s="449"/>
      <c r="AC307" s="449"/>
      <c r="AD307" s="449"/>
      <c r="AE307" s="449"/>
      <c r="AF307" s="449"/>
      <c r="AG307" s="449"/>
    </row>
    <row r="308" spans="1:33" s="455" customFormat="1" ht="17.25" customHeight="1">
      <c r="A308" s="451" t="s">
        <v>37</v>
      </c>
      <c r="B308" s="452" t="s">
        <v>297</v>
      </c>
      <c r="C308" s="453">
        <f>C309+C314</f>
        <v>750.78800000000001</v>
      </c>
      <c r="D308" s="454"/>
      <c r="E308" s="501">
        <f>E309+E314</f>
        <v>889.3</v>
      </c>
      <c r="F308" s="501">
        <f t="shared" si="135"/>
        <v>138.51199999999994</v>
      </c>
      <c r="G308" s="501">
        <f t="shared" ref="G308:V308" si="154">G309+G314</f>
        <v>889.3</v>
      </c>
      <c r="H308" s="501">
        <f t="shared" si="154"/>
        <v>889.3</v>
      </c>
      <c r="I308" s="501">
        <f t="shared" si="154"/>
        <v>5</v>
      </c>
      <c r="J308" s="501">
        <f t="shared" si="154"/>
        <v>648.29999999999995</v>
      </c>
      <c r="K308" s="501">
        <f t="shared" si="154"/>
        <v>0</v>
      </c>
      <c r="L308" s="501">
        <f t="shared" si="154"/>
        <v>0</v>
      </c>
      <c r="M308" s="501">
        <f t="shared" si="154"/>
        <v>241</v>
      </c>
      <c r="N308" s="501">
        <f t="shared" si="154"/>
        <v>151</v>
      </c>
      <c r="O308" s="501">
        <f t="shared" si="154"/>
        <v>90</v>
      </c>
      <c r="P308" s="501">
        <f t="shared" si="154"/>
        <v>0</v>
      </c>
      <c r="Q308" s="501">
        <f t="shared" si="154"/>
        <v>0</v>
      </c>
      <c r="R308" s="501">
        <f t="shared" si="154"/>
        <v>0</v>
      </c>
      <c r="S308" s="501">
        <f t="shared" si="154"/>
        <v>21</v>
      </c>
      <c r="T308" s="502">
        <f t="shared" si="154"/>
        <v>0</v>
      </c>
      <c r="U308" s="501">
        <f t="shared" si="154"/>
        <v>33.47</v>
      </c>
      <c r="V308" s="501">
        <f t="shared" si="154"/>
        <v>834.82999999999993</v>
      </c>
      <c r="W308" s="585" t="s">
        <v>297</v>
      </c>
      <c r="X308" s="449"/>
      <c r="Y308" s="449"/>
      <c r="Z308" s="449"/>
      <c r="AA308" s="449"/>
      <c r="AB308" s="449"/>
      <c r="AC308" s="449"/>
      <c r="AD308" s="449"/>
      <c r="AE308" s="449"/>
      <c r="AF308" s="449"/>
      <c r="AG308" s="449"/>
    </row>
    <row r="309" spans="1:33" s="469" customFormat="1" ht="17.25" customHeight="1">
      <c r="A309" s="451" t="s">
        <v>298</v>
      </c>
      <c r="B309" s="452" t="s">
        <v>299</v>
      </c>
      <c r="C309" s="453">
        <f>SUM(C310:C313)</f>
        <v>640.78800000000001</v>
      </c>
      <c r="D309" s="454"/>
      <c r="E309" s="501">
        <f>SUM(E310:E313)</f>
        <v>774.3</v>
      </c>
      <c r="F309" s="501">
        <f t="shared" si="135"/>
        <v>133.51199999999994</v>
      </c>
      <c r="G309" s="501">
        <f t="shared" ref="G309:V309" si="155">SUM(G310:G313)</f>
        <v>774.3</v>
      </c>
      <c r="H309" s="501">
        <f t="shared" si="155"/>
        <v>774.3</v>
      </c>
      <c r="I309" s="501">
        <f t="shared" si="155"/>
        <v>5</v>
      </c>
      <c r="J309" s="501">
        <f t="shared" si="155"/>
        <v>648.29999999999995</v>
      </c>
      <c r="K309" s="501">
        <f t="shared" si="155"/>
        <v>0</v>
      </c>
      <c r="L309" s="501">
        <f t="shared" si="155"/>
        <v>0</v>
      </c>
      <c r="M309" s="501">
        <f t="shared" si="155"/>
        <v>126</v>
      </c>
      <c r="N309" s="501">
        <f t="shared" si="155"/>
        <v>126</v>
      </c>
      <c r="O309" s="501">
        <f t="shared" si="155"/>
        <v>0</v>
      </c>
      <c r="P309" s="501">
        <f t="shared" si="155"/>
        <v>0</v>
      </c>
      <c r="Q309" s="501">
        <f t="shared" si="155"/>
        <v>0</v>
      </c>
      <c r="R309" s="501">
        <f t="shared" si="155"/>
        <v>0</v>
      </c>
      <c r="S309" s="501">
        <f t="shared" si="155"/>
        <v>12</v>
      </c>
      <c r="T309" s="502">
        <f t="shared" si="155"/>
        <v>0</v>
      </c>
      <c r="U309" s="501">
        <f t="shared" si="155"/>
        <v>33.47</v>
      </c>
      <c r="V309" s="501">
        <f t="shared" si="155"/>
        <v>728.82999999999993</v>
      </c>
      <c r="W309" s="585"/>
      <c r="X309" s="468"/>
      <c r="Y309" s="468"/>
      <c r="Z309" s="468"/>
      <c r="AA309" s="468"/>
      <c r="AB309" s="468"/>
      <c r="AC309" s="468"/>
      <c r="AD309" s="468"/>
      <c r="AE309" s="468"/>
      <c r="AF309" s="468"/>
      <c r="AG309" s="468"/>
    </row>
    <row r="310" spans="1:33" s="455" customFormat="1" ht="17.25" customHeight="1">
      <c r="A310" s="451" t="s">
        <v>11</v>
      </c>
      <c r="B310" s="452" t="s">
        <v>840</v>
      </c>
      <c r="C310" s="453">
        <v>527.46</v>
      </c>
      <c r="D310" s="454"/>
      <c r="E310" s="501">
        <f>G310+R310</f>
        <v>637.56999999999994</v>
      </c>
      <c r="F310" s="501">
        <f t="shared" si="135"/>
        <v>110.1099999999999</v>
      </c>
      <c r="G310" s="501">
        <f>H310+P310+Q310</f>
        <v>637.56999999999994</v>
      </c>
      <c r="H310" s="501">
        <f>J310+M310</f>
        <v>637.56999999999994</v>
      </c>
      <c r="I310" s="501">
        <v>5</v>
      </c>
      <c r="J310" s="501">
        <f>637.54+0.03</f>
        <v>637.56999999999994</v>
      </c>
      <c r="K310" s="501"/>
      <c r="L310" s="501"/>
      <c r="M310" s="501">
        <f t="shared" si="137"/>
        <v>0</v>
      </c>
      <c r="N310" s="501"/>
      <c r="O310" s="501">
        <v>0</v>
      </c>
      <c r="P310" s="501"/>
      <c r="Q310" s="501">
        <v>0</v>
      </c>
      <c r="R310" s="501"/>
      <c r="S310" s="501"/>
      <c r="T310" s="502"/>
      <c r="U310" s="501">
        <f>37.6-9.5</f>
        <v>28.1</v>
      </c>
      <c r="V310" s="507">
        <f>E310-S310+T310-U310</f>
        <v>609.46999999999991</v>
      </c>
      <c r="W310" s="585"/>
      <c r="X310" s="449"/>
      <c r="Y310" s="449"/>
      <c r="Z310" s="449"/>
      <c r="AA310" s="449"/>
      <c r="AB310" s="449"/>
      <c r="AC310" s="449"/>
      <c r="AD310" s="449"/>
      <c r="AE310" s="449"/>
      <c r="AF310" s="449"/>
      <c r="AG310" s="449"/>
    </row>
    <row r="311" spans="1:33" s="455" customFormat="1" ht="15.75" customHeight="1">
      <c r="A311" s="451" t="s">
        <v>11</v>
      </c>
      <c r="B311" s="452" t="s">
        <v>841</v>
      </c>
      <c r="C311" s="453">
        <v>93.6</v>
      </c>
      <c r="D311" s="454"/>
      <c r="E311" s="501">
        <f>G311+R311</f>
        <v>117</v>
      </c>
      <c r="F311" s="501">
        <f t="shared" si="135"/>
        <v>23.400000000000006</v>
      </c>
      <c r="G311" s="501">
        <f>H311+P311+Q311</f>
        <v>117</v>
      </c>
      <c r="H311" s="501">
        <f>J311+M311</f>
        <v>117</v>
      </c>
      <c r="I311" s="501"/>
      <c r="J311" s="501">
        <f>K311+L311</f>
        <v>0</v>
      </c>
      <c r="K311" s="501"/>
      <c r="L311" s="501"/>
      <c r="M311" s="501">
        <f t="shared" si="137"/>
        <v>117</v>
      </c>
      <c r="N311" s="501">
        <f>5*18*1.3</f>
        <v>117</v>
      </c>
      <c r="O311" s="501">
        <v>0</v>
      </c>
      <c r="P311" s="501">
        <v>0</v>
      </c>
      <c r="Q311" s="501">
        <v>0</v>
      </c>
      <c r="R311" s="501">
        <v>0</v>
      </c>
      <c r="S311" s="501">
        <v>12</v>
      </c>
      <c r="T311" s="502"/>
      <c r="U311" s="501"/>
      <c r="V311" s="507">
        <f t="shared" ref="V311:V317" si="156">E311-S311</f>
        <v>105</v>
      </c>
      <c r="W311" s="585"/>
      <c r="X311" s="449"/>
      <c r="Y311" s="449"/>
      <c r="Z311" s="449"/>
      <c r="AA311" s="449"/>
      <c r="AB311" s="449"/>
      <c r="AC311" s="449"/>
      <c r="AD311" s="449"/>
      <c r="AE311" s="449"/>
      <c r="AF311" s="449"/>
      <c r="AG311" s="449"/>
    </row>
    <row r="312" spans="1:33" s="455" customFormat="1" ht="17.25" customHeight="1">
      <c r="A312" s="451" t="s">
        <v>11</v>
      </c>
      <c r="B312" s="452" t="s">
        <v>250</v>
      </c>
      <c r="C312" s="453">
        <v>10.728</v>
      </c>
      <c r="D312" s="454"/>
      <c r="E312" s="501">
        <f>G312+R312</f>
        <v>10.73</v>
      </c>
      <c r="F312" s="501">
        <f t="shared" si="135"/>
        <v>2.0000000000006679E-3</v>
      </c>
      <c r="G312" s="501">
        <f>H312+P312+Q312</f>
        <v>10.73</v>
      </c>
      <c r="H312" s="501">
        <f>J312+M312</f>
        <v>10.73</v>
      </c>
      <c r="I312" s="501"/>
      <c r="J312" s="501">
        <v>10.73</v>
      </c>
      <c r="K312" s="501"/>
      <c r="L312" s="501"/>
      <c r="M312" s="501">
        <f>N312+O312</f>
        <v>0</v>
      </c>
      <c r="N312" s="501"/>
      <c r="O312" s="501">
        <v>0</v>
      </c>
      <c r="P312" s="501"/>
      <c r="Q312" s="501"/>
      <c r="R312" s="501"/>
      <c r="S312" s="501"/>
      <c r="T312" s="502"/>
      <c r="U312" s="501">
        <v>5.37</v>
      </c>
      <c r="V312" s="507">
        <f>E312-S312+T312-U312</f>
        <v>5.36</v>
      </c>
      <c r="W312" s="585"/>
      <c r="X312" s="449"/>
      <c r="Y312" s="449"/>
      <c r="Z312" s="449"/>
      <c r="AA312" s="449"/>
      <c r="AB312" s="449"/>
      <c r="AC312" s="449"/>
      <c r="AD312" s="449"/>
      <c r="AE312" s="449"/>
      <c r="AF312" s="449"/>
      <c r="AG312" s="449"/>
    </row>
    <row r="313" spans="1:33" s="455" customFormat="1" ht="24.75" customHeight="1">
      <c r="A313" s="451" t="s">
        <v>11</v>
      </c>
      <c r="B313" s="457" t="s">
        <v>150</v>
      </c>
      <c r="C313" s="453">
        <v>9</v>
      </c>
      <c r="D313" s="454"/>
      <c r="E313" s="501">
        <f>G313+R313</f>
        <v>9</v>
      </c>
      <c r="F313" s="501">
        <f t="shared" si="135"/>
        <v>0</v>
      </c>
      <c r="G313" s="501">
        <f>H313+P313+Q313</f>
        <v>9</v>
      </c>
      <c r="H313" s="501">
        <f>J313+M313</f>
        <v>9</v>
      </c>
      <c r="I313" s="501"/>
      <c r="J313" s="501">
        <f>K313+L313</f>
        <v>0</v>
      </c>
      <c r="K313" s="501"/>
      <c r="L313" s="501"/>
      <c r="M313" s="501">
        <f t="shared" si="137"/>
        <v>9</v>
      </c>
      <c r="N313" s="501">
        <v>9</v>
      </c>
      <c r="O313" s="501">
        <v>0</v>
      </c>
      <c r="P313" s="501"/>
      <c r="Q313" s="501"/>
      <c r="R313" s="501"/>
      <c r="S313" s="501"/>
      <c r="T313" s="502"/>
      <c r="U313" s="501"/>
      <c r="V313" s="507">
        <f t="shared" si="156"/>
        <v>9</v>
      </c>
      <c r="W313" s="585"/>
      <c r="X313" s="449"/>
      <c r="Y313" s="449"/>
      <c r="Z313" s="449"/>
      <c r="AA313" s="449"/>
      <c r="AB313" s="449"/>
      <c r="AC313" s="449"/>
      <c r="AD313" s="449"/>
      <c r="AE313" s="449"/>
      <c r="AF313" s="449"/>
      <c r="AG313" s="449"/>
    </row>
    <row r="314" spans="1:33" s="469" customFormat="1" ht="17.25" customHeight="1">
      <c r="A314" s="451" t="s">
        <v>301</v>
      </c>
      <c r="B314" s="452" t="s">
        <v>302</v>
      </c>
      <c r="C314" s="453">
        <f>SUM(C315:C318)</f>
        <v>110</v>
      </c>
      <c r="D314" s="454"/>
      <c r="E314" s="501">
        <f t="shared" ref="E314:K314" si="157">SUM(E315:E318)</f>
        <v>115</v>
      </c>
      <c r="F314" s="501">
        <f t="shared" si="135"/>
        <v>5</v>
      </c>
      <c r="G314" s="501">
        <f t="shared" si="157"/>
        <v>115</v>
      </c>
      <c r="H314" s="501">
        <f t="shared" si="157"/>
        <v>115</v>
      </c>
      <c r="I314" s="501">
        <f t="shared" si="157"/>
        <v>0</v>
      </c>
      <c r="J314" s="501">
        <f t="shared" si="157"/>
        <v>0</v>
      </c>
      <c r="K314" s="501">
        <f t="shared" si="157"/>
        <v>0</v>
      </c>
      <c r="L314" s="501"/>
      <c r="M314" s="501">
        <f t="shared" ref="M314:V314" si="158">SUM(M315:M318)</f>
        <v>115</v>
      </c>
      <c r="N314" s="501">
        <f t="shared" si="158"/>
        <v>25</v>
      </c>
      <c r="O314" s="501">
        <f t="shared" si="158"/>
        <v>90</v>
      </c>
      <c r="P314" s="501">
        <f t="shared" si="158"/>
        <v>0</v>
      </c>
      <c r="Q314" s="501">
        <f t="shared" si="158"/>
        <v>0</v>
      </c>
      <c r="R314" s="501">
        <f t="shared" si="158"/>
        <v>0</v>
      </c>
      <c r="S314" s="501">
        <f t="shared" si="158"/>
        <v>9</v>
      </c>
      <c r="T314" s="502">
        <f t="shared" si="158"/>
        <v>0</v>
      </c>
      <c r="U314" s="501">
        <f t="shared" si="158"/>
        <v>0</v>
      </c>
      <c r="V314" s="501">
        <f t="shared" si="158"/>
        <v>106</v>
      </c>
      <c r="W314" s="585"/>
      <c r="X314" s="468"/>
      <c r="Y314" s="468"/>
      <c r="Z314" s="468"/>
      <c r="AA314" s="468"/>
      <c r="AB314" s="468"/>
      <c r="AC314" s="468"/>
      <c r="AD314" s="468"/>
      <c r="AE314" s="468"/>
      <c r="AF314" s="468"/>
      <c r="AG314" s="468"/>
    </row>
    <row r="315" spans="1:33" s="455" customFormat="1" ht="17.25" customHeight="1">
      <c r="A315" s="451" t="s">
        <v>11</v>
      </c>
      <c r="B315" s="452" t="s">
        <v>842</v>
      </c>
      <c r="C315" s="453">
        <v>20</v>
      </c>
      <c r="D315" s="454"/>
      <c r="E315" s="501">
        <f>G315+R315</f>
        <v>25</v>
      </c>
      <c r="F315" s="501">
        <f t="shared" si="135"/>
        <v>5</v>
      </c>
      <c r="G315" s="501">
        <f>H315+P315+Q315</f>
        <v>25</v>
      </c>
      <c r="H315" s="501">
        <f>J315+M315</f>
        <v>25</v>
      </c>
      <c r="I315" s="501"/>
      <c r="J315" s="501">
        <f>K315+L315</f>
        <v>0</v>
      </c>
      <c r="K315" s="501"/>
      <c r="L315" s="501"/>
      <c r="M315" s="501">
        <f>N315+O315</f>
        <v>25</v>
      </c>
      <c r="N315" s="501">
        <v>25</v>
      </c>
      <c r="O315" s="501"/>
      <c r="P315" s="501"/>
      <c r="Q315" s="501"/>
      <c r="R315" s="501"/>
      <c r="S315" s="501"/>
      <c r="T315" s="502"/>
      <c r="U315" s="501"/>
      <c r="V315" s="507">
        <f t="shared" si="156"/>
        <v>25</v>
      </c>
      <c r="W315" s="585"/>
      <c r="X315" s="449"/>
      <c r="Y315" s="449"/>
      <c r="Z315" s="449"/>
      <c r="AA315" s="449"/>
      <c r="AB315" s="449"/>
      <c r="AC315" s="449"/>
      <c r="AD315" s="449"/>
      <c r="AE315" s="449"/>
      <c r="AF315" s="449"/>
      <c r="AG315" s="449"/>
    </row>
    <row r="316" spans="1:33" s="455" customFormat="1" ht="42" customHeight="1">
      <c r="A316" s="451" t="s">
        <v>11</v>
      </c>
      <c r="B316" s="457" t="s">
        <v>303</v>
      </c>
      <c r="C316" s="453">
        <v>60</v>
      </c>
      <c r="D316" s="454"/>
      <c r="E316" s="501">
        <f>G316+R316</f>
        <v>60</v>
      </c>
      <c r="F316" s="501">
        <f t="shared" si="135"/>
        <v>0</v>
      </c>
      <c r="G316" s="501">
        <f>H316+P316+Q316</f>
        <v>60</v>
      </c>
      <c r="H316" s="501">
        <f>J316+M316</f>
        <v>60</v>
      </c>
      <c r="I316" s="501"/>
      <c r="J316" s="501">
        <f>K316+L316</f>
        <v>0</v>
      </c>
      <c r="K316" s="501"/>
      <c r="L316" s="501"/>
      <c r="M316" s="501">
        <f t="shared" si="137"/>
        <v>60</v>
      </c>
      <c r="N316" s="501"/>
      <c r="O316" s="501">
        <v>60</v>
      </c>
      <c r="P316" s="501"/>
      <c r="Q316" s="501"/>
      <c r="R316" s="501"/>
      <c r="S316" s="501">
        <v>6</v>
      </c>
      <c r="T316" s="502"/>
      <c r="U316" s="501"/>
      <c r="V316" s="507">
        <f t="shared" si="156"/>
        <v>54</v>
      </c>
      <c r="W316" s="585"/>
      <c r="X316" s="449"/>
      <c r="Y316" s="449"/>
      <c r="Z316" s="449"/>
      <c r="AA316" s="449"/>
      <c r="AB316" s="449"/>
      <c r="AC316" s="449"/>
      <c r="AD316" s="449"/>
      <c r="AE316" s="449"/>
      <c r="AF316" s="449"/>
      <c r="AG316" s="449"/>
    </row>
    <row r="317" spans="1:33" s="455" customFormat="1" ht="33.75" customHeight="1">
      <c r="A317" s="451" t="s">
        <v>11</v>
      </c>
      <c r="B317" s="457" t="s">
        <v>304</v>
      </c>
      <c r="C317" s="453">
        <v>30</v>
      </c>
      <c r="D317" s="454"/>
      <c r="E317" s="501">
        <f>G317+R317</f>
        <v>30</v>
      </c>
      <c r="F317" s="501">
        <f t="shared" si="135"/>
        <v>0</v>
      </c>
      <c r="G317" s="501">
        <f>H317+P317+Q317</f>
        <v>30</v>
      </c>
      <c r="H317" s="501">
        <f>J317+M317</f>
        <v>30</v>
      </c>
      <c r="I317" s="501"/>
      <c r="J317" s="501">
        <f>K317+L317</f>
        <v>0</v>
      </c>
      <c r="K317" s="501"/>
      <c r="L317" s="501"/>
      <c r="M317" s="501">
        <f t="shared" si="137"/>
        <v>30</v>
      </c>
      <c r="N317" s="501"/>
      <c r="O317" s="501">
        <v>30</v>
      </c>
      <c r="P317" s="501"/>
      <c r="Q317" s="501"/>
      <c r="R317" s="501"/>
      <c r="S317" s="501">
        <v>3</v>
      </c>
      <c r="T317" s="502"/>
      <c r="U317" s="501"/>
      <c r="V317" s="507">
        <f t="shared" si="156"/>
        <v>27</v>
      </c>
      <c r="W317" s="585"/>
      <c r="X317" s="449"/>
      <c r="Y317" s="449"/>
      <c r="Z317" s="449"/>
      <c r="AA317" s="449"/>
      <c r="AB317" s="449"/>
      <c r="AC317" s="449"/>
      <c r="AD317" s="449"/>
      <c r="AE317" s="449"/>
      <c r="AF317" s="449"/>
      <c r="AG317" s="449"/>
    </row>
    <row r="318" spans="1:33" s="455" customFormat="1" ht="33.75" hidden="1" customHeight="1">
      <c r="A318" s="451" t="s">
        <v>11</v>
      </c>
      <c r="B318" s="460" t="s">
        <v>305</v>
      </c>
      <c r="C318" s="453"/>
      <c r="D318" s="454"/>
      <c r="E318" s="501">
        <f>G318+R318</f>
        <v>0</v>
      </c>
      <c r="F318" s="501">
        <f t="shared" si="135"/>
        <v>0</v>
      </c>
      <c r="G318" s="501">
        <f>H318+P318+Q318</f>
        <v>0</v>
      </c>
      <c r="H318" s="501">
        <f>J318+M318</f>
        <v>0</v>
      </c>
      <c r="I318" s="501"/>
      <c r="J318" s="501">
        <f>K318+L318</f>
        <v>0</v>
      </c>
      <c r="K318" s="501"/>
      <c r="L318" s="501"/>
      <c r="M318" s="501">
        <f>N318+O318</f>
        <v>0</v>
      </c>
      <c r="N318" s="501"/>
      <c r="O318" s="501"/>
      <c r="P318" s="501"/>
      <c r="Q318" s="501"/>
      <c r="R318" s="501"/>
      <c r="S318" s="501"/>
      <c r="T318" s="502"/>
      <c r="U318" s="501"/>
      <c r="V318" s="501"/>
      <c r="W318" s="585"/>
      <c r="X318" s="449"/>
      <c r="Y318" s="449"/>
      <c r="Z318" s="449"/>
      <c r="AA318" s="449"/>
      <c r="AB318" s="449"/>
      <c r="AC318" s="449"/>
      <c r="AD318" s="449"/>
      <c r="AE318" s="449"/>
      <c r="AF318" s="449"/>
      <c r="AG318" s="449"/>
    </row>
    <row r="319" spans="1:33" s="455" customFormat="1" ht="17.25" customHeight="1">
      <c r="A319" s="451" t="s">
        <v>75</v>
      </c>
      <c r="B319" s="452" t="s">
        <v>306</v>
      </c>
      <c r="C319" s="453">
        <f>C320+C325</f>
        <v>786.16200000000003</v>
      </c>
      <c r="D319" s="454"/>
      <c r="E319" s="501">
        <f>E320+E325</f>
        <v>912.13</v>
      </c>
      <c r="F319" s="501">
        <f t="shared" si="135"/>
        <v>125.96799999999996</v>
      </c>
      <c r="G319" s="501">
        <f t="shared" ref="G319:V319" si="159">G320+G325</f>
        <v>912.13</v>
      </c>
      <c r="H319" s="501">
        <f t="shared" si="159"/>
        <v>912.13</v>
      </c>
      <c r="I319" s="501">
        <f t="shared" si="159"/>
        <v>3</v>
      </c>
      <c r="J319" s="501">
        <f t="shared" si="159"/>
        <v>321.93</v>
      </c>
      <c r="K319" s="501">
        <f t="shared" si="159"/>
        <v>0</v>
      </c>
      <c r="L319" s="501">
        <f t="shared" si="159"/>
        <v>0</v>
      </c>
      <c r="M319" s="501">
        <f t="shared" si="159"/>
        <v>590.20000000000005</v>
      </c>
      <c r="N319" s="501">
        <f t="shared" si="159"/>
        <v>70.2</v>
      </c>
      <c r="O319" s="501">
        <f t="shared" si="159"/>
        <v>520</v>
      </c>
      <c r="P319" s="501">
        <f t="shared" si="159"/>
        <v>0</v>
      </c>
      <c r="Q319" s="501">
        <f t="shared" si="159"/>
        <v>0</v>
      </c>
      <c r="R319" s="501">
        <f t="shared" si="159"/>
        <v>0</v>
      </c>
      <c r="S319" s="501">
        <f t="shared" si="159"/>
        <v>29</v>
      </c>
      <c r="T319" s="502">
        <f t="shared" si="159"/>
        <v>0</v>
      </c>
      <c r="U319" s="501">
        <f t="shared" si="159"/>
        <v>0</v>
      </c>
      <c r="V319" s="501">
        <f t="shared" si="159"/>
        <v>883.13</v>
      </c>
      <c r="W319" s="585" t="s">
        <v>306</v>
      </c>
      <c r="X319" s="449"/>
      <c r="Y319" s="449"/>
      <c r="Z319" s="449"/>
      <c r="AA319" s="449"/>
      <c r="AB319" s="449"/>
      <c r="AC319" s="449"/>
      <c r="AD319" s="449"/>
      <c r="AE319" s="449"/>
      <c r="AF319" s="449"/>
      <c r="AG319" s="449"/>
    </row>
    <row r="320" spans="1:33" s="455" customFormat="1" ht="17.25" customHeight="1">
      <c r="A320" s="451" t="s">
        <v>307</v>
      </c>
      <c r="B320" s="452" t="s">
        <v>299</v>
      </c>
      <c r="C320" s="453">
        <f>SUM(C321:C324)</f>
        <v>396.16199999999998</v>
      </c>
      <c r="D320" s="454"/>
      <c r="E320" s="501">
        <f>SUM(E321:E324)</f>
        <v>392.13</v>
      </c>
      <c r="F320" s="501">
        <f t="shared" si="135"/>
        <v>-4.0319999999999823</v>
      </c>
      <c r="G320" s="501">
        <f t="shared" ref="G320:V320" si="160">SUM(G321:G324)</f>
        <v>392.13</v>
      </c>
      <c r="H320" s="501">
        <f t="shared" si="160"/>
        <v>392.13</v>
      </c>
      <c r="I320" s="501">
        <f t="shared" si="160"/>
        <v>3</v>
      </c>
      <c r="J320" s="501">
        <f t="shared" si="160"/>
        <v>321.93</v>
      </c>
      <c r="K320" s="501">
        <f t="shared" si="160"/>
        <v>0</v>
      </c>
      <c r="L320" s="501">
        <f t="shared" si="160"/>
        <v>0</v>
      </c>
      <c r="M320" s="501">
        <f t="shared" si="160"/>
        <v>70.2</v>
      </c>
      <c r="N320" s="501">
        <f t="shared" si="160"/>
        <v>70.2</v>
      </c>
      <c r="O320" s="501">
        <f t="shared" si="160"/>
        <v>0</v>
      </c>
      <c r="P320" s="501">
        <f t="shared" si="160"/>
        <v>0</v>
      </c>
      <c r="Q320" s="501">
        <f t="shared" si="160"/>
        <v>0</v>
      </c>
      <c r="R320" s="501">
        <f t="shared" si="160"/>
        <v>0</v>
      </c>
      <c r="S320" s="501">
        <f t="shared" si="160"/>
        <v>7</v>
      </c>
      <c r="T320" s="502">
        <f t="shared" si="160"/>
        <v>0</v>
      </c>
      <c r="U320" s="501">
        <f t="shared" si="160"/>
        <v>0</v>
      </c>
      <c r="V320" s="501">
        <f t="shared" si="160"/>
        <v>385.13</v>
      </c>
      <c r="W320" s="585"/>
      <c r="X320" s="449"/>
      <c r="Y320" s="449"/>
      <c r="Z320" s="449"/>
      <c r="AA320" s="449"/>
      <c r="AB320" s="449"/>
      <c r="AC320" s="449"/>
      <c r="AD320" s="449"/>
      <c r="AE320" s="449"/>
      <c r="AF320" s="449"/>
      <c r="AG320" s="449"/>
    </row>
    <row r="321" spans="1:33" s="455" customFormat="1" ht="17.25" customHeight="1">
      <c r="A321" s="451" t="s">
        <v>11</v>
      </c>
      <c r="B321" s="452" t="s">
        <v>308</v>
      </c>
      <c r="C321" s="453">
        <v>320.59800000000001</v>
      </c>
      <c r="D321" s="454"/>
      <c r="E321" s="501">
        <f>G321+R321</f>
        <v>316.57</v>
      </c>
      <c r="F321" s="501">
        <f t="shared" si="135"/>
        <v>-4.02800000000002</v>
      </c>
      <c r="G321" s="501">
        <f>H321+P321+Q321</f>
        <v>316.57</v>
      </c>
      <c r="H321" s="501">
        <f>J321+M321</f>
        <v>316.57</v>
      </c>
      <c r="I321" s="501">
        <v>3</v>
      </c>
      <c r="J321" s="501">
        <v>316.57</v>
      </c>
      <c r="K321" s="501"/>
      <c r="L321" s="501"/>
      <c r="M321" s="501">
        <f t="shared" si="137"/>
        <v>0</v>
      </c>
      <c r="N321" s="501"/>
      <c r="O321" s="501">
        <v>0</v>
      </c>
      <c r="P321" s="501"/>
      <c r="Q321" s="501"/>
      <c r="R321" s="501"/>
      <c r="S321" s="501"/>
      <c r="T321" s="502"/>
      <c r="U321" s="501"/>
      <c r="V321" s="507">
        <f t="shared" ref="V321:V338" si="161">E321-S321</f>
        <v>316.57</v>
      </c>
      <c r="W321" s="585"/>
      <c r="X321" s="449"/>
      <c r="Y321" s="449"/>
      <c r="Z321" s="449"/>
      <c r="AA321" s="449"/>
      <c r="AB321" s="449"/>
      <c r="AC321" s="449"/>
      <c r="AD321" s="449"/>
      <c r="AE321" s="449"/>
      <c r="AF321" s="449"/>
      <c r="AG321" s="449"/>
    </row>
    <row r="322" spans="1:33" s="455" customFormat="1" ht="17.25" customHeight="1">
      <c r="A322" s="451" t="s">
        <v>11</v>
      </c>
      <c r="B322" s="452" t="s">
        <v>309</v>
      </c>
      <c r="C322" s="453">
        <v>70.2</v>
      </c>
      <c r="D322" s="454"/>
      <c r="E322" s="501">
        <f>G322+R322</f>
        <v>70.2</v>
      </c>
      <c r="F322" s="501">
        <f t="shared" si="135"/>
        <v>0</v>
      </c>
      <c r="G322" s="501">
        <f>H322+P322+Q322</f>
        <v>70.2</v>
      </c>
      <c r="H322" s="501">
        <f>J322+M322</f>
        <v>70.2</v>
      </c>
      <c r="I322" s="501"/>
      <c r="J322" s="501">
        <f>K322+L322</f>
        <v>0</v>
      </c>
      <c r="K322" s="501"/>
      <c r="L322" s="501"/>
      <c r="M322" s="501">
        <f t="shared" si="137"/>
        <v>70.2</v>
      </c>
      <c r="N322" s="501">
        <f>3*18*1.3</f>
        <v>70.2</v>
      </c>
      <c r="O322" s="501">
        <v>0</v>
      </c>
      <c r="P322" s="501">
        <v>0</v>
      </c>
      <c r="Q322" s="501">
        <v>0</v>
      </c>
      <c r="R322" s="501">
        <v>0</v>
      </c>
      <c r="S322" s="501">
        <v>7</v>
      </c>
      <c r="T322" s="502"/>
      <c r="U322" s="501"/>
      <c r="V322" s="507">
        <f t="shared" si="161"/>
        <v>63.2</v>
      </c>
      <c r="W322" s="585"/>
      <c r="X322" s="449"/>
      <c r="Y322" s="449"/>
      <c r="Z322" s="449"/>
      <c r="AA322" s="449"/>
      <c r="AB322" s="449"/>
      <c r="AC322" s="449"/>
      <c r="AD322" s="449"/>
      <c r="AE322" s="449"/>
      <c r="AF322" s="449"/>
      <c r="AG322" s="449"/>
    </row>
    <row r="323" spans="1:33" s="455" customFormat="1" ht="17.25" customHeight="1">
      <c r="A323" s="451" t="s">
        <v>11</v>
      </c>
      <c r="B323" s="452" t="s">
        <v>310</v>
      </c>
      <c r="C323" s="453">
        <v>5.3639999999999999</v>
      </c>
      <c r="D323" s="454"/>
      <c r="E323" s="501">
        <f>G323+R323</f>
        <v>5.36</v>
      </c>
      <c r="F323" s="501">
        <f t="shared" si="135"/>
        <v>-3.9999999999995595E-3</v>
      </c>
      <c r="G323" s="501">
        <f>H323+P323+Q323</f>
        <v>5.36</v>
      </c>
      <c r="H323" s="501">
        <f>J323+M323</f>
        <v>5.36</v>
      </c>
      <c r="I323" s="501"/>
      <c r="J323" s="501">
        <v>5.36</v>
      </c>
      <c r="K323" s="501"/>
      <c r="L323" s="501"/>
      <c r="M323" s="501">
        <f t="shared" si="137"/>
        <v>0</v>
      </c>
      <c r="N323" s="501"/>
      <c r="O323" s="501">
        <v>0</v>
      </c>
      <c r="P323" s="501"/>
      <c r="Q323" s="501"/>
      <c r="R323" s="501"/>
      <c r="S323" s="501"/>
      <c r="T323" s="502"/>
      <c r="U323" s="501"/>
      <c r="V323" s="507">
        <f t="shared" si="161"/>
        <v>5.36</v>
      </c>
      <c r="W323" s="585"/>
      <c r="X323" s="449"/>
      <c r="Y323" s="449"/>
      <c r="Z323" s="449"/>
      <c r="AA323" s="449"/>
      <c r="AB323" s="449"/>
      <c r="AC323" s="449"/>
      <c r="AD323" s="449"/>
      <c r="AE323" s="449"/>
      <c r="AF323" s="449"/>
      <c r="AG323" s="449"/>
    </row>
    <row r="324" spans="1:33" s="455" customFormat="1" ht="30" hidden="1" customHeight="1">
      <c r="A324" s="451" t="s">
        <v>11</v>
      </c>
      <c r="B324" s="457" t="s">
        <v>150</v>
      </c>
      <c r="C324" s="453"/>
      <c r="D324" s="454"/>
      <c r="E324" s="501">
        <f>G324+R324</f>
        <v>0</v>
      </c>
      <c r="F324" s="501">
        <f t="shared" si="135"/>
        <v>0</v>
      </c>
      <c r="G324" s="501">
        <f>H324+P324+Q324</f>
        <v>0</v>
      </c>
      <c r="H324" s="501">
        <f>J324+M324</f>
        <v>0</v>
      </c>
      <c r="I324" s="501"/>
      <c r="J324" s="501">
        <f>K324+L324</f>
        <v>0</v>
      </c>
      <c r="K324" s="501"/>
      <c r="L324" s="501"/>
      <c r="M324" s="501">
        <f t="shared" si="137"/>
        <v>0</v>
      </c>
      <c r="N324" s="501"/>
      <c r="O324" s="501">
        <v>0</v>
      </c>
      <c r="P324" s="501"/>
      <c r="Q324" s="501"/>
      <c r="R324" s="501"/>
      <c r="S324" s="501"/>
      <c r="T324" s="502"/>
      <c r="U324" s="501"/>
      <c r="V324" s="507">
        <f t="shared" si="161"/>
        <v>0</v>
      </c>
      <c r="W324" s="585"/>
      <c r="X324" s="449"/>
      <c r="Y324" s="449"/>
      <c r="Z324" s="449"/>
      <c r="AA324" s="449"/>
      <c r="AB324" s="449"/>
      <c r="AC324" s="449"/>
      <c r="AD324" s="449"/>
      <c r="AE324" s="449"/>
      <c r="AF324" s="449"/>
      <c r="AG324" s="449"/>
    </row>
    <row r="325" spans="1:33" s="455" customFormat="1" ht="17.25" customHeight="1">
      <c r="A325" s="451" t="s">
        <v>311</v>
      </c>
      <c r="B325" s="452" t="s">
        <v>302</v>
      </c>
      <c r="C325" s="453">
        <f>SUM(C326:C329)</f>
        <v>390</v>
      </c>
      <c r="D325" s="454"/>
      <c r="E325" s="501">
        <f t="shared" ref="E325:K325" si="162">SUM(E326:E329)</f>
        <v>520</v>
      </c>
      <c r="F325" s="501">
        <f t="shared" si="135"/>
        <v>130</v>
      </c>
      <c r="G325" s="501">
        <f t="shared" si="162"/>
        <v>520</v>
      </c>
      <c r="H325" s="501">
        <f t="shared" si="162"/>
        <v>520</v>
      </c>
      <c r="I325" s="501">
        <f t="shared" si="162"/>
        <v>0</v>
      </c>
      <c r="J325" s="501">
        <f t="shared" si="162"/>
        <v>0</v>
      </c>
      <c r="K325" s="501">
        <f t="shared" si="162"/>
        <v>0</v>
      </c>
      <c r="L325" s="501"/>
      <c r="M325" s="501">
        <f t="shared" ref="M325:V325" si="163">SUM(M326:M329)</f>
        <v>520</v>
      </c>
      <c r="N325" s="501">
        <f t="shared" si="163"/>
        <v>0</v>
      </c>
      <c r="O325" s="501">
        <f t="shared" si="163"/>
        <v>520</v>
      </c>
      <c r="P325" s="501">
        <f t="shared" si="163"/>
        <v>0</v>
      </c>
      <c r="Q325" s="501">
        <f t="shared" si="163"/>
        <v>0</v>
      </c>
      <c r="R325" s="501">
        <f t="shared" si="163"/>
        <v>0</v>
      </c>
      <c r="S325" s="501">
        <f t="shared" si="163"/>
        <v>22</v>
      </c>
      <c r="T325" s="502">
        <f t="shared" si="163"/>
        <v>0</v>
      </c>
      <c r="U325" s="501">
        <f t="shared" si="163"/>
        <v>0</v>
      </c>
      <c r="V325" s="501">
        <f t="shared" si="163"/>
        <v>498</v>
      </c>
      <c r="W325" s="585"/>
      <c r="X325" s="449"/>
      <c r="Y325" s="449"/>
      <c r="Z325" s="449"/>
      <c r="AA325" s="449"/>
      <c r="AB325" s="449"/>
      <c r="AC325" s="449"/>
      <c r="AD325" s="449"/>
      <c r="AE325" s="449"/>
      <c r="AF325" s="449"/>
      <c r="AG325" s="449"/>
    </row>
    <row r="326" spans="1:33" s="455" customFormat="1" ht="35.25" customHeight="1">
      <c r="A326" s="451" t="s">
        <v>11</v>
      </c>
      <c r="B326" s="460" t="s">
        <v>312</v>
      </c>
      <c r="C326" s="453">
        <v>200</v>
      </c>
      <c r="D326" s="454"/>
      <c r="E326" s="501">
        <f>G326+R326</f>
        <v>200</v>
      </c>
      <c r="F326" s="501">
        <f t="shared" si="135"/>
        <v>0</v>
      </c>
      <c r="G326" s="501">
        <f>H326+P326+Q326</f>
        <v>200</v>
      </c>
      <c r="H326" s="501">
        <f>J326+M326</f>
        <v>200</v>
      </c>
      <c r="I326" s="501"/>
      <c r="J326" s="501">
        <f>K326+L326</f>
        <v>0</v>
      </c>
      <c r="K326" s="501"/>
      <c r="L326" s="501"/>
      <c r="M326" s="501">
        <f t="shared" si="137"/>
        <v>200</v>
      </c>
      <c r="N326" s="501"/>
      <c r="O326" s="501">
        <v>200</v>
      </c>
      <c r="P326" s="501"/>
      <c r="Q326" s="501"/>
      <c r="R326" s="501"/>
      <c r="S326" s="501">
        <v>20</v>
      </c>
      <c r="T326" s="502"/>
      <c r="U326" s="501"/>
      <c r="V326" s="507">
        <f t="shared" si="161"/>
        <v>180</v>
      </c>
      <c r="W326" s="585"/>
      <c r="X326" s="449"/>
      <c r="Y326" s="449"/>
      <c r="Z326" s="449"/>
      <c r="AA326" s="449"/>
      <c r="AB326" s="449"/>
      <c r="AC326" s="449"/>
      <c r="AD326" s="449"/>
      <c r="AE326" s="449"/>
      <c r="AF326" s="449"/>
      <c r="AG326" s="449"/>
    </row>
    <row r="327" spans="1:33" s="455" customFormat="1" ht="17.25" customHeight="1">
      <c r="A327" s="451" t="s">
        <v>11</v>
      </c>
      <c r="B327" s="452" t="s">
        <v>313</v>
      </c>
      <c r="C327" s="453">
        <v>20</v>
      </c>
      <c r="D327" s="454"/>
      <c r="E327" s="501">
        <f>G327+R327</f>
        <v>20</v>
      </c>
      <c r="F327" s="501">
        <f t="shared" si="135"/>
        <v>0</v>
      </c>
      <c r="G327" s="501">
        <f>H327+P327+Q327</f>
        <v>20</v>
      </c>
      <c r="H327" s="501">
        <f>J327+M327</f>
        <v>20</v>
      </c>
      <c r="I327" s="501"/>
      <c r="J327" s="501">
        <f>K327+L327</f>
        <v>0</v>
      </c>
      <c r="K327" s="501"/>
      <c r="L327" s="501"/>
      <c r="M327" s="501">
        <f t="shared" si="137"/>
        <v>20</v>
      </c>
      <c r="N327" s="501"/>
      <c r="O327" s="501">
        <v>20</v>
      </c>
      <c r="P327" s="501"/>
      <c r="Q327" s="501"/>
      <c r="R327" s="501"/>
      <c r="S327" s="501">
        <v>2</v>
      </c>
      <c r="T327" s="502"/>
      <c r="U327" s="501"/>
      <c r="V327" s="507">
        <f t="shared" si="161"/>
        <v>18</v>
      </c>
      <c r="W327" s="585"/>
      <c r="X327" s="449"/>
      <c r="Y327" s="449"/>
      <c r="Z327" s="449"/>
      <c r="AA327" s="449"/>
      <c r="AB327" s="449"/>
      <c r="AC327" s="449"/>
      <c r="AD327" s="449"/>
      <c r="AE327" s="449"/>
      <c r="AF327" s="449"/>
      <c r="AG327" s="449"/>
    </row>
    <row r="328" spans="1:33" s="455" customFormat="1" ht="39" customHeight="1">
      <c r="A328" s="451" t="s">
        <v>11</v>
      </c>
      <c r="B328" s="482" t="s">
        <v>314</v>
      </c>
      <c r="C328" s="453">
        <v>100</v>
      </c>
      <c r="D328" s="454"/>
      <c r="E328" s="501">
        <f>G328+R328</f>
        <v>300</v>
      </c>
      <c r="F328" s="501">
        <f t="shared" si="135"/>
        <v>200</v>
      </c>
      <c r="G328" s="501">
        <f>H328+P328+Q328</f>
        <v>300</v>
      </c>
      <c r="H328" s="501">
        <f>J328+M328</f>
        <v>300</v>
      </c>
      <c r="I328" s="501"/>
      <c r="J328" s="501">
        <f>K328+L328</f>
        <v>0</v>
      </c>
      <c r="K328" s="501"/>
      <c r="L328" s="501"/>
      <c r="M328" s="501">
        <f>N328+O328</f>
        <v>300</v>
      </c>
      <c r="N328" s="501"/>
      <c r="O328" s="501">
        <v>300</v>
      </c>
      <c r="P328" s="501"/>
      <c r="Q328" s="501"/>
      <c r="R328" s="501"/>
      <c r="S328" s="501">
        <v>0</v>
      </c>
      <c r="T328" s="502"/>
      <c r="U328" s="501"/>
      <c r="V328" s="507">
        <f t="shared" si="161"/>
        <v>300</v>
      </c>
      <c r="W328" s="585"/>
      <c r="X328" s="449"/>
      <c r="Y328" s="449"/>
      <c r="Z328" s="449"/>
      <c r="AA328" s="449"/>
      <c r="AB328" s="449"/>
      <c r="AC328" s="449"/>
      <c r="AD328" s="449"/>
      <c r="AE328" s="449"/>
      <c r="AF328" s="449"/>
      <c r="AG328" s="449"/>
    </row>
    <row r="329" spans="1:33" s="455" customFormat="1" ht="18.75" hidden="1" customHeight="1">
      <c r="A329" s="451"/>
      <c r="B329" s="460" t="s">
        <v>331</v>
      </c>
      <c r="C329" s="453">
        <v>70</v>
      </c>
      <c r="D329" s="454"/>
      <c r="E329" s="501">
        <f>G329+R329</f>
        <v>0</v>
      </c>
      <c r="F329" s="501">
        <f t="shared" si="135"/>
        <v>-70</v>
      </c>
      <c r="G329" s="501">
        <f>H329+P329+Q329</f>
        <v>0</v>
      </c>
      <c r="H329" s="501">
        <f>J329+M329</f>
        <v>0</v>
      </c>
      <c r="I329" s="501"/>
      <c r="J329" s="501"/>
      <c r="K329" s="501"/>
      <c r="L329" s="501"/>
      <c r="M329" s="501"/>
      <c r="N329" s="501"/>
      <c r="O329" s="501"/>
      <c r="P329" s="501"/>
      <c r="Q329" s="501"/>
      <c r="R329" s="501"/>
      <c r="S329" s="501"/>
      <c r="T329" s="502"/>
      <c r="U329" s="501"/>
      <c r="V329" s="507">
        <f t="shared" si="161"/>
        <v>0</v>
      </c>
      <c r="W329" s="585"/>
      <c r="X329" s="449"/>
      <c r="Y329" s="449"/>
      <c r="Z329" s="449"/>
      <c r="AA329" s="449"/>
      <c r="AB329" s="449"/>
      <c r="AC329" s="449"/>
      <c r="AD329" s="449"/>
      <c r="AE329" s="449"/>
      <c r="AF329" s="449"/>
      <c r="AG329" s="449"/>
    </row>
    <row r="330" spans="1:33" s="455" customFormat="1" ht="17.25" customHeight="1">
      <c r="A330" s="451" t="s">
        <v>74</v>
      </c>
      <c r="B330" s="452" t="s">
        <v>315</v>
      </c>
      <c r="C330" s="453">
        <f>SUM(C331:C338)</f>
        <v>505.65399999999994</v>
      </c>
      <c r="D330" s="453">
        <f>SUM(D331:D338)</f>
        <v>0</v>
      </c>
      <c r="E330" s="501">
        <f>SUM(E331:E338)</f>
        <v>508.34</v>
      </c>
      <c r="F330" s="501">
        <f t="shared" si="135"/>
        <v>2.6860000000000355</v>
      </c>
      <c r="G330" s="501">
        <f t="shared" ref="G330:R330" si="164">SUM(G331:G338)</f>
        <v>508.34</v>
      </c>
      <c r="H330" s="501">
        <f t="shared" si="164"/>
        <v>508.34</v>
      </c>
      <c r="I330" s="501">
        <f t="shared" si="164"/>
        <v>3</v>
      </c>
      <c r="J330" s="501">
        <f t="shared" si="164"/>
        <v>312.64</v>
      </c>
      <c r="K330" s="501">
        <f t="shared" si="164"/>
        <v>0</v>
      </c>
      <c r="L330" s="501">
        <f t="shared" si="164"/>
        <v>0</v>
      </c>
      <c r="M330" s="501">
        <f t="shared" si="164"/>
        <v>195.7</v>
      </c>
      <c r="N330" s="501">
        <f t="shared" si="164"/>
        <v>95.7</v>
      </c>
      <c r="O330" s="501">
        <f t="shared" si="164"/>
        <v>100</v>
      </c>
      <c r="P330" s="501">
        <f t="shared" si="164"/>
        <v>0</v>
      </c>
      <c r="Q330" s="501">
        <f t="shared" si="164"/>
        <v>0</v>
      </c>
      <c r="R330" s="501">
        <f t="shared" si="164"/>
        <v>0</v>
      </c>
      <c r="S330" s="501">
        <f>SUM(S331:S338)</f>
        <v>17</v>
      </c>
      <c r="T330" s="502">
        <f>SUM(T331:T338)</f>
        <v>0</v>
      </c>
      <c r="U330" s="501">
        <f>SUM(U331:U338)</f>
        <v>0</v>
      </c>
      <c r="V330" s="501">
        <f>SUM(V331:V338)</f>
        <v>491.34</v>
      </c>
      <c r="W330" s="585" t="s">
        <v>315</v>
      </c>
      <c r="X330" s="449"/>
      <c r="Y330" s="449"/>
      <c r="Z330" s="449"/>
      <c r="AA330" s="449"/>
      <c r="AB330" s="449"/>
      <c r="AC330" s="449"/>
      <c r="AD330" s="449"/>
      <c r="AE330" s="449"/>
      <c r="AF330" s="449"/>
      <c r="AG330" s="449"/>
    </row>
    <row r="331" spans="1:33" s="455" customFormat="1" ht="17.25" customHeight="1">
      <c r="A331" s="451" t="s">
        <v>11</v>
      </c>
      <c r="B331" s="452" t="s">
        <v>316</v>
      </c>
      <c r="C331" s="453">
        <v>305.58999999999997</v>
      </c>
      <c r="D331" s="454"/>
      <c r="E331" s="501">
        <f t="shared" ref="E331:E337" si="165">G331+R331</f>
        <v>307.27999999999997</v>
      </c>
      <c r="F331" s="501">
        <f t="shared" si="135"/>
        <v>1.6899999999999977</v>
      </c>
      <c r="G331" s="501">
        <f t="shared" ref="G331:G338" si="166">H331+P331+Q331</f>
        <v>307.27999999999997</v>
      </c>
      <c r="H331" s="501">
        <f t="shared" ref="H331:H338" si="167">J331+M331</f>
        <v>307.27999999999997</v>
      </c>
      <c r="I331" s="501">
        <v>3</v>
      </c>
      <c r="J331" s="501">
        <v>307.27999999999997</v>
      </c>
      <c r="K331" s="501"/>
      <c r="L331" s="501"/>
      <c r="M331" s="501">
        <f t="shared" si="137"/>
        <v>0</v>
      </c>
      <c r="N331" s="501"/>
      <c r="O331" s="501">
        <v>0</v>
      </c>
      <c r="P331" s="501"/>
      <c r="Q331" s="501"/>
      <c r="R331" s="501"/>
      <c r="S331" s="501"/>
      <c r="T331" s="502"/>
      <c r="U331" s="501"/>
      <c r="V331" s="507">
        <f t="shared" si="161"/>
        <v>307.27999999999997</v>
      </c>
      <c r="W331" s="585"/>
      <c r="X331" s="449"/>
      <c r="Y331" s="449"/>
      <c r="Z331" s="449"/>
      <c r="AA331" s="449"/>
      <c r="AB331" s="449"/>
      <c r="AC331" s="449"/>
      <c r="AD331" s="449"/>
      <c r="AE331" s="449"/>
      <c r="AF331" s="449"/>
      <c r="AG331" s="449"/>
    </row>
    <row r="332" spans="1:33" s="455" customFormat="1" ht="17.25" customHeight="1">
      <c r="A332" s="451" t="s">
        <v>11</v>
      </c>
      <c r="B332" s="452" t="s">
        <v>309</v>
      </c>
      <c r="C332" s="453">
        <v>70.2</v>
      </c>
      <c r="D332" s="454"/>
      <c r="E332" s="501">
        <f t="shared" si="165"/>
        <v>70.2</v>
      </c>
      <c r="F332" s="501">
        <f t="shared" si="135"/>
        <v>0</v>
      </c>
      <c r="G332" s="501">
        <f t="shared" si="166"/>
        <v>70.2</v>
      </c>
      <c r="H332" s="501">
        <f t="shared" si="167"/>
        <v>70.2</v>
      </c>
      <c r="I332" s="501"/>
      <c r="J332" s="501">
        <f t="shared" ref="J332:J338" si="168">K332+L332</f>
        <v>0</v>
      </c>
      <c r="K332" s="501"/>
      <c r="L332" s="501"/>
      <c r="M332" s="501">
        <f t="shared" si="137"/>
        <v>70.2</v>
      </c>
      <c r="N332" s="501">
        <f>3*18*1.3</f>
        <v>70.2</v>
      </c>
      <c r="O332" s="501">
        <v>0</v>
      </c>
      <c r="P332" s="501">
        <v>0</v>
      </c>
      <c r="Q332" s="501">
        <v>0</v>
      </c>
      <c r="R332" s="501">
        <v>0</v>
      </c>
      <c r="S332" s="501">
        <v>7</v>
      </c>
      <c r="T332" s="502"/>
      <c r="U332" s="501"/>
      <c r="V332" s="507">
        <f t="shared" si="161"/>
        <v>63.2</v>
      </c>
      <c r="W332" s="585"/>
      <c r="X332" s="449"/>
      <c r="Y332" s="449"/>
      <c r="Z332" s="449"/>
      <c r="AA332" s="449"/>
      <c r="AB332" s="449"/>
      <c r="AC332" s="449"/>
      <c r="AD332" s="449"/>
      <c r="AE332" s="449"/>
      <c r="AF332" s="449"/>
      <c r="AG332" s="449"/>
    </row>
    <row r="333" spans="1:33" s="455" customFormat="1" ht="17.25" customHeight="1">
      <c r="A333" s="451" t="s">
        <v>11</v>
      </c>
      <c r="B333" s="452" t="s">
        <v>300</v>
      </c>
      <c r="C333" s="453">
        <v>5.3639999999999999</v>
      </c>
      <c r="D333" s="454"/>
      <c r="E333" s="501">
        <f t="shared" si="165"/>
        <v>5.36</v>
      </c>
      <c r="F333" s="501">
        <f t="shared" si="135"/>
        <v>-3.9999999999995595E-3</v>
      </c>
      <c r="G333" s="501">
        <f t="shared" si="166"/>
        <v>5.36</v>
      </c>
      <c r="H333" s="501">
        <f t="shared" si="167"/>
        <v>5.36</v>
      </c>
      <c r="I333" s="501"/>
      <c r="J333" s="501">
        <v>5.36</v>
      </c>
      <c r="K333" s="501"/>
      <c r="L333" s="501"/>
      <c r="M333" s="501">
        <f t="shared" si="137"/>
        <v>0</v>
      </c>
      <c r="N333" s="501"/>
      <c r="O333" s="501">
        <v>0</v>
      </c>
      <c r="P333" s="501"/>
      <c r="Q333" s="501"/>
      <c r="R333" s="501"/>
      <c r="S333" s="501"/>
      <c r="T333" s="502"/>
      <c r="U333" s="501"/>
      <c r="V333" s="507">
        <f t="shared" si="161"/>
        <v>5.36</v>
      </c>
      <c r="W333" s="585"/>
      <c r="X333" s="449"/>
      <c r="Y333" s="449"/>
      <c r="Z333" s="449"/>
      <c r="AA333" s="449"/>
      <c r="AB333" s="449"/>
      <c r="AC333" s="449"/>
      <c r="AD333" s="449"/>
      <c r="AE333" s="449"/>
      <c r="AF333" s="449"/>
      <c r="AG333" s="449"/>
    </row>
    <row r="334" spans="1:33" s="455" customFormat="1" ht="28.5" customHeight="1">
      <c r="A334" s="451" t="s">
        <v>11</v>
      </c>
      <c r="B334" s="457" t="s">
        <v>150</v>
      </c>
      <c r="C334" s="453">
        <v>10.5</v>
      </c>
      <c r="D334" s="454"/>
      <c r="E334" s="501">
        <f t="shared" si="165"/>
        <v>10.5</v>
      </c>
      <c r="F334" s="501">
        <f t="shared" si="135"/>
        <v>0</v>
      </c>
      <c r="G334" s="501">
        <f t="shared" si="166"/>
        <v>10.5</v>
      </c>
      <c r="H334" s="501">
        <f t="shared" si="167"/>
        <v>10.5</v>
      </c>
      <c r="I334" s="501"/>
      <c r="J334" s="501">
        <f t="shared" si="168"/>
        <v>0</v>
      </c>
      <c r="K334" s="501"/>
      <c r="L334" s="501"/>
      <c r="M334" s="501">
        <f>N334+O334</f>
        <v>10.5</v>
      </c>
      <c r="N334" s="501">
        <v>10.5</v>
      </c>
      <c r="O334" s="501">
        <v>0</v>
      </c>
      <c r="P334" s="501"/>
      <c r="Q334" s="501"/>
      <c r="R334" s="501"/>
      <c r="S334" s="501"/>
      <c r="T334" s="502"/>
      <c r="U334" s="501"/>
      <c r="V334" s="507">
        <f t="shared" si="161"/>
        <v>10.5</v>
      </c>
      <c r="W334" s="585"/>
      <c r="X334" s="449"/>
      <c r="Y334" s="449"/>
      <c r="Z334" s="449"/>
      <c r="AA334" s="449"/>
      <c r="AB334" s="449"/>
      <c r="AC334" s="449"/>
      <c r="AD334" s="449"/>
      <c r="AE334" s="449"/>
      <c r="AF334" s="449"/>
      <c r="AG334" s="449"/>
    </row>
    <row r="335" spans="1:33" s="455" customFormat="1" ht="17.25" customHeight="1">
      <c r="A335" s="451" t="s">
        <v>11</v>
      </c>
      <c r="B335" s="452" t="s">
        <v>317</v>
      </c>
      <c r="C335" s="453">
        <v>55</v>
      </c>
      <c r="D335" s="454"/>
      <c r="E335" s="501">
        <f t="shared" si="165"/>
        <v>55</v>
      </c>
      <c r="F335" s="501">
        <f t="shared" si="135"/>
        <v>0</v>
      </c>
      <c r="G335" s="501">
        <f t="shared" si="166"/>
        <v>55</v>
      </c>
      <c r="H335" s="501">
        <f t="shared" si="167"/>
        <v>55</v>
      </c>
      <c r="I335" s="501"/>
      <c r="J335" s="501">
        <f t="shared" si="168"/>
        <v>0</v>
      </c>
      <c r="K335" s="501"/>
      <c r="L335" s="501"/>
      <c r="M335" s="501">
        <f>N335+O335</f>
        <v>55</v>
      </c>
      <c r="N335" s="501"/>
      <c r="O335" s="501">
        <v>55</v>
      </c>
      <c r="P335" s="501"/>
      <c r="Q335" s="501"/>
      <c r="R335" s="501"/>
      <c r="S335" s="501">
        <v>5.5</v>
      </c>
      <c r="T335" s="502"/>
      <c r="U335" s="501"/>
      <c r="V335" s="507">
        <f t="shared" si="161"/>
        <v>49.5</v>
      </c>
      <c r="W335" s="585"/>
      <c r="X335" s="449"/>
      <c r="Y335" s="449"/>
      <c r="Z335" s="449"/>
      <c r="AA335" s="449"/>
      <c r="AB335" s="449"/>
      <c r="AC335" s="449"/>
      <c r="AD335" s="449"/>
      <c r="AE335" s="449"/>
      <c r="AF335" s="449"/>
      <c r="AG335" s="449"/>
    </row>
    <row r="336" spans="1:33" s="465" customFormat="1" ht="21" customHeight="1">
      <c r="A336" s="451"/>
      <c r="B336" s="463" t="s">
        <v>843</v>
      </c>
      <c r="C336" s="453"/>
      <c r="D336" s="454"/>
      <c r="E336" s="501">
        <f t="shared" si="165"/>
        <v>15</v>
      </c>
      <c r="F336" s="501">
        <f t="shared" si="135"/>
        <v>15</v>
      </c>
      <c r="G336" s="501">
        <f>H336+P336+Q336</f>
        <v>15</v>
      </c>
      <c r="H336" s="501">
        <f>J336+M336</f>
        <v>15</v>
      </c>
      <c r="I336" s="501"/>
      <c r="J336" s="501">
        <f t="shared" si="168"/>
        <v>0</v>
      </c>
      <c r="K336" s="501"/>
      <c r="L336" s="501"/>
      <c r="M336" s="501">
        <f>N336+O336</f>
        <v>15</v>
      </c>
      <c r="N336" s="501">
        <v>15</v>
      </c>
      <c r="O336" s="501"/>
      <c r="P336" s="501"/>
      <c r="Q336" s="501"/>
      <c r="R336" s="501"/>
      <c r="S336" s="501"/>
      <c r="T336" s="502"/>
      <c r="U336" s="501"/>
      <c r="V336" s="507">
        <f t="shared" si="161"/>
        <v>15</v>
      </c>
      <c r="W336" s="585"/>
      <c r="X336" s="464"/>
      <c r="Y336" s="464"/>
      <c r="Z336" s="464"/>
      <c r="AA336" s="464"/>
      <c r="AB336" s="464"/>
      <c r="AC336" s="464"/>
      <c r="AD336" s="464"/>
      <c r="AE336" s="464"/>
      <c r="AF336" s="464"/>
      <c r="AG336" s="464"/>
    </row>
    <row r="337" spans="1:33" s="455" customFormat="1" ht="18" hidden="1" customHeight="1">
      <c r="A337" s="451" t="s">
        <v>11</v>
      </c>
      <c r="B337" s="457" t="s">
        <v>844</v>
      </c>
      <c r="C337" s="453">
        <v>14</v>
      </c>
      <c r="D337" s="454"/>
      <c r="E337" s="501">
        <f t="shared" si="165"/>
        <v>0</v>
      </c>
      <c r="F337" s="501">
        <f t="shared" si="135"/>
        <v>-14</v>
      </c>
      <c r="G337" s="501">
        <f>H337+P337+Q337</f>
        <v>0</v>
      </c>
      <c r="H337" s="501">
        <f>J337+M337</f>
        <v>0</v>
      </c>
      <c r="I337" s="501"/>
      <c r="J337" s="501"/>
      <c r="K337" s="501"/>
      <c r="L337" s="501"/>
      <c r="M337" s="501">
        <f>N337+O337</f>
        <v>0</v>
      </c>
      <c r="N337" s="501"/>
      <c r="O337" s="501"/>
      <c r="P337" s="501"/>
      <c r="Q337" s="501"/>
      <c r="R337" s="501"/>
      <c r="S337" s="501"/>
      <c r="T337" s="502"/>
      <c r="U337" s="501"/>
      <c r="V337" s="507">
        <f t="shared" si="161"/>
        <v>0</v>
      </c>
      <c r="W337" s="585"/>
      <c r="X337" s="449"/>
      <c r="Y337" s="449"/>
      <c r="Z337" s="449"/>
      <c r="AA337" s="449"/>
      <c r="AB337" s="449"/>
      <c r="AC337" s="449"/>
      <c r="AD337" s="449"/>
      <c r="AE337" s="449"/>
      <c r="AF337" s="449"/>
      <c r="AG337" s="449"/>
    </row>
    <row r="338" spans="1:33" s="455" customFormat="1" ht="54" customHeight="1">
      <c r="A338" s="451" t="s">
        <v>11</v>
      </c>
      <c r="B338" s="457" t="s">
        <v>845</v>
      </c>
      <c r="C338" s="453">
        <f>30+15</f>
        <v>45</v>
      </c>
      <c r="D338" s="454"/>
      <c r="E338" s="501">
        <f>G338+R338</f>
        <v>45</v>
      </c>
      <c r="F338" s="501">
        <f t="shared" si="135"/>
        <v>0</v>
      </c>
      <c r="G338" s="501">
        <f t="shared" si="166"/>
        <v>45</v>
      </c>
      <c r="H338" s="501">
        <f t="shared" si="167"/>
        <v>45</v>
      </c>
      <c r="I338" s="501"/>
      <c r="J338" s="501">
        <f t="shared" si="168"/>
        <v>0</v>
      </c>
      <c r="K338" s="501"/>
      <c r="L338" s="501"/>
      <c r="M338" s="501">
        <f t="shared" si="137"/>
        <v>45</v>
      </c>
      <c r="N338" s="501"/>
      <c r="O338" s="501">
        <v>45</v>
      </c>
      <c r="P338" s="501"/>
      <c r="Q338" s="501"/>
      <c r="R338" s="501"/>
      <c r="S338" s="501">
        <v>4.5</v>
      </c>
      <c r="T338" s="502"/>
      <c r="U338" s="501"/>
      <c r="V338" s="507">
        <f t="shared" si="161"/>
        <v>40.5</v>
      </c>
      <c r="W338" s="585"/>
      <c r="X338" s="449"/>
      <c r="Y338" s="449"/>
      <c r="Z338" s="449"/>
      <c r="AA338" s="449"/>
      <c r="AB338" s="449"/>
      <c r="AC338" s="449"/>
      <c r="AD338" s="449"/>
      <c r="AE338" s="449"/>
      <c r="AF338" s="449"/>
      <c r="AG338" s="449"/>
    </row>
    <row r="339" spans="1:33" s="455" customFormat="1" ht="21" customHeight="1">
      <c r="A339" s="451" t="s">
        <v>94</v>
      </c>
      <c r="B339" s="452" t="s">
        <v>318</v>
      </c>
      <c r="C339" s="453">
        <f>C340+C345</f>
        <v>1309.9870000000001</v>
      </c>
      <c r="D339" s="454"/>
      <c r="E339" s="501">
        <f>E340+E345</f>
        <v>1060.8600000000001</v>
      </c>
      <c r="F339" s="501">
        <f t="shared" ref="F339:F402" si="169">E339-C339</f>
        <v>-249.12699999999995</v>
      </c>
      <c r="G339" s="501">
        <f t="shared" ref="G339:V339" si="170">G340+G345</f>
        <v>1060.8600000000001</v>
      </c>
      <c r="H339" s="501">
        <f t="shared" si="170"/>
        <v>1060.8600000000001</v>
      </c>
      <c r="I339" s="501">
        <f t="shared" si="170"/>
        <v>6</v>
      </c>
      <c r="J339" s="501">
        <f t="shared" si="170"/>
        <v>490.06</v>
      </c>
      <c r="K339" s="501">
        <f t="shared" si="170"/>
        <v>0</v>
      </c>
      <c r="L339" s="501">
        <f t="shared" si="170"/>
        <v>0</v>
      </c>
      <c r="M339" s="501">
        <f t="shared" si="170"/>
        <v>570.79999999999995</v>
      </c>
      <c r="N339" s="501">
        <f t="shared" si="170"/>
        <v>170.8</v>
      </c>
      <c r="O339" s="501">
        <f t="shared" si="170"/>
        <v>400</v>
      </c>
      <c r="P339" s="501">
        <f t="shared" si="170"/>
        <v>0</v>
      </c>
      <c r="Q339" s="501">
        <f t="shared" si="170"/>
        <v>0</v>
      </c>
      <c r="R339" s="501">
        <f t="shared" si="170"/>
        <v>0</v>
      </c>
      <c r="S339" s="501">
        <f t="shared" si="170"/>
        <v>56</v>
      </c>
      <c r="T339" s="502">
        <f t="shared" si="170"/>
        <v>0</v>
      </c>
      <c r="U339" s="501">
        <f t="shared" si="170"/>
        <v>0</v>
      </c>
      <c r="V339" s="501">
        <f t="shared" si="170"/>
        <v>1004.86</v>
      </c>
      <c r="W339" s="585" t="s">
        <v>318</v>
      </c>
      <c r="X339" s="449"/>
      <c r="Y339" s="449"/>
      <c r="Z339" s="449"/>
      <c r="AA339" s="449"/>
      <c r="AB339" s="449"/>
      <c r="AC339" s="449"/>
      <c r="AD339" s="449"/>
      <c r="AE339" s="449"/>
      <c r="AF339" s="449"/>
      <c r="AG339" s="449"/>
    </row>
    <row r="340" spans="1:33" s="455" customFormat="1" ht="17.25" customHeight="1">
      <c r="A340" s="451" t="s">
        <v>319</v>
      </c>
      <c r="B340" s="452" t="s">
        <v>320</v>
      </c>
      <c r="C340" s="453">
        <f>SUM(C341:C344)</f>
        <v>759.98700000000008</v>
      </c>
      <c r="D340" s="454"/>
      <c r="E340" s="501">
        <f>SUM(E341:E344)</f>
        <v>640.86</v>
      </c>
      <c r="F340" s="501">
        <f t="shared" si="169"/>
        <v>-119.12700000000007</v>
      </c>
      <c r="G340" s="501">
        <f t="shared" ref="G340:V340" si="171">SUM(G341:G344)</f>
        <v>640.86</v>
      </c>
      <c r="H340" s="501">
        <f t="shared" si="171"/>
        <v>640.86</v>
      </c>
      <c r="I340" s="501">
        <f t="shared" si="171"/>
        <v>6</v>
      </c>
      <c r="J340" s="501">
        <f t="shared" si="171"/>
        <v>490.06</v>
      </c>
      <c r="K340" s="501">
        <f t="shared" si="171"/>
        <v>0</v>
      </c>
      <c r="L340" s="501">
        <f t="shared" si="171"/>
        <v>0</v>
      </c>
      <c r="M340" s="501">
        <f t="shared" si="171"/>
        <v>150.80000000000001</v>
      </c>
      <c r="N340" s="501">
        <f t="shared" si="171"/>
        <v>150.80000000000001</v>
      </c>
      <c r="O340" s="501">
        <f t="shared" si="171"/>
        <v>0</v>
      </c>
      <c r="P340" s="501">
        <f t="shared" si="171"/>
        <v>0</v>
      </c>
      <c r="Q340" s="501">
        <f t="shared" si="171"/>
        <v>0</v>
      </c>
      <c r="R340" s="501">
        <f t="shared" si="171"/>
        <v>0</v>
      </c>
      <c r="S340" s="501">
        <f t="shared" si="171"/>
        <v>14</v>
      </c>
      <c r="T340" s="502">
        <f t="shared" si="171"/>
        <v>0</v>
      </c>
      <c r="U340" s="501">
        <f t="shared" si="171"/>
        <v>0</v>
      </c>
      <c r="V340" s="501">
        <f t="shared" si="171"/>
        <v>626.86</v>
      </c>
      <c r="W340" s="585"/>
      <c r="X340" s="449"/>
      <c r="Y340" s="449"/>
      <c r="Z340" s="449"/>
      <c r="AA340" s="449"/>
      <c r="AB340" s="449"/>
      <c r="AC340" s="449"/>
      <c r="AD340" s="449"/>
      <c r="AE340" s="449"/>
      <c r="AF340" s="449"/>
      <c r="AG340" s="449"/>
    </row>
    <row r="341" spans="1:33" s="455" customFormat="1" ht="17.25" customHeight="1">
      <c r="A341" s="451" t="s">
        <v>11</v>
      </c>
      <c r="B341" s="452" t="s">
        <v>846</v>
      </c>
      <c r="C341" s="453">
        <v>598.62300000000005</v>
      </c>
      <c r="D341" s="454"/>
      <c r="E341" s="501">
        <f>G341+R341</f>
        <v>484.7</v>
      </c>
      <c r="F341" s="501">
        <f t="shared" si="169"/>
        <v>-113.92300000000006</v>
      </c>
      <c r="G341" s="501">
        <f>H341+P341+Q341</f>
        <v>484.7</v>
      </c>
      <c r="H341" s="501">
        <f>J341+M341</f>
        <v>484.7</v>
      </c>
      <c r="I341" s="501">
        <v>6</v>
      </c>
      <c r="J341" s="501">
        <v>484.7</v>
      </c>
      <c r="K341" s="501"/>
      <c r="L341" s="501"/>
      <c r="M341" s="501">
        <f t="shared" si="137"/>
        <v>0</v>
      </c>
      <c r="N341" s="501"/>
      <c r="O341" s="501">
        <v>0</v>
      </c>
      <c r="P341" s="501"/>
      <c r="Q341" s="501"/>
      <c r="R341" s="501"/>
      <c r="S341" s="501"/>
      <c r="T341" s="502"/>
      <c r="U341" s="501"/>
      <c r="V341" s="507">
        <f>E341-S341+T341-U341</f>
        <v>484.7</v>
      </c>
      <c r="W341" s="585"/>
      <c r="X341" s="449"/>
      <c r="Y341" s="449"/>
      <c r="Z341" s="449"/>
      <c r="AA341" s="449"/>
      <c r="AB341" s="449"/>
      <c r="AC341" s="449"/>
      <c r="AD341" s="449"/>
      <c r="AE341" s="449"/>
      <c r="AF341" s="449"/>
      <c r="AG341" s="449"/>
    </row>
    <row r="342" spans="1:33" s="455" customFormat="1" ht="17.25" customHeight="1">
      <c r="A342" s="451" t="s">
        <v>11</v>
      </c>
      <c r="B342" s="452" t="s">
        <v>839</v>
      </c>
      <c r="C342" s="453">
        <v>145.6</v>
      </c>
      <c r="D342" s="454"/>
      <c r="E342" s="501">
        <f>G342+R342</f>
        <v>140.4</v>
      </c>
      <c r="F342" s="501">
        <f t="shared" si="169"/>
        <v>-5.1999999999999886</v>
      </c>
      <c r="G342" s="501">
        <f>H342+P342+Q342</f>
        <v>140.4</v>
      </c>
      <c r="H342" s="501">
        <f>J342+M342</f>
        <v>140.4</v>
      </c>
      <c r="I342" s="501"/>
      <c r="J342" s="501">
        <f>K342+L342</f>
        <v>0</v>
      </c>
      <c r="K342" s="501"/>
      <c r="L342" s="501"/>
      <c r="M342" s="501">
        <f t="shared" si="137"/>
        <v>140.4</v>
      </c>
      <c r="N342" s="501">
        <f>6*18*1.3</f>
        <v>140.4</v>
      </c>
      <c r="O342" s="501">
        <v>0</v>
      </c>
      <c r="P342" s="501">
        <v>0</v>
      </c>
      <c r="Q342" s="501">
        <v>0</v>
      </c>
      <c r="R342" s="501">
        <v>0</v>
      </c>
      <c r="S342" s="501">
        <v>14</v>
      </c>
      <c r="T342" s="502"/>
      <c r="U342" s="501"/>
      <c r="V342" s="507">
        <f t="shared" ref="V342:V351" si="172">E342-S342</f>
        <v>126.4</v>
      </c>
      <c r="W342" s="585"/>
      <c r="X342" s="449"/>
      <c r="Y342" s="449"/>
      <c r="Z342" s="449"/>
      <c r="AA342" s="449"/>
      <c r="AB342" s="449"/>
      <c r="AC342" s="449"/>
      <c r="AD342" s="449"/>
      <c r="AE342" s="449"/>
      <c r="AF342" s="449"/>
      <c r="AG342" s="449"/>
    </row>
    <row r="343" spans="1:33" s="455" customFormat="1" ht="17.25" customHeight="1">
      <c r="A343" s="451" t="s">
        <v>11</v>
      </c>
      <c r="B343" s="452" t="s">
        <v>310</v>
      </c>
      <c r="C343" s="453">
        <v>5.3639999999999999</v>
      </c>
      <c r="D343" s="454"/>
      <c r="E343" s="501">
        <f>G343+R343</f>
        <v>5.36</v>
      </c>
      <c r="F343" s="501">
        <f t="shared" si="169"/>
        <v>-3.9999999999995595E-3</v>
      </c>
      <c r="G343" s="501">
        <f>H343+P343+Q343</f>
        <v>5.36</v>
      </c>
      <c r="H343" s="501">
        <f>J343+M343</f>
        <v>5.36</v>
      </c>
      <c r="I343" s="501"/>
      <c r="J343" s="501">
        <v>5.36</v>
      </c>
      <c r="K343" s="501"/>
      <c r="L343" s="501"/>
      <c r="M343" s="501">
        <f t="shared" si="137"/>
        <v>0</v>
      </c>
      <c r="N343" s="501"/>
      <c r="O343" s="501">
        <v>0</v>
      </c>
      <c r="P343" s="501"/>
      <c r="Q343" s="501"/>
      <c r="R343" s="501"/>
      <c r="S343" s="501"/>
      <c r="T343" s="502"/>
      <c r="U343" s="501"/>
      <c r="V343" s="507">
        <f t="shared" si="172"/>
        <v>5.36</v>
      </c>
      <c r="W343" s="585"/>
      <c r="X343" s="449"/>
      <c r="Y343" s="449"/>
      <c r="Z343" s="449"/>
      <c r="AA343" s="449"/>
      <c r="AB343" s="449"/>
      <c r="AC343" s="449"/>
      <c r="AD343" s="449"/>
      <c r="AE343" s="449"/>
      <c r="AF343" s="449"/>
      <c r="AG343" s="449"/>
    </row>
    <row r="344" spans="1:33" s="455" customFormat="1" ht="28.5" customHeight="1">
      <c r="A344" s="451" t="s">
        <v>11</v>
      </c>
      <c r="B344" s="457" t="s">
        <v>150</v>
      </c>
      <c r="C344" s="453">
        <v>10.4</v>
      </c>
      <c r="D344" s="454"/>
      <c r="E344" s="501">
        <f>G344+R344</f>
        <v>10.4</v>
      </c>
      <c r="F344" s="501">
        <f t="shared" si="169"/>
        <v>0</v>
      </c>
      <c r="G344" s="501">
        <f>H344+P344+Q344</f>
        <v>10.4</v>
      </c>
      <c r="H344" s="501">
        <f>J344+M344</f>
        <v>10.4</v>
      </c>
      <c r="I344" s="501"/>
      <c r="J344" s="501">
        <f>K344+L344</f>
        <v>0</v>
      </c>
      <c r="K344" s="501"/>
      <c r="L344" s="501"/>
      <c r="M344" s="501">
        <f t="shared" si="137"/>
        <v>10.4</v>
      </c>
      <c r="N344" s="501">
        <v>10.4</v>
      </c>
      <c r="O344" s="501">
        <v>0</v>
      </c>
      <c r="P344" s="501"/>
      <c r="Q344" s="501"/>
      <c r="R344" s="501"/>
      <c r="S344" s="501"/>
      <c r="T344" s="502"/>
      <c r="U344" s="501"/>
      <c r="V344" s="507">
        <f t="shared" si="172"/>
        <v>10.4</v>
      </c>
      <c r="W344" s="585"/>
      <c r="X344" s="449"/>
      <c r="Y344" s="449"/>
      <c r="Z344" s="449"/>
      <c r="AA344" s="449"/>
      <c r="AB344" s="449"/>
      <c r="AC344" s="449"/>
      <c r="AD344" s="449"/>
      <c r="AE344" s="449"/>
      <c r="AF344" s="449"/>
      <c r="AG344" s="449"/>
    </row>
    <row r="345" spans="1:33" s="455" customFormat="1" ht="17.25" customHeight="1">
      <c r="A345" s="451" t="s">
        <v>321</v>
      </c>
      <c r="B345" s="452" t="s">
        <v>238</v>
      </c>
      <c r="C345" s="453">
        <f>SUM(C346:C351)</f>
        <v>550</v>
      </c>
      <c r="D345" s="454"/>
      <c r="E345" s="501">
        <f>SUM(E346:E351)</f>
        <v>420</v>
      </c>
      <c r="F345" s="501">
        <f t="shared" si="169"/>
        <v>-130</v>
      </c>
      <c r="G345" s="501">
        <f>SUM(G346:G351)</f>
        <v>420</v>
      </c>
      <c r="H345" s="501">
        <f>SUM(H346:H351)</f>
        <v>420</v>
      </c>
      <c r="I345" s="501">
        <f>SUM(I346:I351)</f>
        <v>0</v>
      </c>
      <c r="J345" s="501">
        <f>SUM(J346:J351)</f>
        <v>0</v>
      </c>
      <c r="K345" s="501">
        <f>SUM(K346:K351)</f>
        <v>0</v>
      </c>
      <c r="L345" s="501"/>
      <c r="M345" s="501">
        <f t="shared" ref="M345:V345" si="173">SUM(M346:M351)</f>
        <v>420</v>
      </c>
      <c r="N345" s="501">
        <f t="shared" si="173"/>
        <v>20</v>
      </c>
      <c r="O345" s="501">
        <f t="shared" si="173"/>
        <v>400</v>
      </c>
      <c r="P345" s="501">
        <f t="shared" si="173"/>
        <v>0</v>
      </c>
      <c r="Q345" s="501">
        <f t="shared" si="173"/>
        <v>0</v>
      </c>
      <c r="R345" s="501">
        <f t="shared" si="173"/>
        <v>0</v>
      </c>
      <c r="S345" s="501">
        <f t="shared" si="173"/>
        <v>42</v>
      </c>
      <c r="T345" s="502">
        <f t="shared" si="173"/>
        <v>0</v>
      </c>
      <c r="U345" s="501">
        <f t="shared" si="173"/>
        <v>0</v>
      </c>
      <c r="V345" s="501">
        <f t="shared" si="173"/>
        <v>378</v>
      </c>
      <c r="W345" s="585"/>
      <c r="X345" s="449"/>
      <c r="Y345" s="449"/>
      <c r="Z345" s="449"/>
      <c r="AA345" s="449"/>
      <c r="AB345" s="449"/>
      <c r="AC345" s="449"/>
      <c r="AD345" s="449"/>
      <c r="AE345" s="449"/>
      <c r="AF345" s="449"/>
      <c r="AG345" s="449"/>
    </row>
    <row r="346" spans="1:33" s="455" customFormat="1" ht="29.25" customHeight="1">
      <c r="A346" s="451" t="s">
        <v>11</v>
      </c>
      <c r="B346" s="457" t="s">
        <v>322</v>
      </c>
      <c r="C346" s="453">
        <v>100</v>
      </c>
      <c r="D346" s="454"/>
      <c r="E346" s="501">
        <f t="shared" ref="E346:E351" si="174">G346+R346</f>
        <v>200</v>
      </c>
      <c r="F346" s="501">
        <f t="shared" si="169"/>
        <v>100</v>
      </c>
      <c r="G346" s="501">
        <f t="shared" ref="G346:G351" si="175">H346+P346+Q346</f>
        <v>200</v>
      </c>
      <c r="H346" s="501">
        <f t="shared" ref="H346:H351" si="176">J346+M346</f>
        <v>200</v>
      </c>
      <c r="I346" s="501"/>
      <c r="J346" s="501">
        <f>K346+L346</f>
        <v>0</v>
      </c>
      <c r="K346" s="501"/>
      <c r="L346" s="501"/>
      <c r="M346" s="501">
        <f t="shared" si="137"/>
        <v>200</v>
      </c>
      <c r="N346" s="501"/>
      <c r="O346" s="501">
        <v>200</v>
      </c>
      <c r="P346" s="501"/>
      <c r="Q346" s="501"/>
      <c r="R346" s="501"/>
      <c r="S346" s="501">
        <v>20</v>
      </c>
      <c r="T346" s="502"/>
      <c r="U346" s="501"/>
      <c r="V346" s="507">
        <f t="shared" si="172"/>
        <v>180</v>
      </c>
      <c r="W346" s="585"/>
      <c r="X346" s="449"/>
      <c r="Y346" s="449"/>
      <c r="Z346" s="449"/>
      <c r="AA346" s="449"/>
      <c r="AB346" s="449"/>
      <c r="AC346" s="449"/>
      <c r="AD346" s="449"/>
      <c r="AE346" s="449"/>
      <c r="AF346" s="449"/>
      <c r="AG346" s="449"/>
    </row>
    <row r="347" spans="1:33" s="455" customFormat="1" ht="34.5" customHeight="1">
      <c r="A347" s="451" t="s">
        <v>11</v>
      </c>
      <c r="B347" s="457" t="s">
        <v>323</v>
      </c>
      <c r="C347" s="453">
        <v>200</v>
      </c>
      <c r="D347" s="454"/>
      <c r="E347" s="501">
        <f>G347+R347</f>
        <v>200</v>
      </c>
      <c r="F347" s="501">
        <f t="shared" si="169"/>
        <v>0</v>
      </c>
      <c r="G347" s="501">
        <f>H347+P347+Q347</f>
        <v>200</v>
      </c>
      <c r="H347" s="501">
        <f>J347+M347</f>
        <v>200</v>
      </c>
      <c r="I347" s="501"/>
      <c r="J347" s="501">
        <f>K347+L347</f>
        <v>0</v>
      </c>
      <c r="K347" s="501"/>
      <c r="L347" s="501"/>
      <c r="M347" s="501">
        <f>N347+O347</f>
        <v>200</v>
      </c>
      <c r="N347" s="501"/>
      <c r="O347" s="501">
        <v>200</v>
      </c>
      <c r="P347" s="501"/>
      <c r="Q347" s="501"/>
      <c r="R347" s="501"/>
      <c r="S347" s="501">
        <v>20</v>
      </c>
      <c r="T347" s="502"/>
      <c r="U347" s="501"/>
      <c r="V347" s="507">
        <f t="shared" si="172"/>
        <v>180</v>
      </c>
      <c r="W347" s="585"/>
      <c r="X347" s="449"/>
      <c r="Y347" s="449"/>
      <c r="Z347" s="449"/>
      <c r="AA347" s="449"/>
      <c r="AB347" s="449"/>
      <c r="AC347" s="449"/>
      <c r="AD347" s="449"/>
      <c r="AE347" s="449"/>
      <c r="AF347" s="449"/>
      <c r="AG347" s="449"/>
    </row>
    <row r="348" spans="1:33" s="455" customFormat="1" ht="21.75" hidden="1" customHeight="1">
      <c r="A348" s="451" t="s">
        <v>11</v>
      </c>
      <c r="B348" s="457" t="s">
        <v>847</v>
      </c>
      <c r="C348" s="453">
        <v>50</v>
      </c>
      <c r="D348" s="454"/>
      <c r="E348" s="501"/>
      <c r="F348" s="501">
        <f t="shared" si="169"/>
        <v>-50</v>
      </c>
      <c r="G348" s="501"/>
      <c r="H348" s="501"/>
      <c r="I348" s="501"/>
      <c r="J348" s="501"/>
      <c r="K348" s="501"/>
      <c r="L348" s="501"/>
      <c r="M348" s="501"/>
      <c r="N348" s="501"/>
      <c r="O348" s="501"/>
      <c r="P348" s="501"/>
      <c r="Q348" s="501"/>
      <c r="R348" s="501"/>
      <c r="S348" s="501"/>
      <c r="T348" s="502"/>
      <c r="U348" s="501"/>
      <c r="V348" s="507">
        <f t="shared" si="172"/>
        <v>0</v>
      </c>
      <c r="W348" s="585"/>
      <c r="X348" s="449"/>
      <c r="Y348" s="449"/>
      <c r="Z348" s="449"/>
      <c r="AA348" s="449"/>
      <c r="AB348" s="449"/>
      <c r="AC348" s="449"/>
      <c r="AD348" s="449"/>
      <c r="AE348" s="449"/>
      <c r="AF348" s="449"/>
      <c r="AG348" s="449"/>
    </row>
    <row r="349" spans="1:33" s="455" customFormat="1" ht="21.75" hidden="1" customHeight="1">
      <c r="A349" s="451" t="s">
        <v>11</v>
      </c>
      <c r="B349" s="457" t="s">
        <v>788</v>
      </c>
      <c r="C349" s="453">
        <v>100</v>
      </c>
      <c r="D349" s="454"/>
      <c r="E349" s="501"/>
      <c r="F349" s="501">
        <f t="shared" si="169"/>
        <v>-100</v>
      </c>
      <c r="G349" s="501"/>
      <c r="H349" s="501"/>
      <c r="I349" s="501"/>
      <c r="J349" s="501"/>
      <c r="K349" s="501"/>
      <c r="L349" s="501"/>
      <c r="M349" s="501"/>
      <c r="N349" s="501"/>
      <c r="O349" s="501"/>
      <c r="P349" s="501"/>
      <c r="Q349" s="501"/>
      <c r="R349" s="501"/>
      <c r="S349" s="501"/>
      <c r="T349" s="502"/>
      <c r="U349" s="501"/>
      <c r="V349" s="507">
        <f t="shared" si="172"/>
        <v>0</v>
      </c>
      <c r="W349" s="585"/>
      <c r="X349" s="449"/>
      <c r="Y349" s="449"/>
      <c r="Z349" s="449"/>
      <c r="AA349" s="449"/>
      <c r="AB349" s="449"/>
      <c r="AC349" s="449"/>
      <c r="AD349" s="449"/>
      <c r="AE349" s="449"/>
      <c r="AF349" s="449"/>
      <c r="AG349" s="449"/>
    </row>
    <row r="350" spans="1:33" s="455" customFormat="1" ht="21.75" hidden="1" customHeight="1">
      <c r="A350" s="451" t="s">
        <v>11</v>
      </c>
      <c r="B350" s="457" t="s">
        <v>324</v>
      </c>
      <c r="C350" s="453">
        <v>100</v>
      </c>
      <c r="D350" s="454"/>
      <c r="E350" s="501">
        <f t="shared" si="174"/>
        <v>0</v>
      </c>
      <c r="F350" s="501">
        <f t="shared" si="169"/>
        <v>-100</v>
      </c>
      <c r="G350" s="501">
        <f t="shared" si="175"/>
        <v>0</v>
      </c>
      <c r="H350" s="501">
        <f t="shared" si="176"/>
        <v>0</v>
      </c>
      <c r="I350" s="501"/>
      <c r="J350" s="501">
        <f>K350+L350</f>
        <v>0</v>
      </c>
      <c r="K350" s="501"/>
      <c r="L350" s="501"/>
      <c r="M350" s="501">
        <f>N350+O350</f>
        <v>0</v>
      </c>
      <c r="N350" s="501"/>
      <c r="O350" s="501"/>
      <c r="P350" s="501"/>
      <c r="Q350" s="501"/>
      <c r="R350" s="501"/>
      <c r="S350" s="501"/>
      <c r="T350" s="502"/>
      <c r="U350" s="501"/>
      <c r="V350" s="507">
        <f t="shared" si="172"/>
        <v>0</v>
      </c>
      <c r="W350" s="585"/>
      <c r="X350" s="449"/>
      <c r="Y350" s="449"/>
      <c r="Z350" s="449"/>
      <c r="AA350" s="449"/>
      <c r="AB350" s="449"/>
      <c r="AC350" s="449"/>
      <c r="AD350" s="449"/>
      <c r="AE350" s="449"/>
      <c r="AF350" s="449"/>
      <c r="AG350" s="449"/>
    </row>
    <row r="351" spans="1:33" s="455" customFormat="1" ht="24" customHeight="1">
      <c r="A351" s="451" t="s">
        <v>11</v>
      </c>
      <c r="B351" s="457" t="s">
        <v>848</v>
      </c>
      <c r="C351" s="453"/>
      <c r="D351" s="454"/>
      <c r="E351" s="501">
        <f t="shared" si="174"/>
        <v>20</v>
      </c>
      <c r="F351" s="501">
        <f t="shared" si="169"/>
        <v>20</v>
      </c>
      <c r="G351" s="501">
        <f t="shared" si="175"/>
        <v>20</v>
      </c>
      <c r="H351" s="501">
        <f t="shared" si="176"/>
        <v>20</v>
      </c>
      <c r="I351" s="501"/>
      <c r="J351" s="501">
        <f>K351+L351</f>
        <v>0</v>
      </c>
      <c r="K351" s="501"/>
      <c r="L351" s="501"/>
      <c r="M351" s="501">
        <f>N351+O351</f>
        <v>20</v>
      </c>
      <c r="N351" s="501">
        <v>20</v>
      </c>
      <c r="O351" s="501"/>
      <c r="P351" s="501"/>
      <c r="Q351" s="501"/>
      <c r="R351" s="501"/>
      <c r="S351" s="501">
        <v>2</v>
      </c>
      <c r="T351" s="502"/>
      <c r="U351" s="501"/>
      <c r="V351" s="507">
        <f t="shared" si="172"/>
        <v>18</v>
      </c>
      <c r="W351" s="585"/>
      <c r="X351" s="449"/>
      <c r="Y351" s="449"/>
      <c r="Z351" s="449"/>
      <c r="AA351" s="449"/>
      <c r="AB351" s="449"/>
      <c r="AC351" s="449"/>
      <c r="AD351" s="449"/>
      <c r="AE351" s="449"/>
      <c r="AF351" s="449"/>
      <c r="AG351" s="449"/>
    </row>
    <row r="352" spans="1:33" s="455" customFormat="1" ht="17.25" customHeight="1">
      <c r="A352" s="451" t="s">
        <v>76</v>
      </c>
      <c r="B352" s="452" t="s">
        <v>849</v>
      </c>
      <c r="C352" s="453">
        <f>C353+C359</f>
        <v>1156.8049999999998</v>
      </c>
      <c r="D352" s="454"/>
      <c r="E352" s="501">
        <f>E353+E359</f>
        <v>1203.2910000000002</v>
      </c>
      <c r="F352" s="501">
        <f t="shared" si="169"/>
        <v>46.486000000000331</v>
      </c>
      <c r="G352" s="501">
        <f t="shared" ref="G352:V352" si="177">G353+G359</f>
        <v>1203.2910000000002</v>
      </c>
      <c r="H352" s="501">
        <f t="shared" si="177"/>
        <v>1203.2910000000002</v>
      </c>
      <c r="I352" s="501">
        <f t="shared" si="177"/>
        <v>8</v>
      </c>
      <c r="J352" s="501">
        <f t="shared" si="177"/>
        <v>787.09100000000001</v>
      </c>
      <c r="K352" s="501">
        <f t="shared" si="177"/>
        <v>0</v>
      </c>
      <c r="L352" s="501">
        <f t="shared" si="177"/>
        <v>0</v>
      </c>
      <c r="M352" s="501">
        <f t="shared" si="177"/>
        <v>416.20000000000005</v>
      </c>
      <c r="N352" s="501">
        <f t="shared" si="177"/>
        <v>196.20000000000002</v>
      </c>
      <c r="O352" s="501">
        <f t="shared" si="177"/>
        <v>220</v>
      </c>
      <c r="P352" s="501">
        <f t="shared" si="177"/>
        <v>0</v>
      </c>
      <c r="Q352" s="501">
        <f t="shared" si="177"/>
        <v>0</v>
      </c>
      <c r="R352" s="501">
        <f t="shared" si="177"/>
        <v>0</v>
      </c>
      <c r="S352" s="501">
        <f t="shared" si="177"/>
        <v>40.700000000000003</v>
      </c>
      <c r="T352" s="502">
        <f t="shared" si="177"/>
        <v>0</v>
      </c>
      <c r="U352" s="501">
        <f t="shared" si="177"/>
        <v>0</v>
      </c>
      <c r="V352" s="501">
        <f t="shared" si="177"/>
        <v>1162.5909999999999</v>
      </c>
      <c r="W352" s="585" t="s">
        <v>849</v>
      </c>
      <c r="X352" s="449"/>
      <c r="Y352" s="449"/>
      <c r="Z352" s="449"/>
      <c r="AA352" s="449"/>
      <c r="AB352" s="449"/>
      <c r="AC352" s="449"/>
      <c r="AD352" s="449"/>
      <c r="AE352" s="449"/>
      <c r="AF352" s="449"/>
      <c r="AG352" s="449"/>
    </row>
    <row r="353" spans="1:33" s="455" customFormat="1" ht="17.25" customHeight="1">
      <c r="A353" s="451" t="s">
        <v>325</v>
      </c>
      <c r="B353" s="452" t="s">
        <v>320</v>
      </c>
      <c r="C353" s="453">
        <f>SUM(C354:C358)</f>
        <v>886.80499999999995</v>
      </c>
      <c r="D353" s="454"/>
      <c r="E353" s="501">
        <f>SUM(E354:E358)</f>
        <v>983.29100000000005</v>
      </c>
      <c r="F353" s="501">
        <f t="shared" si="169"/>
        <v>96.486000000000104</v>
      </c>
      <c r="G353" s="501">
        <f t="shared" ref="G353:V353" si="178">SUM(G354:G358)</f>
        <v>983.29100000000005</v>
      </c>
      <c r="H353" s="501">
        <f t="shared" si="178"/>
        <v>983.29100000000005</v>
      </c>
      <c r="I353" s="501">
        <f t="shared" si="178"/>
        <v>8</v>
      </c>
      <c r="J353" s="501">
        <f t="shared" si="178"/>
        <v>787.09100000000001</v>
      </c>
      <c r="K353" s="501">
        <f t="shared" si="178"/>
        <v>0</v>
      </c>
      <c r="L353" s="501">
        <f t="shared" si="178"/>
        <v>0</v>
      </c>
      <c r="M353" s="501">
        <f t="shared" si="178"/>
        <v>196.20000000000002</v>
      </c>
      <c r="N353" s="501">
        <f t="shared" si="178"/>
        <v>196.20000000000002</v>
      </c>
      <c r="O353" s="501">
        <f t="shared" si="178"/>
        <v>0</v>
      </c>
      <c r="P353" s="501">
        <f t="shared" si="178"/>
        <v>0</v>
      </c>
      <c r="Q353" s="501">
        <f t="shared" si="178"/>
        <v>0</v>
      </c>
      <c r="R353" s="501">
        <f t="shared" si="178"/>
        <v>0</v>
      </c>
      <c r="S353" s="501">
        <f t="shared" si="178"/>
        <v>18.7</v>
      </c>
      <c r="T353" s="502">
        <f t="shared" si="178"/>
        <v>0</v>
      </c>
      <c r="U353" s="501">
        <f t="shared" si="178"/>
        <v>0</v>
      </c>
      <c r="V353" s="501">
        <f t="shared" si="178"/>
        <v>964.59100000000001</v>
      </c>
      <c r="W353" s="585"/>
      <c r="X353" s="449"/>
      <c r="Y353" s="449"/>
      <c r="Z353" s="449"/>
      <c r="AA353" s="449"/>
      <c r="AB353" s="449"/>
      <c r="AC353" s="449"/>
      <c r="AD353" s="449"/>
      <c r="AE353" s="449"/>
      <c r="AF353" s="449"/>
      <c r="AG353" s="449"/>
    </row>
    <row r="354" spans="1:33" s="455" customFormat="1" ht="17.25" customHeight="1">
      <c r="A354" s="451" t="s">
        <v>11</v>
      </c>
      <c r="B354" s="452" t="s">
        <v>545</v>
      </c>
      <c r="C354" s="453">
        <v>609.64099999999996</v>
      </c>
      <c r="D354" s="454"/>
      <c r="E354" s="501">
        <f>G354+R354</f>
        <v>781.73099999999999</v>
      </c>
      <c r="F354" s="501">
        <f t="shared" si="169"/>
        <v>172.09000000000003</v>
      </c>
      <c r="G354" s="501">
        <f>H354+P354+Q354</f>
        <v>781.73099999999999</v>
      </c>
      <c r="H354" s="501">
        <f>J354+M354</f>
        <v>781.73099999999999</v>
      </c>
      <c r="I354" s="501">
        <v>8</v>
      </c>
      <c r="J354" s="501">
        <v>781.73099999999999</v>
      </c>
      <c r="K354" s="501"/>
      <c r="L354" s="501"/>
      <c r="M354" s="501">
        <f t="shared" ref="M354:M423" si="179">N354+O354</f>
        <v>0</v>
      </c>
      <c r="N354" s="501"/>
      <c r="O354" s="501"/>
      <c r="P354" s="501"/>
      <c r="Q354" s="501"/>
      <c r="R354" s="501"/>
      <c r="S354" s="501"/>
      <c r="T354" s="502"/>
      <c r="U354" s="501"/>
      <c r="V354" s="507">
        <f>E354-S354</f>
        <v>781.73099999999999</v>
      </c>
      <c r="W354" s="585"/>
      <c r="X354" s="449"/>
      <c r="Y354" s="449"/>
      <c r="Z354" s="449"/>
      <c r="AA354" s="449"/>
      <c r="AB354" s="449"/>
      <c r="AC354" s="449"/>
      <c r="AD354" s="449"/>
      <c r="AE354" s="449"/>
      <c r="AF354" s="449"/>
      <c r="AG354" s="449"/>
    </row>
    <row r="355" spans="1:33" s="455" customFormat="1" ht="17.25" customHeight="1">
      <c r="A355" s="451" t="s">
        <v>11</v>
      </c>
      <c r="B355" s="452" t="s">
        <v>850</v>
      </c>
      <c r="C355" s="453">
        <v>124.8</v>
      </c>
      <c r="D355" s="454"/>
      <c r="E355" s="501">
        <f>G355+R355</f>
        <v>187.20000000000002</v>
      </c>
      <c r="F355" s="501">
        <f t="shared" si="169"/>
        <v>62.40000000000002</v>
      </c>
      <c r="G355" s="501">
        <f>H355+P355+Q355</f>
        <v>187.20000000000002</v>
      </c>
      <c r="H355" s="501">
        <f>J355+M355</f>
        <v>187.20000000000002</v>
      </c>
      <c r="I355" s="501"/>
      <c r="J355" s="501">
        <f>K355+L355</f>
        <v>0</v>
      </c>
      <c r="K355" s="501"/>
      <c r="L355" s="501"/>
      <c r="M355" s="501">
        <f t="shared" si="179"/>
        <v>187.20000000000002</v>
      </c>
      <c r="N355" s="501">
        <f>8*18*1.3</f>
        <v>187.20000000000002</v>
      </c>
      <c r="O355" s="501"/>
      <c r="P355" s="501">
        <v>0</v>
      </c>
      <c r="Q355" s="501">
        <v>0</v>
      </c>
      <c r="R355" s="501">
        <v>0</v>
      </c>
      <c r="S355" s="501">
        <v>18.7</v>
      </c>
      <c r="T355" s="502"/>
      <c r="U355" s="501"/>
      <c r="V355" s="507">
        <f>E355-S355</f>
        <v>168.50000000000003</v>
      </c>
      <c r="W355" s="585"/>
      <c r="X355" s="449"/>
      <c r="Y355" s="449"/>
      <c r="Z355" s="449"/>
      <c r="AA355" s="449"/>
      <c r="AB355" s="449"/>
      <c r="AC355" s="449"/>
      <c r="AD355" s="449"/>
      <c r="AE355" s="449"/>
      <c r="AF355" s="449"/>
      <c r="AG355" s="449"/>
    </row>
    <row r="356" spans="1:33" s="455" customFormat="1" ht="17.25" customHeight="1">
      <c r="A356" s="451" t="s">
        <v>11</v>
      </c>
      <c r="B356" s="452" t="s">
        <v>326</v>
      </c>
      <c r="C356" s="453">
        <v>5.3639999999999999</v>
      </c>
      <c r="D356" s="454"/>
      <c r="E356" s="501">
        <f>G356+R356</f>
        <v>5.36</v>
      </c>
      <c r="F356" s="501">
        <f t="shared" si="169"/>
        <v>-3.9999999999995595E-3</v>
      </c>
      <c r="G356" s="501">
        <f>H356+P356+Q356</f>
        <v>5.36</v>
      </c>
      <c r="H356" s="501">
        <f>J356+M356</f>
        <v>5.36</v>
      </c>
      <c r="I356" s="501"/>
      <c r="J356" s="501">
        <v>5.36</v>
      </c>
      <c r="K356" s="501"/>
      <c r="L356" s="501"/>
      <c r="M356" s="501">
        <f t="shared" si="179"/>
        <v>0</v>
      </c>
      <c r="N356" s="501"/>
      <c r="O356" s="501"/>
      <c r="P356" s="501"/>
      <c r="Q356" s="501"/>
      <c r="R356" s="501"/>
      <c r="S356" s="501"/>
      <c r="T356" s="502"/>
      <c r="U356" s="501"/>
      <c r="V356" s="507">
        <f>E356-S356</f>
        <v>5.36</v>
      </c>
      <c r="W356" s="585"/>
      <c r="X356" s="449"/>
      <c r="Y356" s="449"/>
      <c r="Z356" s="449"/>
      <c r="AA356" s="449"/>
      <c r="AB356" s="449"/>
      <c r="AC356" s="449"/>
      <c r="AD356" s="449"/>
      <c r="AE356" s="449"/>
      <c r="AF356" s="449"/>
      <c r="AG356" s="449"/>
    </row>
    <row r="357" spans="1:33" s="455" customFormat="1" ht="31.5" customHeight="1">
      <c r="A357" s="451" t="s">
        <v>11</v>
      </c>
      <c r="B357" s="457" t="s">
        <v>273</v>
      </c>
      <c r="C357" s="453">
        <v>9</v>
      </c>
      <c r="D357" s="454"/>
      <c r="E357" s="501">
        <f>G357+R357</f>
        <v>9</v>
      </c>
      <c r="F357" s="501">
        <f t="shared" si="169"/>
        <v>0</v>
      </c>
      <c r="G357" s="501">
        <f>H357+P357+Q357</f>
        <v>9</v>
      </c>
      <c r="H357" s="501">
        <f>J357+M357</f>
        <v>9</v>
      </c>
      <c r="I357" s="501"/>
      <c r="J357" s="501">
        <f>K357+L357</f>
        <v>0</v>
      </c>
      <c r="K357" s="501"/>
      <c r="L357" s="501"/>
      <c r="M357" s="501">
        <f t="shared" si="179"/>
        <v>9</v>
      </c>
      <c r="N357" s="501">
        <v>9</v>
      </c>
      <c r="O357" s="501"/>
      <c r="P357" s="501"/>
      <c r="Q357" s="501"/>
      <c r="R357" s="501"/>
      <c r="S357" s="501"/>
      <c r="T357" s="502"/>
      <c r="U357" s="501"/>
      <c r="V357" s="507">
        <f>E357-S357</f>
        <v>9</v>
      </c>
      <c r="W357" s="585"/>
      <c r="X357" s="449"/>
      <c r="Y357" s="449"/>
      <c r="Z357" s="449"/>
      <c r="AA357" s="449"/>
      <c r="AB357" s="449"/>
      <c r="AC357" s="449"/>
      <c r="AD357" s="449"/>
      <c r="AE357" s="449"/>
      <c r="AF357" s="449"/>
      <c r="AG357" s="449"/>
    </row>
    <row r="358" spans="1:33" s="455" customFormat="1" ht="21.75" hidden="1" customHeight="1">
      <c r="A358" s="451" t="s">
        <v>11</v>
      </c>
      <c r="B358" s="457" t="s">
        <v>851</v>
      </c>
      <c r="C358" s="453">
        <v>138</v>
      </c>
      <c r="D358" s="454"/>
      <c r="E358" s="501"/>
      <c r="F358" s="501">
        <f t="shared" si="169"/>
        <v>-138</v>
      </c>
      <c r="G358" s="501"/>
      <c r="H358" s="501"/>
      <c r="I358" s="501"/>
      <c r="J358" s="501"/>
      <c r="K358" s="501"/>
      <c r="L358" s="501"/>
      <c r="M358" s="501"/>
      <c r="N358" s="501"/>
      <c r="O358" s="501"/>
      <c r="P358" s="501"/>
      <c r="Q358" s="501"/>
      <c r="R358" s="501"/>
      <c r="S358" s="501"/>
      <c r="T358" s="502"/>
      <c r="U358" s="501"/>
      <c r="V358" s="501"/>
      <c r="W358" s="585"/>
      <c r="X358" s="449"/>
      <c r="Y358" s="449"/>
      <c r="Z358" s="449"/>
      <c r="AA358" s="449"/>
      <c r="AB358" s="449"/>
      <c r="AC358" s="449"/>
      <c r="AD358" s="449"/>
      <c r="AE358" s="449"/>
      <c r="AF358" s="449"/>
      <c r="AG358" s="449"/>
    </row>
    <row r="359" spans="1:33" s="455" customFormat="1" ht="17.25" customHeight="1">
      <c r="A359" s="451" t="s">
        <v>327</v>
      </c>
      <c r="B359" s="452" t="s">
        <v>238</v>
      </c>
      <c r="C359" s="453">
        <f>SUM(C360:C361)</f>
        <v>270</v>
      </c>
      <c r="D359" s="454"/>
      <c r="E359" s="501">
        <f>SUM(E360:E361)</f>
        <v>220</v>
      </c>
      <c r="F359" s="501">
        <f t="shared" si="169"/>
        <v>-50</v>
      </c>
      <c r="G359" s="501">
        <f>SUM(G360:G361)</f>
        <v>220</v>
      </c>
      <c r="H359" s="501">
        <f>SUM(H360:H361)</f>
        <v>220</v>
      </c>
      <c r="I359" s="501">
        <f>SUM(I360:I361)</f>
        <v>0</v>
      </c>
      <c r="J359" s="501">
        <f>SUM(J360:J361)</f>
        <v>0</v>
      </c>
      <c r="K359" s="501">
        <f>SUM(K360:K361)</f>
        <v>0</v>
      </c>
      <c r="L359" s="501"/>
      <c r="M359" s="501">
        <f t="shared" ref="M359:V359" si="180">SUM(M360:M361)</f>
        <v>220</v>
      </c>
      <c r="N359" s="501">
        <f t="shared" si="180"/>
        <v>0</v>
      </c>
      <c r="O359" s="501">
        <f t="shared" si="180"/>
        <v>220</v>
      </c>
      <c r="P359" s="501">
        <f t="shared" si="180"/>
        <v>0</v>
      </c>
      <c r="Q359" s="501">
        <f t="shared" si="180"/>
        <v>0</v>
      </c>
      <c r="R359" s="501">
        <f t="shared" si="180"/>
        <v>0</v>
      </c>
      <c r="S359" s="501">
        <f t="shared" si="180"/>
        <v>22</v>
      </c>
      <c r="T359" s="502">
        <f t="shared" si="180"/>
        <v>0</v>
      </c>
      <c r="U359" s="501">
        <f t="shared" si="180"/>
        <v>0</v>
      </c>
      <c r="V359" s="501">
        <f t="shared" si="180"/>
        <v>198</v>
      </c>
      <c r="W359" s="585"/>
      <c r="X359" s="449"/>
      <c r="Y359" s="449"/>
      <c r="Z359" s="449"/>
      <c r="AA359" s="449"/>
      <c r="AB359" s="449"/>
      <c r="AC359" s="449"/>
      <c r="AD359" s="449"/>
      <c r="AE359" s="449"/>
      <c r="AF359" s="449"/>
      <c r="AG359" s="449"/>
    </row>
    <row r="360" spans="1:33" s="455" customFormat="1" ht="30" customHeight="1">
      <c r="A360" s="456" t="s">
        <v>11</v>
      </c>
      <c r="B360" s="457" t="s">
        <v>852</v>
      </c>
      <c r="C360" s="453">
        <v>200</v>
      </c>
      <c r="D360" s="454"/>
      <c r="E360" s="501">
        <f>G360+R360</f>
        <v>200</v>
      </c>
      <c r="F360" s="501">
        <f t="shared" si="169"/>
        <v>0</v>
      </c>
      <c r="G360" s="501">
        <f>H360+P360+Q360</f>
        <v>200</v>
      </c>
      <c r="H360" s="501">
        <f>J360+M360</f>
        <v>200</v>
      </c>
      <c r="I360" s="501"/>
      <c r="J360" s="501">
        <f>K360+L360</f>
        <v>0</v>
      </c>
      <c r="K360" s="501"/>
      <c r="L360" s="501"/>
      <c r="M360" s="501">
        <f>N360+O360</f>
        <v>200</v>
      </c>
      <c r="N360" s="501"/>
      <c r="O360" s="501">
        <v>200</v>
      </c>
      <c r="P360" s="501"/>
      <c r="Q360" s="501"/>
      <c r="R360" s="501"/>
      <c r="S360" s="501">
        <v>20</v>
      </c>
      <c r="T360" s="502"/>
      <c r="U360" s="501"/>
      <c r="V360" s="507">
        <f t="shared" ref="V360:V377" si="181">E360-S360</f>
        <v>180</v>
      </c>
      <c r="W360" s="585"/>
      <c r="X360" s="449"/>
      <c r="Y360" s="449"/>
      <c r="Z360" s="449"/>
      <c r="AA360" s="449"/>
      <c r="AB360" s="449"/>
      <c r="AC360" s="449"/>
      <c r="AD360" s="449"/>
      <c r="AE360" s="449"/>
      <c r="AF360" s="449"/>
      <c r="AG360" s="449"/>
    </row>
    <row r="361" spans="1:33" s="455" customFormat="1" ht="36" customHeight="1">
      <c r="A361" s="456" t="s">
        <v>11</v>
      </c>
      <c r="B361" s="457" t="s">
        <v>853</v>
      </c>
      <c r="C361" s="453">
        <v>70</v>
      </c>
      <c r="D361" s="454"/>
      <c r="E361" s="501">
        <f>G361+R361</f>
        <v>20</v>
      </c>
      <c r="F361" s="501">
        <f t="shared" si="169"/>
        <v>-50</v>
      </c>
      <c r="G361" s="501">
        <f>H361+P361+Q361</f>
        <v>20</v>
      </c>
      <c r="H361" s="501">
        <f>J361+M361</f>
        <v>20</v>
      </c>
      <c r="I361" s="501"/>
      <c r="J361" s="501">
        <f>K361+L361</f>
        <v>0</v>
      </c>
      <c r="K361" s="501"/>
      <c r="L361" s="501"/>
      <c r="M361" s="501">
        <f>N361+O361</f>
        <v>20</v>
      </c>
      <c r="N361" s="501"/>
      <c r="O361" s="501">
        <v>20</v>
      </c>
      <c r="P361" s="501"/>
      <c r="Q361" s="501"/>
      <c r="R361" s="501"/>
      <c r="S361" s="501">
        <v>2</v>
      </c>
      <c r="T361" s="502"/>
      <c r="U361" s="501"/>
      <c r="V361" s="507">
        <f t="shared" si="181"/>
        <v>18</v>
      </c>
      <c r="W361" s="585"/>
      <c r="X361" s="449"/>
      <c r="Y361" s="449"/>
      <c r="Z361" s="449"/>
      <c r="AA361" s="449"/>
      <c r="AB361" s="449"/>
      <c r="AC361" s="449"/>
      <c r="AD361" s="449"/>
      <c r="AE361" s="449"/>
      <c r="AF361" s="449"/>
      <c r="AG361" s="449"/>
    </row>
    <row r="362" spans="1:33" s="455" customFormat="1" ht="17.25" customHeight="1">
      <c r="A362" s="451" t="s">
        <v>98</v>
      </c>
      <c r="B362" s="452" t="s">
        <v>328</v>
      </c>
      <c r="C362" s="453">
        <f>SUM(C363:C369)</f>
        <v>748.19400000000007</v>
      </c>
      <c r="D362" s="454"/>
      <c r="E362" s="501">
        <f>SUM(E363:E369)</f>
        <v>933.72</v>
      </c>
      <c r="F362" s="501">
        <f t="shared" si="169"/>
        <v>185.52599999999995</v>
      </c>
      <c r="G362" s="501">
        <f t="shared" ref="G362:V362" si="182">SUM(G363:G369)</f>
        <v>933.72</v>
      </c>
      <c r="H362" s="501">
        <f t="shared" si="182"/>
        <v>933.72</v>
      </c>
      <c r="I362" s="501">
        <f t="shared" si="182"/>
        <v>5</v>
      </c>
      <c r="J362" s="501">
        <f t="shared" si="182"/>
        <v>672.72</v>
      </c>
      <c r="K362" s="501">
        <f t="shared" si="182"/>
        <v>0</v>
      </c>
      <c r="L362" s="501">
        <f t="shared" si="182"/>
        <v>0</v>
      </c>
      <c r="M362" s="501">
        <f t="shared" si="182"/>
        <v>261</v>
      </c>
      <c r="N362" s="501">
        <f t="shared" si="182"/>
        <v>126</v>
      </c>
      <c r="O362" s="501">
        <f t="shared" si="182"/>
        <v>135</v>
      </c>
      <c r="P362" s="501">
        <f t="shared" si="182"/>
        <v>0</v>
      </c>
      <c r="Q362" s="501">
        <f t="shared" si="182"/>
        <v>0</v>
      </c>
      <c r="R362" s="501">
        <f t="shared" si="182"/>
        <v>0</v>
      </c>
      <c r="S362" s="501">
        <f t="shared" si="182"/>
        <v>25.2</v>
      </c>
      <c r="T362" s="502">
        <f t="shared" si="182"/>
        <v>0</v>
      </c>
      <c r="U362" s="501">
        <f t="shared" si="182"/>
        <v>0</v>
      </c>
      <c r="V362" s="501">
        <f t="shared" si="182"/>
        <v>908.52</v>
      </c>
      <c r="W362" s="585" t="s">
        <v>328</v>
      </c>
      <c r="X362" s="449"/>
      <c r="Y362" s="449"/>
      <c r="Z362" s="449"/>
      <c r="AA362" s="449"/>
      <c r="AB362" s="449"/>
      <c r="AC362" s="449"/>
      <c r="AD362" s="449"/>
      <c r="AE362" s="449"/>
      <c r="AF362" s="449"/>
      <c r="AG362" s="449"/>
    </row>
    <row r="363" spans="1:33" s="455" customFormat="1" ht="17.25" customHeight="1">
      <c r="A363" s="456" t="s">
        <v>11</v>
      </c>
      <c r="B363" s="452" t="s">
        <v>328</v>
      </c>
      <c r="C363" s="453">
        <v>586.83000000000004</v>
      </c>
      <c r="D363" s="454"/>
      <c r="E363" s="501">
        <f t="shared" ref="E363:E369" si="183">G363+R363</f>
        <v>610.14</v>
      </c>
      <c r="F363" s="501">
        <f t="shared" si="169"/>
        <v>23.309999999999945</v>
      </c>
      <c r="G363" s="501">
        <f t="shared" ref="G363:G369" si="184">H363+P363+Q363</f>
        <v>610.14</v>
      </c>
      <c r="H363" s="501">
        <f t="shared" ref="H363:H369" si="185">J363+M363</f>
        <v>610.14</v>
      </c>
      <c r="I363" s="501">
        <v>5</v>
      </c>
      <c r="J363" s="501">
        <v>610.14</v>
      </c>
      <c r="K363" s="501"/>
      <c r="L363" s="501"/>
      <c r="M363" s="501">
        <f t="shared" si="179"/>
        <v>0</v>
      </c>
      <c r="N363" s="501"/>
      <c r="O363" s="501">
        <v>0</v>
      </c>
      <c r="P363" s="501"/>
      <c r="Q363" s="501"/>
      <c r="R363" s="501"/>
      <c r="S363" s="501"/>
      <c r="T363" s="502"/>
      <c r="U363" s="501"/>
      <c r="V363" s="507">
        <f t="shared" si="181"/>
        <v>610.14</v>
      </c>
      <c r="W363" s="585"/>
      <c r="X363" s="449"/>
      <c r="Y363" s="449"/>
      <c r="Z363" s="449"/>
      <c r="AA363" s="449"/>
      <c r="AB363" s="449"/>
      <c r="AC363" s="449"/>
      <c r="AD363" s="449"/>
      <c r="AE363" s="449"/>
      <c r="AF363" s="449"/>
      <c r="AG363" s="449"/>
    </row>
    <row r="364" spans="1:33" s="455" customFormat="1" ht="17.25" customHeight="1">
      <c r="A364" s="456" t="s">
        <v>11</v>
      </c>
      <c r="B364" s="452" t="s">
        <v>329</v>
      </c>
      <c r="C364" s="453">
        <v>117</v>
      </c>
      <c r="D364" s="454"/>
      <c r="E364" s="501">
        <f t="shared" si="183"/>
        <v>117</v>
      </c>
      <c r="F364" s="501">
        <f t="shared" si="169"/>
        <v>0</v>
      </c>
      <c r="G364" s="501">
        <f t="shared" si="184"/>
        <v>117</v>
      </c>
      <c r="H364" s="501">
        <f t="shared" si="185"/>
        <v>117</v>
      </c>
      <c r="I364" s="501"/>
      <c r="J364" s="501">
        <f>K364+L364</f>
        <v>0</v>
      </c>
      <c r="K364" s="501"/>
      <c r="L364" s="501"/>
      <c r="M364" s="501">
        <f t="shared" si="179"/>
        <v>117</v>
      </c>
      <c r="N364" s="501">
        <f>5*18*1.3</f>
        <v>117</v>
      </c>
      <c r="O364" s="501">
        <v>0</v>
      </c>
      <c r="P364" s="501">
        <v>0</v>
      </c>
      <c r="Q364" s="501">
        <v>0</v>
      </c>
      <c r="R364" s="501">
        <v>0</v>
      </c>
      <c r="S364" s="501">
        <v>11.7</v>
      </c>
      <c r="T364" s="502"/>
      <c r="U364" s="501"/>
      <c r="V364" s="507">
        <f t="shared" si="181"/>
        <v>105.3</v>
      </c>
      <c r="W364" s="585"/>
      <c r="X364" s="449"/>
      <c r="Y364" s="449"/>
      <c r="Z364" s="449"/>
      <c r="AA364" s="449"/>
      <c r="AB364" s="449"/>
      <c r="AC364" s="449"/>
      <c r="AD364" s="449"/>
      <c r="AE364" s="449"/>
      <c r="AF364" s="449"/>
      <c r="AG364" s="449"/>
    </row>
    <row r="365" spans="1:33" s="455" customFormat="1" ht="17.25" customHeight="1">
      <c r="A365" s="456" t="s">
        <v>11</v>
      </c>
      <c r="B365" s="452" t="s">
        <v>330</v>
      </c>
      <c r="C365" s="453">
        <v>5.3639999999999999</v>
      </c>
      <c r="D365" s="454"/>
      <c r="E365" s="501">
        <f t="shared" si="183"/>
        <v>5.36</v>
      </c>
      <c r="F365" s="501">
        <f t="shared" si="169"/>
        <v>-3.9999999999995595E-3</v>
      </c>
      <c r="G365" s="501">
        <f t="shared" si="184"/>
        <v>5.36</v>
      </c>
      <c r="H365" s="501">
        <f t="shared" si="185"/>
        <v>5.36</v>
      </c>
      <c r="I365" s="501"/>
      <c r="J365" s="501">
        <v>5.36</v>
      </c>
      <c r="K365" s="501"/>
      <c r="L365" s="501"/>
      <c r="M365" s="501">
        <f t="shared" si="179"/>
        <v>0</v>
      </c>
      <c r="N365" s="501"/>
      <c r="O365" s="501">
        <v>0</v>
      </c>
      <c r="P365" s="501"/>
      <c r="Q365" s="501"/>
      <c r="R365" s="501"/>
      <c r="S365" s="501"/>
      <c r="T365" s="502"/>
      <c r="U365" s="501"/>
      <c r="V365" s="507">
        <f t="shared" si="181"/>
        <v>5.36</v>
      </c>
      <c r="W365" s="585"/>
      <c r="X365" s="449"/>
      <c r="Y365" s="449"/>
      <c r="Z365" s="449"/>
      <c r="AA365" s="449"/>
      <c r="AB365" s="449"/>
      <c r="AC365" s="449"/>
      <c r="AD365" s="449"/>
      <c r="AE365" s="449"/>
      <c r="AF365" s="449"/>
      <c r="AG365" s="449"/>
    </row>
    <row r="366" spans="1:33" s="455" customFormat="1" ht="28.5" customHeight="1">
      <c r="A366" s="456" t="s">
        <v>11</v>
      </c>
      <c r="B366" s="457" t="s">
        <v>150</v>
      </c>
      <c r="C366" s="453">
        <v>9</v>
      </c>
      <c r="D366" s="454"/>
      <c r="E366" s="501">
        <f t="shared" si="183"/>
        <v>9</v>
      </c>
      <c r="F366" s="501">
        <f t="shared" si="169"/>
        <v>0</v>
      </c>
      <c r="G366" s="501">
        <f t="shared" si="184"/>
        <v>9</v>
      </c>
      <c r="H366" s="501">
        <f t="shared" si="185"/>
        <v>9</v>
      </c>
      <c r="I366" s="501"/>
      <c r="J366" s="501">
        <f>K366+L366</f>
        <v>0</v>
      </c>
      <c r="K366" s="501"/>
      <c r="L366" s="501"/>
      <c r="M366" s="501">
        <f t="shared" si="179"/>
        <v>9</v>
      </c>
      <c r="N366" s="501">
        <v>9</v>
      </c>
      <c r="O366" s="501">
        <v>0</v>
      </c>
      <c r="P366" s="501"/>
      <c r="Q366" s="501"/>
      <c r="R366" s="501"/>
      <c r="S366" s="501"/>
      <c r="T366" s="502"/>
      <c r="U366" s="501"/>
      <c r="V366" s="507">
        <f t="shared" si="181"/>
        <v>9</v>
      </c>
      <c r="W366" s="585"/>
      <c r="X366" s="449"/>
      <c r="Y366" s="449"/>
      <c r="Z366" s="449"/>
      <c r="AA366" s="449"/>
      <c r="AB366" s="449"/>
      <c r="AC366" s="449"/>
      <c r="AD366" s="449"/>
      <c r="AE366" s="449"/>
      <c r="AF366" s="449"/>
      <c r="AG366" s="449"/>
    </row>
    <row r="367" spans="1:33" s="455" customFormat="1" ht="21" hidden="1" customHeight="1">
      <c r="A367" s="451" t="s">
        <v>11</v>
      </c>
      <c r="B367" s="457" t="s">
        <v>170</v>
      </c>
      <c r="C367" s="453"/>
      <c r="D367" s="454"/>
      <c r="E367" s="501">
        <f t="shared" si="183"/>
        <v>0</v>
      </c>
      <c r="F367" s="501">
        <f t="shared" si="169"/>
        <v>0</v>
      </c>
      <c r="G367" s="501">
        <f t="shared" si="184"/>
        <v>0</v>
      </c>
      <c r="H367" s="501">
        <f t="shared" si="185"/>
        <v>0</v>
      </c>
      <c r="I367" s="501"/>
      <c r="J367" s="501">
        <f>K367+L367</f>
        <v>0</v>
      </c>
      <c r="K367" s="501"/>
      <c r="L367" s="501"/>
      <c r="M367" s="501">
        <f>N367+O367</f>
        <v>0</v>
      </c>
      <c r="N367" s="501"/>
      <c r="O367" s="501">
        <v>0</v>
      </c>
      <c r="P367" s="501"/>
      <c r="Q367" s="501"/>
      <c r="R367" s="501"/>
      <c r="S367" s="501"/>
      <c r="T367" s="502"/>
      <c r="U367" s="501"/>
      <c r="V367" s="507">
        <f t="shared" si="181"/>
        <v>0</v>
      </c>
      <c r="W367" s="585"/>
      <c r="X367" s="449"/>
      <c r="Y367" s="449"/>
      <c r="Z367" s="449"/>
      <c r="AA367" s="449"/>
      <c r="AB367" s="449"/>
      <c r="AC367" s="449"/>
      <c r="AD367" s="449"/>
      <c r="AE367" s="449"/>
      <c r="AF367" s="449"/>
      <c r="AG367" s="449"/>
    </row>
    <row r="368" spans="1:33" s="455" customFormat="1" ht="17.25" customHeight="1">
      <c r="A368" s="456" t="s">
        <v>11</v>
      </c>
      <c r="B368" s="452" t="s">
        <v>854</v>
      </c>
      <c r="C368" s="453">
        <v>30</v>
      </c>
      <c r="D368" s="454"/>
      <c r="E368" s="501">
        <f t="shared" si="183"/>
        <v>50</v>
      </c>
      <c r="F368" s="501">
        <f t="shared" si="169"/>
        <v>20</v>
      </c>
      <c r="G368" s="501">
        <f t="shared" si="184"/>
        <v>50</v>
      </c>
      <c r="H368" s="501">
        <f t="shared" si="185"/>
        <v>50</v>
      </c>
      <c r="I368" s="501"/>
      <c r="J368" s="501">
        <f>K368+L368</f>
        <v>0</v>
      </c>
      <c r="K368" s="501"/>
      <c r="L368" s="501"/>
      <c r="M368" s="501">
        <f>N368+O368</f>
        <v>50</v>
      </c>
      <c r="N368" s="501"/>
      <c r="O368" s="501">
        <v>50</v>
      </c>
      <c r="P368" s="501"/>
      <c r="Q368" s="501"/>
      <c r="R368" s="501"/>
      <c r="S368" s="501">
        <v>5</v>
      </c>
      <c r="T368" s="502"/>
      <c r="U368" s="501"/>
      <c r="V368" s="507">
        <f t="shared" si="181"/>
        <v>45</v>
      </c>
      <c r="W368" s="585"/>
      <c r="X368" s="449"/>
      <c r="Y368" s="449"/>
      <c r="Z368" s="449"/>
      <c r="AA368" s="449"/>
      <c r="AB368" s="449"/>
      <c r="AC368" s="449"/>
      <c r="AD368" s="449"/>
      <c r="AE368" s="449"/>
      <c r="AF368" s="449"/>
      <c r="AG368" s="449"/>
    </row>
    <row r="369" spans="1:33" s="455" customFormat="1" ht="63" customHeight="1">
      <c r="A369" s="456" t="s">
        <v>11</v>
      </c>
      <c r="B369" s="457" t="s">
        <v>855</v>
      </c>
      <c r="C369" s="453"/>
      <c r="D369" s="454"/>
      <c r="E369" s="501">
        <f t="shared" si="183"/>
        <v>142.22</v>
      </c>
      <c r="F369" s="501">
        <f t="shared" si="169"/>
        <v>142.22</v>
      </c>
      <c r="G369" s="501">
        <f t="shared" si="184"/>
        <v>142.22</v>
      </c>
      <c r="H369" s="501">
        <f t="shared" si="185"/>
        <v>142.22</v>
      </c>
      <c r="I369" s="501"/>
      <c r="J369" s="501">
        <v>57.22</v>
      </c>
      <c r="K369" s="501"/>
      <c r="L369" s="501"/>
      <c r="M369" s="501">
        <f>N369+O369</f>
        <v>85</v>
      </c>
      <c r="N369" s="501"/>
      <c r="O369" s="501">
        <v>85</v>
      </c>
      <c r="P369" s="501"/>
      <c r="Q369" s="501"/>
      <c r="R369" s="501"/>
      <c r="S369" s="501">
        <v>8.5</v>
      </c>
      <c r="T369" s="502"/>
      <c r="U369" s="501"/>
      <c r="V369" s="507">
        <f t="shared" si="181"/>
        <v>133.72</v>
      </c>
      <c r="W369" s="514" t="s">
        <v>856</v>
      </c>
      <c r="X369" s="449"/>
      <c r="Y369" s="449"/>
      <c r="Z369" s="449"/>
      <c r="AA369" s="449"/>
      <c r="AB369" s="449"/>
      <c r="AC369" s="449"/>
      <c r="AD369" s="449"/>
      <c r="AE369" s="449"/>
      <c r="AF369" s="449"/>
      <c r="AG369" s="449"/>
    </row>
    <row r="370" spans="1:33" s="455" customFormat="1" ht="17.25" customHeight="1">
      <c r="A370" s="451" t="s">
        <v>100</v>
      </c>
      <c r="B370" s="452" t="s">
        <v>960</v>
      </c>
      <c r="C370" s="453">
        <f>SUM(C371:C378)</f>
        <v>915.96399999999994</v>
      </c>
      <c r="D370" s="454"/>
      <c r="E370" s="501">
        <f>SUM(E371:E378)</f>
        <v>966.92</v>
      </c>
      <c r="F370" s="501">
        <f t="shared" si="169"/>
        <v>50.956000000000017</v>
      </c>
      <c r="G370" s="501">
        <f t="shared" ref="G370:U370" si="186">SUM(G371:G378)</f>
        <v>966.92</v>
      </c>
      <c r="H370" s="501">
        <f t="shared" si="186"/>
        <v>966.92</v>
      </c>
      <c r="I370" s="501">
        <f t="shared" si="186"/>
        <v>6</v>
      </c>
      <c r="J370" s="501">
        <f t="shared" si="186"/>
        <v>747.52</v>
      </c>
      <c r="K370" s="501">
        <f t="shared" si="186"/>
        <v>0</v>
      </c>
      <c r="L370" s="501">
        <f t="shared" si="186"/>
        <v>0</v>
      </c>
      <c r="M370" s="501">
        <f t="shared" si="186"/>
        <v>219.4</v>
      </c>
      <c r="N370" s="501">
        <f t="shared" si="186"/>
        <v>149.4</v>
      </c>
      <c r="O370" s="501">
        <f t="shared" si="186"/>
        <v>70</v>
      </c>
      <c r="P370" s="501">
        <f t="shared" si="186"/>
        <v>0</v>
      </c>
      <c r="Q370" s="501">
        <f t="shared" si="186"/>
        <v>0</v>
      </c>
      <c r="R370" s="501">
        <f t="shared" si="186"/>
        <v>0</v>
      </c>
      <c r="S370" s="501">
        <f t="shared" si="186"/>
        <v>21</v>
      </c>
      <c r="T370" s="502">
        <f>SUM(T371:T378)</f>
        <v>13.78</v>
      </c>
      <c r="U370" s="501">
        <f t="shared" si="186"/>
        <v>0</v>
      </c>
      <c r="V370" s="501">
        <f>SUM(V371:V378)</f>
        <v>959.69999999999993</v>
      </c>
      <c r="W370" s="585" t="s">
        <v>332</v>
      </c>
      <c r="X370" s="449"/>
      <c r="Y370" s="449"/>
      <c r="Z370" s="449"/>
      <c r="AA370" s="449"/>
      <c r="AB370" s="449"/>
      <c r="AC370" s="449"/>
      <c r="AD370" s="449"/>
      <c r="AE370" s="449"/>
      <c r="AF370" s="449"/>
      <c r="AG370" s="449"/>
    </row>
    <row r="371" spans="1:33" s="455" customFormat="1" ht="17.25" customHeight="1">
      <c r="A371" s="456" t="s">
        <v>11</v>
      </c>
      <c r="B371" s="452" t="s">
        <v>333</v>
      </c>
      <c r="C371" s="453">
        <v>706.8</v>
      </c>
      <c r="D371" s="454"/>
      <c r="E371" s="501">
        <f>G371+R371</f>
        <v>742.16</v>
      </c>
      <c r="F371" s="501">
        <f t="shared" si="169"/>
        <v>35.360000000000014</v>
      </c>
      <c r="G371" s="501">
        <f t="shared" ref="G371:G377" si="187">H371+P371+Q371</f>
        <v>742.16</v>
      </c>
      <c r="H371" s="501">
        <f t="shared" ref="H371:H377" si="188">J371+M371</f>
        <v>742.16</v>
      </c>
      <c r="I371" s="501">
        <v>6</v>
      </c>
      <c r="J371" s="501">
        <v>742.16</v>
      </c>
      <c r="K371" s="501"/>
      <c r="L371" s="501"/>
      <c r="M371" s="501">
        <f t="shared" si="179"/>
        <v>0</v>
      </c>
      <c r="N371" s="501"/>
      <c r="O371" s="501"/>
      <c r="P371" s="501"/>
      <c r="Q371" s="501"/>
      <c r="R371" s="501"/>
      <c r="S371" s="501"/>
      <c r="T371" s="502">
        <v>13.78</v>
      </c>
      <c r="U371" s="501"/>
      <c r="V371" s="507">
        <f>E371-S371+T371-U371</f>
        <v>755.93999999999994</v>
      </c>
      <c r="W371" s="585"/>
      <c r="X371" s="449"/>
      <c r="Y371" s="449"/>
      <c r="Z371" s="449"/>
      <c r="AA371" s="449"/>
      <c r="AB371" s="449"/>
      <c r="AC371" s="449"/>
      <c r="AD371" s="449"/>
      <c r="AE371" s="449"/>
      <c r="AF371" s="449"/>
      <c r="AG371" s="449"/>
    </row>
    <row r="372" spans="1:33" s="455" customFormat="1" ht="17.25" customHeight="1">
      <c r="A372" s="456" t="s">
        <v>11</v>
      </c>
      <c r="B372" s="452" t="s">
        <v>857</v>
      </c>
      <c r="C372" s="453">
        <v>124.8</v>
      </c>
      <c r="D372" s="454"/>
      <c r="E372" s="501">
        <f>G372</f>
        <v>140.4</v>
      </c>
      <c r="F372" s="501">
        <f t="shared" si="169"/>
        <v>15.600000000000009</v>
      </c>
      <c r="G372" s="501">
        <f t="shared" si="187"/>
        <v>140.4</v>
      </c>
      <c r="H372" s="501">
        <f t="shared" si="188"/>
        <v>140.4</v>
      </c>
      <c r="I372" s="501"/>
      <c r="J372" s="501">
        <f>K372+L372</f>
        <v>0</v>
      </c>
      <c r="K372" s="501"/>
      <c r="L372" s="501"/>
      <c r="M372" s="501">
        <f t="shared" si="179"/>
        <v>140.4</v>
      </c>
      <c r="N372" s="501">
        <f>6*18*1.3</f>
        <v>140.4</v>
      </c>
      <c r="O372" s="501"/>
      <c r="P372" s="501">
        <v>0</v>
      </c>
      <c r="Q372" s="501">
        <v>0</v>
      </c>
      <c r="R372" s="501">
        <v>0</v>
      </c>
      <c r="S372" s="501">
        <v>14</v>
      </c>
      <c r="T372" s="502"/>
      <c r="U372" s="501"/>
      <c r="V372" s="507">
        <f t="shared" si="181"/>
        <v>126.4</v>
      </c>
      <c r="W372" s="585"/>
      <c r="X372" s="449"/>
      <c r="Y372" s="449"/>
      <c r="Z372" s="449"/>
      <c r="AA372" s="449"/>
      <c r="AB372" s="449"/>
      <c r="AC372" s="449"/>
      <c r="AD372" s="449"/>
      <c r="AE372" s="449"/>
      <c r="AF372" s="449"/>
      <c r="AG372" s="449"/>
    </row>
    <row r="373" spans="1:33" s="455" customFormat="1" ht="17.25" customHeight="1">
      <c r="A373" s="456" t="s">
        <v>11</v>
      </c>
      <c r="B373" s="452" t="s">
        <v>330</v>
      </c>
      <c r="C373" s="453">
        <v>5.3639999999999999</v>
      </c>
      <c r="D373" s="454"/>
      <c r="E373" s="501">
        <f>G373+R373</f>
        <v>5.36</v>
      </c>
      <c r="F373" s="501">
        <f t="shared" si="169"/>
        <v>-3.9999999999995595E-3</v>
      </c>
      <c r="G373" s="501">
        <f t="shared" si="187"/>
        <v>5.36</v>
      </c>
      <c r="H373" s="501">
        <f t="shared" si="188"/>
        <v>5.36</v>
      </c>
      <c r="I373" s="501"/>
      <c r="J373" s="501">
        <v>5.36</v>
      </c>
      <c r="K373" s="501"/>
      <c r="L373" s="501"/>
      <c r="M373" s="501">
        <f t="shared" si="179"/>
        <v>0</v>
      </c>
      <c r="N373" s="501"/>
      <c r="O373" s="501">
        <v>0</v>
      </c>
      <c r="P373" s="501"/>
      <c r="Q373" s="501"/>
      <c r="R373" s="501"/>
      <c r="S373" s="501"/>
      <c r="T373" s="502"/>
      <c r="U373" s="501"/>
      <c r="V373" s="507">
        <f t="shared" si="181"/>
        <v>5.36</v>
      </c>
      <c r="W373" s="585"/>
      <c r="X373" s="449"/>
      <c r="Y373" s="449"/>
      <c r="Z373" s="449"/>
      <c r="AA373" s="449"/>
      <c r="AB373" s="449"/>
      <c r="AC373" s="449"/>
      <c r="AD373" s="449"/>
      <c r="AE373" s="449"/>
      <c r="AF373" s="449"/>
      <c r="AG373" s="449"/>
    </row>
    <row r="374" spans="1:33" s="455" customFormat="1" ht="24.75" customHeight="1">
      <c r="A374" s="456" t="s">
        <v>11</v>
      </c>
      <c r="B374" s="457" t="s">
        <v>150</v>
      </c>
      <c r="C374" s="453">
        <v>9</v>
      </c>
      <c r="D374" s="454"/>
      <c r="E374" s="501">
        <f>G374+R374</f>
        <v>9</v>
      </c>
      <c r="F374" s="501">
        <f t="shared" si="169"/>
        <v>0</v>
      </c>
      <c r="G374" s="501">
        <f t="shared" si="187"/>
        <v>9</v>
      </c>
      <c r="H374" s="501">
        <f t="shared" si="188"/>
        <v>9</v>
      </c>
      <c r="I374" s="501"/>
      <c r="J374" s="501">
        <f>K374+L374</f>
        <v>0</v>
      </c>
      <c r="K374" s="501"/>
      <c r="L374" s="501"/>
      <c r="M374" s="501">
        <f t="shared" si="179"/>
        <v>9</v>
      </c>
      <c r="N374" s="501">
        <v>9</v>
      </c>
      <c r="O374" s="501">
        <v>0</v>
      </c>
      <c r="P374" s="501"/>
      <c r="Q374" s="501"/>
      <c r="R374" s="501"/>
      <c r="S374" s="501"/>
      <c r="T374" s="502"/>
      <c r="U374" s="501"/>
      <c r="V374" s="507">
        <f t="shared" si="181"/>
        <v>9</v>
      </c>
      <c r="W374" s="585"/>
      <c r="X374" s="449"/>
      <c r="Y374" s="449"/>
      <c r="Z374" s="449"/>
      <c r="AA374" s="449"/>
      <c r="AB374" s="449"/>
      <c r="AC374" s="449"/>
      <c r="AD374" s="449"/>
      <c r="AE374" s="449"/>
      <c r="AF374" s="449"/>
      <c r="AG374" s="449"/>
    </row>
    <row r="375" spans="1:33" s="455" customFormat="1" ht="21.75" customHeight="1">
      <c r="A375" s="456" t="s">
        <v>11</v>
      </c>
      <c r="B375" s="452" t="s">
        <v>334</v>
      </c>
      <c r="C375" s="453">
        <v>20</v>
      </c>
      <c r="D375" s="454"/>
      <c r="E375" s="501">
        <f>G375+R375</f>
        <v>20</v>
      </c>
      <c r="F375" s="501">
        <f t="shared" si="169"/>
        <v>0</v>
      </c>
      <c r="G375" s="501">
        <f t="shared" si="187"/>
        <v>20</v>
      </c>
      <c r="H375" s="501">
        <f t="shared" si="188"/>
        <v>20</v>
      </c>
      <c r="I375" s="501"/>
      <c r="J375" s="501">
        <f t="shared" ref="J375:J437" si="189">K375+L375</f>
        <v>0</v>
      </c>
      <c r="K375" s="501"/>
      <c r="L375" s="501"/>
      <c r="M375" s="501">
        <f t="shared" si="179"/>
        <v>20</v>
      </c>
      <c r="N375" s="501"/>
      <c r="O375" s="501">
        <v>20</v>
      </c>
      <c r="P375" s="501"/>
      <c r="Q375" s="501"/>
      <c r="R375" s="501"/>
      <c r="S375" s="501">
        <v>2</v>
      </c>
      <c r="T375" s="502"/>
      <c r="U375" s="501"/>
      <c r="V375" s="507">
        <f t="shared" si="181"/>
        <v>18</v>
      </c>
      <c r="W375" s="585"/>
      <c r="X375" s="449"/>
      <c r="Y375" s="449"/>
      <c r="Z375" s="449"/>
      <c r="AA375" s="449"/>
      <c r="AB375" s="449"/>
      <c r="AC375" s="449"/>
      <c r="AD375" s="449"/>
      <c r="AE375" s="449"/>
      <c r="AF375" s="449"/>
      <c r="AG375" s="449"/>
    </row>
    <row r="376" spans="1:33" s="455" customFormat="1" ht="19.5" customHeight="1">
      <c r="A376" s="456" t="s">
        <v>11</v>
      </c>
      <c r="B376" s="452" t="s">
        <v>335</v>
      </c>
      <c r="C376" s="453">
        <v>20</v>
      </c>
      <c r="D376" s="454"/>
      <c r="E376" s="501">
        <f>G376+R376</f>
        <v>20</v>
      </c>
      <c r="F376" s="501">
        <f t="shared" si="169"/>
        <v>0</v>
      </c>
      <c r="G376" s="501">
        <f t="shared" si="187"/>
        <v>20</v>
      </c>
      <c r="H376" s="501">
        <f t="shared" si="188"/>
        <v>20</v>
      </c>
      <c r="I376" s="501"/>
      <c r="J376" s="501">
        <f t="shared" si="189"/>
        <v>0</v>
      </c>
      <c r="K376" s="501"/>
      <c r="L376" s="501"/>
      <c r="M376" s="501">
        <f t="shared" si="179"/>
        <v>20</v>
      </c>
      <c r="N376" s="501"/>
      <c r="O376" s="501">
        <v>20</v>
      </c>
      <c r="P376" s="501"/>
      <c r="Q376" s="501"/>
      <c r="R376" s="501"/>
      <c r="S376" s="501">
        <v>2</v>
      </c>
      <c r="T376" s="502"/>
      <c r="U376" s="501"/>
      <c r="V376" s="507">
        <f t="shared" si="181"/>
        <v>18</v>
      </c>
      <c r="W376" s="585"/>
      <c r="X376" s="449"/>
      <c r="Y376" s="449"/>
      <c r="Z376" s="449"/>
      <c r="AA376" s="449"/>
      <c r="AB376" s="449"/>
      <c r="AC376" s="449"/>
      <c r="AD376" s="449"/>
      <c r="AE376" s="449"/>
      <c r="AF376" s="449"/>
      <c r="AG376" s="449"/>
    </row>
    <row r="377" spans="1:33" s="455" customFormat="1" ht="17.25" customHeight="1">
      <c r="A377" s="456" t="s">
        <v>11</v>
      </c>
      <c r="B377" s="452" t="s">
        <v>336</v>
      </c>
      <c r="C377" s="453">
        <v>30</v>
      </c>
      <c r="D377" s="454"/>
      <c r="E377" s="501">
        <f>G377+R377</f>
        <v>30</v>
      </c>
      <c r="F377" s="501">
        <f t="shared" si="169"/>
        <v>0</v>
      </c>
      <c r="G377" s="501">
        <f t="shared" si="187"/>
        <v>30</v>
      </c>
      <c r="H377" s="501">
        <f t="shared" si="188"/>
        <v>30</v>
      </c>
      <c r="I377" s="501"/>
      <c r="J377" s="501">
        <f t="shared" si="189"/>
        <v>0</v>
      </c>
      <c r="K377" s="501"/>
      <c r="L377" s="501"/>
      <c r="M377" s="501">
        <f>N377+O377</f>
        <v>30</v>
      </c>
      <c r="N377" s="501"/>
      <c r="O377" s="501">
        <v>30</v>
      </c>
      <c r="P377" s="501"/>
      <c r="Q377" s="501"/>
      <c r="R377" s="501"/>
      <c r="S377" s="501">
        <v>3</v>
      </c>
      <c r="T377" s="502"/>
      <c r="U377" s="501"/>
      <c r="V377" s="507">
        <f t="shared" si="181"/>
        <v>27</v>
      </c>
      <c r="W377" s="585"/>
      <c r="X377" s="449"/>
      <c r="Y377" s="449"/>
      <c r="Z377" s="449"/>
      <c r="AA377" s="449"/>
      <c r="AB377" s="449"/>
      <c r="AC377" s="449"/>
      <c r="AD377" s="449"/>
      <c r="AE377" s="449"/>
      <c r="AF377" s="449"/>
      <c r="AG377" s="449"/>
    </row>
    <row r="378" spans="1:33" s="455" customFormat="1" ht="39" hidden="1" customHeight="1">
      <c r="A378" s="456"/>
      <c r="B378" s="457"/>
      <c r="C378" s="453"/>
      <c r="D378" s="454"/>
      <c r="E378" s="501"/>
      <c r="F378" s="501"/>
      <c r="G378" s="501"/>
      <c r="H378" s="501"/>
      <c r="I378" s="501"/>
      <c r="J378" s="501"/>
      <c r="K378" s="501"/>
      <c r="L378" s="501"/>
      <c r="M378" s="501"/>
      <c r="N378" s="501"/>
      <c r="O378" s="501"/>
      <c r="P378" s="501"/>
      <c r="Q378" s="501"/>
      <c r="R378" s="501"/>
      <c r="S378" s="501"/>
      <c r="T378" s="502"/>
      <c r="U378" s="501"/>
      <c r="V378" s="507"/>
      <c r="W378" s="585"/>
      <c r="X378" s="449"/>
      <c r="Y378" s="449"/>
      <c r="Z378" s="449"/>
      <c r="AA378" s="449"/>
      <c r="AB378" s="449"/>
      <c r="AC378" s="449"/>
      <c r="AD378" s="449"/>
      <c r="AE378" s="449"/>
      <c r="AF378" s="449"/>
      <c r="AG378" s="449"/>
    </row>
    <row r="379" spans="1:33" s="455" customFormat="1" ht="17.25" customHeight="1">
      <c r="A379" s="451" t="s">
        <v>101</v>
      </c>
      <c r="B379" s="452" t="s">
        <v>337</v>
      </c>
      <c r="C379" s="453">
        <f>SUM(C380:C385)</f>
        <v>600.65000000000009</v>
      </c>
      <c r="D379" s="454"/>
      <c r="E379" s="501">
        <f>SUM(E380:E385)</f>
        <v>582.45802000000003</v>
      </c>
      <c r="F379" s="501">
        <f t="shared" si="169"/>
        <v>-18.191980000000058</v>
      </c>
      <c r="G379" s="501">
        <f t="shared" ref="G379:V379" si="190">SUM(G380:G385)</f>
        <v>582.45802000000003</v>
      </c>
      <c r="H379" s="501">
        <f t="shared" si="190"/>
        <v>582.45802000000003</v>
      </c>
      <c r="I379" s="501">
        <f t="shared" si="190"/>
        <v>4</v>
      </c>
      <c r="J379" s="501">
        <f t="shared" si="190"/>
        <v>429.85802000000001</v>
      </c>
      <c r="K379" s="501">
        <f t="shared" si="190"/>
        <v>0</v>
      </c>
      <c r="L379" s="501">
        <f t="shared" si="190"/>
        <v>0</v>
      </c>
      <c r="M379" s="501">
        <f t="shared" si="190"/>
        <v>152.60000000000002</v>
      </c>
      <c r="N379" s="501">
        <f t="shared" si="190"/>
        <v>102.60000000000001</v>
      </c>
      <c r="O379" s="501">
        <f t="shared" si="190"/>
        <v>50</v>
      </c>
      <c r="P379" s="501">
        <f t="shared" si="190"/>
        <v>0</v>
      </c>
      <c r="Q379" s="501">
        <f t="shared" si="190"/>
        <v>0</v>
      </c>
      <c r="R379" s="501">
        <f t="shared" si="190"/>
        <v>0</v>
      </c>
      <c r="S379" s="501">
        <f t="shared" si="190"/>
        <v>14</v>
      </c>
      <c r="T379" s="502">
        <f t="shared" si="190"/>
        <v>0</v>
      </c>
      <c r="U379" s="501">
        <f t="shared" si="190"/>
        <v>0</v>
      </c>
      <c r="V379" s="501">
        <f t="shared" si="190"/>
        <v>568.45802000000003</v>
      </c>
      <c r="W379" s="585" t="s">
        <v>337</v>
      </c>
      <c r="X379" s="449"/>
      <c r="Y379" s="449"/>
      <c r="Z379" s="449"/>
      <c r="AA379" s="449"/>
      <c r="AB379" s="449"/>
      <c r="AC379" s="449"/>
      <c r="AD379" s="449"/>
      <c r="AE379" s="449"/>
      <c r="AF379" s="449"/>
      <c r="AG379" s="449"/>
    </row>
    <row r="380" spans="1:33" s="455" customFormat="1" ht="16.5" customHeight="1">
      <c r="A380" s="456" t="s">
        <v>11</v>
      </c>
      <c r="B380" s="452" t="s">
        <v>858</v>
      </c>
      <c r="C380" s="453">
        <v>419.286</v>
      </c>
      <c r="D380" s="454"/>
      <c r="E380" s="501">
        <f t="shared" ref="E380:E385" si="191">G380+R380</f>
        <v>424.49802</v>
      </c>
      <c r="F380" s="501">
        <f t="shared" si="169"/>
        <v>5.2120199999999954</v>
      </c>
      <c r="G380" s="501">
        <f t="shared" ref="G380:G385" si="192">H380+P380+Q380</f>
        <v>424.49802</v>
      </c>
      <c r="H380" s="501">
        <f t="shared" ref="H380:H385" si="193">J380+M380</f>
        <v>424.49802</v>
      </c>
      <c r="I380" s="501">
        <v>4</v>
      </c>
      <c r="J380" s="501">
        <f>429.86202-5.364</f>
        <v>424.49802</v>
      </c>
      <c r="K380" s="501"/>
      <c r="L380" s="501"/>
      <c r="M380" s="501">
        <f t="shared" si="179"/>
        <v>0</v>
      </c>
      <c r="N380" s="501"/>
      <c r="O380" s="501"/>
      <c r="P380" s="501"/>
      <c r="Q380" s="501"/>
      <c r="R380" s="501"/>
      <c r="S380" s="501"/>
      <c r="T380" s="502"/>
      <c r="U380" s="501"/>
      <c r="V380" s="507">
        <f>E380-S380</f>
        <v>424.49802</v>
      </c>
      <c r="W380" s="585"/>
      <c r="X380" s="449"/>
      <c r="Y380" s="449"/>
      <c r="Z380" s="449"/>
      <c r="AA380" s="449"/>
      <c r="AB380" s="449"/>
      <c r="AC380" s="449"/>
      <c r="AD380" s="449"/>
      <c r="AE380" s="449"/>
      <c r="AF380" s="449"/>
      <c r="AG380" s="449"/>
    </row>
    <row r="381" spans="1:33" s="455" customFormat="1" ht="16.5" customHeight="1">
      <c r="A381" s="456" t="s">
        <v>11</v>
      </c>
      <c r="B381" s="452" t="s">
        <v>338</v>
      </c>
      <c r="C381" s="453">
        <v>117</v>
      </c>
      <c r="D381" s="454"/>
      <c r="E381" s="501">
        <f t="shared" si="191"/>
        <v>93.600000000000009</v>
      </c>
      <c r="F381" s="501">
        <f t="shared" si="169"/>
        <v>-23.399999999999991</v>
      </c>
      <c r="G381" s="501">
        <f t="shared" si="192"/>
        <v>93.600000000000009</v>
      </c>
      <c r="H381" s="501">
        <f t="shared" si="193"/>
        <v>93.600000000000009</v>
      </c>
      <c r="I381" s="501"/>
      <c r="J381" s="501">
        <f t="shared" si="189"/>
        <v>0</v>
      </c>
      <c r="K381" s="501"/>
      <c r="L381" s="501"/>
      <c r="M381" s="501">
        <f t="shared" si="179"/>
        <v>93.600000000000009</v>
      </c>
      <c r="N381" s="501">
        <f>4*18*1.3</f>
        <v>93.600000000000009</v>
      </c>
      <c r="O381" s="501"/>
      <c r="P381" s="501"/>
      <c r="Q381" s="501"/>
      <c r="R381" s="501"/>
      <c r="S381" s="501">
        <v>9</v>
      </c>
      <c r="T381" s="502"/>
      <c r="U381" s="501"/>
      <c r="V381" s="507">
        <f>E381-S381</f>
        <v>84.600000000000009</v>
      </c>
      <c r="W381" s="585"/>
      <c r="X381" s="449"/>
      <c r="Y381" s="449"/>
      <c r="Z381" s="449"/>
      <c r="AA381" s="449"/>
      <c r="AB381" s="449"/>
      <c r="AC381" s="449"/>
      <c r="AD381" s="449"/>
      <c r="AE381" s="449"/>
      <c r="AF381" s="449"/>
      <c r="AG381" s="449"/>
    </row>
    <row r="382" spans="1:33" s="455" customFormat="1" ht="16.5" customHeight="1">
      <c r="A382" s="456" t="s">
        <v>11</v>
      </c>
      <c r="B382" s="452" t="s">
        <v>330</v>
      </c>
      <c r="C382" s="453">
        <v>5.3639999999999999</v>
      </c>
      <c r="D382" s="454"/>
      <c r="E382" s="501">
        <f t="shared" si="191"/>
        <v>5.36</v>
      </c>
      <c r="F382" s="501">
        <f t="shared" si="169"/>
        <v>-3.9999999999995595E-3</v>
      </c>
      <c r="G382" s="501">
        <f t="shared" si="192"/>
        <v>5.36</v>
      </c>
      <c r="H382" s="501">
        <f t="shared" si="193"/>
        <v>5.36</v>
      </c>
      <c r="I382" s="501"/>
      <c r="J382" s="501">
        <v>5.36</v>
      </c>
      <c r="K382" s="501"/>
      <c r="L382" s="501"/>
      <c r="M382" s="501">
        <f t="shared" si="179"/>
        <v>0</v>
      </c>
      <c r="N382" s="501"/>
      <c r="O382" s="501"/>
      <c r="P382" s="501"/>
      <c r="Q382" s="501"/>
      <c r="R382" s="501"/>
      <c r="S382" s="501"/>
      <c r="T382" s="502"/>
      <c r="U382" s="501"/>
      <c r="V382" s="507">
        <f>E382-S382</f>
        <v>5.36</v>
      </c>
      <c r="W382" s="585"/>
      <c r="X382" s="449"/>
      <c r="Y382" s="449"/>
      <c r="Z382" s="449"/>
      <c r="AA382" s="449"/>
      <c r="AB382" s="449"/>
      <c r="AC382" s="449"/>
      <c r="AD382" s="449"/>
      <c r="AE382" s="449"/>
      <c r="AF382" s="449"/>
      <c r="AG382" s="449"/>
    </row>
    <row r="383" spans="1:33" s="455" customFormat="1" ht="32.25" customHeight="1">
      <c r="A383" s="456" t="s">
        <v>11</v>
      </c>
      <c r="B383" s="457" t="s">
        <v>273</v>
      </c>
      <c r="C383" s="453">
        <v>9</v>
      </c>
      <c r="D383" s="454"/>
      <c r="E383" s="501">
        <f t="shared" si="191"/>
        <v>9</v>
      </c>
      <c r="F383" s="501">
        <f t="shared" si="169"/>
        <v>0</v>
      </c>
      <c r="G383" s="501">
        <f t="shared" si="192"/>
        <v>9</v>
      </c>
      <c r="H383" s="501">
        <f t="shared" si="193"/>
        <v>9</v>
      </c>
      <c r="I383" s="501"/>
      <c r="J383" s="501">
        <f t="shared" si="189"/>
        <v>0</v>
      </c>
      <c r="K383" s="501"/>
      <c r="L383" s="501"/>
      <c r="M383" s="501">
        <f>N383+O383</f>
        <v>9</v>
      </c>
      <c r="N383" s="501">
        <v>9</v>
      </c>
      <c r="O383" s="501"/>
      <c r="P383" s="501"/>
      <c r="Q383" s="501"/>
      <c r="R383" s="501"/>
      <c r="S383" s="501"/>
      <c r="T383" s="502"/>
      <c r="U383" s="501"/>
      <c r="V383" s="507">
        <f>E383-S383</f>
        <v>9</v>
      </c>
      <c r="W383" s="585"/>
      <c r="X383" s="449"/>
      <c r="Y383" s="449"/>
      <c r="Z383" s="449"/>
      <c r="AA383" s="449"/>
      <c r="AB383" s="449"/>
      <c r="AC383" s="449"/>
      <c r="AD383" s="449"/>
      <c r="AE383" s="449"/>
      <c r="AF383" s="449"/>
      <c r="AG383" s="449"/>
    </row>
    <row r="384" spans="1:33" s="455" customFormat="1" ht="30" customHeight="1">
      <c r="A384" s="456" t="s">
        <v>11</v>
      </c>
      <c r="B384" s="457" t="s">
        <v>859</v>
      </c>
      <c r="C384" s="453">
        <v>50</v>
      </c>
      <c r="D384" s="454"/>
      <c r="E384" s="501">
        <f t="shared" si="191"/>
        <v>50</v>
      </c>
      <c r="F384" s="501">
        <f t="shared" si="169"/>
        <v>0</v>
      </c>
      <c r="G384" s="501">
        <f t="shared" si="192"/>
        <v>50</v>
      </c>
      <c r="H384" s="501">
        <f t="shared" si="193"/>
        <v>50</v>
      </c>
      <c r="I384" s="501"/>
      <c r="J384" s="501">
        <f t="shared" si="189"/>
        <v>0</v>
      </c>
      <c r="K384" s="501"/>
      <c r="L384" s="501"/>
      <c r="M384" s="501">
        <f>N384+O384</f>
        <v>50</v>
      </c>
      <c r="N384" s="501"/>
      <c r="O384" s="501">
        <v>50</v>
      </c>
      <c r="P384" s="501"/>
      <c r="Q384" s="501"/>
      <c r="R384" s="501"/>
      <c r="S384" s="501">
        <v>5</v>
      </c>
      <c r="T384" s="502"/>
      <c r="U384" s="501"/>
      <c r="V384" s="507">
        <f>E384-S384</f>
        <v>45</v>
      </c>
      <c r="W384" s="585"/>
      <c r="X384" s="449"/>
      <c r="Y384" s="449"/>
      <c r="Z384" s="449"/>
      <c r="AA384" s="449"/>
      <c r="AB384" s="449"/>
      <c r="AC384" s="449"/>
      <c r="AD384" s="449"/>
      <c r="AE384" s="449"/>
      <c r="AF384" s="449"/>
      <c r="AG384" s="449"/>
    </row>
    <row r="385" spans="1:33" s="455" customFormat="1" ht="16.5" hidden="1" customHeight="1">
      <c r="A385" s="456" t="s">
        <v>11</v>
      </c>
      <c r="B385" s="452" t="s">
        <v>860</v>
      </c>
      <c r="C385" s="453"/>
      <c r="D385" s="454"/>
      <c r="E385" s="501">
        <f t="shared" si="191"/>
        <v>0</v>
      </c>
      <c r="F385" s="501">
        <f t="shared" si="169"/>
        <v>0</v>
      </c>
      <c r="G385" s="501">
        <f t="shared" si="192"/>
        <v>0</v>
      </c>
      <c r="H385" s="501">
        <f t="shared" si="193"/>
        <v>0</v>
      </c>
      <c r="I385" s="501"/>
      <c r="J385" s="501">
        <f>K385+L385</f>
        <v>0</v>
      </c>
      <c r="K385" s="501"/>
      <c r="L385" s="501"/>
      <c r="M385" s="501">
        <f>N385+O385</f>
        <v>0</v>
      </c>
      <c r="N385" s="501"/>
      <c r="O385" s="501"/>
      <c r="P385" s="501"/>
      <c r="Q385" s="501"/>
      <c r="R385" s="501"/>
      <c r="S385" s="501"/>
      <c r="T385" s="502"/>
      <c r="U385" s="501"/>
      <c r="V385" s="501"/>
      <c r="W385" s="585"/>
      <c r="X385" s="449"/>
      <c r="Y385" s="449"/>
      <c r="Z385" s="449"/>
      <c r="AA385" s="449"/>
      <c r="AB385" s="449"/>
      <c r="AC385" s="449"/>
      <c r="AD385" s="449"/>
      <c r="AE385" s="449"/>
      <c r="AF385" s="449"/>
      <c r="AG385" s="449"/>
    </row>
    <row r="386" spans="1:33" s="455" customFormat="1" ht="17.25" customHeight="1">
      <c r="A386" s="451" t="s">
        <v>339</v>
      </c>
      <c r="B386" s="452" t="s">
        <v>275</v>
      </c>
      <c r="C386" s="453">
        <f>SUM(C387:C391)</f>
        <v>510.87399999999997</v>
      </c>
      <c r="D386" s="454"/>
      <c r="E386" s="501">
        <f>SUM(E387:E393)</f>
        <v>439.96800000000002</v>
      </c>
      <c r="F386" s="501">
        <f t="shared" si="169"/>
        <v>-70.905999999999949</v>
      </c>
      <c r="G386" s="501">
        <f t="shared" ref="G386:V386" si="194">SUM(G387:G393)</f>
        <v>439.96800000000002</v>
      </c>
      <c r="H386" s="501">
        <f t="shared" si="194"/>
        <v>439.96800000000002</v>
      </c>
      <c r="I386" s="501">
        <f t="shared" si="194"/>
        <v>3</v>
      </c>
      <c r="J386" s="501">
        <f t="shared" si="194"/>
        <v>260.76799999999997</v>
      </c>
      <c r="K386" s="501">
        <f t="shared" si="194"/>
        <v>0</v>
      </c>
      <c r="L386" s="501">
        <f t="shared" si="194"/>
        <v>0</v>
      </c>
      <c r="M386" s="501">
        <f t="shared" si="194"/>
        <v>179.2</v>
      </c>
      <c r="N386" s="501">
        <f t="shared" si="194"/>
        <v>79.2</v>
      </c>
      <c r="O386" s="501">
        <f t="shared" si="194"/>
        <v>100</v>
      </c>
      <c r="P386" s="501">
        <f t="shared" si="194"/>
        <v>0</v>
      </c>
      <c r="Q386" s="501">
        <f t="shared" si="194"/>
        <v>0</v>
      </c>
      <c r="R386" s="501">
        <f t="shared" si="194"/>
        <v>0</v>
      </c>
      <c r="S386" s="501">
        <f t="shared" si="194"/>
        <v>17</v>
      </c>
      <c r="T386" s="502">
        <f t="shared" si="194"/>
        <v>0</v>
      </c>
      <c r="U386" s="501">
        <f t="shared" si="194"/>
        <v>0</v>
      </c>
      <c r="V386" s="501">
        <f t="shared" si="194"/>
        <v>422.96800000000002</v>
      </c>
      <c r="W386" s="585" t="s">
        <v>861</v>
      </c>
      <c r="X386" s="449"/>
      <c r="Y386" s="449"/>
      <c r="Z386" s="449"/>
      <c r="AA386" s="449"/>
      <c r="AB386" s="449"/>
      <c r="AC386" s="449"/>
      <c r="AD386" s="449"/>
      <c r="AE386" s="449"/>
      <c r="AF386" s="449"/>
      <c r="AG386" s="449"/>
    </row>
    <row r="387" spans="1:33" s="455" customFormat="1" ht="16.5" customHeight="1">
      <c r="A387" s="456" t="s">
        <v>11</v>
      </c>
      <c r="B387" s="452" t="s">
        <v>340</v>
      </c>
      <c r="C387" s="453">
        <v>326.31</v>
      </c>
      <c r="D387" s="454"/>
      <c r="E387" s="501">
        <f t="shared" ref="E387:E393" si="195">G387+R387</f>
        <v>255.40799999999999</v>
      </c>
      <c r="F387" s="501">
        <f t="shared" si="169"/>
        <v>-70.902000000000015</v>
      </c>
      <c r="G387" s="501">
        <f t="shared" ref="G387:G393" si="196">H387+P387+Q387</f>
        <v>255.40799999999999</v>
      </c>
      <c r="H387" s="501">
        <f t="shared" ref="H387:H393" si="197">J387+M387</f>
        <v>255.40799999999999</v>
      </c>
      <c r="I387" s="501">
        <v>3</v>
      </c>
      <c r="J387" s="501">
        <f>260.772-5.364</f>
        <v>255.40799999999999</v>
      </c>
      <c r="K387" s="501"/>
      <c r="L387" s="501"/>
      <c r="M387" s="501">
        <f t="shared" si="179"/>
        <v>0</v>
      </c>
      <c r="N387" s="501"/>
      <c r="O387" s="501"/>
      <c r="P387" s="501"/>
      <c r="Q387" s="501"/>
      <c r="R387" s="501"/>
      <c r="S387" s="501"/>
      <c r="T387" s="502"/>
      <c r="U387" s="501"/>
      <c r="V387" s="507">
        <f>E387-S387</f>
        <v>255.40799999999999</v>
      </c>
      <c r="W387" s="585"/>
      <c r="X387" s="449"/>
      <c r="Y387" s="449"/>
      <c r="Z387" s="449"/>
      <c r="AA387" s="449"/>
      <c r="AB387" s="449"/>
      <c r="AC387" s="449"/>
      <c r="AD387" s="449"/>
      <c r="AE387" s="449"/>
      <c r="AF387" s="449"/>
      <c r="AG387" s="449"/>
    </row>
    <row r="388" spans="1:33" s="455" customFormat="1" ht="16.5" customHeight="1">
      <c r="A388" s="456" t="s">
        <v>11</v>
      </c>
      <c r="B388" s="452" t="s">
        <v>341</v>
      </c>
      <c r="C388" s="453">
        <v>70.2</v>
      </c>
      <c r="D388" s="454"/>
      <c r="E388" s="501">
        <f t="shared" si="195"/>
        <v>70.2</v>
      </c>
      <c r="F388" s="501">
        <f t="shared" si="169"/>
        <v>0</v>
      </c>
      <c r="G388" s="501">
        <f t="shared" si="196"/>
        <v>70.2</v>
      </c>
      <c r="H388" s="501">
        <f t="shared" si="197"/>
        <v>70.2</v>
      </c>
      <c r="I388" s="501"/>
      <c r="J388" s="501">
        <f t="shared" si="189"/>
        <v>0</v>
      </c>
      <c r="K388" s="501"/>
      <c r="L388" s="501"/>
      <c r="M388" s="501">
        <f t="shared" si="179"/>
        <v>70.2</v>
      </c>
      <c r="N388" s="501">
        <f>3*18*1.3</f>
        <v>70.2</v>
      </c>
      <c r="O388" s="501"/>
      <c r="P388" s="501"/>
      <c r="Q388" s="501"/>
      <c r="R388" s="501"/>
      <c r="S388" s="501">
        <v>7</v>
      </c>
      <c r="T388" s="502"/>
      <c r="U388" s="501"/>
      <c r="V388" s="507">
        <f>E388-S388</f>
        <v>63.2</v>
      </c>
      <c r="W388" s="585"/>
      <c r="X388" s="449"/>
      <c r="Y388" s="449"/>
      <c r="Z388" s="449"/>
      <c r="AA388" s="449"/>
      <c r="AB388" s="449"/>
      <c r="AC388" s="449"/>
      <c r="AD388" s="449"/>
      <c r="AE388" s="449"/>
      <c r="AF388" s="449"/>
      <c r="AG388" s="449"/>
    </row>
    <row r="389" spans="1:33" s="455" customFormat="1" ht="16.5" customHeight="1">
      <c r="A389" s="456" t="s">
        <v>11</v>
      </c>
      <c r="B389" s="452" t="s">
        <v>330</v>
      </c>
      <c r="C389" s="453">
        <v>5.3639999999999999</v>
      </c>
      <c r="D389" s="454"/>
      <c r="E389" s="501">
        <f t="shared" si="195"/>
        <v>5.36</v>
      </c>
      <c r="F389" s="501">
        <f t="shared" si="169"/>
        <v>-3.9999999999995595E-3</v>
      </c>
      <c r="G389" s="501">
        <f t="shared" si="196"/>
        <v>5.36</v>
      </c>
      <c r="H389" s="501">
        <f t="shared" si="197"/>
        <v>5.36</v>
      </c>
      <c r="I389" s="501"/>
      <c r="J389" s="501">
        <v>5.36</v>
      </c>
      <c r="K389" s="501"/>
      <c r="L389" s="501"/>
      <c r="M389" s="501">
        <f t="shared" si="179"/>
        <v>0</v>
      </c>
      <c r="N389" s="501"/>
      <c r="O389" s="501"/>
      <c r="P389" s="501"/>
      <c r="Q389" s="501"/>
      <c r="R389" s="501"/>
      <c r="S389" s="501"/>
      <c r="T389" s="502"/>
      <c r="U389" s="501"/>
      <c r="V389" s="507">
        <f>E389-S389</f>
        <v>5.36</v>
      </c>
      <c r="W389" s="585"/>
      <c r="X389" s="449"/>
      <c r="Y389" s="449"/>
      <c r="Z389" s="449"/>
      <c r="AA389" s="449"/>
      <c r="AB389" s="449"/>
      <c r="AC389" s="449"/>
      <c r="AD389" s="449"/>
      <c r="AE389" s="449"/>
      <c r="AF389" s="449"/>
      <c r="AG389" s="449"/>
    </row>
    <row r="390" spans="1:33" s="455" customFormat="1" ht="30" customHeight="1">
      <c r="A390" s="456" t="s">
        <v>11</v>
      </c>
      <c r="B390" s="457" t="s">
        <v>150</v>
      </c>
      <c r="C390" s="453">
        <v>9</v>
      </c>
      <c r="D390" s="454"/>
      <c r="E390" s="501">
        <f t="shared" si="195"/>
        <v>9</v>
      </c>
      <c r="F390" s="501">
        <f t="shared" si="169"/>
        <v>0</v>
      </c>
      <c r="G390" s="501">
        <f t="shared" si="196"/>
        <v>9</v>
      </c>
      <c r="H390" s="501">
        <f t="shared" si="197"/>
        <v>9</v>
      </c>
      <c r="I390" s="501"/>
      <c r="J390" s="501">
        <f t="shared" si="189"/>
        <v>0</v>
      </c>
      <c r="K390" s="501"/>
      <c r="L390" s="501"/>
      <c r="M390" s="501">
        <f t="shared" si="179"/>
        <v>9</v>
      </c>
      <c r="N390" s="501">
        <v>9</v>
      </c>
      <c r="O390" s="501"/>
      <c r="P390" s="501"/>
      <c r="Q390" s="501"/>
      <c r="R390" s="501"/>
      <c r="S390" s="501"/>
      <c r="T390" s="502"/>
      <c r="U390" s="501"/>
      <c r="V390" s="507">
        <f>E390-S390</f>
        <v>9</v>
      </c>
      <c r="W390" s="585"/>
      <c r="X390" s="449"/>
      <c r="Y390" s="449"/>
      <c r="Z390" s="449"/>
      <c r="AA390" s="449"/>
      <c r="AB390" s="449"/>
      <c r="AC390" s="449"/>
      <c r="AD390" s="449"/>
      <c r="AE390" s="449"/>
      <c r="AF390" s="449"/>
      <c r="AG390" s="449"/>
    </row>
    <row r="391" spans="1:33" s="455" customFormat="1" ht="29.25" customHeight="1">
      <c r="A391" s="456" t="s">
        <v>11</v>
      </c>
      <c r="B391" s="457" t="s">
        <v>342</v>
      </c>
      <c r="C391" s="453">
        <v>100</v>
      </c>
      <c r="D391" s="454"/>
      <c r="E391" s="501">
        <f t="shared" si="195"/>
        <v>100</v>
      </c>
      <c r="F391" s="501">
        <f t="shared" si="169"/>
        <v>0</v>
      </c>
      <c r="G391" s="501">
        <f t="shared" si="196"/>
        <v>100</v>
      </c>
      <c r="H391" s="501">
        <f t="shared" si="197"/>
        <v>100</v>
      </c>
      <c r="I391" s="501"/>
      <c r="J391" s="501">
        <f t="shared" si="189"/>
        <v>0</v>
      </c>
      <c r="K391" s="501"/>
      <c r="L391" s="501"/>
      <c r="M391" s="501">
        <f t="shared" si="179"/>
        <v>100</v>
      </c>
      <c r="N391" s="501"/>
      <c r="O391" s="501">
        <v>100</v>
      </c>
      <c r="P391" s="501"/>
      <c r="Q391" s="501"/>
      <c r="R391" s="501"/>
      <c r="S391" s="501">
        <v>10</v>
      </c>
      <c r="T391" s="502"/>
      <c r="U391" s="501"/>
      <c r="V391" s="507">
        <f>E391-S391</f>
        <v>90</v>
      </c>
      <c r="W391" s="585"/>
      <c r="X391" s="449"/>
      <c r="Y391" s="449"/>
      <c r="Z391" s="449"/>
      <c r="AA391" s="449"/>
      <c r="AB391" s="449"/>
      <c r="AC391" s="449"/>
      <c r="AD391" s="449"/>
      <c r="AE391" s="449"/>
      <c r="AF391" s="449"/>
      <c r="AG391" s="449"/>
    </row>
    <row r="392" spans="1:33" s="455" customFormat="1" ht="18.75" hidden="1" customHeight="1">
      <c r="A392" s="456" t="s">
        <v>11</v>
      </c>
      <c r="B392" s="457" t="s">
        <v>862</v>
      </c>
      <c r="C392" s="453"/>
      <c r="D392" s="454"/>
      <c r="E392" s="501">
        <f t="shared" si="195"/>
        <v>0</v>
      </c>
      <c r="F392" s="501">
        <f t="shared" si="169"/>
        <v>0</v>
      </c>
      <c r="G392" s="501">
        <f t="shared" si="196"/>
        <v>0</v>
      </c>
      <c r="H392" s="501">
        <f t="shared" si="197"/>
        <v>0</v>
      </c>
      <c r="I392" s="501"/>
      <c r="J392" s="501"/>
      <c r="K392" s="501"/>
      <c r="L392" s="501"/>
      <c r="M392" s="501">
        <f t="shared" si="179"/>
        <v>0</v>
      </c>
      <c r="N392" s="501"/>
      <c r="O392" s="501"/>
      <c r="P392" s="501"/>
      <c r="Q392" s="501"/>
      <c r="R392" s="501"/>
      <c r="S392" s="501"/>
      <c r="T392" s="502"/>
      <c r="U392" s="501"/>
      <c r="V392" s="501"/>
      <c r="W392" s="585"/>
      <c r="X392" s="449"/>
      <c r="Y392" s="449"/>
      <c r="Z392" s="449"/>
      <c r="AA392" s="449"/>
      <c r="AB392" s="449"/>
      <c r="AC392" s="449"/>
      <c r="AD392" s="449"/>
      <c r="AE392" s="449"/>
      <c r="AF392" s="449"/>
      <c r="AG392" s="449"/>
    </row>
    <row r="393" spans="1:33" s="455" customFormat="1" ht="18.75" hidden="1" customHeight="1">
      <c r="A393" s="456" t="s">
        <v>11</v>
      </c>
      <c r="B393" s="457" t="s">
        <v>863</v>
      </c>
      <c r="C393" s="453"/>
      <c r="D393" s="454"/>
      <c r="E393" s="501">
        <f t="shared" si="195"/>
        <v>0</v>
      </c>
      <c r="F393" s="501">
        <f t="shared" si="169"/>
        <v>0</v>
      </c>
      <c r="G393" s="501">
        <f t="shared" si="196"/>
        <v>0</v>
      </c>
      <c r="H393" s="501">
        <f t="shared" si="197"/>
        <v>0</v>
      </c>
      <c r="I393" s="501"/>
      <c r="J393" s="501"/>
      <c r="K393" s="501"/>
      <c r="L393" s="501"/>
      <c r="M393" s="501">
        <f t="shared" si="179"/>
        <v>0</v>
      </c>
      <c r="N393" s="501"/>
      <c r="O393" s="501"/>
      <c r="P393" s="501"/>
      <c r="Q393" s="501"/>
      <c r="R393" s="501"/>
      <c r="S393" s="501"/>
      <c r="T393" s="502"/>
      <c r="U393" s="501"/>
      <c r="V393" s="501"/>
      <c r="W393" s="585"/>
      <c r="X393" s="449"/>
      <c r="Y393" s="449"/>
      <c r="Z393" s="449"/>
      <c r="AA393" s="449"/>
      <c r="AB393" s="449"/>
      <c r="AC393" s="449"/>
      <c r="AD393" s="449"/>
      <c r="AE393" s="449"/>
      <c r="AF393" s="449"/>
      <c r="AG393" s="449"/>
    </row>
    <row r="394" spans="1:33" s="455" customFormat="1" ht="17.25" customHeight="1">
      <c r="A394" s="451" t="s">
        <v>343</v>
      </c>
      <c r="B394" s="452" t="s">
        <v>225</v>
      </c>
      <c r="C394" s="453">
        <f>SUM(C395:C399)</f>
        <v>531.529</v>
      </c>
      <c r="D394" s="454"/>
      <c r="E394" s="501">
        <f>SUM(E395:E400)</f>
        <v>543.19100000000003</v>
      </c>
      <c r="F394" s="501">
        <f t="shared" si="169"/>
        <v>11.662000000000035</v>
      </c>
      <c r="G394" s="501">
        <f t="shared" ref="G394:V394" si="198">SUM(G395:G400)</f>
        <v>543.19100000000003</v>
      </c>
      <c r="H394" s="501">
        <f t="shared" si="198"/>
        <v>543.19100000000003</v>
      </c>
      <c r="I394" s="501">
        <f t="shared" si="198"/>
        <v>4</v>
      </c>
      <c r="J394" s="501">
        <f t="shared" si="198"/>
        <v>430.59100000000007</v>
      </c>
      <c r="K394" s="501">
        <f t="shared" si="198"/>
        <v>0</v>
      </c>
      <c r="L394" s="501">
        <f t="shared" si="198"/>
        <v>0</v>
      </c>
      <c r="M394" s="501">
        <f t="shared" si="198"/>
        <v>112.60000000000001</v>
      </c>
      <c r="N394" s="501">
        <f t="shared" si="198"/>
        <v>102.60000000000001</v>
      </c>
      <c r="O394" s="501">
        <f t="shared" si="198"/>
        <v>10</v>
      </c>
      <c r="P394" s="501">
        <f t="shared" si="198"/>
        <v>0</v>
      </c>
      <c r="Q394" s="501">
        <f t="shared" si="198"/>
        <v>0</v>
      </c>
      <c r="R394" s="501">
        <f t="shared" si="198"/>
        <v>0</v>
      </c>
      <c r="S394" s="501">
        <f t="shared" si="198"/>
        <v>10.3</v>
      </c>
      <c r="T394" s="502">
        <f t="shared" si="198"/>
        <v>0</v>
      </c>
      <c r="U394" s="501">
        <f t="shared" si="198"/>
        <v>0</v>
      </c>
      <c r="V394" s="501">
        <f t="shared" si="198"/>
        <v>532.89100000000008</v>
      </c>
      <c r="W394" s="585" t="s">
        <v>225</v>
      </c>
      <c r="X394" s="449"/>
      <c r="Y394" s="449"/>
      <c r="Z394" s="449"/>
      <c r="AA394" s="449"/>
      <c r="AB394" s="449"/>
      <c r="AC394" s="449"/>
      <c r="AD394" s="449"/>
      <c r="AE394" s="449"/>
      <c r="AF394" s="449"/>
      <c r="AG394" s="449"/>
    </row>
    <row r="395" spans="1:33" s="455" customFormat="1" ht="29.25" customHeight="1">
      <c r="A395" s="456" t="s">
        <v>11</v>
      </c>
      <c r="B395" s="457" t="s">
        <v>344</v>
      </c>
      <c r="C395" s="453">
        <v>413.565</v>
      </c>
      <c r="D395" s="454"/>
      <c r="E395" s="501">
        <f t="shared" ref="E395:E403" si="199">G395+R395</f>
        <v>425.23100000000005</v>
      </c>
      <c r="F395" s="501">
        <f t="shared" si="169"/>
        <v>11.666000000000054</v>
      </c>
      <c r="G395" s="501">
        <f t="shared" ref="G395:G403" si="200">H395+P395+Q395</f>
        <v>425.23100000000005</v>
      </c>
      <c r="H395" s="501">
        <f t="shared" ref="H395:H403" si="201">J395+M395</f>
        <v>425.23100000000005</v>
      </c>
      <c r="I395" s="501">
        <v>4</v>
      </c>
      <c r="J395" s="501">
        <f>430.595-5.364</f>
        <v>425.23100000000005</v>
      </c>
      <c r="K395" s="501"/>
      <c r="L395" s="501"/>
      <c r="M395" s="501">
        <f t="shared" si="179"/>
        <v>0</v>
      </c>
      <c r="N395" s="501"/>
      <c r="O395" s="501"/>
      <c r="P395" s="501"/>
      <c r="Q395" s="501"/>
      <c r="R395" s="501"/>
      <c r="S395" s="501"/>
      <c r="T395" s="502"/>
      <c r="U395" s="501"/>
      <c r="V395" s="507">
        <f t="shared" ref="V395:V401" si="202">E395-S395</f>
        <v>425.23100000000005</v>
      </c>
      <c r="W395" s="585"/>
      <c r="X395" s="449"/>
      <c r="Y395" s="449"/>
      <c r="Z395" s="449"/>
      <c r="AA395" s="449"/>
      <c r="AB395" s="449"/>
      <c r="AC395" s="449"/>
      <c r="AD395" s="449"/>
      <c r="AE395" s="449"/>
      <c r="AF395" s="449"/>
      <c r="AG395" s="449"/>
    </row>
    <row r="396" spans="1:33" s="455" customFormat="1" ht="17.25" customHeight="1">
      <c r="A396" s="456" t="s">
        <v>11</v>
      </c>
      <c r="B396" s="452" t="s">
        <v>338</v>
      </c>
      <c r="C396" s="453">
        <v>93.6</v>
      </c>
      <c r="D396" s="454"/>
      <c r="E396" s="501">
        <f t="shared" si="199"/>
        <v>93.600000000000009</v>
      </c>
      <c r="F396" s="501">
        <f t="shared" si="169"/>
        <v>0</v>
      </c>
      <c r="G396" s="501">
        <f t="shared" si="200"/>
        <v>93.600000000000009</v>
      </c>
      <c r="H396" s="501">
        <f t="shared" si="201"/>
        <v>93.600000000000009</v>
      </c>
      <c r="I396" s="501"/>
      <c r="J396" s="501">
        <f t="shared" si="189"/>
        <v>0</v>
      </c>
      <c r="K396" s="501"/>
      <c r="L396" s="501"/>
      <c r="M396" s="501">
        <f t="shared" si="179"/>
        <v>93.600000000000009</v>
      </c>
      <c r="N396" s="501">
        <f>4*18*1.3</f>
        <v>93.600000000000009</v>
      </c>
      <c r="O396" s="501"/>
      <c r="P396" s="501"/>
      <c r="Q396" s="501"/>
      <c r="R396" s="501"/>
      <c r="S396" s="501">
        <v>9.3000000000000007</v>
      </c>
      <c r="T396" s="502"/>
      <c r="U396" s="501"/>
      <c r="V396" s="507">
        <f t="shared" si="202"/>
        <v>84.300000000000011</v>
      </c>
      <c r="W396" s="483"/>
      <c r="X396" s="449"/>
      <c r="Y396" s="449"/>
      <c r="Z396" s="449"/>
      <c r="AA396" s="449"/>
      <c r="AB396" s="449"/>
      <c r="AC396" s="449"/>
      <c r="AD396" s="449"/>
      <c r="AE396" s="449"/>
      <c r="AF396" s="449"/>
      <c r="AG396" s="449"/>
    </row>
    <row r="397" spans="1:33" s="455" customFormat="1" ht="17.25" customHeight="1">
      <c r="A397" s="456" t="s">
        <v>11</v>
      </c>
      <c r="B397" s="452" t="s">
        <v>345</v>
      </c>
      <c r="C397" s="453">
        <v>5.3639999999999999</v>
      </c>
      <c r="D397" s="454"/>
      <c r="E397" s="501">
        <f t="shared" si="199"/>
        <v>5.36</v>
      </c>
      <c r="F397" s="501">
        <f t="shared" si="169"/>
        <v>-3.9999999999995595E-3</v>
      </c>
      <c r="G397" s="501">
        <f t="shared" si="200"/>
        <v>5.36</v>
      </c>
      <c r="H397" s="501">
        <f t="shared" si="201"/>
        <v>5.36</v>
      </c>
      <c r="I397" s="501"/>
      <c r="J397" s="501">
        <v>5.36</v>
      </c>
      <c r="K397" s="501"/>
      <c r="L397" s="501"/>
      <c r="M397" s="501">
        <f t="shared" si="179"/>
        <v>0</v>
      </c>
      <c r="N397" s="501"/>
      <c r="O397" s="501"/>
      <c r="P397" s="501"/>
      <c r="Q397" s="501"/>
      <c r="R397" s="501"/>
      <c r="S397" s="501"/>
      <c r="T397" s="502"/>
      <c r="U397" s="501"/>
      <c r="V397" s="507">
        <f t="shared" si="202"/>
        <v>5.36</v>
      </c>
      <c r="W397" s="585"/>
      <c r="X397" s="449"/>
      <c r="Y397" s="449"/>
      <c r="Z397" s="449"/>
      <c r="AA397" s="449"/>
      <c r="AB397" s="449"/>
      <c r="AC397" s="449"/>
      <c r="AD397" s="449"/>
      <c r="AE397" s="449"/>
      <c r="AF397" s="449"/>
      <c r="AG397" s="449"/>
    </row>
    <row r="398" spans="1:33" s="455" customFormat="1" ht="27.75" customHeight="1">
      <c r="A398" s="456" t="s">
        <v>11</v>
      </c>
      <c r="B398" s="457" t="s">
        <v>150</v>
      </c>
      <c r="C398" s="453">
        <v>9</v>
      </c>
      <c r="D398" s="454"/>
      <c r="E398" s="501">
        <f t="shared" si="199"/>
        <v>9</v>
      </c>
      <c r="F398" s="501">
        <f t="shared" si="169"/>
        <v>0</v>
      </c>
      <c r="G398" s="501">
        <f t="shared" si="200"/>
        <v>9</v>
      </c>
      <c r="H398" s="501">
        <f t="shared" si="201"/>
        <v>9</v>
      </c>
      <c r="I398" s="501"/>
      <c r="J398" s="501">
        <f t="shared" si="189"/>
        <v>0</v>
      </c>
      <c r="K398" s="501"/>
      <c r="L398" s="501"/>
      <c r="M398" s="501">
        <f t="shared" si="179"/>
        <v>9</v>
      </c>
      <c r="N398" s="501">
        <v>9</v>
      </c>
      <c r="O398" s="501">
        <v>0</v>
      </c>
      <c r="P398" s="501"/>
      <c r="Q398" s="501"/>
      <c r="R398" s="501"/>
      <c r="S398" s="501"/>
      <c r="T398" s="502"/>
      <c r="U398" s="501"/>
      <c r="V398" s="507">
        <f t="shared" si="202"/>
        <v>9</v>
      </c>
      <c r="W398" s="585"/>
      <c r="X398" s="449"/>
      <c r="Y398" s="449"/>
      <c r="Z398" s="449"/>
      <c r="AA398" s="449"/>
      <c r="AB398" s="449"/>
      <c r="AC398" s="449"/>
      <c r="AD398" s="449"/>
      <c r="AE398" s="449"/>
      <c r="AF398" s="449"/>
      <c r="AG398" s="449"/>
    </row>
    <row r="399" spans="1:33" s="455" customFormat="1" ht="21" customHeight="1">
      <c r="A399" s="451" t="s">
        <v>11</v>
      </c>
      <c r="B399" s="457" t="s">
        <v>346</v>
      </c>
      <c r="C399" s="453">
        <v>10</v>
      </c>
      <c r="D399" s="454"/>
      <c r="E399" s="501">
        <f t="shared" si="199"/>
        <v>10</v>
      </c>
      <c r="F399" s="501">
        <f t="shared" si="169"/>
        <v>0</v>
      </c>
      <c r="G399" s="501">
        <f>H399+P399+Q399</f>
        <v>10</v>
      </c>
      <c r="H399" s="501">
        <f>J399+M399</f>
        <v>10</v>
      </c>
      <c r="I399" s="501"/>
      <c r="J399" s="501">
        <f>K399+L399</f>
        <v>0</v>
      </c>
      <c r="K399" s="501"/>
      <c r="L399" s="501"/>
      <c r="M399" s="501">
        <f>N399+O399</f>
        <v>10</v>
      </c>
      <c r="N399" s="501"/>
      <c r="O399" s="501">
        <v>10</v>
      </c>
      <c r="P399" s="501"/>
      <c r="Q399" s="501"/>
      <c r="R399" s="501"/>
      <c r="S399" s="501">
        <v>1</v>
      </c>
      <c r="T399" s="502"/>
      <c r="U399" s="501"/>
      <c r="V399" s="507">
        <f t="shared" si="202"/>
        <v>9</v>
      </c>
      <c r="W399" s="585"/>
      <c r="X399" s="449"/>
      <c r="Y399" s="449"/>
      <c r="Z399" s="449"/>
      <c r="AA399" s="449"/>
      <c r="AB399" s="449"/>
      <c r="AC399" s="449"/>
      <c r="AD399" s="449"/>
      <c r="AE399" s="449"/>
      <c r="AF399" s="449"/>
      <c r="AG399" s="449"/>
    </row>
    <row r="400" spans="1:33" s="455" customFormat="1" ht="32.25" hidden="1" customHeight="1">
      <c r="A400" s="456" t="s">
        <v>11</v>
      </c>
      <c r="B400" s="457" t="s">
        <v>864</v>
      </c>
      <c r="C400" s="453"/>
      <c r="D400" s="454"/>
      <c r="E400" s="501">
        <f t="shared" si="199"/>
        <v>0</v>
      </c>
      <c r="F400" s="501">
        <f t="shared" si="169"/>
        <v>0</v>
      </c>
      <c r="G400" s="501">
        <f t="shared" si="200"/>
        <v>0</v>
      </c>
      <c r="H400" s="501">
        <f t="shared" si="201"/>
        <v>0</v>
      </c>
      <c r="I400" s="501"/>
      <c r="J400" s="501"/>
      <c r="K400" s="501"/>
      <c r="L400" s="501"/>
      <c r="M400" s="501">
        <f t="shared" si="179"/>
        <v>0</v>
      </c>
      <c r="N400" s="501"/>
      <c r="O400" s="501"/>
      <c r="P400" s="501"/>
      <c r="Q400" s="501"/>
      <c r="R400" s="501"/>
      <c r="S400" s="501"/>
      <c r="T400" s="502"/>
      <c r="U400" s="501"/>
      <c r="V400" s="507">
        <f t="shared" si="202"/>
        <v>0</v>
      </c>
      <c r="W400" s="585"/>
      <c r="X400" s="449"/>
      <c r="Y400" s="449"/>
      <c r="Z400" s="449"/>
      <c r="AA400" s="449"/>
      <c r="AB400" s="449"/>
      <c r="AC400" s="449"/>
      <c r="AD400" s="449"/>
      <c r="AE400" s="449"/>
      <c r="AF400" s="449"/>
      <c r="AG400" s="449"/>
    </row>
    <row r="401" spans="1:33" s="455" customFormat="1" ht="30.75" customHeight="1">
      <c r="A401" s="451" t="s">
        <v>347</v>
      </c>
      <c r="B401" s="457" t="s">
        <v>865</v>
      </c>
      <c r="C401" s="453">
        <v>444.98</v>
      </c>
      <c r="D401" s="454"/>
      <c r="E401" s="501">
        <f t="shared" si="199"/>
        <v>344.98</v>
      </c>
      <c r="F401" s="501">
        <f t="shared" si="169"/>
        <v>-100</v>
      </c>
      <c r="G401" s="501">
        <f t="shared" si="200"/>
        <v>344.98</v>
      </c>
      <c r="H401" s="501">
        <f t="shared" si="201"/>
        <v>344.98</v>
      </c>
      <c r="I401" s="501"/>
      <c r="J401" s="501">
        <v>308.98</v>
      </c>
      <c r="K401" s="501"/>
      <c r="L401" s="501"/>
      <c r="M401" s="501">
        <f>N401+O401</f>
        <v>36</v>
      </c>
      <c r="N401" s="501">
        <v>36</v>
      </c>
      <c r="O401" s="501">
        <v>0</v>
      </c>
      <c r="P401" s="501"/>
      <c r="Q401" s="501"/>
      <c r="R401" s="501"/>
      <c r="S401" s="501">
        <v>3.6</v>
      </c>
      <c r="T401" s="502"/>
      <c r="U401" s="501"/>
      <c r="V401" s="507">
        <f t="shared" si="202"/>
        <v>341.38</v>
      </c>
      <c r="W401" s="585" t="s">
        <v>348</v>
      </c>
      <c r="X401" s="449"/>
      <c r="Y401" s="449"/>
      <c r="Z401" s="449"/>
      <c r="AA401" s="449"/>
      <c r="AB401" s="449"/>
      <c r="AC401" s="449"/>
      <c r="AD401" s="449"/>
      <c r="AE401" s="449"/>
      <c r="AF401" s="449"/>
      <c r="AG401" s="449"/>
    </row>
    <row r="402" spans="1:33" s="455" customFormat="1" ht="12.75" hidden="1">
      <c r="A402" s="451"/>
      <c r="B402" s="452"/>
      <c r="C402" s="453"/>
      <c r="D402" s="454"/>
      <c r="E402" s="501">
        <f t="shared" si="199"/>
        <v>0</v>
      </c>
      <c r="F402" s="501">
        <f t="shared" si="169"/>
        <v>0</v>
      </c>
      <c r="G402" s="501">
        <f t="shared" si="200"/>
        <v>0</v>
      </c>
      <c r="H402" s="501">
        <f t="shared" si="201"/>
        <v>0</v>
      </c>
      <c r="I402" s="501"/>
      <c r="J402" s="501">
        <f>K402+L402</f>
        <v>0</v>
      </c>
      <c r="K402" s="501"/>
      <c r="L402" s="501"/>
      <c r="M402" s="501">
        <f>N402+O402</f>
        <v>0</v>
      </c>
      <c r="N402" s="501"/>
      <c r="O402" s="501"/>
      <c r="P402" s="501"/>
      <c r="Q402" s="501"/>
      <c r="R402" s="501"/>
      <c r="S402" s="501"/>
      <c r="T402" s="502"/>
      <c r="U402" s="501"/>
      <c r="V402" s="501"/>
      <c r="W402" s="585"/>
      <c r="X402" s="449"/>
      <c r="Y402" s="449"/>
      <c r="Z402" s="449"/>
      <c r="AA402" s="449"/>
      <c r="AB402" s="449"/>
      <c r="AC402" s="449"/>
      <c r="AD402" s="449"/>
      <c r="AE402" s="449"/>
      <c r="AF402" s="449"/>
      <c r="AG402" s="449"/>
    </row>
    <row r="403" spans="1:33" s="455" customFormat="1" ht="12.75" hidden="1">
      <c r="A403" s="451" t="s">
        <v>866</v>
      </c>
      <c r="B403" s="452"/>
      <c r="C403" s="453"/>
      <c r="D403" s="454"/>
      <c r="E403" s="501">
        <f t="shared" si="199"/>
        <v>0</v>
      </c>
      <c r="F403" s="501">
        <f t="shared" ref="F403:F443" si="203">E403-C403</f>
        <v>0</v>
      </c>
      <c r="G403" s="501">
        <f t="shared" si="200"/>
        <v>0</v>
      </c>
      <c r="H403" s="501">
        <f t="shared" si="201"/>
        <v>0</v>
      </c>
      <c r="I403" s="501"/>
      <c r="J403" s="501">
        <f t="shared" si="189"/>
        <v>0</v>
      </c>
      <c r="K403" s="501"/>
      <c r="L403" s="501"/>
      <c r="M403" s="501">
        <f t="shared" si="179"/>
        <v>0</v>
      </c>
      <c r="N403" s="501"/>
      <c r="O403" s="501"/>
      <c r="P403" s="501"/>
      <c r="Q403" s="501"/>
      <c r="R403" s="501"/>
      <c r="S403" s="501"/>
      <c r="T403" s="502"/>
      <c r="U403" s="501"/>
      <c r="V403" s="501"/>
      <c r="W403" s="585"/>
      <c r="X403" s="449"/>
      <c r="Y403" s="449"/>
      <c r="Z403" s="449"/>
      <c r="AA403" s="449"/>
      <c r="AB403" s="449"/>
      <c r="AC403" s="449"/>
      <c r="AD403" s="449"/>
      <c r="AE403" s="449"/>
      <c r="AF403" s="449"/>
      <c r="AG403" s="449"/>
    </row>
    <row r="404" spans="1:33" s="455" customFormat="1" ht="12.75">
      <c r="A404" s="451" t="s">
        <v>349</v>
      </c>
      <c r="B404" s="452" t="s">
        <v>350</v>
      </c>
      <c r="C404" s="453">
        <f>C405+C411</f>
        <v>4914.6900000000005</v>
      </c>
      <c r="D404" s="454"/>
      <c r="E404" s="501">
        <f>E405+E411</f>
        <v>4056.7730000000001</v>
      </c>
      <c r="F404" s="501">
        <f t="shared" si="203"/>
        <v>-857.91700000000037</v>
      </c>
      <c r="G404" s="501">
        <f>G405+G411</f>
        <v>4056.7730000000001</v>
      </c>
      <c r="H404" s="501">
        <f>H405+H411</f>
        <v>4056.7730000000001</v>
      </c>
      <c r="I404" s="501">
        <f>I405+I411</f>
        <v>0</v>
      </c>
      <c r="J404" s="501">
        <f>J405+J411</f>
        <v>0</v>
      </c>
      <c r="K404" s="501">
        <f>K405+K411</f>
        <v>0</v>
      </c>
      <c r="L404" s="501"/>
      <c r="M404" s="501">
        <f t="shared" ref="M404:U404" si="204">M405+M411</f>
        <v>4056.7730000000001</v>
      </c>
      <c r="N404" s="501">
        <f t="shared" si="204"/>
        <v>0</v>
      </c>
      <c r="O404" s="501">
        <f t="shared" si="204"/>
        <v>4056.7730000000001</v>
      </c>
      <c r="P404" s="501">
        <f t="shared" si="204"/>
        <v>0</v>
      </c>
      <c r="Q404" s="501">
        <f t="shared" si="204"/>
        <v>0</v>
      </c>
      <c r="R404" s="501">
        <f t="shared" si="204"/>
        <v>0</v>
      </c>
      <c r="S404" s="501">
        <f t="shared" si="204"/>
        <v>55</v>
      </c>
      <c r="T404" s="502">
        <f t="shared" si="204"/>
        <v>6.12</v>
      </c>
      <c r="U404" s="501">
        <f t="shared" si="204"/>
        <v>0</v>
      </c>
      <c r="V404" s="501">
        <f>V405+V411</f>
        <v>4007.893</v>
      </c>
      <c r="W404" s="585"/>
      <c r="X404" s="449"/>
      <c r="Y404" s="449"/>
      <c r="Z404" s="449"/>
      <c r="AA404" s="449"/>
      <c r="AB404" s="449"/>
      <c r="AC404" s="449"/>
      <c r="AD404" s="449"/>
      <c r="AE404" s="449"/>
      <c r="AF404" s="449"/>
      <c r="AG404" s="449"/>
    </row>
    <row r="405" spans="1:33" s="455" customFormat="1" ht="17.25" customHeight="1">
      <c r="A405" s="451" t="s">
        <v>29</v>
      </c>
      <c r="B405" s="452" t="s">
        <v>351</v>
      </c>
      <c r="C405" s="453">
        <f>SUM(C406:C410)</f>
        <v>3424.69</v>
      </c>
      <c r="D405" s="484" t="s">
        <v>352</v>
      </c>
      <c r="E405" s="501">
        <f>SUM(E406:E410)</f>
        <v>2266.7730000000001</v>
      </c>
      <c r="F405" s="501">
        <f t="shared" ref="F405:V405" si="205">SUM(F406:F410)</f>
        <v>-1157.9169999999999</v>
      </c>
      <c r="G405" s="501">
        <f t="shared" si="205"/>
        <v>2266.7730000000001</v>
      </c>
      <c r="H405" s="501">
        <f t="shared" si="205"/>
        <v>2266.7730000000001</v>
      </c>
      <c r="I405" s="501">
        <f t="shared" si="205"/>
        <v>0</v>
      </c>
      <c r="J405" s="501">
        <f t="shared" si="205"/>
        <v>0</v>
      </c>
      <c r="K405" s="501">
        <f t="shared" si="205"/>
        <v>0</v>
      </c>
      <c r="L405" s="501">
        <f t="shared" si="205"/>
        <v>0</v>
      </c>
      <c r="M405" s="501">
        <f t="shared" si="205"/>
        <v>2266.7730000000001</v>
      </c>
      <c r="N405" s="501">
        <f t="shared" si="205"/>
        <v>0</v>
      </c>
      <c r="O405" s="501">
        <f t="shared" si="205"/>
        <v>2266.7730000000001</v>
      </c>
      <c r="P405" s="501">
        <f t="shared" si="205"/>
        <v>0</v>
      </c>
      <c r="Q405" s="501">
        <f t="shared" si="205"/>
        <v>0</v>
      </c>
      <c r="R405" s="501">
        <f t="shared" si="205"/>
        <v>0</v>
      </c>
      <c r="S405" s="501">
        <f t="shared" si="205"/>
        <v>0</v>
      </c>
      <c r="T405" s="502">
        <f t="shared" si="205"/>
        <v>6.12</v>
      </c>
      <c r="U405" s="501">
        <f t="shared" si="205"/>
        <v>0</v>
      </c>
      <c r="V405" s="501">
        <f t="shared" si="205"/>
        <v>2272.893</v>
      </c>
      <c r="W405" s="585" t="s">
        <v>353</v>
      </c>
      <c r="X405" s="449"/>
      <c r="Y405" s="449"/>
      <c r="Z405" s="449"/>
      <c r="AA405" s="449"/>
      <c r="AB405" s="449"/>
      <c r="AC405" s="449"/>
      <c r="AD405" s="449"/>
      <c r="AE405" s="449"/>
      <c r="AF405" s="449"/>
      <c r="AG405" s="449"/>
    </row>
    <row r="406" spans="1:33" s="455" customFormat="1" ht="17.25" customHeight="1">
      <c r="A406" s="456" t="s">
        <v>11</v>
      </c>
      <c r="B406" s="452" t="s">
        <v>354</v>
      </c>
      <c r="C406" s="453">
        <v>680.26</v>
      </c>
      <c r="D406" s="454"/>
      <c r="E406" s="501">
        <f>G406+R406</f>
        <v>464.267</v>
      </c>
      <c r="F406" s="501">
        <f t="shared" si="203"/>
        <v>-215.99299999999999</v>
      </c>
      <c r="G406" s="501">
        <f>H406+P406+Q406</f>
        <v>464.267</v>
      </c>
      <c r="H406" s="501">
        <f>J406+M406</f>
        <v>464.267</v>
      </c>
      <c r="I406" s="501"/>
      <c r="J406" s="501">
        <f t="shared" si="189"/>
        <v>0</v>
      </c>
      <c r="K406" s="501"/>
      <c r="L406" s="501"/>
      <c r="M406" s="501">
        <f t="shared" si="179"/>
        <v>464.267</v>
      </c>
      <c r="N406" s="501"/>
      <c r="O406" s="501">
        <f>393.204+71.063</f>
        <v>464.267</v>
      </c>
      <c r="P406" s="501"/>
      <c r="Q406" s="501"/>
      <c r="R406" s="501"/>
      <c r="S406" s="501"/>
      <c r="T406" s="502"/>
      <c r="U406" s="501"/>
      <c r="V406" s="507">
        <f t="shared" ref="V406:V443" si="206">E406-S406</f>
        <v>464.267</v>
      </c>
      <c r="W406" s="585"/>
      <c r="X406" s="449"/>
      <c r="Y406" s="449"/>
      <c r="Z406" s="449"/>
      <c r="AA406" s="449"/>
      <c r="AB406" s="449"/>
      <c r="AC406" s="449"/>
      <c r="AD406" s="449"/>
      <c r="AE406" s="449"/>
      <c r="AF406" s="449"/>
      <c r="AG406" s="449"/>
    </row>
    <row r="407" spans="1:33" s="455" customFormat="1" ht="24.75" customHeight="1">
      <c r="A407" s="456" t="s">
        <v>11</v>
      </c>
      <c r="B407" s="457" t="s">
        <v>867</v>
      </c>
      <c r="C407" s="453">
        <v>800.66</v>
      </c>
      <c r="D407" s="454"/>
      <c r="E407" s="501">
        <f>G407+R407</f>
        <v>1251.8848</v>
      </c>
      <c r="F407" s="501">
        <f t="shared" si="203"/>
        <v>451.22480000000007</v>
      </c>
      <c r="G407" s="501">
        <f>H407+P407+Q407</f>
        <v>1251.8848</v>
      </c>
      <c r="H407" s="501">
        <f>J407+M407</f>
        <v>1251.8848</v>
      </c>
      <c r="I407" s="501"/>
      <c r="J407" s="501">
        <f t="shared" si="189"/>
        <v>0</v>
      </c>
      <c r="K407" s="501"/>
      <c r="L407" s="501"/>
      <c r="M407" s="501">
        <f t="shared" si="179"/>
        <v>1251.8848</v>
      </c>
      <c r="N407" s="501"/>
      <c r="O407" s="501">
        <f>1211.8848+40</f>
        <v>1251.8848</v>
      </c>
      <c r="P407" s="501"/>
      <c r="Q407" s="501"/>
      <c r="R407" s="509"/>
      <c r="S407" s="509"/>
      <c r="T407" s="510"/>
      <c r="U407" s="509"/>
      <c r="V407" s="507">
        <f t="shared" si="206"/>
        <v>1251.8848</v>
      </c>
      <c r="W407" s="585"/>
      <c r="X407" s="449"/>
      <c r="Y407" s="449"/>
      <c r="Z407" s="449"/>
      <c r="AA407" s="449"/>
      <c r="AB407" s="449"/>
      <c r="AC407" s="449"/>
      <c r="AD407" s="449"/>
      <c r="AE407" s="449"/>
      <c r="AF407" s="449"/>
      <c r="AG407" s="449"/>
    </row>
    <row r="408" spans="1:33" s="455" customFormat="1" ht="17.25" customHeight="1">
      <c r="A408" s="456" t="s">
        <v>11</v>
      </c>
      <c r="B408" s="452" t="s">
        <v>868</v>
      </c>
      <c r="C408" s="453">
        <v>96.37</v>
      </c>
      <c r="D408" s="454"/>
      <c r="E408" s="501">
        <f>G408+R408</f>
        <v>96.373199999999997</v>
      </c>
      <c r="F408" s="501">
        <f t="shared" si="203"/>
        <v>3.1999999999925421E-3</v>
      </c>
      <c r="G408" s="501">
        <f>H408+P408+Q408</f>
        <v>96.373199999999997</v>
      </c>
      <c r="H408" s="501">
        <f>J408+M408</f>
        <v>96.373199999999997</v>
      </c>
      <c r="I408" s="501"/>
      <c r="J408" s="501">
        <f t="shared" si="189"/>
        <v>0</v>
      </c>
      <c r="K408" s="501"/>
      <c r="L408" s="501"/>
      <c r="M408" s="501">
        <f t="shared" si="179"/>
        <v>96.373199999999997</v>
      </c>
      <c r="N408" s="501"/>
      <c r="O408" s="501">
        <v>96.373199999999997</v>
      </c>
      <c r="P408" s="501"/>
      <c r="Q408" s="501"/>
      <c r="R408" s="501"/>
      <c r="S408" s="501"/>
      <c r="T408" s="502"/>
      <c r="U408" s="501"/>
      <c r="V408" s="507">
        <f t="shared" si="206"/>
        <v>96.373199999999997</v>
      </c>
      <c r="W408" s="585"/>
      <c r="X408" s="449"/>
      <c r="Y408" s="449"/>
      <c r="Z408" s="449"/>
      <c r="AA408" s="449"/>
      <c r="AB408" s="449"/>
      <c r="AC408" s="449"/>
      <c r="AD408" s="449"/>
      <c r="AE408" s="449"/>
      <c r="AF408" s="449"/>
      <c r="AG408" s="449"/>
    </row>
    <row r="409" spans="1:33" s="455" customFormat="1" ht="48" customHeight="1">
      <c r="A409" s="456" t="s">
        <v>11</v>
      </c>
      <c r="B409" s="457" t="s">
        <v>869</v>
      </c>
      <c r="C409" s="453">
        <v>547.4</v>
      </c>
      <c r="D409" s="454"/>
      <c r="E409" s="501">
        <f>G409+R409</f>
        <v>454.24799999999999</v>
      </c>
      <c r="F409" s="501">
        <f t="shared" si="203"/>
        <v>-93.151999999999987</v>
      </c>
      <c r="G409" s="501">
        <f>H409+P409+Q409</f>
        <v>454.24799999999999</v>
      </c>
      <c r="H409" s="501">
        <f>J409+M409</f>
        <v>454.24799999999999</v>
      </c>
      <c r="I409" s="501"/>
      <c r="J409" s="501">
        <f>K409+L409</f>
        <v>0</v>
      </c>
      <c r="K409" s="501"/>
      <c r="L409" s="501"/>
      <c r="M409" s="501">
        <f>N409+O409</f>
        <v>454.24799999999999</v>
      </c>
      <c r="N409" s="501"/>
      <c r="O409" s="501">
        <v>454.24799999999999</v>
      </c>
      <c r="P409" s="501"/>
      <c r="Q409" s="501"/>
      <c r="R409" s="501"/>
      <c r="S409" s="501"/>
      <c r="T409" s="502"/>
      <c r="U409" s="501"/>
      <c r="V409" s="507">
        <f t="shared" si="206"/>
        <v>454.24799999999999</v>
      </c>
      <c r="W409" s="485"/>
      <c r="X409" s="449"/>
      <c r="Y409" s="449"/>
      <c r="Z409" s="449"/>
      <c r="AA409" s="449"/>
      <c r="AB409" s="449"/>
      <c r="AC409" s="449"/>
      <c r="AD409" s="449"/>
      <c r="AE409" s="449"/>
      <c r="AF409" s="449"/>
      <c r="AG409" s="449"/>
    </row>
    <row r="410" spans="1:33" s="455" customFormat="1" ht="25.5" customHeight="1">
      <c r="A410" s="456" t="s">
        <v>11</v>
      </c>
      <c r="B410" s="460" t="s">
        <v>961</v>
      </c>
      <c r="C410" s="453">
        <v>1300</v>
      </c>
      <c r="D410" s="454"/>
      <c r="E410" s="501"/>
      <c r="F410" s="501">
        <f t="shared" si="203"/>
        <v>-1300</v>
      </c>
      <c r="G410" s="501"/>
      <c r="H410" s="501"/>
      <c r="I410" s="501"/>
      <c r="J410" s="501"/>
      <c r="K410" s="501"/>
      <c r="L410" s="501"/>
      <c r="M410" s="501"/>
      <c r="N410" s="501"/>
      <c r="O410" s="501"/>
      <c r="P410" s="501"/>
      <c r="Q410" s="501"/>
      <c r="R410" s="501"/>
      <c r="S410" s="501"/>
      <c r="T410" s="502">
        <v>6.12</v>
      </c>
      <c r="U410" s="501"/>
      <c r="V410" s="507">
        <f>E410-S410+T410-U410</f>
        <v>6.12</v>
      </c>
      <c r="W410" s="585"/>
      <c r="X410" s="449"/>
      <c r="Y410" s="449"/>
      <c r="Z410" s="449"/>
      <c r="AA410" s="449"/>
      <c r="AB410" s="449"/>
      <c r="AC410" s="449"/>
      <c r="AD410" s="449"/>
      <c r="AE410" s="449"/>
      <c r="AF410" s="449"/>
      <c r="AG410" s="449"/>
    </row>
    <row r="411" spans="1:33" s="455" customFormat="1" ht="17.25" customHeight="1">
      <c r="A411" s="451" t="s">
        <v>30</v>
      </c>
      <c r="B411" s="452" t="s">
        <v>355</v>
      </c>
      <c r="C411" s="453">
        <f t="shared" ref="C411:U411" si="207">SUM(C412:C414)</f>
        <v>1490</v>
      </c>
      <c r="D411" s="484" t="s">
        <v>356</v>
      </c>
      <c r="E411" s="501">
        <f>SUM(E412:E414)</f>
        <v>1790</v>
      </c>
      <c r="F411" s="501">
        <f t="shared" si="203"/>
        <v>300</v>
      </c>
      <c r="G411" s="501">
        <f t="shared" si="207"/>
        <v>1790</v>
      </c>
      <c r="H411" s="501">
        <f t="shared" si="207"/>
        <v>1790</v>
      </c>
      <c r="I411" s="501">
        <f t="shared" si="207"/>
        <v>0</v>
      </c>
      <c r="J411" s="501">
        <f t="shared" si="207"/>
        <v>0</v>
      </c>
      <c r="K411" s="501">
        <f t="shared" si="207"/>
        <v>0</v>
      </c>
      <c r="L411" s="501"/>
      <c r="M411" s="501">
        <f t="shared" si="207"/>
        <v>1790</v>
      </c>
      <c r="N411" s="501">
        <f t="shared" si="207"/>
        <v>0</v>
      </c>
      <c r="O411" s="501">
        <f>SUM(O412:O414)</f>
        <v>1790</v>
      </c>
      <c r="P411" s="501">
        <f t="shared" si="207"/>
        <v>0</v>
      </c>
      <c r="Q411" s="501">
        <f t="shared" si="207"/>
        <v>0</v>
      </c>
      <c r="R411" s="501">
        <f t="shared" si="207"/>
        <v>0</v>
      </c>
      <c r="S411" s="501">
        <f t="shared" si="207"/>
        <v>55</v>
      </c>
      <c r="T411" s="502">
        <f t="shared" si="207"/>
        <v>0</v>
      </c>
      <c r="U411" s="501">
        <f t="shared" si="207"/>
        <v>0</v>
      </c>
      <c r="V411" s="501">
        <f>SUM(V412:V414)</f>
        <v>1735</v>
      </c>
      <c r="W411" s="585"/>
      <c r="X411" s="449"/>
      <c r="Y411" s="449"/>
      <c r="Z411" s="449"/>
      <c r="AA411" s="449"/>
      <c r="AB411" s="449"/>
      <c r="AC411" s="449"/>
      <c r="AD411" s="449"/>
      <c r="AE411" s="449"/>
      <c r="AF411" s="449"/>
      <c r="AG411" s="449"/>
    </row>
    <row r="412" spans="1:33" s="455" customFormat="1" ht="45" customHeight="1">
      <c r="A412" s="456" t="s">
        <v>11</v>
      </c>
      <c r="B412" s="457" t="s">
        <v>870</v>
      </c>
      <c r="C412" s="453">
        <v>1240</v>
      </c>
      <c r="D412" s="454"/>
      <c r="E412" s="501">
        <f>G412+R412</f>
        <v>1240</v>
      </c>
      <c r="F412" s="501">
        <f t="shared" si="203"/>
        <v>0</v>
      </c>
      <c r="G412" s="501">
        <f>H412+P412+Q412</f>
        <v>1240</v>
      </c>
      <c r="H412" s="501">
        <f>J412+M412</f>
        <v>1240</v>
      </c>
      <c r="I412" s="501"/>
      <c r="J412" s="501">
        <f t="shared" si="189"/>
        <v>0</v>
      </c>
      <c r="K412" s="501"/>
      <c r="L412" s="501"/>
      <c r="M412" s="501">
        <f t="shared" si="179"/>
        <v>1240</v>
      </c>
      <c r="N412" s="501"/>
      <c r="O412" s="501">
        <v>1240</v>
      </c>
      <c r="P412" s="501"/>
      <c r="Q412" s="501"/>
      <c r="R412" s="501"/>
      <c r="S412" s="501"/>
      <c r="T412" s="502"/>
      <c r="U412" s="501"/>
      <c r="V412" s="507">
        <f t="shared" si="206"/>
        <v>1240</v>
      </c>
      <c r="W412" s="585" t="s">
        <v>357</v>
      </c>
      <c r="X412" s="449"/>
      <c r="Y412" s="449"/>
      <c r="Z412" s="449"/>
      <c r="AA412" s="449"/>
      <c r="AB412" s="449"/>
      <c r="AC412" s="449"/>
      <c r="AD412" s="449"/>
      <c r="AE412" s="449"/>
      <c r="AF412" s="449"/>
      <c r="AG412" s="449"/>
    </row>
    <row r="413" spans="1:33" s="455" customFormat="1" ht="16.5" customHeight="1">
      <c r="A413" s="456" t="s">
        <v>11</v>
      </c>
      <c r="B413" s="457" t="s">
        <v>871</v>
      </c>
      <c r="C413" s="453">
        <v>250</v>
      </c>
      <c r="D413" s="454"/>
      <c r="E413" s="501">
        <f>G413+R413</f>
        <v>250</v>
      </c>
      <c r="F413" s="501">
        <f t="shared" si="203"/>
        <v>0</v>
      </c>
      <c r="G413" s="501">
        <f>H413+P413+Q413</f>
        <v>250</v>
      </c>
      <c r="H413" s="501">
        <f>J413+M413</f>
        <v>250</v>
      </c>
      <c r="I413" s="501"/>
      <c r="J413" s="501">
        <f t="shared" si="189"/>
        <v>0</v>
      </c>
      <c r="K413" s="501"/>
      <c r="L413" s="501"/>
      <c r="M413" s="501">
        <f t="shared" si="179"/>
        <v>250</v>
      </c>
      <c r="N413" s="501"/>
      <c r="O413" s="501">
        <v>250</v>
      </c>
      <c r="P413" s="501"/>
      <c r="Q413" s="501"/>
      <c r="R413" s="501"/>
      <c r="S413" s="501">
        <v>25</v>
      </c>
      <c r="T413" s="502"/>
      <c r="U413" s="501"/>
      <c r="V413" s="507">
        <f>E413-S413</f>
        <v>225</v>
      </c>
      <c r="W413" s="585" t="s">
        <v>358</v>
      </c>
      <c r="X413" s="449"/>
      <c r="Y413" s="449"/>
      <c r="Z413" s="449"/>
      <c r="AA413" s="449"/>
      <c r="AB413" s="449"/>
      <c r="AC413" s="449"/>
      <c r="AD413" s="449"/>
      <c r="AE413" s="449"/>
      <c r="AF413" s="449"/>
      <c r="AG413" s="449"/>
    </row>
    <row r="414" spans="1:33" s="455" customFormat="1" ht="44.25" customHeight="1">
      <c r="A414" s="456" t="s">
        <v>11</v>
      </c>
      <c r="B414" s="457" t="s">
        <v>872</v>
      </c>
      <c r="C414" s="453">
        <v>0</v>
      </c>
      <c r="D414" s="454"/>
      <c r="E414" s="501">
        <f>G414+R414</f>
        <v>300</v>
      </c>
      <c r="F414" s="501">
        <f t="shared" si="203"/>
        <v>300</v>
      </c>
      <c r="G414" s="501">
        <f>H414+P414+Q414</f>
        <v>300</v>
      </c>
      <c r="H414" s="501">
        <f>J414+M414</f>
        <v>300</v>
      </c>
      <c r="I414" s="501"/>
      <c r="J414" s="501">
        <f t="shared" si="189"/>
        <v>0</v>
      </c>
      <c r="K414" s="501"/>
      <c r="L414" s="501"/>
      <c r="M414" s="501">
        <f t="shared" si="179"/>
        <v>300</v>
      </c>
      <c r="N414" s="501"/>
      <c r="O414" s="501">
        <v>300</v>
      </c>
      <c r="P414" s="501"/>
      <c r="Q414" s="501"/>
      <c r="R414" s="501"/>
      <c r="S414" s="501">
        <v>30</v>
      </c>
      <c r="T414" s="502"/>
      <c r="U414" s="501"/>
      <c r="V414" s="507">
        <f>E414-S414</f>
        <v>270</v>
      </c>
      <c r="W414" s="585" t="s">
        <v>358</v>
      </c>
      <c r="X414" s="449"/>
      <c r="Y414" s="449"/>
      <c r="Z414" s="449"/>
      <c r="AA414" s="449"/>
      <c r="AB414" s="449"/>
      <c r="AC414" s="449"/>
      <c r="AD414" s="449"/>
      <c r="AE414" s="449"/>
      <c r="AF414" s="449"/>
      <c r="AG414" s="449"/>
    </row>
    <row r="415" spans="1:33" s="455" customFormat="1" ht="17.25" customHeight="1">
      <c r="A415" s="451" t="s">
        <v>359</v>
      </c>
      <c r="B415" s="452" t="s">
        <v>360</v>
      </c>
      <c r="C415" s="453">
        <f>SUM(C417:C429)</f>
        <v>2588</v>
      </c>
      <c r="D415" s="454">
        <v>428</v>
      </c>
      <c r="E415" s="501">
        <f>SUM(E417:E429)</f>
        <v>2716</v>
      </c>
      <c r="F415" s="501">
        <f t="shared" si="203"/>
        <v>128</v>
      </c>
      <c r="G415" s="501">
        <f>SUM(G417:G429)</f>
        <v>2716</v>
      </c>
      <c r="H415" s="501">
        <f>SUM(H417:H429)</f>
        <v>2716</v>
      </c>
      <c r="I415" s="501">
        <f>SUM(I417:I429)</f>
        <v>0</v>
      </c>
      <c r="J415" s="501">
        <f>SUM(J417:J429)</f>
        <v>0</v>
      </c>
      <c r="K415" s="501">
        <f>SUM(K417:K429)</f>
        <v>0</v>
      </c>
      <c r="L415" s="501"/>
      <c r="M415" s="501">
        <f t="shared" ref="M415:U415" si="208">SUM(M417:M429)</f>
        <v>2716</v>
      </c>
      <c r="N415" s="501">
        <f t="shared" si="208"/>
        <v>0</v>
      </c>
      <c r="O415" s="501">
        <f t="shared" si="208"/>
        <v>2716</v>
      </c>
      <c r="P415" s="501">
        <f t="shared" si="208"/>
        <v>0</v>
      </c>
      <c r="Q415" s="501">
        <f t="shared" si="208"/>
        <v>0</v>
      </c>
      <c r="R415" s="501">
        <f t="shared" si="208"/>
        <v>0</v>
      </c>
      <c r="S415" s="501">
        <f t="shared" si="208"/>
        <v>55</v>
      </c>
      <c r="T415" s="502">
        <f t="shared" si="208"/>
        <v>0</v>
      </c>
      <c r="U415" s="501">
        <f t="shared" si="208"/>
        <v>0</v>
      </c>
      <c r="V415" s="501">
        <f>SUM(V417:V429)</f>
        <v>2661</v>
      </c>
      <c r="W415" s="448"/>
      <c r="X415" s="449">
        <f>V415-W415</f>
        <v>2661</v>
      </c>
      <c r="Y415" s="449"/>
      <c r="Z415" s="449"/>
      <c r="AA415" s="449"/>
      <c r="AB415" s="449"/>
      <c r="AC415" s="449"/>
      <c r="AD415" s="449"/>
      <c r="AE415" s="449"/>
      <c r="AF415" s="449"/>
      <c r="AG415" s="449"/>
    </row>
    <row r="416" spans="1:33" s="455" customFormat="1" ht="16.5" customHeight="1">
      <c r="A416" s="456" t="s">
        <v>11</v>
      </c>
      <c r="B416" s="452" t="s">
        <v>361</v>
      </c>
      <c r="C416" s="453">
        <f>SUM(C417:C418)</f>
        <v>50</v>
      </c>
      <c r="D416" s="454"/>
      <c r="E416" s="501">
        <f>SUM(E417:E418)</f>
        <v>50</v>
      </c>
      <c r="F416" s="501">
        <f t="shared" si="203"/>
        <v>0</v>
      </c>
      <c r="G416" s="501">
        <f t="shared" ref="G416:S416" si="209">SUM(G417:G418)</f>
        <v>50</v>
      </c>
      <c r="H416" s="501">
        <f t="shared" si="209"/>
        <v>50</v>
      </c>
      <c r="I416" s="501">
        <f t="shared" si="209"/>
        <v>0</v>
      </c>
      <c r="J416" s="501">
        <f t="shared" si="189"/>
        <v>0</v>
      </c>
      <c r="K416" s="501">
        <f t="shared" si="209"/>
        <v>0</v>
      </c>
      <c r="L416" s="501"/>
      <c r="M416" s="501">
        <f t="shared" si="209"/>
        <v>50</v>
      </c>
      <c r="N416" s="501">
        <f t="shared" si="209"/>
        <v>0</v>
      </c>
      <c r="O416" s="501">
        <f t="shared" si="209"/>
        <v>50</v>
      </c>
      <c r="P416" s="501">
        <f t="shared" si="209"/>
        <v>0</v>
      </c>
      <c r="Q416" s="501">
        <f t="shared" si="209"/>
        <v>0</v>
      </c>
      <c r="R416" s="501">
        <f t="shared" si="209"/>
        <v>0</v>
      </c>
      <c r="S416" s="501">
        <f t="shared" si="209"/>
        <v>0</v>
      </c>
      <c r="T416" s="502"/>
      <c r="U416" s="501"/>
      <c r="V416" s="507">
        <f t="shared" si="206"/>
        <v>50</v>
      </c>
      <c r="W416" s="585" t="s">
        <v>362</v>
      </c>
      <c r="X416" s="449"/>
      <c r="Y416" s="449"/>
      <c r="Z416" s="449"/>
      <c r="AA416" s="449"/>
      <c r="AB416" s="449"/>
      <c r="AC416" s="449"/>
      <c r="AD416" s="449"/>
      <c r="AE416" s="449"/>
      <c r="AF416" s="449"/>
      <c r="AG416" s="449"/>
    </row>
    <row r="417" spans="1:33" s="455" customFormat="1" ht="16.5" customHeight="1">
      <c r="A417" s="456" t="s">
        <v>51</v>
      </c>
      <c r="B417" s="452" t="s">
        <v>363</v>
      </c>
      <c r="C417" s="453">
        <v>30</v>
      </c>
      <c r="D417" s="454"/>
      <c r="E417" s="501">
        <f t="shared" ref="E417:E429" si="210">G417+R417</f>
        <v>30</v>
      </c>
      <c r="F417" s="501">
        <f t="shared" si="203"/>
        <v>0</v>
      </c>
      <c r="G417" s="501">
        <f t="shared" ref="G417:G433" si="211">H417+P417+Q417</f>
        <v>30</v>
      </c>
      <c r="H417" s="501">
        <f t="shared" ref="H417:H433" si="212">J417+M417</f>
        <v>30</v>
      </c>
      <c r="I417" s="501"/>
      <c r="J417" s="501">
        <f t="shared" si="189"/>
        <v>0</v>
      </c>
      <c r="K417" s="501"/>
      <c r="L417" s="501"/>
      <c r="M417" s="501">
        <f t="shared" si="179"/>
        <v>30</v>
      </c>
      <c r="N417" s="501"/>
      <c r="O417" s="501">
        <v>30</v>
      </c>
      <c r="P417" s="501"/>
      <c r="Q417" s="501"/>
      <c r="R417" s="501"/>
      <c r="S417" s="501"/>
      <c r="T417" s="502"/>
      <c r="U417" s="501"/>
      <c r="V417" s="507">
        <f t="shared" si="206"/>
        <v>30</v>
      </c>
      <c r="W417" s="585"/>
      <c r="X417" s="449"/>
      <c r="Y417" s="449"/>
      <c r="Z417" s="449"/>
      <c r="AA417" s="449"/>
      <c r="AB417" s="449"/>
      <c r="AC417" s="449"/>
      <c r="AD417" s="449"/>
      <c r="AE417" s="449"/>
      <c r="AF417" s="449"/>
      <c r="AG417" s="449"/>
    </row>
    <row r="418" spans="1:33" s="455" customFormat="1" ht="16.5" customHeight="1">
      <c r="A418" s="456" t="s">
        <v>51</v>
      </c>
      <c r="B418" s="452" t="s">
        <v>364</v>
      </c>
      <c r="C418" s="453">
        <v>20</v>
      </c>
      <c r="D418" s="454"/>
      <c r="E418" s="501">
        <f t="shared" si="210"/>
        <v>20</v>
      </c>
      <c r="F418" s="501">
        <f t="shared" si="203"/>
        <v>0</v>
      </c>
      <c r="G418" s="501">
        <f t="shared" si="211"/>
        <v>20</v>
      </c>
      <c r="H418" s="501">
        <f t="shared" si="212"/>
        <v>20</v>
      </c>
      <c r="I418" s="501"/>
      <c r="J418" s="501">
        <f t="shared" si="189"/>
        <v>0</v>
      </c>
      <c r="K418" s="501"/>
      <c r="L418" s="501"/>
      <c r="M418" s="501">
        <f t="shared" si="179"/>
        <v>20</v>
      </c>
      <c r="N418" s="501"/>
      <c r="O418" s="501">
        <v>20</v>
      </c>
      <c r="P418" s="501"/>
      <c r="Q418" s="501"/>
      <c r="R418" s="501"/>
      <c r="S418" s="501"/>
      <c r="T418" s="502"/>
      <c r="U418" s="501"/>
      <c r="V418" s="507">
        <f t="shared" si="206"/>
        <v>20</v>
      </c>
      <c r="W418" s="585"/>
      <c r="X418" s="449"/>
      <c r="Y418" s="449"/>
      <c r="Z418" s="449"/>
      <c r="AA418" s="449"/>
      <c r="AB418" s="449"/>
      <c r="AC418" s="449"/>
      <c r="AD418" s="449"/>
      <c r="AE418" s="449"/>
      <c r="AF418" s="449"/>
      <c r="AG418" s="449"/>
    </row>
    <row r="419" spans="1:33" s="455" customFormat="1" ht="23.25" customHeight="1">
      <c r="A419" s="456" t="s">
        <v>11</v>
      </c>
      <c r="B419" s="457" t="s">
        <v>873</v>
      </c>
      <c r="C419" s="453">
        <v>30</v>
      </c>
      <c r="D419" s="454"/>
      <c r="E419" s="501">
        <f t="shared" si="210"/>
        <v>30</v>
      </c>
      <c r="F419" s="501">
        <f t="shared" si="203"/>
        <v>0</v>
      </c>
      <c r="G419" s="501">
        <f t="shared" si="211"/>
        <v>30</v>
      </c>
      <c r="H419" s="501">
        <f t="shared" si="212"/>
        <v>30</v>
      </c>
      <c r="I419" s="501"/>
      <c r="J419" s="501">
        <f t="shared" si="189"/>
        <v>0</v>
      </c>
      <c r="K419" s="501"/>
      <c r="L419" s="501"/>
      <c r="M419" s="501">
        <f t="shared" si="179"/>
        <v>30</v>
      </c>
      <c r="N419" s="501"/>
      <c r="O419" s="501">
        <v>30</v>
      </c>
      <c r="P419" s="501"/>
      <c r="Q419" s="501"/>
      <c r="R419" s="501"/>
      <c r="S419" s="501"/>
      <c r="T419" s="502"/>
      <c r="U419" s="501"/>
      <c r="V419" s="507">
        <f t="shared" si="206"/>
        <v>30</v>
      </c>
      <c r="W419" s="585" t="s">
        <v>365</v>
      </c>
      <c r="X419" s="449"/>
      <c r="Y419" s="449"/>
      <c r="Z419" s="449"/>
      <c r="AA419" s="449"/>
      <c r="AB419" s="449"/>
      <c r="AC419" s="449"/>
      <c r="AD419" s="449"/>
      <c r="AE419" s="449"/>
      <c r="AF419" s="449"/>
      <c r="AG419" s="449"/>
    </row>
    <row r="420" spans="1:33" s="455" customFormat="1" ht="16.5" customHeight="1">
      <c r="A420" s="456" t="s">
        <v>11</v>
      </c>
      <c r="B420" s="452" t="s">
        <v>874</v>
      </c>
      <c r="C420" s="453">
        <v>300</v>
      </c>
      <c r="D420" s="454"/>
      <c r="E420" s="501">
        <f t="shared" si="210"/>
        <v>370</v>
      </c>
      <c r="F420" s="501">
        <f t="shared" si="203"/>
        <v>70</v>
      </c>
      <c r="G420" s="501">
        <f t="shared" si="211"/>
        <v>370</v>
      </c>
      <c r="H420" s="501">
        <f t="shared" si="212"/>
        <v>370</v>
      </c>
      <c r="I420" s="501"/>
      <c r="J420" s="501">
        <f t="shared" si="189"/>
        <v>0</v>
      </c>
      <c r="K420" s="501"/>
      <c r="L420" s="501"/>
      <c r="M420" s="501">
        <f t="shared" si="179"/>
        <v>370</v>
      </c>
      <c r="N420" s="501"/>
      <c r="O420" s="501">
        <v>370</v>
      </c>
      <c r="P420" s="501"/>
      <c r="Q420" s="501"/>
      <c r="R420" s="501"/>
      <c r="S420" s="501"/>
      <c r="T420" s="502"/>
      <c r="U420" s="501"/>
      <c r="V420" s="507">
        <f t="shared" si="206"/>
        <v>370</v>
      </c>
      <c r="W420" s="585" t="s">
        <v>366</v>
      </c>
      <c r="X420" s="449"/>
      <c r="Y420" s="449"/>
      <c r="Z420" s="449"/>
      <c r="AA420" s="449"/>
      <c r="AB420" s="449"/>
      <c r="AC420" s="449"/>
      <c r="AD420" s="449"/>
      <c r="AE420" s="449"/>
      <c r="AF420" s="449"/>
      <c r="AG420" s="449"/>
    </row>
    <row r="421" spans="1:33" s="455" customFormat="1" ht="28.5" hidden="1" customHeight="1">
      <c r="A421" s="456" t="s">
        <v>11</v>
      </c>
      <c r="B421" s="457" t="s">
        <v>367</v>
      </c>
      <c r="C421" s="453"/>
      <c r="D421" s="454"/>
      <c r="E421" s="501">
        <f t="shared" si="210"/>
        <v>0</v>
      </c>
      <c r="F421" s="501">
        <f t="shared" si="203"/>
        <v>0</v>
      </c>
      <c r="G421" s="501">
        <f t="shared" si="211"/>
        <v>0</v>
      </c>
      <c r="H421" s="501">
        <f t="shared" si="212"/>
        <v>0</v>
      </c>
      <c r="I421" s="501"/>
      <c r="J421" s="501">
        <f t="shared" si="189"/>
        <v>0</v>
      </c>
      <c r="K421" s="501"/>
      <c r="L421" s="501"/>
      <c r="M421" s="501">
        <f t="shared" si="179"/>
        <v>0</v>
      </c>
      <c r="N421" s="501"/>
      <c r="O421" s="501"/>
      <c r="P421" s="501"/>
      <c r="Q421" s="501"/>
      <c r="R421" s="501"/>
      <c r="S421" s="501"/>
      <c r="T421" s="502"/>
      <c r="U421" s="501"/>
      <c r="V421" s="507">
        <f t="shared" si="206"/>
        <v>0</v>
      </c>
      <c r="W421" s="585" t="s">
        <v>368</v>
      </c>
      <c r="X421" s="449"/>
      <c r="Y421" s="449"/>
      <c r="Z421" s="449"/>
      <c r="AA421" s="449"/>
      <c r="AB421" s="449"/>
      <c r="AC421" s="449"/>
      <c r="AD421" s="449"/>
      <c r="AE421" s="449"/>
      <c r="AF421" s="449"/>
      <c r="AG421" s="449"/>
    </row>
    <row r="422" spans="1:33" s="455" customFormat="1" ht="16.5" customHeight="1">
      <c r="A422" s="456" t="s">
        <v>11</v>
      </c>
      <c r="B422" s="452" t="s">
        <v>875</v>
      </c>
      <c r="C422" s="453">
        <v>50</v>
      </c>
      <c r="D422" s="454"/>
      <c r="E422" s="501">
        <f t="shared" si="210"/>
        <v>50</v>
      </c>
      <c r="F422" s="501">
        <f t="shared" si="203"/>
        <v>0</v>
      </c>
      <c r="G422" s="501">
        <f t="shared" si="211"/>
        <v>50</v>
      </c>
      <c r="H422" s="501">
        <f t="shared" si="212"/>
        <v>50</v>
      </c>
      <c r="I422" s="501"/>
      <c r="J422" s="501">
        <f t="shared" si="189"/>
        <v>0</v>
      </c>
      <c r="K422" s="501"/>
      <c r="L422" s="501"/>
      <c r="M422" s="501">
        <f t="shared" si="179"/>
        <v>50</v>
      </c>
      <c r="N422" s="501"/>
      <c r="O422" s="501">
        <v>50</v>
      </c>
      <c r="P422" s="501"/>
      <c r="Q422" s="501"/>
      <c r="R422" s="501"/>
      <c r="S422" s="501"/>
      <c r="T422" s="502"/>
      <c r="U422" s="501"/>
      <c r="V422" s="507">
        <f t="shared" si="206"/>
        <v>50</v>
      </c>
      <c r="W422" s="585" t="s">
        <v>369</v>
      </c>
      <c r="X422" s="449"/>
      <c r="Y422" s="449"/>
      <c r="Z422" s="449"/>
      <c r="AA422" s="449"/>
      <c r="AB422" s="449"/>
      <c r="AC422" s="449"/>
      <c r="AD422" s="449"/>
      <c r="AE422" s="449"/>
      <c r="AF422" s="449"/>
      <c r="AG422" s="449"/>
    </row>
    <row r="423" spans="1:33" s="455" customFormat="1" ht="16.5" customHeight="1">
      <c r="A423" s="456" t="s">
        <v>11</v>
      </c>
      <c r="B423" s="452" t="s">
        <v>876</v>
      </c>
      <c r="C423" s="453">
        <v>500</v>
      </c>
      <c r="D423" s="454"/>
      <c r="E423" s="501">
        <f t="shared" si="210"/>
        <v>550</v>
      </c>
      <c r="F423" s="501">
        <f t="shared" si="203"/>
        <v>50</v>
      </c>
      <c r="G423" s="501">
        <f t="shared" si="211"/>
        <v>550</v>
      </c>
      <c r="H423" s="501">
        <f t="shared" si="212"/>
        <v>550</v>
      </c>
      <c r="I423" s="501"/>
      <c r="J423" s="501">
        <f t="shared" si="189"/>
        <v>0</v>
      </c>
      <c r="K423" s="501"/>
      <c r="L423" s="501"/>
      <c r="M423" s="501">
        <f t="shared" si="179"/>
        <v>550</v>
      </c>
      <c r="N423" s="501"/>
      <c r="O423" s="501">
        <v>550</v>
      </c>
      <c r="P423" s="501"/>
      <c r="Q423" s="501"/>
      <c r="R423" s="501"/>
      <c r="S423" s="501">
        <v>55</v>
      </c>
      <c r="T423" s="502"/>
      <c r="U423" s="501"/>
      <c r="V423" s="507">
        <f>E423-S423</f>
        <v>495</v>
      </c>
      <c r="W423" s="585" t="s">
        <v>227</v>
      </c>
      <c r="X423" s="449"/>
      <c r="Y423" s="449"/>
      <c r="Z423" s="449"/>
      <c r="AA423" s="449"/>
      <c r="AB423" s="449"/>
      <c r="AC423" s="449"/>
      <c r="AD423" s="449"/>
      <c r="AE423" s="449"/>
      <c r="AF423" s="449"/>
      <c r="AG423" s="449"/>
    </row>
    <row r="424" spans="1:33" s="455" customFormat="1" ht="17.25" hidden="1" customHeight="1">
      <c r="A424" s="456" t="s">
        <v>11</v>
      </c>
      <c r="B424" s="477" t="s">
        <v>370</v>
      </c>
      <c r="C424" s="453"/>
      <c r="D424" s="454"/>
      <c r="E424" s="501">
        <f t="shared" si="210"/>
        <v>0</v>
      </c>
      <c r="F424" s="501">
        <f t="shared" si="203"/>
        <v>0</v>
      </c>
      <c r="G424" s="501">
        <f t="shared" si="211"/>
        <v>0</v>
      </c>
      <c r="H424" s="501">
        <f t="shared" si="212"/>
        <v>0</v>
      </c>
      <c r="I424" s="501"/>
      <c r="J424" s="501">
        <f t="shared" si="189"/>
        <v>0</v>
      </c>
      <c r="K424" s="501"/>
      <c r="L424" s="501"/>
      <c r="M424" s="501">
        <f t="shared" ref="M424:M429" si="213">N424+O424</f>
        <v>0</v>
      </c>
      <c r="N424" s="501"/>
      <c r="O424" s="501"/>
      <c r="P424" s="501"/>
      <c r="Q424" s="501"/>
      <c r="R424" s="501"/>
      <c r="S424" s="501"/>
      <c r="T424" s="502"/>
      <c r="U424" s="501"/>
      <c r="V424" s="507">
        <f t="shared" si="206"/>
        <v>0</v>
      </c>
      <c r="W424" s="585" t="s">
        <v>358</v>
      </c>
      <c r="X424" s="449"/>
      <c r="Y424" s="449"/>
      <c r="Z424" s="449"/>
      <c r="AA424" s="449"/>
      <c r="AB424" s="449"/>
      <c r="AC424" s="449"/>
      <c r="AD424" s="449"/>
      <c r="AE424" s="449"/>
      <c r="AF424" s="449"/>
      <c r="AG424" s="449"/>
    </row>
    <row r="425" spans="1:33" s="455" customFormat="1" ht="30.75" customHeight="1">
      <c r="A425" s="456" t="s">
        <v>11</v>
      </c>
      <c r="B425" s="457" t="s">
        <v>877</v>
      </c>
      <c r="C425" s="453">
        <v>1500</v>
      </c>
      <c r="D425" s="454"/>
      <c r="E425" s="501">
        <f>G425+R425</f>
        <v>1500</v>
      </c>
      <c r="F425" s="501">
        <f t="shared" si="203"/>
        <v>0</v>
      </c>
      <c r="G425" s="501">
        <f>H425+P425+Q425</f>
        <v>1500</v>
      </c>
      <c r="H425" s="501">
        <f>J425+M425</f>
        <v>1500</v>
      </c>
      <c r="I425" s="501"/>
      <c r="J425" s="501">
        <f>K425+L425</f>
        <v>0</v>
      </c>
      <c r="K425" s="501"/>
      <c r="L425" s="501"/>
      <c r="M425" s="501">
        <f t="shared" si="213"/>
        <v>1500</v>
      </c>
      <c r="N425" s="501"/>
      <c r="O425" s="501">
        <v>1500</v>
      </c>
      <c r="P425" s="501"/>
      <c r="Q425" s="501"/>
      <c r="R425" s="501"/>
      <c r="S425" s="501">
        <v>0</v>
      </c>
      <c r="T425" s="502"/>
      <c r="U425" s="501"/>
      <c r="V425" s="507">
        <f t="shared" si="206"/>
        <v>1500</v>
      </c>
      <c r="W425" s="585" t="s">
        <v>371</v>
      </c>
      <c r="X425" s="449"/>
      <c r="Y425" s="449"/>
      <c r="Z425" s="449"/>
      <c r="AA425" s="449"/>
      <c r="AB425" s="449"/>
      <c r="AC425" s="449"/>
      <c r="AD425" s="449"/>
      <c r="AE425" s="449"/>
      <c r="AF425" s="449"/>
      <c r="AG425" s="449"/>
    </row>
    <row r="426" spans="1:33" s="455" customFormat="1" ht="30.75" customHeight="1">
      <c r="A426" s="456" t="s">
        <v>11</v>
      </c>
      <c r="B426" s="457" t="s">
        <v>372</v>
      </c>
      <c r="C426" s="453">
        <v>100</v>
      </c>
      <c r="D426" s="454"/>
      <c r="E426" s="501">
        <f t="shared" si="210"/>
        <v>100</v>
      </c>
      <c r="F426" s="501">
        <f t="shared" si="203"/>
        <v>0</v>
      </c>
      <c r="G426" s="501">
        <f t="shared" si="211"/>
        <v>100</v>
      </c>
      <c r="H426" s="501">
        <f t="shared" si="212"/>
        <v>100</v>
      </c>
      <c r="I426" s="501"/>
      <c r="J426" s="501">
        <f t="shared" si="189"/>
        <v>0</v>
      </c>
      <c r="K426" s="501"/>
      <c r="L426" s="501"/>
      <c r="M426" s="501">
        <f t="shared" si="213"/>
        <v>100</v>
      </c>
      <c r="N426" s="501"/>
      <c r="O426" s="501">
        <v>100</v>
      </c>
      <c r="P426" s="501"/>
      <c r="Q426" s="501"/>
      <c r="R426" s="501"/>
      <c r="S426" s="501">
        <v>0</v>
      </c>
      <c r="T426" s="502"/>
      <c r="U426" s="501"/>
      <c r="V426" s="507">
        <f t="shared" si="206"/>
        <v>100</v>
      </c>
      <c r="W426" s="585" t="s">
        <v>373</v>
      </c>
      <c r="X426" s="449"/>
      <c r="Y426" s="449"/>
      <c r="Z426" s="449"/>
      <c r="AA426" s="449"/>
      <c r="AB426" s="449"/>
      <c r="AC426" s="449"/>
      <c r="AD426" s="449"/>
      <c r="AE426" s="449"/>
      <c r="AF426" s="449"/>
      <c r="AG426" s="449"/>
    </row>
    <row r="427" spans="1:33" s="455" customFormat="1" ht="30" customHeight="1">
      <c r="A427" s="456" t="s">
        <v>11</v>
      </c>
      <c r="B427" s="457" t="s">
        <v>878</v>
      </c>
      <c r="C427" s="453">
        <v>16</v>
      </c>
      <c r="D427" s="454"/>
      <c r="E427" s="501">
        <f t="shared" si="210"/>
        <v>16</v>
      </c>
      <c r="F427" s="501">
        <f t="shared" si="203"/>
        <v>0</v>
      </c>
      <c r="G427" s="501">
        <f t="shared" si="211"/>
        <v>16</v>
      </c>
      <c r="H427" s="501">
        <f t="shared" si="212"/>
        <v>16</v>
      </c>
      <c r="I427" s="501"/>
      <c r="J427" s="501">
        <f t="shared" si="189"/>
        <v>0</v>
      </c>
      <c r="K427" s="501"/>
      <c r="L427" s="501"/>
      <c r="M427" s="501">
        <f t="shared" si="213"/>
        <v>16</v>
      </c>
      <c r="N427" s="501"/>
      <c r="O427" s="501">
        <v>16</v>
      </c>
      <c r="P427" s="501"/>
      <c r="Q427" s="501"/>
      <c r="R427" s="501"/>
      <c r="S427" s="501">
        <v>0</v>
      </c>
      <c r="T427" s="502"/>
      <c r="U427" s="501"/>
      <c r="V427" s="507">
        <f t="shared" si="206"/>
        <v>16</v>
      </c>
      <c r="W427" s="585" t="s">
        <v>374</v>
      </c>
      <c r="X427" s="449"/>
      <c r="Y427" s="449"/>
      <c r="Z427" s="449"/>
      <c r="AA427" s="449"/>
      <c r="AB427" s="449"/>
      <c r="AC427" s="449"/>
      <c r="AD427" s="449"/>
      <c r="AE427" s="449"/>
      <c r="AF427" s="449"/>
      <c r="AG427" s="449"/>
    </row>
    <row r="428" spans="1:33" s="455" customFormat="1" ht="76.5" customHeight="1">
      <c r="A428" s="456" t="s">
        <v>11</v>
      </c>
      <c r="B428" s="457" t="s">
        <v>879</v>
      </c>
      <c r="C428" s="453">
        <v>22</v>
      </c>
      <c r="D428" s="454"/>
      <c r="E428" s="501">
        <f>G428+R428</f>
        <v>30</v>
      </c>
      <c r="F428" s="501">
        <f t="shared" si="203"/>
        <v>8</v>
      </c>
      <c r="G428" s="501">
        <f>H428+P428+Q428</f>
        <v>30</v>
      </c>
      <c r="H428" s="501">
        <f>J428+M428</f>
        <v>30</v>
      </c>
      <c r="I428" s="501"/>
      <c r="J428" s="501">
        <f>K428+L428</f>
        <v>0</v>
      </c>
      <c r="K428" s="501"/>
      <c r="L428" s="501"/>
      <c r="M428" s="501">
        <f>N428+O428</f>
        <v>30</v>
      </c>
      <c r="N428" s="501"/>
      <c r="O428" s="501">
        <v>30</v>
      </c>
      <c r="P428" s="501"/>
      <c r="Q428" s="501"/>
      <c r="R428" s="501"/>
      <c r="S428" s="501">
        <v>0</v>
      </c>
      <c r="T428" s="502"/>
      <c r="U428" s="501"/>
      <c r="V428" s="501">
        <f t="shared" si="206"/>
        <v>30</v>
      </c>
      <c r="W428" s="584" t="s">
        <v>962</v>
      </c>
      <c r="X428" s="449"/>
      <c r="Y428" s="449"/>
      <c r="Z428" s="449"/>
      <c r="AA428" s="449"/>
      <c r="AB428" s="449"/>
      <c r="AC428" s="449"/>
      <c r="AD428" s="449"/>
      <c r="AE428" s="449"/>
      <c r="AF428" s="449"/>
      <c r="AG428" s="449"/>
    </row>
    <row r="429" spans="1:33" s="455" customFormat="1" ht="17.25" customHeight="1">
      <c r="A429" s="456" t="s">
        <v>11</v>
      </c>
      <c r="B429" s="457" t="s">
        <v>375</v>
      </c>
      <c r="C429" s="453">
        <v>20</v>
      </c>
      <c r="D429" s="454"/>
      <c r="E429" s="501">
        <f t="shared" si="210"/>
        <v>20</v>
      </c>
      <c r="F429" s="501">
        <f t="shared" si="203"/>
        <v>0</v>
      </c>
      <c r="G429" s="501">
        <f t="shared" si="211"/>
        <v>20</v>
      </c>
      <c r="H429" s="501">
        <f t="shared" si="212"/>
        <v>20</v>
      </c>
      <c r="I429" s="501"/>
      <c r="J429" s="501">
        <f t="shared" si="189"/>
        <v>0</v>
      </c>
      <c r="K429" s="501"/>
      <c r="L429" s="501"/>
      <c r="M429" s="501">
        <f t="shared" si="213"/>
        <v>20</v>
      </c>
      <c r="N429" s="501"/>
      <c r="O429" s="501">
        <v>20</v>
      </c>
      <c r="P429" s="501"/>
      <c r="Q429" s="501"/>
      <c r="R429" s="501"/>
      <c r="S429" s="501">
        <v>0</v>
      </c>
      <c r="T429" s="502"/>
      <c r="U429" s="501"/>
      <c r="V429" s="507">
        <f t="shared" si="206"/>
        <v>20</v>
      </c>
      <c r="W429" s="588" t="s">
        <v>297</v>
      </c>
      <c r="X429" s="449"/>
      <c r="Y429" s="449"/>
      <c r="Z429" s="449"/>
      <c r="AA429" s="449"/>
      <c r="AB429" s="449"/>
      <c r="AC429" s="449"/>
      <c r="AD429" s="449"/>
      <c r="AE429" s="449"/>
      <c r="AF429" s="449"/>
      <c r="AG429" s="449"/>
    </row>
    <row r="430" spans="1:33" s="455" customFormat="1" ht="26.25" customHeight="1">
      <c r="A430" s="456" t="s">
        <v>376</v>
      </c>
      <c r="B430" s="486" t="s">
        <v>4</v>
      </c>
      <c r="C430" s="453">
        <f>SUM(C431:C432)</f>
        <v>6774.3099999999995</v>
      </c>
      <c r="D430" s="453">
        <f t="shared" ref="D430" si="214">SUM(D431:D432)</f>
        <v>0</v>
      </c>
      <c r="E430" s="501">
        <f>SUM(E431:E432)</f>
        <v>5355</v>
      </c>
      <c r="F430" s="501">
        <f t="shared" ref="F430:V430" si="215">SUM(F431:F432)</f>
        <v>-1419.31</v>
      </c>
      <c r="G430" s="501">
        <f t="shared" si="215"/>
        <v>5355</v>
      </c>
      <c r="H430" s="501">
        <f t="shared" si="215"/>
        <v>5355</v>
      </c>
      <c r="I430" s="501">
        <f t="shared" si="215"/>
        <v>0</v>
      </c>
      <c r="J430" s="501">
        <f t="shared" si="215"/>
        <v>5355</v>
      </c>
      <c r="K430" s="501">
        <f t="shared" si="215"/>
        <v>0</v>
      </c>
      <c r="L430" s="501">
        <f t="shared" si="215"/>
        <v>0</v>
      </c>
      <c r="M430" s="501">
        <f t="shared" si="215"/>
        <v>0</v>
      </c>
      <c r="N430" s="501">
        <f t="shared" si="215"/>
        <v>0</v>
      </c>
      <c r="O430" s="501">
        <f t="shared" si="215"/>
        <v>0</v>
      </c>
      <c r="P430" s="501">
        <f t="shared" si="215"/>
        <v>0</v>
      </c>
      <c r="Q430" s="501">
        <f t="shared" si="215"/>
        <v>0</v>
      </c>
      <c r="R430" s="501">
        <f t="shared" si="215"/>
        <v>0</v>
      </c>
      <c r="S430" s="501">
        <f t="shared" si="215"/>
        <v>-4906.5</v>
      </c>
      <c r="T430" s="501">
        <f t="shared" si="215"/>
        <v>0</v>
      </c>
      <c r="U430" s="501">
        <f t="shared" si="215"/>
        <v>0</v>
      </c>
      <c r="V430" s="501">
        <f t="shared" si="215"/>
        <v>10261.5</v>
      </c>
      <c r="W430" s="448"/>
      <c r="X430" s="449">
        <f>V430-W430</f>
        <v>10261.5</v>
      </c>
      <c r="Y430" s="449"/>
      <c r="Z430" s="449"/>
      <c r="AA430" s="449"/>
      <c r="AB430" s="449"/>
      <c r="AC430" s="449"/>
      <c r="AD430" s="449"/>
      <c r="AE430" s="449"/>
      <c r="AF430" s="449"/>
      <c r="AG430" s="449"/>
    </row>
    <row r="431" spans="1:33" s="455" customFormat="1" ht="21" customHeight="1">
      <c r="A431" s="456" t="s">
        <v>11</v>
      </c>
      <c r="B431" s="486" t="s">
        <v>377</v>
      </c>
      <c r="C431" s="453">
        <v>3815</v>
      </c>
      <c r="D431" s="454"/>
      <c r="E431" s="501">
        <f>G431+R431</f>
        <v>5355</v>
      </c>
      <c r="F431" s="501">
        <f t="shared" si="203"/>
        <v>1540</v>
      </c>
      <c r="G431" s="501">
        <f>H431+P431+Q431</f>
        <v>5355</v>
      </c>
      <c r="H431" s="501">
        <f>J431+M431</f>
        <v>5355</v>
      </c>
      <c r="I431" s="501"/>
      <c r="J431" s="501">
        <f>1190+4165</f>
        <v>5355</v>
      </c>
      <c r="K431" s="501"/>
      <c r="L431" s="501"/>
      <c r="M431" s="501">
        <f>N431+O431</f>
        <v>0</v>
      </c>
      <c r="N431" s="509"/>
      <c r="O431" s="501"/>
      <c r="P431" s="501"/>
      <c r="Q431" s="501"/>
      <c r="R431" s="501"/>
      <c r="S431" s="501"/>
      <c r="T431" s="502"/>
      <c r="U431" s="501"/>
      <c r="V431" s="507">
        <f t="shared" si="206"/>
        <v>5355</v>
      </c>
      <c r="W431" s="588"/>
      <c r="X431" s="449"/>
      <c r="Y431" s="449"/>
      <c r="Z431" s="449"/>
      <c r="AA431" s="449"/>
      <c r="AB431" s="449"/>
      <c r="AC431" s="449"/>
      <c r="AD431" s="449"/>
      <c r="AE431" s="449"/>
      <c r="AF431" s="449"/>
      <c r="AG431" s="449"/>
    </row>
    <row r="432" spans="1:33" s="455" customFormat="1" ht="27.75" customHeight="1">
      <c r="A432" s="456" t="s">
        <v>11</v>
      </c>
      <c r="B432" s="457" t="s">
        <v>942</v>
      </c>
      <c r="C432" s="453">
        <v>2959.31</v>
      </c>
      <c r="D432" s="454"/>
      <c r="E432" s="501">
        <f>G432</f>
        <v>0</v>
      </c>
      <c r="F432" s="501">
        <f t="shared" si="203"/>
        <v>-2959.31</v>
      </c>
      <c r="G432" s="501">
        <f>H432+P432+Q432</f>
        <v>0</v>
      </c>
      <c r="H432" s="501">
        <f>J432+M432</f>
        <v>0</v>
      </c>
      <c r="I432" s="501"/>
      <c r="J432" s="501">
        <f>K432+L432</f>
        <v>0</v>
      </c>
      <c r="K432" s="501"/>
      <c r="L432" s="501"/>
      <c r="M432" s="501">
        <f>N432+O432</f>
        <v>0</v>
      </c>
      <c r="N432" s="509"/>
      <c r="O432" s="501"/>
      <c r="P432" s="501"/>
      <c r="Q432" s="501"/>
      <c r="R432" s="501"/>
      <c r="S432" s="501">
        <v>-4906.5</v>
      </c>
      <c r="T432" s="502"/>
      <c r="U432" s="501"/>
      <c r="V432" s="507">
        <f t="shared" si="206"/>
        <v>4906.5</v>
      </c>
      <c r="W432" s="588"/>
      <c r="X432" s="449"/>
      <c r="Y432" s="449"/>
      <c r="Z432" s="449"/>
      <c r="AA432" s="449"/>
      <c r="AB432" s="449"/>
      <c r="AC432" s="449"/>
      <c r="AD432" s="449"/>
      <c r="AE432" s="449"/>
      <c r="AF432" s="449"/>
      <c r="AG432" s="449"/>
    </row>
    <row r="433" spans="1:33" s="455" customFormat="1" ht="17.25" customHeight="1">
      <c r="A433" s="451" t="s">
        <v>13</v>
      </c>
      <c r="B433" s="452" t="s">
        <v>378</v>
      </c>
      <c r="C433" s="453">
        <v>4624</v>
      </c>
      <c r="D433" s="454"/>
      <c r="E433" s="501">
        <f>G433+R433</f>
        <v>5849</v>
      </c>
      <c r="F433" s="501">
        <f t="shared" si="203"/>
        <v>1225</v>
      </c>
      <c r="G433" s="501">
        <f t="shared" si="211"/>
        <v>5849</v>
      </c>
      <c r="H433" s="501">
        <f t="shared" si="212"/>
        <v>5849</v>
      </c>
      <c r="I433" s="501"/>
      <c r="J433" s="501">
        <f>K433+L433</f>
        <v>0</v>
      </c>
      <c r="K433" s="501"/>
      <c r="L433" s="501"/>
      <c r="M433" s="501">
        <f>N433+O433</f>
        <v>5849</v>
      </c>
      <c r="N433" s="501"/>
      <c r="O433" s="501">
        <f>7063-'[9]08 XA'!C75</f>
        <v>5849</v>
      </c>
      <c r="P433" s="501"/>
      <c r="Q433" s="501"/>
      <c r="R433" s="501"/>
      <c r="S433" s="501"/>
      <c r="T433" s="502"/>
      <c r="U433" s="501"/>
      <c r="V433" s="501">
        <f t="shared" si="206"/>
        <v>5849</v>
      </c>
      <c r="W433" s="448"/>
      <c r="X433" s="449">
        <f>V433-W433</f>
        <v>5849</v>
      </c>
      <c r="Y433" s="449"/>
      <c r="Z433" s="449"/>
      <c r="AA433" s="449"/>
      <c r="AB433" s="449"/>
      <c r="AC433" s="449"/>
      <c r="AD433" s="449"/>
      <c r="AE433" s="449"/>
      <c r="AF433" s="449"/>
      <c r="AG433" s="449"/>
    </row>
    <row r="434" spans="1:33" s="455" customFormat="1" ht="17.25" hidden="1" customHeight="1">
      <c r="A434" s="451" t="s">
        <v>9</v>
      </c>
      <c r="B434" s="452" t="s">
        <v>379</v>
      </c>
      <c r="C434" s="453">
        <f>C435+C438+C442+C443</f>
        <v>0</v>
      </c>
      <c r="D434" s="454"/>
      <c r="E434" s="501">
        <f>E435+E438+E442+E443</f>
        <v>0</v>
      </c>
      <c r="F434" s="501">
        <f t="shared" si="203"/>
        <v>0</v>
      </c>
      <c r="G434" s="501">
        <f t="shared" ref="G434:R434" si="216">G435+G438+G442+G443</f>
        <v>0</v>
      </c>
      <c r="H434" s="501">
        <f t="shared" si="216"/>
        <v>0</v>
      </c>
      <c r="I434" s="501">
        <f t="shared" si="216"/>
        <v>0</v>
      </c>
      <c r="J434" s="501">
        <f t="shared" si="216"/>
        <v>0</v>
      </c>
      <c r="K434" s="501">
        <f t="shared" si="216"/>
        <v>0</v>
      </c>
      <c r="L434" s="501"/>
      <c r="M434" s="501">
        <f t="shared" si="216"/>
        <v>0</v>
      </c>
      <c r="N434" s="501">
        <f t="shared" si="216"/>
        <v>0</v>
      </c>
      <c r="O434" s="501">
        <f t="shared" si="216"/>
        <v>0</v>
      </c>
      <c r="P434" s="501">
        <f t="shared" si="216"/>
        <v>0</v>
      </c>
      <c r="Q434" s="501">
        <f t="shared" si="216"/>
        <v>0</v>
      </c>
      <c r="R434" s="501">
        <f t="shared" si="216"/>
        <v>0</v>
      </c>
      <c r="S434" s="501"/>
      <c r="T434" s="502"/>
      <c r="U434" s="501"/>
      <c r="V434" s="507">
        <f t="shared" si="206"/>
        <v>0</v>
      </c>
      <c r="W434" s="585" t="s">
        <v>380</v>
      </c>
      <c r="X434" s="449"/>
      <c r="Y434" s="449"/>
      <c r="Z434" s="449"/>
      <c r="AA434" s="449"/>
      <c r="AB434" s="449"/>
      <c r="AC434" s="449"/>
      <c r="AD434" s="449"/>
      <c r="AE434" s="449"/>
      <c r="AF434" s="449"/>
      <c r="AG434" s="449"/>
    </row>
    <row r="435" spans="1:33" s="455" customFormat="1" ht="16.5" hidden="1" customHeight="1">
      <c r="A435" s="451">
        <v>1</v>
      </c>
      <c r="B435" s="452" t="s">
        <v>381</v>
      </c>
      <c r="C435" s="453">
        <f>SUM(C436:C437)</f>
        <v>0</v>
      </c>
      <c r="D435" s="484" t="s">
        <v>382</v>
      </c>
      <c r="E435" s="501">
        <f t="shared" ref="E435:R435" si="217">SUM(E436:E437)</f>
        <v>0</v>
      </c>
      <c r="F435" s="501">
        <f t="shared" si="203"/>
        <v>0</v>
      </c>
      <c r="G435" s="501">
        <f t="shared" si="217"/>
        <v>0</v>
      </c>
      <c r="H435" s="501">
        <f t="shared" si="217"/>
        <v>0</v>
      </c>
      <c r="I435" s="501">
        <f t="shared" si="217"/>
        <v>0</v>
      </c>
      <c r="J435" s="501">
        <f t="shared" si="217"/>
        <v>0</v>
      </c>
      <c r="K435" s="501">
        <f t="shared" si="217"/>
        <v>0</v>
      </c>
      <c r="L435" s="501"/>
      <c r="M435" s="501">
        <f>SUM(M436:M437)</f>
        <v>0</v>
      </c>
      <c r="N435" s="501">
        <f t="shared" si="217"/>
        <v>0</v>
      </c>
      <c r="O435" s="501">
        <f t="shared" si="217"/>
        <v>0</v>
      </c>
      <c r="P435" s="501">
        <f t="shared" si="217"/>
        <v>0</v>
      </c>
      <c r="Q435" s="501">
        <f t="shared" si="217"/>
        <v>0</v>
      </c>
      <c r="R435" s="501">
        <f t="shared" si="217"/>
        <v>0</v>
      </c>
      <c r="S435" s="501"/>
      <c r="T435" s="502"/>
      <c r="U435" s="501"/>
      <c r="V435" s="507">
        <f t="shared" si="206"/>
        <v>0</v>
      </c>
      <c r="W435" s="585"/>
      <c r="X435" s="449"/>
      <c r="Y435" s="449"/>
      <c r="Z435" s="449"/>
      <c r="AA435" s="449"/>
      <c r="AB435" s="449"/>
      <c r="AC435" s="449"/>
      <c r="AD435" s="449"/>
      <c r="AE435" s="449"/>
      <c r="AF435" s="449"/>
      <c r="AG435" s="449"/>
    </row>
    <row r="436" spans="1:33" s="455" customFormat="1" ht="16.5" hidden="1" customHeight="1">
      <c r="A436" s="451" t="s">
        <v>11</v>
      </c>
      <c r="B436" s="452" t="s">
        <v>383</v>
      </c>
      <c r="C436" s="453"/>
      <c r="D436" s="451"/>
      <c r="E436" s="501">
        <f>G436+R436</f>
        <v>0</v>
      </c>
      <c r="F436" s="501">
        <f t="shared" si="203"/>
        <v>0</v>
      </c>
      <c r="G436" s="501">
        <f>H436+P436+Q436</f>
        <v>0</v>
      </c>
      <c r="H436" s="501">
        <f>J436+M436</f>
        <v>0</v>
      </c>
      <c r="I436" s="501"/>
      <c r="J436" s="501">
        <f t="shared" si="189"/>
        <v>0</v>
      </c>
      <c r="K436" s="501"/>
      <c r="L436" s="501"/>
      <c r="M436" s="501">
        <f>N436+O436</f>
        <v>0</v>
      </c>
      <c r="N436" s="501"/>
      <c r="O436" s="501"/>
      <c r="P436" s="501"/>
      <c r="Q436" s="501"/>
      <c r="R436" s="501"/>
      <c r="S436" s="501"/>
      <c r="T436" s="502"/>
      <c r="U436" s="501"/>
      <c r="V436" s="507">
        <f t="shared" si="206"/>
        <v>0</v>
      </c>
      <c r="W436" s="585"/>
      <c r="X436" s="449"/>
      <c r="Y436" s="449"/>
      <c r="Z436" s="449"/>
      <c r="AA436" s="449"/>
      <c r="AB436" s="449"/>
      <c r="AC436" s="449"/>
      <c r="AD436" s="449"/>
      <c r="AE436" s="449"/>
      <c r="AF436" s="449"/>
      <c r="AG436" s="449"/>
    </row>
    <row r="437" spans="1:33" s="455" customFormat="1" ht="16.5" hidden="1" customHeight="1">
      <c r="A437" s="451" t="s">
        <v>11</v>
      </c>
      <c r="B437" s="452" t="s">
        <v>384</v>
      </c>
      <c r="C437" s="453"/>
      <c r="D437" s="451"/>
      <c r="E437" s="501">
        <f>G437+R437</f>
        <v>0</v>
      </c>
      <c r="F437" s="501">
        <f t="shared" si="203"/>
        <v>0</v>
      </c>
      <c r="G437" s="501">
        <f>H437+P437+Q437</f>
        <v>0</v>
      </c>
      <c r="H437" s="501">
        <f>J437+M437</f>
        <v>0</v>
      </c>
      <c r="I437" s="501"/>
      <c r="J437" s="501">
        <f t="shared" si="189"/>
        <v>0</v>
      </c>
      <c r="K437" s="501"/>
      <c r="L437" s="501"/>
      <c r="M437" s="501">
        <f>N437+O437</f>
        <v>0</v>
      </c>
      <c r="N437" s="501"/>
      <c r="O437" s="501"/>
      <c r="P437" s="501"/>
      <c r="Q437" s="501"/>
      <c r="R437" s="501"/>
      <c r="S437" s="501"/>
      <c r="T437" s="502"/>
      <c r="U437" s="501"/>
      <c r="V437" s="507">
        <f t="shared" si="206"/>
        <v>0</v>
      </c>
      <c r="W437" s="585"/>
      <c r="X437" s="449"/>
      <c r="Y437" s="449"/>
      <c r="Z437" s="449"/>
      <c r="AA437" s="449"/>
      <c r="AB437" s="449"/>
      <c r="AC437" s="449"/>
      <c r="AD437" s="449"/>
      <c r="AE437" s="449"/>
      <c r="AF437" s="449"/>
      <c r="AG437" s="449"/>
    </row>
    <row r="438" spans="1:33" s="455" customFormat="1" ht="16.5" hidden="1" customHeight="1">
      <c r="A438" s="451">
        <v>2</v>
      </c>
      <c r="B438" s="452" t="s">
        <v>385</v>
      </c>
      <c r="C438" s="453">
        <f>C439</f>
        <v>0</v>
      </c>
      <c r="D438" s="484" t="s">
        <v>386</v>
      </c>
      <c r="E438" s="501">
        <f>E439</f>
        <v>0</v>
      </c>
      <c r="F438" s="501">
        <f t="shared" si="203"/>
        <v>0</v>
      </c>
      <c r="G438" s="501">
        <f t="shared" ref="G438:R438" si="218">G439</f>
        <v>0</v>
      </c>
      <c r="H438" s="501">
        <f t="shared" si="218"/>
        <v>0</v>
      </c>
      <c r="I438" s="501">
        <f t="shared" si="218"/>
        <v>0</v>
      </c>
      <c r="J438" s="501">
        <f t="shared" si="218"/>
        <v>0</v>
      </c>
      <c r="K438" s="501">
        <f t="shared" si="218"/>
        <v>0</v>
      </c>
      <c r="L438" s="501"/>
      <c r="M438" s="501">
        <f t="shared" si="218"/>
        <v>0</v>
      </c>
      <c r="N438" s="501">
        <f t="shared" si="218"/>
        <v>0</v>
      </c>
      <c r="O438" s="501">
        <f t="shared" si="218"/>
        <v>0</v>
      </c>
      <c r="P438" s="501">
        <f t="shared" si="218"/>
        <v>0</v>
      </c>
      <c r="Q438" s="501">
        <f t="shared" si="218"/>
        <v>0</v>
      </c>
      <c r="R438" s="501">
        <f t="shared" si="218"/>
        <v>0</v>
      </c>
      <c r="S438" s="501"/>
      <c r="T438" s="502"/>
      <c r="U438" s="501"/>
      <c r="V438" s="507">
        <f t="shared" si="206"/>
        <v>0</v>
      </c>
      <c r="W438" s="585"/>
      <c r="X438" s="449"/>
      <c r="Y438" s="449"/>
      <c r="Z438" s="449"/>
      <c r="AA438" s="449"/>
      <c r="AB438" s="449"/>
      <c r="AC438" s="449"/>
      <c r="AD438" s="449"/>
      <c r="AE438" s="449"/>
      <c r="AF438" s="449"/>
      <c r="AG438" s="449"/>
    </row>
    <row r="439" spans="1:33" s="455" customFormat="1" ht="16.5" hidden="1" customHeight="1">
      <c r="A439" s="456" t="s">
        <v>11</v>
      </c>
      <c r="B439" s="452" t="s">
        <v>102</v>
      </c>
      <c r="C439" s="453">
        <f t="shared" ref="C439:R439" si="219">SUM(C440:C441)</f>
        <v>0</v>
      </c>
      <c r="D439" s="454"/>
      <c r="E439" s="501">
        <f t="shared" si="219"/>
        <v>0</v>
      </c>
      <c r="F439" s="501">
        <f t="shared" si="203"/>
        <v>0</v>
      </c>
      <c r="G439" s="501">
        <f t="shared" si="219"/>
        <v>0</v>
      </c>
      <c r="H439" s="501">
        <f t="shared" si="219"/>
        <v>0</v>
      </c>
      <c r="I439" s="501">
        <f t="shared" si="219"/>
        <v>0</v>
      </c>
      <c r="J439" s="501">
        <f t="shared" si="219"/>
        <v>0</v>
      </c>
      <c r="K439" s="501">
        <f t="shared" si="219"/>
        <v>0</v>
      </c>
      <c r="L439" s="501"/>
      <c r="M439" s="501">
        <f t="shared" si="219"/>
        <v>0</v>
      </c>
      <c r="N439" s="501">
        <f t="shared" si="219"/>
        <v>0</v>
      </c>
      <c r="O439" s="501">
        <f t="shared" si="219"/>
        <v>0</v>
      </c>
      <c r="P439" s="501">
        <f t="shared" si="219"/>
        <v>0</v>
      </c>
      <c r="Q439" s="501">
        <f t="shared" si="219"/>
        <v>0</v>
      </c>
      <c r="R439" s="501">
        <f t="shared" si="219"/>
        <v>0</v>
      </c>
      <c r="S439" s="501"/>
      <c r="T439" s="502"/>
      <c r="U439" s="501"/>
      <c r="V439" s="507">
        <f t="shared" si="206"/>
        <v>0</v>
      </c>
      <c r="W439" s="585"/>
      <c r="X439" s="449"/>
      <c r="Y439" s="449"/>
      <c r="Z439" s="449"/>
      <c r="AA439" s="449"/>
      <c r="AB439" s="449"/>
      <c r="AC439" s="449"/>
      <c r="AD439" s="449"/>
      <c r="AE439" s="449"/>
      <c r="AF439" s="449"/>
      <c r="AG439" s="449"/>
    </row>
    <row r="440" spans="1:33" s="455" customFormat="1" ht="16.5" hidden="1" customHeight="1">
      <c r="A440" s="451" t="s">
        <v>51</v>
      </c>
      <c r="B440" s="452" t="s">
        <v>383</v>
      </c>
      <c r="C440" s="453"/>
      <c r="D440" s="451"/>
      <c r="E440" s="501">
        <f>G440+R440</f>
        <v>0</v>
      </c>
      <c r="F440" s="501">
        <f t="shared" si="203"/>
        <v>0</v>
      </c>
      <c r="G440" s="501">
        <f>H440+P440+Q440</f>
        <v>0</v>
      </c>
      <c r="H440" s="501">
        <f>J440+M440</f>
        <v>0</v>
      </c>
      <c r="I440" s="501"/>
      <c r="J440" s="501">
        <f>K440+L440</f>
        <v>0</v>
      </c>
      <c r="K440" s="501"/>
      <c r="L440" s="501"/>
      <c r="M440" s="501">
        <f>N440+O440</f>
        <v>0</v>
      </c>
      <c r="N440" s="501"/>
      <c r="O440" s="501"/>
      <c r="P440" s="501"/>
      <c r="Q440" s="501"/>
      <c r="R440" s="501"/>
      <c r="S440" s="501"/>
      <c r="T440" s="502"/>
      <c r="U440" s="501"/>
      <c r="V440" s="507">
        <f t="shared" si="206"/>
        <v>0</v>
      </c>
      <c r="W440" s="585"/>
      <c r="X440" s="449"/>
      <c r="Y440" s="449"/>
      <c r="Z440" s="449"/>
      <c r="AA440" s="449"/>
      <c r="AB440" s="449"/>
      <c r="AC440" s="449"/>
      <c r="AD440" s="449"/>
      <c r="AE440" s="449"/>
      <c r="AF440" s="449"/>
      <c r="AG440" s="449"/>
    </row>
    <row r="441" spans="1:33" s="455" customFormat="1" ht="16.5" hidden="1" customHeight="1">
      <c r="A441" s="451" t="s">
        <v>51</v>
      </c>
      <c r="B441" s="452" t="s">
        <v>384</v>
      </c>
      <c r="C441" s="453"/>
      <c r="D441" s="451"/>
      <c r="E441" s="501">
        <f>G441+R441</f>
        <v>0</v>
      </c>
      <c r="F441" s="501">
        <f t="shared" si="203"/>
        <v>0</v>
      </c>
      <c r="G441" s="501">
        <f>H441+P441+Q441</f>
        <v>0</v>
      </c>
      <c r="H441" s="501">
        <f>J441+M441</f>
        <v>0</v>
      </c>
      <c r="I441" s="501"/>
      <c r="J441" s="501">
        <f>K441+L441</f>
        <v>0</v>
      </c>
      <c r="K441" s="501"/>
      <c r="L441" s="501"/>
      <c r="M441" s="501">
        <f>N441+O441</f>
        <v>0</v>
      </c>
      <c r="N441" s="501"/>
      <c r="O441" s="501"/>
      <c r="P441" s="501"/>
      <c r="Q441" s="501"/>
      <c r="R441" s="501"/>
      <c r="S441" s="501"/>
      <c r="T441" s="502"/>
      <c r="U441" s="501"/>
      <c r="V441" s="507">
        <f t="shared" si="206"/>
        <v>0</v>
      </c>
      <c r="W441" s="585"/>
      <c r="X441" s="449"/>
      <c r="Y441" s="449"/>
      <c r="Z441" s="449"/>
      <c r="AA441" s="449"/>
      <c r="AB441" s="449"/>
      <c r="AC441" s="449"/>
      <c r="AD441" s="449"/>
      <c r="AE441" s="449"/>
      <c r="AF441" s="449"/>
      <c r="AG441" s="449"/>
    </row>
    <row r="442" spans="1:33" s="455" customFormat="1" ht="16.5" hidden="1" customHeight="1">
      <c r="A442" s="451">
        <v>4</v>
      </c>
      <c r="B442" s="467" t="s">
        <v>387</v>
      </c>
      <c r="C442" s="453"/>
      <c r="D442" s="451"/>
      <c r="E442" s="501">
        <f>G442+R442</f>
        <v>0</v>
      </c>
      <c r="F442" s="501">
        <f t="shared" si="203"/>
        <v>0</v>
      </c>
      <c r="G442" s="501"/>
      <c r="H442" s="501"/>
      <c r="I442" s="501"/>
      <c r="J442" s="501">
        <f>K442+L442</f>
        <v>0</v>
      </c>
      <c r="K442" s="501"/>
      <c r="L442" s="501"/>
      <c r="M442" s="501"/>
      <c r="N442" s="501"/>
      <c r="O442" s="501"/>
      <c r="P442" s="501"/>
      <c r="Q442" s="501"/>
      <c r="R442" s="501"/>
      <c r="S442" s="501"/>
      <c r="T442" s="502"/>
      <c r="U442" s="501"/>
      <c r="V442" s="507">
        <f t="shared" si="206"/>
        <v>0</v>
      </c>
      <c r="W442" s="585"/>
      <c r="X442" s="449"/>
      <c r="Y442" s="449"/>
      <c r="Z442" s="449"/>
      <c r="AA442" s="449"/>
      <c r="AB442" s="449"/>
      <c r="AC442" s="449"/>
      <c r="AD442" s="449"/>
      <c r="AE442" s="449"/>
      <c r="AF442" s="449"/>
      <c r="AG442" s="449"/>
    </row>
    <row r="443" spans="1:33" s="455" customFormat="1" ht="26.25" hidden="1" customHeight="1">
      <c r="A443" s="487">
        <v>5</v>
      </c>
      <c r="B443" s="488" t="s">
        <v>388</v>
      </c>
      <c r="C443" s="489"/>
      <c r="D443" s="487"/>
      <c r="E443" s="503">
        <f>G443+R443</f>
        <v>0</v>
      </c>
      <c r="F443" s="503">
        <f t="shared" si="203"/>
        <v>0</v>
      </c>
      <c r="G443" s="503"/>
      <c r="H443" s="503"/>
      <c r="I443" s="503"/>
      <c r="J443" s="503">
        <f>K443+L443</f>
        <v>0</v>
      </c>
      <c r="K443" s="503"/>
      <c r="L443" s="503"/>
      <c r="M443" s="503"/>
      <c r="N443" s="503"/>
      <c r="O443" s="503"/>
      <c r="P443" s="503"/>
      <c r="Q443" s="503"/>
      <c r="R443" s="503"/>
      <c r="S443" s="503"/>
      <c r="T443" s="504"/>
      <c r="U443" s="503"/>
      <c r="V443" s="507">
        <f t="shared" si="206"/>
        <v>0</v>
      </c>
      <c r="W443" s="586"/>
      <c r="X443" s="449"/>
      <c r="Y443" s="449"/>
      <c r="Z443" s="449"/>
      <c r="AA443" s="449"/>
      <c r="AB443" s="449"/>
      <c r="AC443" s="449"/>
      <c r="AD443" s="449"/>
      <c r="AE443" s="449"/>
      <c r="AF443" s="449"/>
      <c r="AG443" s="449"/>
    </row>
    <row r="444" spans="1:33" s="455" customFormat="1" ht="17.25" customHeight="1">
      <c r="A444" s="490"/>
      <c r="B444" s="590" t="s">
        <v>389</v>
      </c>
      <c r="C444" s="590">
        <f>C434+C10</f>
        <v>304741.15899999999</v>
      </c>
      <c r="D444" s="491"/>
      <c r="E444" s="511">
        <f t="shared" ref="E444:U444" si="220">E434+E10</f>
        <v>378522.00002000004</v>
      </c>
      <c r="F444" s="511">
        <f t="shared" si="220"/>
        <v>73780.841020000022</v>
      </c>
      <c r="G444" s="511">
        <f t="shared" si="220"/>
        <v>370475.00002000004</v>
      </c>
      <c r="H444" s="511">
        <f t="shared" si="220"/>
        <v>222591.83001999999</v>
      </c>
      <c r="I444" s="511">
        <f t="shared" si="220"/>
        <v>1179</v>
      </c>
      <c r="J444" s="511">
        <f t="shared" si="220"/>
        <v>173881.70702</v>
      </c>
      <c r="K444" s="511">
        <f t="shared" si="220"/>
        <v>0</v>
      </c>
      <c r="L444" s="511">
        <f t="shared" si="220"/>
        <v>0</v>
      </c>
      <c r="M444" s="511">
        <f t="shared" si="220"/>
        <v>48710.123</v>
      </c>
      <c r="N444" s="511">
        <f t="shared" si="220"/>
        <v>28908.73</v>
      </c>
      <c r="O444" s="511">
        <f t="shared" si="220"/>
        <v>19801.393</v>
      </c>
      <c r="P444" s="511">
        <f t="shared" si="220"/>
        <v>59459.17</v>
      </c>
      <c r="Q444" s="511">
        <f t="shared" si="220"/>
        <v>88424</v>
      </c>
      <c r="R444" s="511">
        <f t="shared" si="220"/>
        <v>8047</v>
      </c>
      <c r="S444" s="511">
        <f t="shared" si="220"/>
        <v>0</v>
      </c>
      <c r="T444" s="511">
        <f t="shared" si="220"/>
        <v>1714.09</v>
      </c>
      <c r="U444" s="511">
        <f t="shared" si="220"/>
        <v>1939.05</v>
      </c>
      <c r="V444" s="501">
        <f>E444+T444-U444-S444</f>
        <v>378297.04002000007</v>
      </c>
      <c r="W444" s="587">
        <f>V433+V25+V11</f>
        <v>378297.04002000001</v>
      </c>
      <c r="X444" s="449"/>
      <c r="Y444" s="449"/>
      <c r="Z444" s="449"/>
      <c r="AA444" s="449"/>
      <c r="AB444" s="449"/>
      <c r="AC444" s="449"/>
      <c r="AD444" s="449"/>
      <c r="AE444" s="449"/>
      <c r="AF444" s="449"/>
      <c r="AG444" s="449"/>
    </row>
    <row r="445" spans="1:33" hidden="1"/>
    <row r="446" spans="1:33" ht="14.25" hidden="1">
      <c r="B446" s="44" t="s">
        <v>932</v>
      </c>
      <c r="T446" s="497">
        <v>50</v>
      </c>
      <c r="V446" s="431">
        <f>E444+T444-U444</f>
        <v>378297.04002000007</v>
      </c>
    </row>
    <row r="447" spans="1:33" ht="14.25" hidden="1">
      <c r="B447" s="44" t="s">
        <v>933</v>
      </c>
      <c r="E447" s="494">
        <f>E82-620-E431</f>
        <v>68798.000020000007</v>
      </c>
      <c r="T447" s="515">
        <v>385.19</v>
      </c>
      <c r="U447" s="516">
        <v>361.84</v>
      </c>
    </row>
    <row r="448" spans="1:33" ht="28.5" hidden="1">
      <c r="B448" s="5" t="s">
        <v>934</v>
      </c>
      <c r="T448" s="515">
        <v>151.61000000000001</v>
      </c>
      <c r="U448" s="516"/>
    </row>
    <row r="449" spans="2:23" hidden="1">
      <c r="B449" s="495" t="s">
        <v>935</v>
      </c>
      <c r="T449" s="496">
        <f>T10+T446+T447+T448</f>
        <v>2300.89</v>
      </c>
      <c r="U449" s="449">
        <f>U10+U446+U447+U448</f>
        <v>2300.89</v>
      </c>
      <c r="V449" s="431">
        <f>U449-T449</f>
        <v>0</v>
      </c>
      <c r="W449" s="589">
        <f>U10-T10</f>
        <v>224.96000000000004</v>
      </c>
    </row>
    <row r="450" spans="2:23" hidden="1">
      <c r="T450" s="497">
        <f>2048.91-T449</f>
        <v>-251.98000000000002</v>
      </c>
      <c r="U450" s="497">
        <f>2048.91-U449</f>
        <v>-251.98000000000002</v>
      </c>
    </row>
    <row r="451" spans="2:23" hidden="1">
      <c r="U451" s="431">
        <f>T446+T448-U447+T447</f>
        <v>224.96000000000004</v>
      </c>
    </row>
    <row r="452" spans="2:23" hidden="1">
      <c r="U452" s="431">
        <f>T448+T447+T446-U447</f>
        <v>224.95999999999998</v>
      </c>
    </row>
    <row r="453" spans="2:23" hidden="1"/>
    <row r="456" spans="2:23">
      <c r="T456" s="515"/>
    </row>
  </sheetData>
  <mergeCells count="38">
    <mergeCell ref="A1:B1"/>
    <mergeCell ref="G1:H1"/>
    <mergeCell ref="A2:W2"/>
    <mergeCell ref="A3:A8"/>
    <mergeCell ref="B3:B8"/>
    <mergeCell ref="E3:R3"/>
    <mergeCell ref="S3:S8"/>
    <mergeCell ref="T3:U4"/>
    <mergeCell ref="V3:V8"/>
    <mergeCell ref="W3:W8"/>
    <mergeCell ref="C4:C8"/>
    <mergeCell ref="D4:D8"/>
    <mergeCell ref="E4:E8"/>
    <mergeCell ref="F4:F8"/>
    <mergeCell ref="G4:G8"/>
    <mergeCell ref="H5:H8"/>
    <mergeCell ref="W131:W132"/>
    <mergeCell ref="U5:U8"/>
    <mergeCell ref="I6:I8"/>
    <mergeCell ref="J6:J8"/>
    <mergeCell ref="K6:L6"/>
    <mergeCell ref="M6:M8"/>
    <mergeCell ref="N6:O6"/>
    <mergeCell ref="K7:K8"/>
    <mergeCell ref="L7:L8"/>
    <mergeCell ref="N7:N8"/>
    <mergeCell ref="O7:O8"/>
    <mergeCell ref="R4:R8"/>
    <mergeCell ref="W124:W130"/>
    <mergeCell ref="H4:Q4"/>
    <mergeCell ref="W89:W98"/>
    <mergeCell ref="W35:W37"/>
    <mergeCell ref="W55:W59"/>
    <mergeCell ref="W84:W85"/>
    <mergeCell ref="I5:O5"/>
    <mergeCell ref="P5:P8"/>
    <mergeCell ref="Q5:Q8"/>
    <mergeCell ref="T5:T8"/>
  </mergeCells>
  <printOptions horizontalCentered="1"/>
  <pageMargins left="0.51" right="0.19685039370078741" top="0.45" bottom="0.27559055118110237" header="0.28999999999999998" footer="0.2"/>
  <pageSetup paperSize="9" scale="60" orientation="landscape"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2"/>
  <sheetViews>
    <sheetView view="pageBreakPreview" zoomScaleNormal="100" zoomScaleSheetLayoutView="100" workbookViewId="0">
      <pane xSplit="3" ySplit="7" topLeftCell="D16" activePane="bottomRight" state="frozen"/>
      <selection pane="topRight" activeCell="D1" sqref="D1"/>
      <selection pane="bottomLeft" activeCell="A8" sqref="A8"/>
      <selection pane="bottomRight" activeCell="C3" sqref="C3"/>
    </sheetView>
  </sheetViews>
  <sheetFormatPr defaultColWidth="9.140625" defaultRowHeight="15"/>
  <cols>
    <col min="1" max="1" width="5.140625" style="573" customWidth="1"/>
    <col min="2" max="2" width="64" style="354" customWidth="1"/>
    <col min="3" max="3" width="10.42578125" style="366" customWidth="1"/>
    <col min="4" max="4" width="10.28515625" style="354" customWidth="1"/>
    <col min="5" max="5" width="8.7109375" style="354" customWidth="1"/>
    <col min="6" max="7" width="10.140625" style="354" customWidth="1"/>
    <col min="8" max="9" width="9.7109375" style="354" customWidth="1"/>
    <col min="10" max="11" width="9.85546875" style="354" customWidth="1"/>
    <col min="12" max="12" width="10.5703125" style="354" customWidth="1"/>
    <col min="13" max="13" width="10" style="354" customWidth="1"/>
    <col min="14" max="14" width="10.42578125" style="354" customWidth="1"/>
    <col min="15" max="15" width="10.28515625" style="354" customWidth="1"/>
    <col min="16" max="16" width="11.28515625" style="354" customWidth="1"/>
    <col min="17" max="17" width="10.28515625" style="354" customWidth="1"/>
    <col min="18" max="18" width="12.28515625" style="354" customWidth="1"/>
    <col min="19" max="19" width="12.42578125" style="354" customWidth="1"/>
    <col min="20" max="20" width="10.7109375" style="354" customWidth="1"/>
    <col min="21" max="21" width="11.140625" style="354" customWidth="1"/>
    <col min="22" max="22" width="11.42578125" style="354" customWidth="1"/>
    <col min="23" max="23" width="9.85546875" style="354" customWidth="1"/>
    <col min="24" max="24" width="9" style="354" customWidth="1"/>
    <col min="25" max="25" width="9.85546875" style="354" customWidth="1"/>
    <col min="26" max="26" width="9.5703125" style="354" customWidth="1"/>
    <col min="27" max="27" width="14.5703125" style="354" customWidth="1"/>
    <col min="28" max="28" width="18.5703125" style="354" customWidth="1"/>
    <col min="29" max="29" width="17" style="354" customWidth="1"/>
    <col min="30" max="16384" width="9.140625" style="354"/>
  </cols>
  <sheetData>
    <row r="1" spans="1:29" ht="16.5">
      <c r="A1" s="578"/>
      <c r="B1" s="578"/>
      <c r="C1" s="517"/>
      <c r="D1" s="518"/>
      <c r="E1" s="519"/>
      <c r="G1" s="520"/>
      <c r="H1" s="521"/>
      <c r="I1" s="520"/>
      <c r="J1" s="521"/>
      <c r="K1" s="747" t="s">
        <v>880</v>
      </c>
      <c r="L1" s="747"/>
      <c r="M1" s="747"/>
      <c r="N1" s="521"/>
      <c r="O1" s="579"/>
      <c r="P1" s="579"/>
      <c r="Q1" s="579"/>
      <c r="R1" s="522"/>
      <c r="S1" s="522"/>
      <c r="T1" s="522"/>
      <c r="U1" s="522"/>
      <c r="V1" s="520"/>
      <c r="W1" s="523"/>
      <c r="X1" s="520"/>
      <c r="Y1" s="523"/>
      <c r="Z1" s="747" t="s">
        <v>880</v>
      </c>
      <c r="AA1" s="747"/>
      <c r="AB1" s="747"/>
    </row>
    <row r="2" spans="1:29" ht="19.5" customHeight="1">
      <c r="A2" s="748" t="s">
        <v>881</v>
      </c>
      <c r="B2" s="748"/>
      <c r="C2" s="748"/>
      <c r="D2" s="748"/>
      <c r="E2" s="748"/>
      <c r="F2" s="748"/>
      <c r="G2" s="748"/>
      <c r="H2" s="748"/>
      <c r="I2" s="748"/>
      <c r="J2" s="748"/>
      <c r="K2" s="748"/>
      <c r="L2" s="748"/>
      <c r="M2" s="748"/>
      <c r="N2" s="577"/>
      <c r="O2" s="577"/>
      <c r="P2" s="577"/>
      <c r="Q2" s="577"/>
      <c r="R2" s="577"/>
      <c r="S2" s="577"/>
      <c r="T2" s="577"/>
      <c r="U2" s="577"/>
      <c r="V2" s="577"/>
      <c r="W2" s="577"/>
      <c r="X2" s="577"/>
      <c r="Y2" s="577"/>
      <c r="Z2" s="577"/>
      <c r="AA2" s="577"/>
      <c r="AB2" s="577"/>
    </row>
    <row r="3" spans="1:29">
      <c r="A3" s="524"/>
      <c r="B3" s="525"/>
      <c r="C3" s="526"/>
      <c r="D3" s="352"/>
      <c r="E3" s="527"/>
      <c r="F3" s="528"/>
      <c r="G3" s="528"/>
      <c r="H3" s="525"/>
      <c r="I3" s="525"/>
      <c r="J3" s="525"/>
      <c r="K3" s="525"/>
      <c r="L3" s="529"/>
      <c r="M3" s="530"/>
      <c r="N3" s="525"/>
      <c r="O3" s="525"/>
      <c r="P3" s="745" t="s">
        <v>0</v>
      </c>
      <c r="Q3" s="745"/>
      <c r="Y3" s="525"/>
      <c r="Z3" s="530"/>
      <c r="AA3" s="746" t="s">
        <v>0</v>
      </c>
      <c r="AB3" s="746"/>
    </row>
    <row r="4" spans="1:29" s="533" customFormat="1" ht="18.75" customHeight="1">
      <c r="A4" s="743" t="s">
        <v>6</v>
      </c>
      <c r="B4" s="742" t="s">
        <v>103</v>
      </c>
      <c r="C4" s="740" t="s">
        <v>498</v>
      </c>
      <c r="D4" s="741"/>
      <c r="E4" s="741"/>
      <c r="F4" s="740" t="s">
        <v>499</v>
      </c>
      <c r="G4" s="741"/>
      <c r="H4" s="740" t="s">
        <v>501</v>
      </c>
      <c r="I4" s="741"/>
      <c r="J4" s="740" t="s">
        <v>502</v>
      </c>
      <c r="K4" s="741"/>
      <c r="L4" s="740" t="s">
        <v>503</v>
      </c>
      <c r="M4" s="741"/>
      <c r="N4" s="740" t="s">
        <v>500</v>
      </c>
      <c r="O4" s="741"/>
      <c r="P4" s="742" t="s">
        <v>504</v>
      </c>
      <c r="Q4" s="742"/>
      <c r="R4" s="741" t="s">
        <v>505</v>
      </c>
      <c r="S4" s="741"/>
      <c r="T4" s="531"/>
      <c r="U4" s="740" t="s">
        <v>506</v>
      </c>
      <c r="V4" s="741"/>
      <c r="W4" s="740" t="s">
        <v>507</v>
      </c>
      <c r="X4" s="741"/>
      <c r="Y4" s="734" t="s">
        <v>508</v>
      </c>
      <c r="Z4" s="735"/>
      <c r="AA4" s="736" t="s">
        <v>509</v>
      </c>
      <c r="AB4" s="736"/>
      <c r="AC4" s="532"/>
    </row>
    <row r="5" spans="1:29" s="536" customFormat="1" ht="24.75" customHeight="1">
      <c r="A5" s="743"/>
      <c r="B5" s="742"/>
      <c r="C5" s="737" t="s">
        <v>510</v>
      </c>
      <c r="D5" s="738" t="s">
        <v>882</v>
      </c>
      <c r="E5" s="534" t="s">
        <v>511</v>
      </c>
      <c r="F5" s="732" t="s">
        <v>510</v>
      </c>
      <c r="G5" s="738" t="s">
        <v>882</v>
      </c>
      <c r="H5" s="732" t="s">
        <v>510</v>
      </c>
      <c r="I5" s="732" t="s">
        <v>882</v>
      </c>
      <c r="J5" s="732" t="s">
        <v>510</v>
      </c>
      <c r="K5" s="732" t="s">
        <v>882</v>
      </c>
      <c r="L5" s="732" t="s">
        <v>510</v>
      </c>
      <c r="M5" s="732" t="s">
        <v>882</v>
      </c>
      <c r="N5" s="732" t="s">
        <v>510</v>
      </c>
      <c r="O5" s="744" t="s">
        <v>882</v>
      </c>
      <c r="P5" s="732" t="s">
        <v>510</v>
      </c>
      <c r="Q5" s="732" t="s">
        <v>882</v>
      </c>
      <c r="R5" s="733" t="s">
        <v>510</v>
      </c>
      <c r="S5" s="732" t="s">
        <v>882</v>
      </c>
      <c r="T5" s="534" t="s">
        <v>511</v>
      </c>
      <c r="U5" s="732" t="s">
        <v>510</v>
      </c>
      <c r="V5" s="732" t="s">
        <v>882</v>
      </c>
      <c r="W5" s="732" t="s">
        <v>510</v>
      </c>
      <c r="X5" s="732" t="s">
        <v>882</v>
      </c>
      <c r="Y5" s="732" t="s">
        <v>510</v>
      </c>
      <c r="Z5" s="732" t="s">
        <v>882</v>
      </c>
      <c r="AA5" s="732" t="s">
        <v>510</v>
      </c>
      <c r="AB5" s="732" t="s">
        <v>882</v>
      </c>
      <c r="AC5" s="535"/>
    </row>
    <row r="6" spans="1:29" s="536" customFormat="1" ht="19.5" customHeight="1">
      <c r="A6" s="743"/>
      <c r="B6" s="742"/>
      <c r="C6" s="737"/>
      <c r="D6" s="739"/>
      <c r="E6" s="534" t="s">
        <v>512</v>
      </c>
      <c r="F6" s="732"/>
      <c r="G6" s="739"/>
      <c r="H6" s="732"/>
      <c r="I6" s="732"/>
      <c r="J6" s="732"/>
      <c r="K6" s="732"/>
      <c r="L6" s="732"/>
      <c r="M6" s="732"/>
      <c r="N6" s="732"/>
      <c r="O6" s="744"/>
      <c r="P6" s="732"/>
      <c r="Q6" s="732"/>
      <c r="R6" s="733"/>
      <c r="S6" s="732"/>
      <c r="T6" s="534" t="s">
        <v>512</v>
      </c>
      <c r="U6" s="732"/>
      <c r="V6" s="732"/>
      <c r="W6" s="732"/>
      <c r="X6" s="732"/>
      <c r="Y6" s="732"/>
      <c r="Z6" s="732"/>
      <c r="AA6" s="732"/>
      <c r="AB6" s="732"/>
    </row>
    <row r="7" spans="1:29" s="370" customFormat="1" ht="32.25" customHeight="1">
      <c r="A7" s="537"/>
      <c r="B7" s="538" t="s">
        <v>513</v>
      </c>
      <c r="C7" s="539">
        <f>C8</f>
        <v>69249.739999999991</v>
      </c>
      <c r="D7" s="540">
        <f t="shared" ref="D7:AB7" si="0">D8</f>
        <v>69198.740000000005</v>
      </c>
      <c r="E7" s="540">
        <f t="shared" si="0"/>
        <v>51</v>
      </c>
      <c r="F7" s="540">
        <f t="shared" si="0"/>
        <v>8443.3189999999995</v>
      </c>
      <c r="G7" s="540">
        <f t="shared" si="0"/>
        <v>8443.3189999999995</v>
      </c>
      <c r="H7" s="540">
        <f t="shared" si="0"/>
        <v>5554.5159999999996</v>
      </c>
      <c r="I7" s="540">
        <f t="shared" si="0"/>
        <v>5554.5159999999996</v>
      </c>
      <c r="J7" s="540">
        <f t="shared" si="0"/>
        <v>4308.7969999999996</v>
      </c>
      <c r="K7" s="540">
        <f t="shared" si="0"/>
        <v>4308.7969999999996</v>
      </c>
      <c r="L7" s="540">
        <f t="shared" si="0"/>
        <v>4472.6229999999996</v>
      </c>
      <c r="M7" s="540">
        <f t="shared" si="0"/>
        <v>4472.6229999999996</v>
      </c>
      <c r="N7" s="540">
        <f t="shared" si="0"/>
        <v>4328.9400000000005</v>
      </c>
      <c r="O7" s="540">
        <f t="shared" si="0"/>
        <v>4328.9400000000005</v>
      </c>
      <c r="P7" s="541">
        <f t="shared" si="0"/>
        <v>4793.6799999999994</v>
      </c>
      <c r="Q7" s="541">
        <f t="shared" si="0"/>
        <v>4793.6799999999994</v>
      </c>
      <c r="R7" s="540">
        <f t="shared" si="0"/>
        <v>6829.0205000000005</v>
      </c>
      <c r="S7" s="540">
        <f t="shared" si="0"/>
        <v>6778.0205000000005</v>
      </c>
      <c r="T7" s="540">
        <f t="shared" si="0"/>
        <v>51</v>
      </c>
      <c r="U7" s="540">
        <f t="shared" si="0"/>
        <v>4648.7315000000008</v>
      </c>
      <c r="V7" s="540">
        <f t="shared" si="0"/>
        <v>4648.7315000000008</v>
      </c>
      <c r="W7" s="540">
        <f t="shared" si="0"/>
        <v>6964.8959999999997</v>
      </c>
      <c r="X7" s="540">
        <f t="shared" si="0"/>
        <v>6964.8959999999997</v>
      </c>
      <c r="Y7" s="540">
        <f t="shared" si="0"/>
        <v>6605.871000000001</v>
      </c>
      <c r="Z7" s="540">
        <f t="shared" si="0"/>
        <v>6605.871000000001</v>
      </c>
      <c r="AA7" s="540">
        <f t="shared" si="0"/>
        <v>12299.346</v>
      </c>
      <c r="AB7" s="540">
        <f t="shared" si="0"/>
        <v>12299.346</v>
      </c>
    </row>
    <row r="8" spans="1:29" s="359" customFormat="1" ht="18" customHeight="1">
      <c r="A8" s="542" t="s">
        <v>8</v>
      </c>
      <c r="B8" s="543" t="s">
        <v>514</v>
      </c>
      <c r="C8" s="544">
        <f t="shared" ref="C8:AB8" si="1">C9+C11+C81</f>
        <v>69249.739999999991</v>
      </c>
      <c r="D8" s="545">
        <f t="shared" si="1"/>
        <v>69198.740000000005</v>
      </c>
      <c r="E8" s="545">
        <f t="shared" si="1"/>
        <v>51</v>
      </c>
      <c r="F8" s="545">
        <f t="shared" si="1"/>
        <v>8443.3189999999995</v>
      </c>
      <c r="G8" s="545">
        <f t="shared" si="1"/>
        <v>8443.3189999999995</v>
      </c>
      <c r="H8" s="545">
        <f t="shared" si="1"/>
        <v>5554.5159999999996</v>
      </c>
      <c r="I8" s="545">
        <f t="shared" si="1"/>
        <v>5554.5159999999996</v>
      </c>
      <c r="J8" s="545">
        <f t="shared" si="1"/>
        <v>4308.7969999999996</v>
      </c>
      <c r="K8" s="545">
        <f t="shared" si="1"/>
        <v>4308.7969999999996</v>
      </c>
      <c r="L8" s="545">
        <f t="shared" si="1"/>
        <v>4472.6229999999996</v>
      </c>
      <c r="M8" s="545">
        <f t="shared" si="1"/>
        <v>4472.6229999999996</v>
      </c>
      <c r="N8" s="545">
        <f t="shared" si="1"/>
        <v>4328.9400000000005</v>
      </c>
      <c r="O8" s="545">
        <f t="shared" si="1"/>
        <v>4328.9400000000005</v>
      </c>
      <c r="P8" s="545">
        <f t="shared" si="1"/>
        <v>4793.6799999999994</v>
      </c>
      <c r="Q8" s="545">
        <f t="shared" si="1"/>
        <v>4793.6799999999994</v>
      </c>
      <c r="R8" s="545">
        <f t="shared" si="1"/>
        <v>6829.0205000000005</v>
      </c>
      <c r="S8" s="545">
        <f t="shared" si="1"/>
        <v>6778.0205000000005</v>
      </c>
      <c r="T8" s="545">
        <f t="shared" si="1"/>
        <v>51</v>
      </c>
      <c r="U8" s="545">
        <f t="shared" si="1"/>
        <v>4648.7315000000008</v>
      </c>
      <c r="V8" s="545">
        <f t="shared" si="1"/>
        <v>4648.7315000000008</v>
      </c>
      <c r="W8" s="545">
        <f t="shared" si="1"/>
        <v>6964.8959999999997</v>
      </c>
      <c r="X8" s="545">
        <f t="shared" si="1"/>
        <v>6964.8959999999997</v>
      </c>
      <c r="Y8" s="545">
        <f t="shared" si="1"/>
        <v>6605.871000000001</v>
      </c>
      <c r="Z8" s="545">
        <f t="shared" si="1"/>
        <v>6605.871000000001</v>
      </c>
      <c r="AA8" s="545">
        <f t="shared" si="1"/>
        <v>12299.346</v>
      </c>
      <c r="AB8" s="545">
        <f t="shared" si="1"/>
        <v>12299.346</v>
      </c>
    </row>
    <row r="9" spans="1:29" s="370" customFormat="1" ht="22.5" customHeight="1">
      <c r="A9" s="542" t="s">
        <v>10</v>
      </c>
      <c r="B9" s="369" t="s">
        <v>26</v>
      </c>
      <c r="C9" s="546">
        <f>C10</f>
        <v>8640</v>
      </c>
      <c r="D9" s="547">
        <f t="shared" ref="D9:Y9" si="2">D10</f>
        <v>8640</v>
      </c>
      <c r="E9" s="547">
        <f t="shared" si="2"/>
        <v>0</v>
      </c>
      <c r="F9" s="547">
        <f t="shared" si="2"/>
        <v>3500</v>
      </c>
      <c r="G9" s="547">
        <f t="shared" si="2"/>
        <v>3500</v>
      </c>
      <c r="H9" s="547">
        <f t="shared" si="2"/>
        <v>20</v>
      </c>
      <c r="I9" s="547">
        <f t="shared" si="2"/>
        <v>20</v>
      </c>
      <c r="J9" s="547">
        <f t="shared" si="2"/>
        <v>10</v>
      </c>
      <c r="K9" s="547">
        <f t="shared" si="2"/>
        <v>10</v>
      </c>
      <c r="L9" s="547">
        <f t="shared" si="2"/>
        <v>10</v>
      </c>
      <c r="M9" s="547">
        <f t="shared" si="2"/>
        <v>10</v>
      </c>
      <c r="N9" s="547">
        <f t="shared" si="2"/>
        <v>10</v>
      </c>
      <c r="O9" s="547">
        <f t="shared" si="2"/>
        <v>10</v>
      </c>
      <c r="P9" s="547">
        <f t="shared" si="2"/>
        <v>65</v>
      </c>
      <c r="Q9" s="547">
        <f t="shared" si="2"/>
        <v>65</v>
      </c>
      <c r="R9" s="547">
        <f t="shared" si="2"/>
        <v>10</v>
      </c>
      <c r="S9" s="547">
        <f t="shared" si="2"/>
        <v>10</v>
      </c>
      <c r="T9" s="547">
        <f t="shared" si="2"/>
        <v>0</v>
      </c>
      <c r="U9" s="547">
        <f t="shared" si="2"/>
        <v>0</v>
      </c>
      <c r="V9" s="547">
        <f t="shared" si="2"/>
        <v>0</v>
      </c>
      <c r="W9" s="547">
        <f t="shared" si="2"/>
        <v>10</v>
      </c>
      <c r="X9" s="547">
        <f t="shared" si="2"/>
        <v>10</v>
      </c>
      <c r="Y9" s="547">
        <f t="shared" si="2"/>
        <v>5</v>
      </c>
      <c r="Z9" s="547">
        <f>Z10</f>
        <v>5</v>
      </c>
      <c r="AA9" s="547">
        <f>AA10</f>
        <v>5000</v>
      </c>
      <c r="AB9" s="547">
        <f>AB10</f>
        <v>5000</v>
      </c>
    </row>
    <row r="10" spans="1:29" ht="18" customHeight="1">
      <c r="A10" s="548" t="s">
        <v>11</v>
      </c>
      <c r="B10" s="361" t="s">
        <v>883</v>
      </c>
      <c r="C10" s="549">
        <f>SUM(D10:E10)</f>
        <v>8640</v>
      </c>
      <c r="D10" s="550">
        <f>G10+I10+K10+M10+O10+Q10+S10+V10+X10+Z10+AB10</f>
        <v>8640</v>
      </c>
      <c r="E10" s="550">
        <f>+T10</f>
        <v>0</v>
      </c>
      <c r="F10" s="550">
        <f>SUM(G10:G10)</f>
        <v>3500</v>
      </c>
      <c r="G10" s="550">
        <v>3500</v>
      </c>
      <c r="H10" s="550">
        <f>SUM(I10:I10)</f>
        <v>20</v>
      </c>
      <c r="I10" s="550">
        <f>200*0.1</f>
        <v>20</v>
      </c>
      <c r="J10" s="550">
        <f>SUM(K10:K10)</f>
        <v>10</v>
      </c>
      <c r="K10" s="550">
        <v>10</v>
      </c>
      <c r="L10" s="550">
        <f>SUM(M10:M10)</f>
        <v>10</v>
      </c>
      <c r="M10" s="550">
        <v>10</v>
      </c>
      <c r="N10" s="550">
        <f>SUM(O10:O10)</f>
        <v>10</v>
      </c>
      <c r="O10" s="550">
        <v>10</v>
      </c>
      <c r="P10" s="550">
        <f>SUM(Q10:Q10)</f>
        <v>65</v>
      </c>
      <c r="Q10" s="550">
        <v>65</v>
      </c>
      <c r="R10" s="550">
        <f>SUM(S10:T10)</f>
        <v>10</v>
      </c>
      <c r="S10" s="550">
        <v>10</v>
      </c>
      <c r="T10" s="550"/>
      <c r="U10" s="550">
        <f>SUM(V10:V10)</f>
        <v>0</v>
      </c>
      <c r="V10" s="550">
        <f>0</f>
        <v>0</v>
      </c>
      <c r="W10" s="550">
        <f>SUM(X10:X10)</f>
        <v>10</v>
      </c>
      <c r="X10" s="550">
        <v>10</v>
      </c>
      <c r="Y10" s="550">
        <f>SUM(Z10:Z10)</f>
        <v>5</v>
      </c>
      <c r="Z10" s="550">
        <v>5</v>
      </c>
      <c r="AA10" s="550">
        <f>SUM(AB10:AB10)</f>
        <v>5000</v>
      </c>
      <c r="AB10" s="550">
        <f>6000-1000</f>
        <v>5000</v>
      </c>
    </row>
    <row r="11" spans="1:29" s="359" customFormat="1" ht="18" customHeight="1">
      <c r="A11" s="551" t="s">
        <v>12</v>
      </c>
      <c r="B11" s="363" t="s">
        <v>25</v>
      </c>
      <c r="C11" s="544">
        <f>C12</f>
        <v>59395.74</v>
      </c>
      <c r="D11" s="545">
        <f t="shared" ref="D11:AB11" si="3">D12</f>
        <v>59344.740000000005</v>
      </c>
      <c r="E11" s="545">
        <f t="shared" si="3"/>
        <v>51</v>
      </c>
      <c r="F11" s="545">
        <f t="shared" si="3"/>
        <v>4827.3189999999995</v>
      </c>
      <c r="G11" s="545">
        <f t="shared" si="3"/>
        <v>4827.3189999999995</v>
      </c>
      <c r="H11" s="545">
        <f t="shared" si="3"/>
        <v>5426.5159999999996</v>
      </c>
      <c r="I11" s="545">
        <f t="shared" si="3"/>
        <v>5426.5159999999996</v>
      </c>
      <c r="J11" s="545">
        <f t="shared" si="3"/>
        <v>4214.7969999999996</v>
      </c>
      <c r="K11" s="545">
        <f t="shared" si="3"/>
        <v>4214.7969999999996</v>
      </c>
      <c r="L11" s="545">
        <f t="shared" si="3"/>
        <v>4376.6229999999996</v>
      </c>
      <c r="M11" s="545">
        <f t="shared" si="3"/>
        <v>4376.6229999999996</v>
      </c>
      <c r="N11" s="545">
        <f t="shared" si="3"/>
        <v>4234.9400000000005</v>
      </c>
      <c r="O11" s="545">
        <f t="shared" si="3"/>
        <v>4234.9400000000005</v>
      </c>
      <c r="P11" s="545">
        <f t="shared" si="3"/>
        <v>4635.6799999999994</v>
      </c>
      <c r="Q11" s="545">
        <f t="shared" si="3"/>
        <v>4635.6799999999994</v>
      </c>
      <c r="R11" s="545">
        <f t="shared" si="3"/>
        <v>6687.0205000000005</v>
      </c>
      <c r="S11" s="545">
        <f t="shared" si="3"/>
        <v>6636.0205000000005</v>
      </c>
      <c r="T11" s="545">
        <f t="shared" si="3"/>
        <v>51</v>
      </c>
      <c r="U11" s="545">
        <f t="shared" si="3"/>
        <v>4557.7315000000008</v>
      </c>
      <c r="V11" s="545">
        <f t="shared" si="3"/>
        <v>4557.7315000000008</v>
      </c>
      <c r="W11" s="545">
        <f t="shared" si="3"/>
        <v>6818.8959999999997</v>
      </c>
      <c r="X11" s="545">
        <f t="shared" si="3"/>
        <v>6818.8959999999997</v>
      </c>
      <c r="Y11" s="545">
        <f t="shared" si="3"/>
        <v>6471.871000000001</v>
      </c>
      <c r="Z11" s="545">
        <f t="shared" si="3"/>
        <v>6471.871000000001</v>
      </c>
      <c r="AA11" s="545">
        <f t="shared" si="3"/>
        <v>7144.3459999999995</v>
      </c>
      <c r="AB11" s="545">
        <f t="shared" si="3"/>
        <v>7144.3459999999995</v>
      </c>
    </row>
    <row r="12" spans="1:29" s="359" customFormat="1" ht="17.25" customHeight="1">
      <c r="A12" s="552" t="s">
        <v>884</v>
      </c>
      <c r="B12" s="363" t="s">
        <v>885</v>
      </c>
      <c r="C12" s="544">
        <f t="shared" ref="C12:AB12" si="4">C13+C15+C29+C32+C39+C43+C66+C78</f>
        <v>59395.74</v>
      </c>
      <c r="D12" s="545">
        <f t="shared" si="4"/>
        <v>59344.740000000005</v>
      </c>
      <c r="E12" s="545">
        <f t="shared" si="4"/>
        <v>51</v>
      </c>
      <c r="F12" s="545">
        <f t="shared" si="4"/>
        <v>4827.3189999999995</v>
      </c>
      <c r="G12" s="545">
        <f t="shared" si="4"/>
        <v>4827.3189999999995</v>
      </c>
      <c r="H12" s="545">
        <f t="shared" si="4"/>
        <v>5426.5159999999996</v>
      </c>
      <c r="I12" s="545">
        <f t="shared" si="4"/>
        <v>5426.5159999999996</v>
      </c>
      <c r="J12" s="545">
        <f t="shared" si="4"/>
        <v>4214.7969999999996</v>
      </c>
      <c r="K12" s="545">
        <f t="shared" si="4"/>
        <v>4214.7969999999996</v>
      </c>
      <c r="L12" s="545">
        <f t="shared" si="4"/>
        <v>4376.6229999999996</v>
      </c>
      <c r="M12" s="545">
        <f t="shared" si="4"/>
        <v>4376.6229999999996</v>
      </c>
      <c r="N12" s="545">
        <f t="shared" si="4"/>
        <v>4234.9400000000005</v>
      </c>
      <c r="O12" s="545">
        <f t="shared" si="4"/>
        <v>4234.9400000000005</v>
      </c>
      <c r="P12" s="545">
        <f t="shared" si="4"/>
        <v>4635.6799999999994</v>
      </c>
      <c r="Q12" s="545">
        <f t="shared" si="4"/>
        <v>4635.6799999999994</v>
      </c>
      <c r="R12" s="545">
        <f t="shared" si="4"/>
        <v>6687.0205000000005</v>
      </c>
      <c r="S12" s="545">
        <f t="shared" si="4"/>
        <v>6636.0205000000005</v>
      </c>
      <c r="T12" s="545">
        <f t="shared" si="4"/>
        <v>51</v>
      </c>
      <c r="U12" s="545">
        <f t="shared" si="4"/>
        <v>4557.7315000000008</v>
      </c>
      <c r="V12" s="545">
        <f t="shared" si="4"/>
        <v>4557.7315000000008</v>
      </c>
      <c r="W12" s="545">
        <f t="shared" si="4"/>
        <v>6818.8959999999997</v>
      </c>
      <c r="X12" s="545">
        <f t="shared" si="4"/>
        <v>6818.8959999999997</v>
      </c>
      <c r="Y12" s="545">
        <f t="shared" si="4"/>
        <v>6471.871000000001</v>
      </c>
      <c r="Z12" s="545">
        <f t="shared" si="4"/>
        <v>6471.871000000001</v>
      </c>
      <c r="AA12" s="545">
        <f t="shared" si="4"/>
        <v>7144.3459999999995</v>
      </c>
      <c r="AB12" s="545">
        <f t="shared" si="4"/>
        <v>7144.3459999999995</v>
      </c>
    </row>
    <row r="13" spans="1:29" s="359" customFormat="1" ht="17.25" customHeight="1">
      <c r="A13" s="552">
        <v>1</v>
      </c>
      <c r="B13" s="363" t="s">
        <v>515</v>
      </c>
      <c r="C13" s="544">
        <f t="shared" ref="C13:AB13" si="5">SUM(C14)</f>
        <v>480</v>
      </c>
      <c r="D13" s="545">
        <f t="shared" si="5"/>
        <v>480</v>
      </c>
      <c r="E13" s="545">
        <f t="shared" si="5"/>
        <v>0</v>
      </c>
      <c r="F13" s="545">
        <f t="shared" si="5"/>
        <v>50</v>
      </c>
      <c r="G13" s="545">
        <f t="shared" si="5"/>
        <v>50</v>
      </c>
      <c r="H13" s="545">
        <f>SUM(H14)</f>
        <v>50</v>
      </c>
      <c r="I13" s="545">
        <f t="shared" si="5"/>
        <v>50</v>
      </c>
      <c r="J13" s="545">
        <f>SUM(J14)</f>
        <v>30</v>
      </c>
      <c r="K13" s="545">
        <f t="shared" si="5"/>
        <v>30</v>
      </c>
      <c r="L13" s="545">
        <f>SUM(L14)</f>
        <v>30</v>
      </c>
      <c r="M13" s="545">
        <f t="shared" si="5"/>
        <v>30</v>
      </c>
      <c r="N13" s="545">
        <f>SUM(N14)</f>
        <v>30</v>
      </c>
      <c r="O13" s="545">
        <f t="shared" si="5"/>
        <v>30</v>
      </c>
      <c r="P13" s="545">
        <f>SUM(P14)</f>
        <v>30</v>
      </c>
      <c r="Q13" s="545">
        <f t="shared" si="5"/>
        <v>30</v>
      </c>
      <c r="R13" s="545">
        <f>SUM(R14)</f>
        <v>70</v>
      </c>
      <c r="S13" s="545">
        <f t="shared" si="5"/>
        <v>70</v>
      </c>
      <c r="T13" s="545">
        <f t="shared" si="5"/>
        <v>0</v>
      </c>
      <c r="U13" s="545">
        <f>SUM(U14)</f>
        <v>30</v>
      </c>
      <c r="V13" s="545">
        <f t="shared" si="5"/>
        <v>30</v>
      </c>
      <c r="W13" s="545">
        <f>SUM(W14)</f>
        <v>50</v>
      </c>
      <c r="X13" s="545">
        <f t="shared" si="5"/>
        <v>50</v>
      </c>
      <c r="Y13" s="545">
        <f>SUM(Y14)</f>
        <v>50</v>
      </c>
      <c r="Z13" s="545">
        <f t="shared" si="5"/>
        <v>50</v>
      </c>
      <c r="AA13" s="545">
        <f>SUM(AA14)</f>
        <v>60</v>
      </c>
      <c r="AB13" s="545">
        <f t="shared" si="5"/>
        <v>60</v>
      </c>
    </row>
    <row r="14" spans="1:29" s="557" customFormat="1" ht="33" customHeight="1">
      <c r="A14" s="553" t="s">
        <v>11</v>
      </c>
      <c r="B14" s="554" t="s">
        <v>516</v>
      </c>
      <c r="C14" s="555">
        <f>SUM(D14:E14)</f>
        <v>480</v>
      </c>
      <c r="D14" s="556">
        <f>G14+I14+K14+M14+O14+Q14+S14+V14+X14+Z14+AB14</f>
        <v>480</v>
      </c>
      <c r="E14" s="550">
        <f>+T14</f>
        <v>0</v>
      </c>
      <c r="F14" s="556">
        <f>SUM(G14:G14)</f>
        <v>50</v>
      </c>
      <c r="G14" s="556">
        <v>50</v>
      </c>
      <c r="H14" s="556">
        <f>SUM(I14:I14)</f>
        <v>50</v>
      </c>
      <c r="I14" s="556">
        <v>50</v>
      </c>
      <c r="J14" s="556">
        <f>SUM(K14:K14)</f>
        <v>30</v>
      </c>
      <c r="K14" s="556">
        <v>30</v>
      </c>
      <c r="L14" s="556">
        <f>SUM(M14:M14)</f>
        <v>30</v>
      </c>
      <c r="M14" s="556">
        <v>30</v>
      </c>
      <c r="N14" s="556">
        <f>SUM(O14:O14)</f>
        <v>30</v>
      </c>
      <c r="O14" s="556">
        <v>30</v>
      </c>
      <c r="P14" s="556">
        <f>SUM(Q14:Q14)</f>
        <v>30</v>
      </c>
      <c r="Q14" s="556">
        <v>30</v>
      </c>
      <c r="R14" s="556">
        <f>SUM(S14:T14)</f>
        <v>70</v>
      </c>
      <c r="S14" s="556">
        <v>70</v>
      </c>
      <c r="T14" s="556"/>
      <c r="U14" s="556">
        <f>SUM(V14:V14)</f>
        <v>30</v>
      </c>
      <c r="V14" s="556">
        <v>30</v>
      </c>
      <c r="W14" s="556">
        <f>SUM(X14:X14)</f>
        <v>50</v>
      </c>
      <c r="X14" s="556">
        <v>50</v>
      </c>
      <c r="Y14" s="556">
        <f>SUM(Z14:Z14)</f>
        <v>50</v>
      </c>
      <c r="Z14" s="556">
        <v>50</v>
      </c>
      <c r="AA14" s="556">
        <f>SUM(AB14:AB14)</f>
        <v>60</v>
      </c>
      <c r="AB14" s="556">
        <v>60</v>
      </c>
    </row>
    <row r="15" spans="1:29" s="370" customFormat="1" ht="19.5" customHeight="1">
      <c r="A15" s="542">
        <v>2</v>
      </c>
      <c r="B15" s="369" t="s">
        <v>517</v>
      </c>
      <c r="C15" s="546">
        <f>C16+C19+C22+C23+C24+C25+C26+C27+C28</f>
        <v>4934.8</v>
      </c>
      <c r="D15" s="547">
        <f t="shared" ref="D15:AB15" si="6">D16+D19+D22+D23+D24+D25+D26+D27+D28</f>
        <v>4934.8</v>
      </c>
      <c r="E15" s="547">
        <f t="shared" si="6"/>
        <v>0</v>
      </c>
      <c r="F15" s="547">
        <f t="shared" si="6"/>
        <v>181.96</v>
      </c>
      <c r="G15" s="547">
        <f t="shared" si="6"/>
        <v>181.96</v>
      </c>
      <c r="H15" s="547">
        <f t="shared" si="6"/>
        <v>644.81999999999994</v>
      </c>
      <c r="I15" s="547">
        <f t="shared" si="6"/>
        <v>644.81999999999994</v>
      </c>
      <c r="J15" s="547">
        <f t="shared" si="6"/>
        <v>396.23099999999999</v>
      </c>
      <c r="K15" s="547">
        <f t="shared" si="6"/>
        <v>396.23099999999999</v>
      </c>
      <c r="L15" s="547">
        <f>L16+L19+L22+L23+L24+L25+L26+L27+L28</f>
        <v>518.05400000000009</v>
      </c>
      <c r="M15" s="547">
        <f>M16+M19+M22+M23+M24+M25+M26+M27+M28</f>
        <v>518.05400000000009</v>
      </c>
      <c r="N15" s="547">
        <f t="shared" si="6"/>
        <v>443.39</v>
      </c>
      <c r="O15" s="547">
        <f t="shared" si="6"/>
        <v>443.39</v>
      </c>
      <c r="P15" s="547">
        <f t="shared" si="6"/>
        <v>317.64499999999998</v>
      </c>
      <c r="Q15" s="547">
        <f t="shared" si="6"/>
        <v>317.64499999999998</v>
      </c>
      <c r="R15" s="547">
        <f t="shared" si="6"/>
        <v>615.8175</v>
      </c>
      <c r="S15" s="547">
        <f t="shared" si="6"/>
        <v>615.8175</v>
      </c>
      <c r="T15" s="547">
        <f t="shared" si="6"/>
        <v>0</v>
      </c>
      <c r="U15" s="547">
        <f t="shared" si="6"/>
        <v>425.80449999999996</v>
      </c>
      <c r="V15" s="547">
        <f t="shared" si="6"/>
        <v>425.80449999999996</v>
      </c>
      <c r="W15" s="547">
        <f t="shared" si="6"/>
        <v>615.32999999999993</v>
      </c>
      <c r="X15" s="547">
        <f t="shared" si="6"/>
        <v>615.32999999999993</v>
      </c>
      <c r="Y15" s="547">
        <f t="shared" si="6"/>
        <v>468.67</v>
      </c>
      <c r="Z15" s="547">
        <f t="shared" si="6"/>
        <v>468.67</v>
      </c>
      <c r="AA15" s="547">
        <f t="shared" si="6"/>
        <v>307.07799999999997</v>
      </c>
      <c r="AB15" s="547">
        <f t="shared" si="6"/>
        <v>307.07799999999997</v>
      </c>
    </row>
    <row r="16" spans="1:29" s="370" customFormat="1" ht="19.5" customHeight="1">
      <c r="A16" s="542" t="s">
        <v>29</v>
      </c>
      <c r="B16" s="369" t="s">
        <v>518</v>
      </c>
      <c r="C16" s="546">
        <f>SUM(D16:E16)</f>
        <v>133.94999999999999</v>
      </c>
      <c r="D16" s="547">
        <f>G16+I16+K16+M16+O16+Q16+S16+V16+X16+Z16+AB16</f>
        <v>133.94999999999999</v>
      </c>
      <c r="E16" s="550">
        <f>+T16</f>
        <v>0</v>
      </c>
      <c r="F16" s="547">
        <f>SUM(G16:G16)</f>
        <v>0</v>
      </c>
      <c r="G16" s="547">
        <f>G17*G18</f>
        <v>0</v>
      </c>
      <c r="H16" s="547">
        <f>SUM(I16:I16)</f>
        <v>28.88</v>
      </c>
      <c r="I16" s="547">
        <f>(I17*I18)</f>
        <v>28.88</v>
      </c>
      <c r="J16" s="547">
        <f>SUM(K16:K16)</f>
        <v>28.480999999999998</v>
      </c>
      <c r="K16" s="547">
        <f>(K17*K18)</f>
        <v>28.480999999999998</v>
      </c>
      <c r="L16" s="547">
        <f>SUM(M16:M16)</f>
        <v>10.563999999999998</v>
      </c>
      <c r="M16" s="547">
        <f>M17*M18</f>
        <v>10.563999999999998</v>
      </c>
      <c r="N16" s="547">
        <f>SUM(O16:O16)</f>
        <v>0</v>
      </c>
      <c r="O16" s="547">
        <f>O17*O18</f>
        <v>0</v>
      </c>
      <c r="P16" s="547">
        <f>SUM(Q16:Q16)</f>
        <v>16.054999999999996</v>
      </c>
      <c r="Q16" s="547">
        <f>Q17*Q18</f>
        <v>16.054999999999996</v>
      </c>
      <c r="R16" s="547">
        <f>SUM(S16:T16)</f>
        <v>15.817499999999997</v>
      </c>
      <c r="S16" s="547">
        <f>S17*S18</f>
        <v>15.817499999999997</v>
      </c>
      <c r="T16" s="547"/>
      <c r="U16" s="547">
        <f>SUM(V16:V16)</f>
        <v>24.234500000000001</v>
      </c>
      <c r="V16" s="547">
        <f>V17*V18</f>
        <v>24.234500000000001</v>
      </c>
      <c r="W16" s="547">
        <f>SUM(X16:X16)</f>
        <v>0</v>
      </c>
      <c r="X16" s="547"/>
      <c r="Y16" s="547">
        <f>SUM(Z16:Z16)</f>
        <v>2.6599999999999997</v>
      </c>
      <c r="Z16" s="547">
        <f>Z17*Z18</f>
        <v>2.6599999999999997</v>
      </c>
      <c r="AA16" s="547">
        <f>SUM(AB16:AB16)</f>
        <v>7.2579999999999991</v>
      </c>
      <c r="AB16" s="547">
        <f>AB17*AB18</f>
        <v>7.2579999999999991</v>
      </c>
    </row>
    <row r="17" spans="1:28" s="557" customFormat="1" ht="19.5" hidden="1" customHeight="1">
      <c r="A17" s="553" t="s">
        <v>11</v>
      </c>
      <c r="B17" s="558" t="s">
        <v>519</v>
      </c>
      <c r="C17" s="555">
        <f>SUM(D17:E17)</f>
        <v>141</v>
      </c>
      <c r="D17" s="556">
        <f>G17+I17+K17+M17+O17+Q17+S17+V17+X17+Z17+AB17</f>
        <v>141</v>
      </c>
      <c r="E17" s="550">
        <f>+T17</f>
        <v>0</v>
      </c>
      <c r="F17" s="556"/>
      <c r="G17" s="556"/>
      <c r="H17" s="556">
        <f>SUM(I17:I17)</f>
        <v>30.4</v>
      </c>
      <c r="I17" s="556">
        <v>30.4</v>
      </c>
      <c r="J17" s="556">
        <f>SUM(K17:K17)</f>
        <v>29.98</v>
      </c>
      <c r="K17" s="556">
        <v>29.98</v>
      </c>
      <c r="L17" s="556">
        <f>SUM(M17:M17)</f>
        <v>11.12</v>
      </c>
      <c r="M17" s="556">
        <v>11.12</v>
      </c>
      <c r="N17" s="556">
        <f>SUM(O17:O17)</f>
        <v>0</v>
      </c>
      <c r="O17" s="556"/>
      <c r="P17" s="556">
        <f>SUM(Q17:Q17)</f>
        <v>16.899999999999999</v>
      </c>
      <c r="Q17" s="556">
        <v>16.899999999999999</v>
      </c>
      <c r="R17" s="556">
        <f>SUM(S17:T17)</f>
        <v>16.649999999999999</v>
      </c>
      <c r="S17" s="556">
        <v>16.649999999999999</v>
      </c>
      <c r="T17" s="556"/>
      <c r="U17" s="556">
        <f>SUM(V17:V17)</f>
        <v>25.51</v>
      </c>
      <c r="V17" s="556">
        <v>25.51</v>
      </c>
      <c r="W17" s="556">
        <f>SUM(X17:X17)</f>
        <v>0</v>
      </c>
      <c r="X17" s="556"/>
      <c r="Y17" s="556">
        <f>SUM(Z17:Z17)</f>
        <v>2.8</v>
      </c>
      <c r="Z17" s="556">
        <v>2.8</v>
      </c>
      <c r="AA17" s="556">
        <f>SUM(AB17:AB17)</f>
        <v>7.64</v>
      </c>
      <c r="AB17" s="556">
        <v>7.64</v>
      </c>
    </row>
    <row r="18" spans="1:28" s="557" customFormat="1" ht="17.25" hidden="1" customHeight="1">
      <c r="A18" s="553" t="s">
        <v>11</v>
      </c>
      <c r="B18" s="558" t="s">
        <v>520</v>
      </c>
      <c r="C18" s="546">
        <f>SUM(D18:E18)</f>
        <v>0</v>
      </c>
      <c r="D18" s="556"/>
      <c r="E18" s="550">
        <f>+T18</f>
        <v>0</v>
      </c>
      <c r="F18" s="556">
        <f>SUM(G18:G18)</f>
        <v>0.95</v>
      </c>
      <c r="G18" s="556">
        <v>0.95</v>
      </c>
      <c r="H18" s="556">
        <f>SUM(I18:I18)</f>
        <v>0.95</v>
      </c>
      <c r="I18" s="556">
        <v>0.95</v>
      </c>
      <c r="J18" s="556">
        <f>SUM(K18:K18)</f>
        <v>0.95</v>
      </c>
      <c r="K18" s="556">
        <v>0.95</v>
      </c>
      <c r="L18" s="556">
        <f>SUM(M18:M18)</f>
        <v>0.95</v>
      </c>
      <c r="M18" s="556">
        <v>0.95</v>
      </c>
      <c r="N18" s="556">
        <f>SUM(O18:O18)</f>
        <v>0</v>
      </c>
      <c r="O18" s="556"/>
      <c r="P18" s="556">
        <f>SUM(Q18:Q18)</f>
        <v>0.95</v>
      </c>
      <c r="Q18" s="556">
        <v>0.95</v>
      </c>
      <c r="R18" s="556">
        <f>SUM(S18:T18)</f>
        <v>0.95</v>
      </c>
      <c r="S18" s="556">
        <v>0.95</v>
      </c>
      <c r="T18" s="556"/>
      <c r="U18" s="556">
        <f>SUM(V18:V18)</f>
        <v>0.95</v>
      </c>
      <c r="V18" s="556">
        <v>0.95</v>
      </c>
      <c r="W18" s="556">
        <f>SUM(X18:X18)</f>
        <v>0</v>
      </c>
      <c r="X18" s="556"/>
      <c r="Y18" s="556">
        <f>SUM(Z18:Z18)</f>
        <v>0.95</v>
      </c>
      <c r="Z18" s="556">
        <v>0.95</v>
      </c>
      <c r="AA18" s="556">
        <f>SUM(AB18:AB18)</f>
        <v>0.95</v>
      </c>
      <c r="AB18" s="556">
        <v>0.95</v>
      </c>
    </row>
    <row r="19" spans="1:28" s="370" customFormat="1" ht="19.5" customHeight="1">
      <c r="A19" s="542" t="s">
        <v>30</v>
      </c>
      <c r="B19" s="369" t="s">
        <v>886</v>
      </c>
      <c r="C19" s="546">
        <f t="shared" ref="C19:AB19" si="7">C20+C21</f>
        <v>1691</v>
      </c>
      <c r="D19" s="547">
        <f t="shared" si="7"/>
        <v>1691</v>
      </c>
      <c r="E19" s="547">
        <f t="shared" si="7"/>
        <v>0</v>
      </c>
      <c r="F19" s="547">
        <f t="shared" si="7"/>
        <v>30</v>
      </c>
      <c r="G19" s="547">
        <f t="shared" si="7"/>
        <v>30</v>
      </c>
      <c r="H19" s="547">
        <f t="shared" si="7"/>
        <v>260</v>
      </c>
      <c r="I19" s="547">
        <f t="shared" si="7"/>
        <v>260</v>
      </c>
      <c r="J19" s="547">
        <f t="shared" si="7"/>
        <v>135</v>
      </c>
      <c r="K19" s="547">
        <f t="shared" si="7"/>
        <v>135</v>
      </c>
      <c r="L19" s="547">
        <f t="shared" si="7"/>
        <v>136</v>
      </c>
      <c r="M19" s="547">
        <f t="shared" si="7"/>
        <v>136</v>
      </c>
      <c r="N19" s="547">
        <f t="shared" si="7"/>
        <v>130</v>
      </c>
      <c r="O19" s="547">
        <f t="shared" si="7"/>
        <v>130</v>
      </c>
      <c r="P19" s="547">
        <f t="shared" si="7"/>
        <v>65</v>
      </c>
      <c r="Q19" s="547">
        <f t="shared" si="7"/>
        <v>65</v>
      </c>
      <c r="R19" s="547">
        <f t="shared" si="7"/>
        <v>150</v>
      </c>
      <c r="S19" s="547">
        <f t="shared" si="7"/>
        <v>150</v>
      </c>
      <c r="T19" s="547">
        <f t="shared" si="7"/>
        <v>0</v>
      </c>
      <c r="U19" s="547">
        <f t="shared" si="7"/>
        <v>180</v>
      </c>
      <c r="V19" s="547">
        <f t="shared" si="7"/>
        <v>180</v>
      </c>
      <c r="W19" s="547">
        <f t="shared" si="7"/>
        <v>280</v>
      </c>
      <c r="X19" s="547">
        <f t="shared" si="7"/>
        <v>280</v>
      </c>
      <c r="Y19" s="547">
        <f t="shared" si="7"/>
        <v>75</v>
      </c>
      <c r="Z19" s="547">
        <f t="shared" si="7"/>
        <v>75</v>
      </c>
      <c r="AA19" s="547">
        <f t="shared" si="7"/>
        <v>250</v>
      </c>
      <c r="AB19" s="547">
        <f t="shared" si="7"/>
        <v>250</v>
      </c>
    </row>
    <row r="20" spans="1:28" s="557" customFormat="1" ht="21" hidden="1" customHeight="1">
      <c r="A20" s="559" t="s">
        <v>11</v>
      </c>
      <c r="B20" s="558" t="s">
        <v>887</v>
      </c>
      <c r="C20" s="555">
        <f t="shared" ref="C20:C28" si="8">SUM(D20:E20)</f>
        <v>1691</v>
      </c>
      <c r="D20" s="556">
        <f t="shared" ref="D20:D28" si="9">G20+I20+K20+M20+O20+Q20+S20+V20+X20+Z20+AB20</f>
        <v>1691</v>
      </c>
      <c r="E20" s="550">
        <f t="shared" ref="E20:E28" si="10">+T20</f>
        <v>0</v>
      </c>
      <c r="F20" s="556">
        <f>SUM(G20:G20)</f>
        <v>30</v>
      </c>
      <c r="G20" s="556">
        <v>30</v>
      </c>
      <c r="H20" s="556">
        <f>SUM(I20:I20)</f>
        <v>260</v>
      </c>
      <c r="I20" s="556">
        <v>260</v>
      </c>
      <c r="J20" s="556">
        <f>SUM(K20:K20)</f>
        <v>135</v>
      </c>
      <c r="K20" s="556">
        <v>135</v>
      </c>
      <c r="L20" s="556">
        <f>SUM(M20:M20)</f>
        <v>136</v>
      </c>
      <c r="M20" s="556">
        <v>136</v>
      </c>
      <c r="N20" s="556">
        <f>SUM(O20:O20)</f>
        <v>130</v>
      </c>
      <c r="O20" s="556">
        <v>130</v>
      </c>
      <c r="P20" s="556">
        <f>SUM(Q20:Q20)</f>
        <v>65</v>
      </c>
      <c r="Q20" s="556">
        <v>65</v>
      </c>
      <c r="R20" s="556">
        <f t="shared" ref="R20:R28" si="11">SUM(S20:T20)</f>
        <v>150</v>
      </c>
      <c r="S20" s="556">
        <v>150</v>
      </c>
      <c r="T20" s="556"/>
      <c r="U20" s="556">
        <f>SUM(V20:V20)</f>
        <v>180</v>
      </c>
      <c r="V20" s="556">
        <v>180</v>
      </c>
      <c r="W20" s="556">
        <f>SUM(X20:X20)</f>
        <v>280</v>
      </c>
      <c r="X20" s="556">
        <v>280</v>
      </c>
      <c r="Y20" s="556">
        <f>SUM(Z20:Z20)</f>
        <v>75</v>
      </c>
      <c r="Z20" s="556">
        <v>75</v>
      </c>
      <c r="AA20" s="556">
        <f>SUM(AB20:AB20)</f>
        <v>250</v>
      </c>
      <c r="AB20" s="556">
        <v>250</v>
      </c>
    </row>
    <row r="21" spans="1:28" s="557" customFormat="1" ht="21" hidden="1" customHeight="1">
      <c r="A21" s="559" t="s">
        <v>11</v>
      </c>
      <c r="B21" s="558" t="s">
        <v>888</v>
      </c>
      <c r="C21" s="555">
        <f t="shared" si="8"/>
        <v>0</v>
      </c>
      <c r="D21" s="556">
        <f t="shared" si="9"/>
        <v>0</v>
      </c>
      <c r="E21" s="550">
        <f t="shared" si="10"/>
        <v>0</v>
      </c>
      <c r="F21" s="556"/>
      <c r="G21" s="556"/>
      <c r="H21" s="556"/>
      <c r="I21" s="556"/>
      <c r="J21" s="556"/>
      <c r="K21" s="556"/>
      <c r="L21" s="556"/>
      <c r="M21" s="556"/>
      <c r="N21" s="556"/>
      <c r="O21" s="556"/>
      <c r="P21" s="556"/>
      <c r="Q21" s="556"/>
      <c r="R21" s="556">
        <f t="shared" si="11"/>
        <v>0</v>
      </c>
      <c r="S21" s="556"/>
      <c r="T21" s="556"/>
      <c r="U21" s="556"/>
      <c r="V21" s="556"/>
      <c r="W21" s="556"/>
      <c r="X21" s="556"/>
      <c r="Y21" s="556"/>
      <c r="Z21" s="556"/>
      <c r="AA21" s="556"/>
      <c r="AB21" s="556"/>
    </row>
    <row r="22" spans="1:28" s="370" customFormat="1" ht="21" customHeight="1">
      <c r="A22" s="542" t="s">
        <v>36</v>
      </c>
      <c r="B22" s="369" t="s">
        <v>521</v>
      </c>
      <c r="C22" s="546">
        <f t="shared" si="8"/>
        <v>943.00000000000011</v>
      </c>
      <c r="D22" s="547">
        <f t="shared" si="9"/>
        <v>943.00000000000011</v>
      </c>
      <c r="E22" s="550">
        <f t="shared" si="10"/>
        <v>0</v>
      </c>
      <c r="F22" s="547">
        <f t="shared" ref="F22:F28" si="12">SUM(G22:G22)</f>
        <v>126.31</v>
      </c>
      <c r="G22" s="547">
        <v>126.31</v>
      </c>
      <c r="H22" s="547">
        <f t="shared" ref="H22:H28" si="13">SUM(I22:I22)</f>
        <v>72.489999999999995</v>
      </c>
      <c r="I22" s="547">
        <v>72.489999999999995</v>
      </c>
      <c r="J22" s="547">
        <f t="shared" ref="J22:J28" si="14">SUM(K22:K22)</f>
        <v>43</v>
      </c>
      <c r="K22" s="547">
        <v>43</v>
      </c>
      <c r="L22" s="547">
        <f t="shared" ref="L22:L28" si="15">SUM(M22:M22)</f>
        <v>125.94</v>
      </c>
      <c r="M22" s="547">
        <v>125.94</v>
      </c>
      <c r="N22" s="547">
        <f t="shared" ref="N22:N28" si="16">SUM(O22:O22)</f>
        <v>123.24</v>
      </c>
      <c r="O22" s="547">
        <v>123.24</v>
      </c>
      <c r="P22" s="547">
        <f t="shared" ref="P22:P28" si="17">SUM(Q22:Q22)</f>
        <v>46.44</v>
      </c>
      <c r="Q22" s="547">
        <v>46.44</v>
      </c>
      <c r="R22" s="547">
        <f t="shared" si="11"/>
        <v>167.1</v>
      </c>
      <c r="S22" s="547">
        <v>167.1</v>
      </c>
      <c r="T22" s="547"/>
      <c r="U22" s="547">
        <f t="shared" ref="U22:U28" si="18">SUM(V22:V22)</f>
        <v>31.82</v>
      </c>
      <c r="V22" s="547">
        <v>31.82</v>
      </c>
      <c r="W22" s="547">
        <f t="shared" ref="W22:W28" si="19">SUM(X22:X22)</f>
        <v>61.43</v>
      </c>
      <c r="X22" s="547">
        <v>61.43</v>
      </c>
      <c r="Y22" s="547">
        <f t="shared" ref="Y22:Y28" si="20">SUM(Z22:Z22)</f>
        <v>114.51</v>
      </c>
      <c r="Z22" s="547">
        <v>114.51</v>
      </c>
      <c r="AA22" s="547">
        <f t="shared" ref="AA22:AA28" si="21">SUM(AB22:AB22)</f>
        <v>30.72</v>
      </c>
      <c r="AB22" s="545">
        <v>30.72</v>
      </c>
    </row>
    <row r="23" spans="1:28" s="370" customFormat="1" ht="42.75">
      <c r="A23" s="542" t="s">
        <v>75</v>
      </c>
      <c r="B23" s="560" t="s">
        <v>889</v>
      </c>
      <c r="C23" s="546">
        <f t="shared" si="8"/>
        <v>197.60000000000002</v>
      </c>
      <c r="D23" s="547">
        <f t="shared" si="9"/>
        <v>197.60000000000002</v>
      </c>
      <c r="E23" s="550">
        <f t="shared" si="10"/>
        <v>0</v>
      </c>
      <c r="F23" s="547">
        <f t="shared" si="12"/>
        <v>25.65</v>
      </c>
      <c r="G23" s="547">
        <f>(7.4+1.6+0.15+1.5)+15</f>
        <v>25.65</v>
      </c>
      <c r="H23" s="547">
        <f t="shared" si="13"/>
        <v>25.450000000000003</v>
      </c>
      <c r="I23" s="547">
        <f>(7.4+1.4+0.15+1.5)+15</f>
        <v>25.450000000000003</v>
      </c>
      <c r="J23" s="547">
        <f t="shared" si="14"/>
        <v>12.3</v>
      </c>
      <c r="K23" s="547">
        <f>(5.4+0.6+0.15)*2</f>
        <v>12.3</v>
      </c>
      <c r="L23" s="547">
        <f t="shared" si="15"/>
        <v>18.100000000000001</v>
      </c>
      <c r="M23" s="547">
        <f>(6.4+1+0.15+1.5)*2</f>
        <v>18.100000000000001</v>
      </c>
      <c r="N23" s="547">
        <f t="shared" si="16"/>
        <v>12.700000000000001</v>
      </c>
      <c r="O23" s="547">
        <f>(5.4+0.8+0.15)*2</f>
        <v>12.700000000000001</v>
      </c>
      <c r="P23" s="547">
        <f t="shared" si="17"/>
        <v>12.700000000000001</v>
      </c>
      <c r="Q23" s="547">
        <f>(5.4+0.8+0.15)*2</f>
        <v>12.700000000000001</v>
      </c>
      <c r="R23" s="547">
        <f t="shared" si="11"/>
        <v>24.900000000000002</v>
      </c>
      <c r="S23" s="547">
        <f>(7.4+1.4+0.15+1.5+2)*2</f>
        <v>24.900000000000002</v>
      </c>
      <c r="T23" s="547"/>
      <c r="U23" s="547">
        <f t="shared" si="18"/>
        <v>12.3</v>
      </c>
      <c r="V23" s="547">
        <f>(5.4+0.6+0.15)*2</f>
        <v>12.3</v>
      </c>
      <c r="W23" s="547">
        <f t="shared" si="19"/>
        <v>15.900000000000002</v>
      </c>
      <c r="X23" s="547">
        <f>(6.4+1.4+0.15)*2</f>
        <v>15.900000000000002</v>
      </c>
      <c r="Y23" s="547">
        <f t="shared" si="20"/>
        <v>18.5</v>
      </c>
      <c r="Z23" s="547">
        <f>(6.4+1.2+0.15+1.5)*2</f>
        <v>18.5</v>
      </c>
      <c r="AA23" s="547">
        <f t="shared" si="21"/>
        <v>19.100000000000001</v>
      </c>
      <c r="AB23" s="547">
        <f>(7.4+2+0.15)*2</f>
        <v>19.100000000000001</v>
      </c>
    </row>
    <row r="24" spans="1:28" s="370" customFormat="1" ht="21.75" customHeight="1">
      <c r="A24" s="542" t="s">
        <v>74</v>
      </c>
      <c r="B24" s="560" t="s">
        <v>890</v>
      </c>
      <c r="C24" s="546">
        <f t="shared" si="8"/>
        <v>1919.25</v>
      </c>
      <c r="D24" s="547">
        <f t="shared" si="9"/>
        <v>1919.25</v>
      </c>
      <c r="E24" s="556">
        <f t="shared" si="10"/>
        <v>0</v>
      </c>
      <c r="F24" s="547">
        <f t="shared" si="12"/>
        <v>0</v>
      </c>
      <c r="G24" s="547"/>
      <c r="H24" s="547">
        <f t="shared" si="13"/>
        <v>258</v>
      </c>
      <c r="I24" s="547">
        <v>258</v>
      </c>
      <c r="J24" s="547">
        <f t="shared" si="14"/>
        <v>177.45</v>
      </c>
      <c r="K24" s="547">
        <v>177.45</v>
      </c>
      <c r="L24" s="547">
        <f t="shared" si="15"/>
        <v>177.45</v>
      </c>
      <c r="M24" s="547">
        <v>177.45</v>
      </c>
      <c r="N24" s="547">
        <f t="shared" si="16"/>
        <v>177.45</v>
      </c>
      <c r="O24" s="547">
        <v>177.45</v>
      </c>
      <c r="P24" s="547">
        <f t="shared" si="17"/>
        <v>177.45</v>
      </c>
      <c r="Q24" s="547">
        <v>177.45</v>
      </c>
      <c r="R24" s="547">
        <f t="shared" si="11"/>
        <v>258</v>
      </c>
      <c r="S24" s="547">
        <v>258</v>
      </c>
      <c r="T24" s="547"/>
      <c r="U24" s="547">
        <f t="shared" si="18"/>
        <v>177.45</v>
      </c>
      <c r="V24" s="547">
        <v>177.45</v>
      </c>
      <c r="W24" s="547">
        <f t="shared" si="19"/>
        <v>258</v>
      </c>
      <c r="X24" s="547">
        <v>258</v>
      </c>
      <c r="Y24" s="547">
        <f t="shared" si="20"/>
        <v>258</v>
      </c>
      <c r="Z24" s="547">
        <v>258</v>
      </c>
      <c r="AA24" s="547">
        <f t="shared" si="21"/>
        <v>0</v>
      </c>
      <c r="AB24" s="547"/>
    </row>
    <row r="25" spans="1:28" s="359" customFormat="1" ht="17.25" customHeight="1">
      <c r="A25" s="542" t="s">
        <v>94</v>
      </c>
      <c r="B25" s="574" t="s">
        <v>932</v>
      </c>
      <c r="C25" s="544">
        <f t="shared" si="8"/>
        <v>50</v>
      </c>
      <c r="D25" s="545">
        <f t="shared" si="9"/>
        <v>50</v>
      </c>
      <c r="E25" s="550">
        <f t="shared" si="10"/>
        <v>0</v>
      </c>
      <c r="F25" s="545">
        <f t="shared" si="12"/>
        <v>0</v>
      </c>
      <c r="G25" s="545"/>
      <c r="H25" s="545">
        <f t="shared" si="13"/>
        <v>0</v>
      </c>
      <c r="I25" s="545"/>
      <c r="J25" s="545">
        <f t="shared" si="14"/>
        <v>0</v>
      </c>
      <c r="K25" s="545"/>
      <c r="L25" s="545">
        <f t="shared" si="15"/>
        <v>50</v>
      </c>
      <c r="M25" s="545">
        <v>50</v>
      </c>
      <c r="N25" s="545">
        <f t="shared" si="16"/>
        <v>0</v>
      </c>
      <c r="O25" s="545"/>
      <c r="P25" s="545">
        <f t="shared" si="17"/>
        <v>0</v>
      </c>
      <c r="Q25" s="545"/>
      <c r="R25" s="545">
        <f t="shared" si="11"/>
        <v>0</v>
      </c>
      <c r="S25" s="545"/>
      <c r="T25" s="545"/>
      <c r="U25" s="545">
        <f t="shared" si="18"/>
        <v>0</v>
      </c>
      <c r="V25" s="545"/>
      <c r="W25" s="545">
        <f t="shared" si="19"/>
        <v>0</v>
      </c>
      <c r="X25" s="545"/>
      <c r="Y25" s="545">
        <f t="shared" si="20"/>
        <v>0</v>
      </c>
      <c r="Z25" s="545"/>
      <c r="AA25" s="545">
        <f t="shared" si="21"/>
        <v>0</v>
      </c>
      <c r="AB25" s="545"/>
    </row>
    <row r="26" spans="1:28" s="359" customFormat="1" ht="16.5" hidden="1" customHeight="1">
      <c r="A26" s="552" t="s">
        <v>76</v>
      </c>
      <c r="B26" s="561"/>
      <c r="C26" s="544">
        <f t="shared" si="8"/>
        <v>0</v>
      </c>
      <c r="D26" s="545">
        <f t="shared" si="9"/>
        <v>0</v>
      </c>
      <c r="E26" s="550">
        <f t="shared" si="10"/>
        <v>0</v>
      </c>
      <c r="F26" s="545">
        <f t="shared" si="12"/>
        <v>0</v>
      </c>
      <c r="G26" s="545"/>
      <c r="H26" s="545">
        <f t="shared" si="13"/>
        <v>0</v>
      </c>
      <c r="I26" s="545"/>
      <c r="J26" s="545">
        <f t="shared" si="14"/>
        <v>0</v>
      </c>
      <c r="K26" s="545"/>
      <c r="L26" s="545">
        <f t="shared" si="15"/>
        <v>0</v>
      </c>
      <c r="M26" s="545"/>
      <c r="N26" s="545">
        <f t="shared" si="16"/>
        <v>0</v>
      </c>
      <c r="O26" s="545"/>
      <c r="P26" s="545">
        <f t="shared" si="17"/>
        <v>0</v>
      </c>
      <c r="Q26" s="545"/>
      <c r="R26" s="545">
        <f t="shared" si="11"/>
        <v>0</v>
      </c>
      <c r="S26" s="545"/>
      <c r="T26" s="545"/>
      <c r="U26" s="545">
        <f t="shared" si="18"/>
        <v>0</v>
      </c>
      <c r="V26" s="545"/>
      <c r="W26" s="545">
        <f t="shared" si="19"/>
        <v>0</v>
      </c>
      <c r="X26" s="545"/>
      <c r="Y26" s="545">
        <f t="shared" si="20"/>
        <v>0</v>
      </c>
      <c r="Z26" s="545"/>
      <c r="AA26" s="545">
        <f t="shared" si="21"/>
        <v>0</v>
      </c>
      <c r="AB26" s="545"/>
    </row>
    <row r="27" spans="1:28" s="359" customFormat="1" ht="17.25" hidden="1" customHeight="1">
      <c r="A27" s="552" t="s">
        <v>98</v>
      </c>
      <c r="B27" s="543"/>
      <c r="C27" s="544">
        <f t="shared" si="8"/>
        <v>0</v>
      </c>
      <c r="D27" s="545">
        <f t="shared" si="9"/>
        <v>0</v>
      </c>
      <c r="E27" s="550">
        <f t="shared" si="10"/>
        <v>0</v>
      </c>
      <c r="F27" s="545">
        <f t="shared" si="12"/>
        <v>0</v>
      </c>
      <c r="G27" s="545"/>
      <c r="H27" s="545">
        <f t="shared" si="13"/>
        <v>0</v>
      </c>
      <c r="I27" s="545"/>
      <c r="J27" s="545">
        <f t="shared" si="14"/>
        <v>0</v>
      </c>
      <c r="K27" s="545"/>
      <c r="L27" s="545">
        <f t="shared" si="15"/>
        <v>0</v>
      </c>
      <c r="M27" s="545"/>
      <c r="N27" s="545">
        <f t="shared" si="16"/>
        <v>0</v>
      </c>
      <c r="O27" s="545"/>
      <c r="P27" s="545">
        <f t="shared" si="17"/>
        <v>0</v>
      </c>
      <c r="Q27" s="545"/>
      <c r="R27" s="545">
        <f t="shared" si="11"/>
        <v>0</v>
      </c>
      <c r="S27" s="545"/>
      <c r="T27" s="545"/>
      <c r="U27" s="545">
        <f t="shared" si="18"/>
        <v>0</v>
      </c>
      <c r="V27" s="545"/>
      <c r="W27" s="545">
        <f t="shared" si="19"/>
        <v>0</v>
      </c>
      <c r="X27" s="545"/>
      <c r="Y27" s="545">
        <f t="shared" si="20"/>
        <v>0</v>
      </c>
      <c r="Z27" s="545"/>
      <c r="AA27" s="545">
        <f t="shared" si="21"/>
        <v>0</v>
      </c>
      <c r="AB27" s="545"/>
    </row>
    <row r="28" spans="1:28" s="359" customFormat="1" ht="17.25" hidden="1" customHeight="1">
      <c r="A28" s="552" t="s">
        <v>99</v>
      </c>
      <c r="B28" s="543"/>
      <c r="C28" s="544">
        <f t="shared" si="8"/>
        <v>0</v>
      </c>
      <c r="D28" s="545">
        <f t="shared" si="9"/>
        <v>0</v>
      </c>
      <c r="E28" s="550">
        <f t="shared" si="10"/>
        <v>0</v>
      </c>
      <c r="F28" s="545">
        <f t="shared" si="12"/>
        <v>0</v>
      </c>
      <c r="G28" s="545"/>
      <c r="H28" s="545">
        <f t="shared" si="13"/>
        <v>0</v>
      </c>
      <c r="I28" s="545"/>
      <c r="J28" s="545">
        <f t="shared" si="14"/>
        <v>0</v>
      </c>
      <c r="K28" s="545"/>
      <c r="L28" s="545">
        <f t="shared" si="15"/>
        <v>0</v>
      </c>
      <c r="M28" s="545"/>
      <c r="N28" s="545">
        <f t="shared" si="16"/>
        <v>0</v>
      </c>
      <c r="O28" s="545"/>
      <c r="P28" s="545">
        <f t="shared" si="17"/>
        <v>0</v>
      </c>
      <c r="Q28" s="545"/>
      <c r="R28" s="545">
        <f t="shared" si="11"/>
        <v>0</v>
      </c>
      <c r="S28" s="545"/>
      <c r="T28" s="545"/>
      <c r="U28" s="545">
        <f t="shared" si="18"/>
        <v>0</v>
      </c>
      <c r="V28" s="545"/>
      <c r="W28" s="545">
        <f t="shared" si="19"/>
        <v>0</v>
      </c>
      <c r="X28" s="545"/>
      <c r="Y28" s="545">
        <f t="shared" si="20"/>
        <v>0</v>
      </c>
      <c r="Z28" s="545"/>
      <c r="AA28" s="545">
        <f t="shared" si="21"/>
        <v>0</v>
      </c>
      <c r="AB28" s="545"/>
    </row>
    <row r="29" spans="1:28" s="359" customFormat="1" ht="17.25" customHeight="1">
      <c r="A29" s="552">
        <v>3</v>
      </c>
      <c r="B29" s="363" t="s">
        <v>522</v>
      </c>
      <c r="C29" s="544">
        <f t="shared" ref="C29:AB29" si="22">SUM(C30:C31)</f>
        <v>970</v>
      </c>
      <c r="D29" s="545">
        <f>SUM(D30:D31)</f>
        <v>970</v>
      </c>
      <c r="E29" s="545">
        <f t="shared" si="22"/>
        <v>0</v>
      </c>
      <c r="F29" s="545">
        <f t="shared" si="22"/>
        <v>50</v>
      </c>
      <c r="G29" s="545">
        <f t="shared" si="22"/>
        <v>50</v>
      </c>
      <c r="H29" s="545">
        <f>SUM(H30:H31)</f>
        <v>150</v>
      </c>
      <c r="I29" s="545">
        <f t="shared" si="22"/>
        <v>150</v>
      </c>
      <c r="J29" s="545">
        <f>SUM(J30:J31)</f>
        <v>150</v>
      </c>
      <c r="K29" s="545">
        <f t="shared" si="22"/>
        <v>150</v>
      </c>
      <c r="L29" s="545">
        <f>SUM(L30:L31)</f>
        <v>50</v>
      </c>
      <c r="M29" s="545">
        <f t="shared" si="22"/>
        <v>50</v>
      </c>
      <c r="N29" s="545">
        <f>SUM(N30:N31)</f>
        <v>50</v>
      </c>
      <c r="O29" s="545">
        <f t="shared" si="22"/>
        <v>50</v>
      </c>
      <c r="P29" s="545">
        <f>SUM(P30:P31)</f>
        <v>50</v>
      </c>
      <c r="Q29" s="545">
        <f t="shared" si="22"/>
        <v>50</v>
      </c>
      <c r="R29" s="545">
        <f>SUM(R30:R31)</f>
        <v>170</v>
      </c>
      <c r="S29" s="545">
        <f t="shared" si="22"/>
        <v>170</v>
      </c>
      <c r="T29" s="545">
        <f t="shared" si="22"/>
        <v>0</v>
      </c>
      <c r="U29" s="545">
        <f>SUM(U30:U31)</f>
        <v>50</v>
      </c>
      <c r="V29" s="545">
        <f t="shared" si="22"/>
        <v>50</v>
      </c>
      <c r="W29" s="545">
        <f>SUM(W30:W31)</f>
        <v>150</v>
      </c>
      <c r="X29" s="545">
        <f t="shared" si="22"/>
        <v>150</v>
      </c>
      <c r="Y29" s="545">
        <f>SUM(Y30:Y31)</f>
        <v>50</v>
      </c>
      <c r="Z29" s="545">
        <f t="shared" si="22"/>
        <v>50</v>
      </c>
      <c r="AA29" s="545">
        <f>SUM(AA30:AA31)</f>
        <v>50</v>
      </c>
      <c r="AB29" s="545">
        <f t="shared" si="22"/>
        <v>50</v>
      </c>
    </row>
    <row r="30" spans="1:28" ht="17.25" customHeight="1">
      <c r="A30" s="548" t="s">
        <v>11</v>
      </c>
      <c r="B30" s="361" t="s">
        <v>891</v>
      </c>
      <c r="C30" s="549">
        <f>SUM(D30:E30)</f>
        <v>970</v>
      </c>
      <c r="D30" s="550">
        <f>G30+I30+K30+M30+O30+Q30+S30+V30+X30+Z30+AB30</f>
        <v>970</v>
      </c>
      <c r="E30" s="550">
        <f>+T30</f>
        <v>0</v>
      </c>
      <c r="F30" s="550">
        <f>SUM(G30:G30)</f>
        <v>50</v>
      </c>
      <c r="G30" s="550">
        <v>50</v>
      </c>
      <c r="H30" s="550">
        <f>SUM(I30:I30)</f>
        <v>150</v>
      </c>
      <c r="I30" s="550">
        <v>150</v>
      </c>
      <c r="J30" s="550">
        <f>SUM(K30:K30)</f>
        <v>150</v>
      </c>
      <c r="K30" s="550">
        <v>150</v>
      </c>
      <c r="L30" s="550">
        <f>SUM(M30:M30)</f>
        <v>50</v>
      </c>
      <c r="M30" s="550">
        <v>50</v>
      </c>
      <c r="N30" s="550">
        <f>SUM(O30:O30)</f>
        <v>50</v>
      </c>
      <c r="O30" s="550">
        <v>50</v>
      </c>
      <c r="P30" s="550">
        <f>SUM(Q30:Q30)</f>
        <v>50</v>
      </c>
      <c r="Q30" s="550">
        <v>50</v>
      </c>
      <c r="R30" s="550">
        <f>SUM(S30:T30)</f>
        <v>170</v>
      </c>
      <c r="S30" s="550">
        <v>170</v>
      </c>
      <c r="T30" s="550"/>
      <c r="U30" s="550">
        <f>SUM(V30:V30)</f>
        <v>50</v>
      </c>
      <c r="V30" s="550">
        <v>50</v>
      </c>
      <c r="W30" s="550">
        <f>SUM(X30:X30)</f>
        <v>150</v>
      </c>
      <c r="X30" s="550">
        <v>150</v>
      </c>
      <c r="Y30" s="550">
        <f>SUM(Z30:Z30)</f>
        <v>50</v>
      </c>
      <c r="Z30" s="550">
        <v>50</v>
      </c>
      <c r="AA30" s="550">
        <f>SUM(AB30:AB30)</f>
        <v>50</v>
      </c>
      <c r="AB30" s="550">
        <v>50</v>
      </c>
    </row>
    <row r="31" spans="1:28" ht="17.25" hidden="1" customHeight="1">
      <c r="A31" s="562" t="s">
        <v>11</v>
      </c>
      <c r="B31" s="361"/>
      <c r="C31" s="549">
        <f>SUM(D31:E31)</f>
        <v>0</v>
      </c>
      <c r="D31" s="550">
        <f>G31+I31+K31+M31+O31+Q31+S31+V31+X31+Z31+AB31</f>
        <v>0</v>
      </c>
      <c r="E31" s="550">
        <f>+T31</f>
        <v>0</v>
      </c>
      <c r="F31" s="550">
        <f>SUM(G31:G31)</f>
        <v>0</v>
      </c>
      <c r="G31" s="550"/>
      <c r="H31" s="550">
        <f>SUM(I31:I31)</f>
        <v>0</v>
      </c>
      <c r="I31" s="550"/>
      <c r="J31" s="550">
        <f>SUM(K31:K31)</f>
        <v>0</v>
      </c>
      <c r="K31" s="550"/>
      <c r="L31" s="550">
        <f>SUM(M31:M31)</f>
        <v>0</v>
      </c>
      <c r="M31" s="550"/>
      <c r="N31" s="550">
        <f>SUM(O31:O31)</f>
        <v>0</v>
      </c>
      <c r="O31" s="550"/>
      <c r="P31" s="550">
        <f>SUM(Q31:Q31)</f>
        <v>0</v>
      </c>
      <c r="Q31" s="550"/>
      <c r="R31" s="550">
        <f>SUM(S31:T31)</f>
        <v>0</v>
      </c>
      <c r="S31" s="550"/>
      <c r="T31" s="550"/>
      <c r="U31" s="550">
        <f>SUM(V31:V31)</f>
        <v>0</v>
      </c>
      <c r="V31" s="550"/>
      <c r="W31" s="550">
        <f>SUM(X31:X31)</f>
        <v>0</v>
      </c>
      <c r="X31" s="550"/>
      <c r="Y31" s="550">
        <f>SUM(Z31:Z31)</f>
        <v>0</v>
      </c>
      <c r="Z31" s="550"/>
      <c r="AA31" s="550">
        <f>SUM(AB31:AB31)</f>
        <v>0</v>
      </c>
      <c r="AB31" s="550"/>
    </row>
    <row r="32" spans="1:28" s="359" customFormat="1" ht="17.25" customHeight="1">
      <c r="A32" s="552">
        <v>4</v>
      </c>
      <c r="B32" s="363" t="s">
        <v>892</v>
      </c>
      <c r="C32" s="544">
        <f>C33+C35+C36+C37+C38</f>
        <v>691</v>
      </c>
      <c r="D32" s="545">
        <f t="shared" ref="D32:AB32" si="23">D33+D35+D36</f>
        <v>640</v>
      </c>
      <c r="E32" s="545">
        <f t="shared" si="23"/>
        <v>51</v>
      </c>
      <c r="F32" s="545">
        <f t="shared" si="23"/>
        <v>65</v>
      </c>
      <c r="G32" s="545">
        <f t="shared" si="23"/>
        <v>65</v>
      </c>
      <c r="H32" s="545">
        <f>H33+H35+H36+H37+H38</f>
        <v>65</v>
      </c>
      <c r="I32" s="545">
        <f>I33+I35+I36+I37+I38</f>
        <v>65</v>
      </c>
      <c r="J32" s="545">
        <f t="shared" si="23"/>
        <v>50</v>
      </c>
      <c r="K32" s="545">
        <f t="shared" si="23"/>
        <v>50</v>
      </c>
      <c r="L32" s="545">
        <f t="shared" si="23"/>
        <v>50</v>
      </c>
      <c r="M32" s="545">
        <f t="shared" si="23"/>
        <v>50</v>
      </c>
      <c r="N32" s="545">
        <f t="shared" si="23"/>
        <v>50</v>
      </c>
      <c r="O32" s="545">
        <f t="shared" si="23"/>
        <v>50</v>
      </c>
      <c r="P32" s="545">
        <f t="shared" si="23"/>
        <v>50</v>
      </c>
      <c r="Q32" s="545">
        <f t="shared" si="23"/>
        <v>50</v>
      </c>
      <c r="R32" s="545">
        <f t="shared" si="23"/>
        <v>116</v>
      </c>
      <c r="S32" s="545">
        <f t="shared" si="23"/>
        <v>65</v>
      </c>
      <c r="T32" s="545">
        <f t="shared" si="23"/>
        <v>51</v>
      </c>
      <c r="U32" s="545">
        <f t="shared" si="23"/>
        <v>50</v>
      </c>
      <c r="V32" s="545">
        <f t="shared" si="23"/>
        <v>50</v>
      </c>
      <c r="W32" s="545">
        <f t="shared" si="23"/>
        <v>65</v>
      </c>
      <c r="X32" s="545">
        <f t="shared" si="23"/>
        <v>65</v>
      </c>
      <c r="Y32" s="545">
        <f t="shared" si="23"/>
        <v>65</v>
      </c>
      <c r="Z32" s="545">
        <f t="shared" si="23"/>
        <v>65</v>
      </c>
      <c r="AA32" s="545">
        <f t="shared" si="23"/>
        <v>65</v>
      </c>
      <c r="AB32" s="545">
        <f t="shared" si="23"/>
        <v>65</v>
      </c>
    </row>
    <row r="33" spans="1:28" ht="17.25" customHeight="1">
      <c r="A33" s="562" t="s">
        <v>11</v>
      </c>
      <c r="B33" s="361" t="s">
        <v>523</v>
      </c>
      <c r="C33" s="549">
        <f>SUM(D33:E33)</f>
        <v>246</v>
      </c>
      <c r="D33" s="550">
        <f>G33+I33+K33+M33+O33+Q33+S33+V33+X33+Z33+AB33</f>
        <v>195</v>
      </c>
      <c r="E33" s="550">
        <f>+T33</f>
        <v>51</v>
      </c>
      <c r="F33" s="550">
        <f>SUM(G33:G33)</f>
        <v>20</v>
      </c>
      <c r="G33" s="550">
        <v>20</v>
      </c>
      <c r="H33" s="550">
        <f>SUM(I33:I33)</f>
        <v>20</v>
      </c>
      <c r="I33" s="550">
        <v>20</v>
      </c>
      <c r="J33" s="550">
        <f>SUM(K33:K33)</f>
        <v>15</v>
      </c>
      <c r="K33" s="550">
        <v>15</v>
      </c>
      <c r="L33" s="550">
        <f>SUM(M33:M33)</f>
        <v>15</v>
      </c>
      <c r="M33" s="550">
        <v>15</v>
      </c>
      <c r="N33" s="550">
        <f>SUM(O33:O33)</f>
        <v>15</v>
      </c>
      <c r="O33" s="550">
        <v>15</v>
      </c>
      <c r="P33" s="550">
        <f>SUM(Q33:Q33)</f>
        <v>15</v>
      </c>
      <c r="Q33" s="550">
        <v>15</v>
      </c>
      <c r="R33" s="550">
        <f>SUM(S33:T33)</f>
        <v>71</v>
      </c>
      <c r="S33" s="550">
        <f>20</f>
        <v>20</v>
      </c>
      <c r="T33" s="550">
        <v>51</v>
      </c>
      <c r="U33" s="550">
        <f>SUM(V33:V33)</f>
        <v>15</v>
      </c>
      <c r="V33" s="550">
        <v>15</v>
      </c>
      <c r="W33" s="550">
        <f>SUM(X33:X33)</f>
        <v>20</v>
      </c>
      <c r="X33" s="550">
        <v>20</v>
      </c>
      <c r="Y33" s="550">
        <f>SUM(Z33:Z33)</f>
        <v>20</v>
      </c>
      <c r="Z33" s="550">
        <v>20</v>
      </c>
      <c r="AA33" s="550">
        <f>SUM(AB33:AB33)</f>
        <v>20</v>
      </c>
      <c r="AB33" s="550">
        <v>20</v>
      </c>
    </row>
    <row r="34" spans="1:28" s="557" customFormat="1" ht="45">
      <c r="A34" s="559"/>
      <c r="B34" s="554" t="s">
        <v>893</v>
      </c>
      <c r="C34" s="555">
        <f>SUM(D34:E34)</f>
        <v>51</v>
      </c>
      <c r="D34" s="556"/>
      <c r="E34" s="556">
        <f t="shared" ref="E34:E65" si="24">+T34</f>
        <v>51</v>
      </c>
      <c r="F34" s="556"/>
      <c r="G34" s="556"/>
      <c r="H34" s="556"/>
      <c r="I34" s="556"/>
      <c r="J34" s="556"/>
      <c r="K34" s="556"/>
      <c r="L34" s="556"/>
      <c r="M34" s="556"/>
      <c r="N34" s="556"/>
      <c r="O34" s="556"/>
      <c r="P34" s="556"/>
      <c r="Q34" s="556"/>
      <c r="R34" s="556">
        <f>SUM(S34:T34)</f>
        <v>51</v>
      </c>
      <c r="S34" s="556"/>
      <c r="T34" s="556">
        <v>51</v>
      </c>
      <c r="U34" s="556"/>
      <c r="V34" s="556"/>
      <c r="W34" s="556"/>
      <c r="X34" s="556"/>
      <c r="Y34" s="556"/>
      <c r="Z34" s="556"/>
      <c r="AA34" s="556"/>
      <c r="AB34" s="556"/>
    </row>
    <row r="35" spans="1:28" ht="17.25" customHeight="1">
      <c r="A35" s="562" t="s">
        <v>11</v>
      </c>
      <c r="B35" s="361" t="s">
        <v>524</v>
      </c>
      <c r="C35" s="549">
        <f>SUM(D35:E35)</f>
        <v>305</v>
      </c>
      <c r="D35" s="550">
        <f>G35+I35+K35+M35+O35+Q35+S35+V35+X35+Z35+AB35</f>
        <v>305</v>
      </c>
      <c r="E35" s="550">
        <f t="shared" si="24"/>
        <v>0</v>
      </c>
      <c r="F35" s="550">
        <f>SUM(G35:G35)</f>
        <v>30</v>
      </c>
      <c r="G35" s="550">
        <v>30</v>
      </c>
      <c r="H35" s="550">
        <f>SUM(I35:I35)</f>
        <v>30</v>
      </c>
      <c r="I35" s="550">
        <v>30</v>
      </c>
      <c r="J35" s="550">
        <f>SUM(K35:K35)</f>
        <v>25</v>
      </c>
      <c r="K35" s="550">
        <v>25</v>
      </c>
      <c r="L35" s="550">
        <f>SUM(M35:M35)</f>
        <v>25</v>
      </c>
      <c r="M35" s="550">
        <v>25</v>
      </c>
      <c r="N35" s="550">
        <f>SUM(O35:O35)</f>
        <v>25</v>
      </c>
      <c r="O35" s="550">
        <v>25</v>
      </c>
      <c r="P35" s="550">
        <f>SUM(Q35:Q35)</f>
        <v>25</v>
      </c>
      <c r="Q35" s="550">
        <v>25</v>
      </c>
      <c r="R35" s="550">
        <f>SUM(S35:T35)</f>
        <v>30</v>
      </c>
      <c r="S35" s="550">
        <v>30</v>
      </c>
      <c r="T35" s="550"/>
      <c r="U35" s="550">
        <f>SUM(V35:V35)</f>
        <v>25</v>
      </c>
      <c r="V35" s="550">
        <v>25</v>
      </c>
      <c r="W35" s="550">
        <f>SUM(X35:X35)</f>
        <v>30</v>
      </c>
      <c r="X35" s="550">
        <v>30</v>
      </c>
      <c r="Y35" s="550">
        <f>SUM(Z35:Z35)</f>
        <v>30</v>
      </c>
      <c r="Z35" s="550">
        <v>30</v>
      </c>
      <c r="AA35" s="550">
        <f>SUM(AB35:AB35)</f>
        <v>30</v>
      </c>
      <c r="AB35" s="550">
        <v>30</v>
      </c>
    </row>
    <row r="36" spans="1:28" ht="17.25" customHeight="1">
      <c r="A36" s="562" t="s">
        <v>11</v>
      </c>
      <c r="B36" s="361" t="s">
        <v>894</v>
      </c>
      <c r="C36" s="549">
        <f>SUM(D36:E36)</f>
        <v>140</v>
      </c>
      <c r="D36" s="550">
        <f>G36+I36+K36+M36+O36+Q36+S36+V36+X36+Z36+AB36</f>
        <v>140</v>
      </c>
      <c r="E36" s="550">
        <f t="shared" si="24"/>
        <v>0</v>
      </c>
      <c r="F36" s="550">
        <f>SUM(G36:G36)</f>
        <v>15</v>
      </c>
      <c r="G36" s="550">
        <v>15</v>
      </c>
      <c r="H36" s="550">
        <f>SUM(I36:I36)</f>
        <v>15</v>
      </c>
      <c r="I36" s="550">
        <v>15</v>
      </c>
      <c r="J36" s="550">
        <f>SUM(K36:K36)</f>
        <v>10</v>
      </c>
      <c r="K36" s="550">
        <v>10</v>
      </c>
      <c r="L36" s="550">
        <f>SUM(M36:M36)</f>
        <v>10</v>
      </c>
      <c r="M36" s="550">
        <v>10</v>
      </c>
      <c r="N36" s="550">
        <f>SUM(O36:O36)</f>
        <v>10</v>
      </c>
      <c r="O36" s="550">
        <v>10</v>
      </c>
      <c r="P36" s="550">
        <f>SUM(Q36:Q36)</f>
        <v>10</v>
      </c>
      <c r="Q36" s="550">
        <v>10</v>
      </c>
      <c r="R36" s="550">
        <f>SUM(S36:T36)</f>
        <v>15</v>
      </c>
      <c r="S36" s="550">
        <v>15</v>
      </c>
      <c r="T36" s="550"/>
      <c r="U36" s="550">
        <f>SUM(V36:V36)</f>
        <v>10</v>
      </c>
      <c r="V36" s="550">
        <v>10</v>
      </c>
      <c r="W36" s="550">
        <f>SUM(X36:X36)</f>
        <v>15</v>
      </c>
      <c r="X36" s="550">
        <v>15</v>
      </c>
      <c r="Y36" s="550">
        <f>SUM(Z36:Z36)</f>
        <v>15</v>
      </c>
      <c r="Z36" s="550">
        <v>15</v>
      </c>
      <c r="AA36" s="550">
        <f>SUM(AB36:AB36)</f>
        <v>15</v>
      </c>
      <c r="AB36" s="550">
        <v>15</v>
      </c>
    </row>
    <row r="37" spans="1:28" ht="17.25" hidden="1" customHeight="1">
      <c r="A37" s="562"/>
      <c r="B37" s="575"/>
      <c r="C37" s="549"/>
      <c r="D37" s="550"/>
      <c r="E37" s="550"/>
      <c r="F37" s="550"/>
      <c r="G37" s="550"/>
      <c r="H37" s="550"/>
      <c r="I37" s="550"/>
      <c r="J37" s="550"/>
      <c r="K37" s="550"/>
      <c r="L37" s="550"/>
      <c r="M37" s="550"/>
      <c r="N37" s="550"/>
      <c r="O37" s="550"/>
      <c r="P37" s="550"/>
      <c r="Q37" s="550"/>
      <c r="R37" s="550"/>
      <c r="S37" s="550"/>
      <c r="T37" s="550"/>
      <c r="U37" s="550"/>
      <c r="V37" s="550"/>
      <c r="W37" s="550"/>
      <c r="X37" s="550"/>
      <c r="Y37" s="550"/>
      <c r="Z37" s="550"/>
      <c r="AA37" s="550"/>
      <c r="AB37" s="550"/>
    </row>
    <row r="38" spans="1:28" ht="17.25" hidden="1" customHeight="1">
      <c r="A38" s="562"/>
      <c r="B38" s="576"/>
      <c r="C38" s="549"/>
      <c r="D38" s="550"/>
      <c r="E38" s="550"/>
      <c r="F38" s="550"/>
      <c r="G38" s="550"/>
      <c r="H38" s="550"/>
      <c r="I38" s="550"/>
      <c r="J38" s="550"/>
      <c r="K38" s="550"/>
      <c r="L38" s="550"/>
      <c r="M38" s="550"/>
      <c r="N38" s="550"/>
      <c r="O38" s="550"/>
      <c r="P38" s="550"/>
      <c r="Q38" s="550"/>
      <c r="R38" s="550"/>
      <c r="S38" s="550"/>
      <c r="T38" s="550"/>
      <c r="U38" s="550"/>
      <c r="V38" s="550"/>
      <c r="W38" s="550"/>
      <c r="X38" s="550"/>
      <c r="Y38" s="550"/>
      <c r="Z38" s="550"/>
      <c r="AA38" s="550"/>
      <c r="AB38" s="550"/>
    </row>
    <row r="39" spans="1:28" s="359" customFormat="1" ht="17.25" customHeight="1">
      <c r="A39" s="552">
        <v>5</v>
      </c>
      <c r="B39" s="363" t="s">
        <v>205</v>
      </c>
      <c r="C39" s="544">
        <f>SUM(C40:C42)</f>
        <v>1119</v>
      </c>
      <c r="D39" s="545">
        <f t="shared" ref="D39:AB39" si="25">SUM(D40:D42)</f>
        <v>1119</v>
      </c>
      <c r="E39" s="545">
        <f t="shared" si="25"/>
        <v>0</v>
      </c>
      <c r="F39" s="545">
        <f t="shared" si="25"/>
        <v>144.708</v>
      </c>
      <c r="G39" s="545">
        <f t="shared" si="25"/>
        <v>144.708</v>
      </c>
      <c r="H39" s="545">
        <f t="shared" si="25"/>
        <v>127.55</v>
      </c>
      <c r="I39" s="545">
        <f t="shared" si="25"/>
        <v>127.55</v>
      </c>
      <c r="J39" s="545">
        <f t="shared" si="25"/>
        <v>94.591999999999999</v>
      </c>
      <c r="K39" s="545">
        <f t="shared" si="25"/>
        <v>94.591999999999999</v>
      </c>
      <c r="L39" s="545">
        <f t="shared" si="25"/>
        <v>65.55</v>
      </c>
      <c r="M39" s="545">
        <f t="shared" si="25"/>
        <v>65.55</v>
      </c>
      <c r="N39" s="545">
        <f t="shared" si="25"/>
        <v>66.2</v>
      </c>
      <c r="O39" s="545">
        <f t="shared" si="25"/>
        <v>66.2</v>
      </c>
      <c r="P39" s="545">
        <f t="shared" si="25"/>
        <v>71.650000000000006</v>
      </c>
      <c r="Q39" s="545">
        <f t="shared" si="25"/>
        <v>71.650000000000006</v>
      </c>
      <c r="R39" s="545">
        <f>SUM(R40:R42)</f>
        <v>127.5</v>
      </c>
      <c r="S39" s="545">
        <f t="shared" si="25"/>
        <v>127.5</v>
      </c>
      <c r="T39" s="545">
        <f t="shared" si="25"/>
        <v>0</v>
      </c>
      <c r="U39" s="545">
        <f t="shared" si="25"/>
        <v>63</v>
      </c>
      <c r="V39" s="545">
        <f t="shared" si="25"/>
        <v>63</v>
      </c>
      <c r="W39" s="545">
        <f t="shared" si="25"/>
        <v>122.3</v>
      </c>
      <c r="X39" s="545">
        <f t="shared" si="25"/>
        <v>122.3</v>
      </c>
      <c r="Y39" s="545">
        <f t="shared" si="25"/>
        <v>126.8</v>
      </c>
      <c r="Z39" s="545">
        <f t="shared" si="25"/>
        <v>126.8</v>
      </c>
      <c r="AA39" s="545">
        <f t="shared" si="25"/>
        <v>109.15</v>
      </c>
      <c r="AB39" s="545">
        <f t="shared" si="25"/>
        <v>109.15</v>
      </c>
    </row>
    <row r="40" spans="1:28" ht="17.25" customHeight="1">
      <c r="A40" s="562" t="s">
        <v>11</v>
      </c>
      <c r="B40" s="361" t="s">
        <v>895</v>
      </c>
      <c r="C40" s="549">
        <f t="shared" ref="C40:C65" si="26">SUM(D40:E40)</f>
        <v>24.341999999999999</v>
      </c>
      <c r="D40" s="550">
        <f t="shared" ref="D40:D65" si="27">G40+I40+K40+M40+O40+Q40+S40+V40+X40+Z40+AB40</f>
        <v>24.341999999999999</v>
      </c>
      <c r="E40" s="550">
        <f t="shared" si="24"/>
        <v>0</v>
      </c>
      <c r="F40" s="550">
        <f t="shared" ref="F40:F65" si="28">SUM(G40:G40)</f>
        <v>0</v>
      </c>
      <c r="G40" s="550"/>
      <c r="H40" s="550">
        <f t="shared" ref="H40:H61" si="29">SUM(I40:I40)</f>
        <v>0</v>
      </c>
      <c r="I40" s="550"/>
      <c r="J40" s="550">
        <f t="shared" ref="J40:J65" si="30">SUM(K40:K40)</f>
        <v>24.341999999999999</v>
      </c>
      <c r="K40" s="550">
        <v>24.341999999999999</v>
      </c>
      <c r="L40" s="550">
        <f t="shared" ref="L40:L65" si="31">SUM(M40:M40)</f>
        <v>0</v>
      </c>
      <c r="M40" s="550"/>
      <c r="N40" s="550">
        <f t="shared" ref="N40:N65" si="32">SUM(O40:O40)</f>
        <v>0</v>
      </c>
      <c r="O40" s="550"/>
      <c r="P40" s="550">
        <f t="shared" ref="P40:P65" si="33">SUM(Q40:Q40)</f>
        <v>0</v>
      </c>
      <c r="Q40" s="550"/>
      <c r="R40" s="550">
        <f t="shared" ref="R40:R65" si="34">SUM(S40:T40)</f>
        <v>0</v>
      </c>
      <c r="S40" s="550"/>
      <c r="T40" s="550"/>
      <c r="U40" s="550">
        <f t="shared" ref="U40:U65" si="35">SUM(V40:V40)</f>
        <v>0</v>
      </c>
      <c r="V40" s="550"/>
      <c r="W40" s="550">
        <f t="shared" ref="W40:W65" si="36">SUM(X40:X40)</f>
        <v>0</v>
      </c>
      <c r="X40" s="550"/>
      <c r="Y40" s="550">
        <f t="shared" ref="Y40:Y65" si="37">SUM(Z40:Z40)</f>
        <v>0</v>
      </c>
      <c r="Z40" s="550"/>
      <c r="AA40" s="550">
        <f t="shared" ref="AA40:AA65" si="38">SUM(AB40:AB40)</f>
        <v>0</v>
      </c>
      <c r="AB40" s="550"/>
    </row>
    <row r="41" spans="1:28" ht="16.5" customHeight="1">
      <c r="A41" s="562" t="s">
        <v>11</v>
      </c>
      <c r="B41" s="361" t="s">
        <v>525</v>
      </c>
      <c r="C41" s="549">
        <f t="shared" si="26"/>
        <v>850</v>
      </c>
      <c r="D41" s="550">
        <f t="shared" si="27"/>
        <v>850</v>
      </c>
      <c r="E41" s="550">
        <f t="shared" si="24"/>
        <v>0</v>
      </c>
      <c r="F41" s="550">
        <f t="shared" si="28"/>
        <v>100</v>
      </c>
      <c r="G41" s="550">
        <v>100</v>
      </c>
      <c r="H41" s="550">
        <f t="shared" si="29"/>
        <v>100</v>
      </c>
      <c r="I41" s="550">
        <v>100</v>
      </c>
      <c r="J41" s="550">
        <f t="shared" si="30"/>
        <v>50</v>
      </c>
      <c r="K41" s="550">
        <v>50</v>
      </c>
      <c r="L41" s="550">
        <f t="shared" si="31"/>
        <v>50</v>
      </c>
      <c r="M41" s="550">
        <v>50</v>
      </c>
      <c r="N41" s="550">
        <f t="shared" si="32"/>
        <v>50</v>
      </c>
      <c r="O41" s="550">
        <v>50</v>
      </c>
      <c r="P41" s="550">
        <f t="shared" si="33"/>
        <v>50</v>
      </c>
      <c r="Q41" s="550">
        <v>50</v>
      </c>
      <c r="R41" s="550">
        <f t="shared" si="34"/>
        <v>100</v>
      </c>
      <c r="S41" s="550">
        <v>100</v>
      </c>
      <c r="T41" s="550"/>
      <c r="U41" s="550">
        <f t="shared" si="35"/>
        <v>50</v>
      </c>
      <c r="V41" s="550">
        <v>50</v>
      </c>
      <c r="W41" s="550">
        <f t="shared" si="36"/>
        <v>100</v>
      </c>
      <c r="X41" s="550">
        <v>100</v>
      </c>
      <c r="Y41" s="550">
        <f t="shared" si="37"/>
        <v>100</v>
      </c>
      <c r="Z41" s="550">
        <v>100</v>
      </c>
      <c r="AA41" s="550">
        <f t="shared" si="38"/>
        <v>100</v>
      </c>
      <c r="AB41" s="550">
        <v>100</v>
      </c>
    </row>
    <row r="42" spans="1:28" s="557" customFormat="1" ht="33" customHeight="1">
      <c r="A42" s="559" t="s">
        <v>11</v>
      </c>
      <c r="B42" s="554" t="s">
        <v>896</v>
      </c>
      <c r="C42" s="555">
        <f t="shared" si="26"/>
        <v>244.65800000000002</v>
      </c>
      <c r="D42" s="556">
        <f t="shared" si="27"/>
        <v>244.65800000000002</v>
      </c>
      <c r="E42" s="556">
        <f t="shared" si="24"/>
        <v>0</v>
      </c>
      <c r="F42" s="556">
        <f t="shared" si="28"/>
        <v>44.707999999999998</v>
      </c>
      <c r="G42" s="556">
        <v>44.707999999999998</v>
      </c>
      <c r="H42" s="556">
        <f t="shared" si="29"/>
        <v>27.55</v>
      </c>
      <c r="I42" s="556">
        <v>27.55</v>
      </c>
      <c r="J42" s="556">
        <f t="shared" si="30"/>
        <v>20.25</v>
      </c>
      <c r="K42" s="556">
        <v>20.25</v>
      </c>
      <c r="L42" s="556">
        <f t="shared" si="31"/>
        <v>15.55</v>
      </c>
      <c r="M42" s="556">
        <v>15.55</v>
      </c>
      <c r="N42" s="556">
        <f t="shared" si="32"/>
        <v>16.2</v>
      </c>
      <c r="O42" s="556">
        <v>16.2</v>
      </c>
      <c r="P42" s="556">
        <f t="shared" si="33"/>
        <v>21.65</v>
      </c>
      <c r="Q42" s="556">
        <v>21.65</v>
      </c>
      <c r="R42" s="556">
        <f t="shared" si="34"/>
        <v>27.5</v>
      </c>
      <c r="S42" s="556">
        <v>27.5</v>
      </c>
      <c r="T42" s="556"/>
      <c r="U42" s="556">
        <f t="shared" si="35"/>
        <v>13</v>
      </c>
      <c r="V42" s="556">
        <v>13</v>
      </c>
      <c r="W42" s="556">
        <f t="shared" si="36"/>
        <v>22.3</v>
      </c>
      <c r="X42" s="556">
        <v>22.3</v>
      </c>
      <c r="Y42" s="556">
        <f t="shared" si="37"/>
        <v>26.8</v>
      </c>
      <c r="Z42" s="556">
        <v>26.8</v>
      </c>
      <c r="AA42" s="556">
        <f t="shared" si="38"/>
        <v>9.15</v>
      </c>
      <c r="AB42" s="556">
        <v>9.15</v>
      </c>
    </row>
    <row r="43" spans="1:28" s="359" customFormat="1" ht="19.5" customHeight="1">
      <c r="A43" s="552">
        <v>6</v>
      </c>
      <c r="B43" s="363" t="s">
        <v>97</v>
      </c>
      <c r="C43" s="544">
        <f>SUM(D43:E43)</f>
        <v>43707.711000000003</v>
      </c>
      <c r="D43" s="545">
        <f>G43+I43+K43+M43+O43+Q43+S43+V43+X43+Z43+AB43</f>
        <v>43707.711000000003</v>
      </c>
      <c r="E43" s="550">
        <f>T43</f>
        <v>0</v>
      </c>
      <c r="F43" s="545">
        <f>SUM(G43:G43)</f>
        <v>3823.9649999999997</v>
      </c>
      <c r="G43" s="545">
        <f>3792.845+G62</f>
        <v>3823.9649999999997</v>
      </c>
      <c r="H43" s="545">
        <f t="shared" si="29"/>
        <v>3978.0299999999997</v>
      </c>
      <c r="I43" s="545">
        <f>3940.08-52.5+I63+I64+I65+I62-5-7</f>
        <v>3978.0299999999997</v>
      </c>
      <c r="J43" s="545">
        <f t="shared" si="30"/>
        <v>3167.4760000000001</v>
      </c>
      <c r="K43" s="545">
        <f>3157.976+K62</f>
        <v>3167.4760000000001</v>
      </c>
      <c r="L43" s="545">
        <f t="shared" si="31"/>
        <v>3310.3240000000001</v>
      </c>
      <c r="M43" s="545">
        <f>3300.614+M62</f>
        <v>3310.3240000000001</v>
      </c>
      <c r="N43" s="545">
        <f t="shared" si="32"/>
        <v>3258.8</v>
      </c>
      <c r="O43" s="545">
        <f>3250.05+O62</f>
        <v>3258.8</v>
      </c>
      <c r="P43" s="545">
        <f t="shared" si="33"/>
        <v>3744.1860000000001</v>
      </c>
      <c r="Q43" s="545">
        <f>3733.906+Q62</f>
        <v>3744.1860000000001</v>
      </c>
      <c r="R43" s="545">
        <f>SUM(S43:T43)</f>
        <v>4406.4050000000007</v>
      </c>
      <c r="S43" s="545">
        <f>4387.345+S62</f>
        <v>4406.4050000000007</v>
      </c>
      <c r="T43" s="545"/>
      <c r="U43" s="545">
        <f t="shared" si="35"/>
        <v>3623.3670000000002</v>
      </c>
      <c r="V43" s="545">
        <f>3611.597+V62</f>
        <v>3623.3670000000002</v>
      </c>
      <c r="W43" s="545">
        <f t="shared" si="36"/>
        <v>4627.6189999999997</v>
      </c>
      <c r="X43" s="545">
        <f>4617.339+X62</f>
        <v>4627.6189999999997</v>
      </c>
      <c r="Y43" s="545">
        <f t="shared" si="37"/>
        <v>4513.0990000000002</v>
      </c>
      <c r="Z43" s="545">
        <f>4503.679+Z62</f>
        <v>4513.0990000000002</v>
      </c>
      <c r="AA43" s="545">
        <f t="shared" si="38"/>
        <v>5254.44</v>
      </c>
      <c r="AB43" s="545">
        <f>5237.32+AB62</f>
        <v>5254.44</v>
      </c>
    </row>
    <row r="44" spans="1:28" s="557" customFormat="1" ht="19.5" customHeight="1">
      <c r="A44" s="559"/>
      <c r="B44" s="554" t="s">
        <v>897</v>
      </c>
      <c r="C44" s="555">
        <f t="shared" si="26"/>
        <v>1239.0920000000001</v>
      </c>
      <c r="D44" s="556">
        <f t="shared" si="27"/>
        <v>1239.0920000000001</v>
      </c>
      <c r="E44" s="556">
        <f t="shared" si="24"/>
        <v>0</v>
      </c>
      <c r="F44" s="556">
        <f t="shared" si="28"/>
        <v>150.19200000000001</v>
      </c>
      <c r="G44" s="556">
        <v>150.19200000000001</v>
      </c>
      <c r="H44" s="556">
        <f t="shared" si="29"/>
        <v>112.64400000000001</v>
      </c>
      <c r="I44" s="556">
        <v>112.64400000000001</v>
      </c>
      <c r="J44" s="556">
        <f t="shared" si="30"/>
        <v>96.552000000000007</v>
      </c>
      <c r="K44" s="556">
        <v>96.552000000000007</v>
      </c>
      <c r="L44" s="556">
        <f t="shared" si="31"/>
        <v>112.64400000000001</v>
      </c>
      <c r="M44" s="556">
        <v>112.64400000000001</v>
      </c>
      <c r="N44" s="556">
        <f t="shared" si="32"/>
        <v>107.28</v>
      </c>
      <c r="O44" s="556">
        <v>107.28</v>
      </c>
      <c r="P44" s="556">
        <f t="shared" si="33"/>
        <v>101.916</v>
      </c>
      <c r="Q44" s="556">
        <v>101.916</v>
      </c>
      <c r="R44" s="556">
        <f t="shared" si="34"/>
        <v>118.008</v>
      </c>
      <c r="S44" s="556">
        <v>118.008</v>
      </c>
      <c r="T44" s="556"/>
      <c r="U44" s="556">
        <f t="shared" si="35"/>
        <v>80.468000000000004</v>
      </c>
      <c r="V44" s="556">
        <v>80.468000000000004</v>
      </c>
      <c r="W44" s="556">
        <f t="shared" si="36"/>
        <v>123.372</v>
      </c>
      <c r="X44" s="556">
        <v>123.372</v>
      </c>
      <c r="Y44" s="556">
        <f t="shared" si="37"/>
        <v>118.008</v>
      </c>
      <c r="Z44" s="556">
        <v>118.008</v>
      </c>
      <c r="AA44" s="556">
        <f t="shared" si="38"/>
        <v>118.008</v>
      </c>
      <c r="AB44" s="556">
        <v>118.008</v>
      </c>
    </row>
    <row r="45" spans="1:28" s="557" customFormat="1" ht="19.5" customHeight="1">
      <c r="A45" s="559" t="s">
        <v>11</v>
      </c>
      <c r="B45" s="554" t="s">
        <v>96</v>
      </c>
      <c r="C45" s="555">
        <f t="shared" si="26"/>
        <v>22</v>
      </c>
      <c r="D45" s="556">
        <f t="shared" si="27"/>
        <v>22</v>
      </c>
      <c r="E45" s="556">
        <f t="shared" si="24"/>
        <v>0</v>
      </c>
      <c r="F45" s="556">
        <f t="shared" si="28"/>
        <v>2</v>
      </c>
      <c r="G45" s="556">
        <v>2</v>
      </c>
      <c r="H45" s="556">
        <f t="shared" si="29"/>
        <v>2</v>
      </c>
      <c r="I45" s="556">
        <v>2</v>
      </c>
      <c r="J45" s="556">
        <f t="shared" si="30"/>
        <v>2</v>
      </c>
      <c r="K45" s="556">
        <v>2</v>
      </c>
      <c r="L45" s="556">
        <f t="shared" si="31"/>
        <v>2</v>
      </c>
      <c r="M45" s="556">
        <v>2</v>
      </c>
      <c r="N45" s="556">
        <f t="shared" si="32"/>
        <v>2</v>
      </c>
      <c r="O45" s="556">
        <v>2</v>
      </c>
      <c r="P45" s="556">
        <f t="shared" si="33"/>
        <v>2</v>
      </c>
      <c r="Q45" s="556">
        <v>2</v>
      </c>
      <c r="R45" s="556">
        <f t="shared" si="34"/>
        <v>2</v>
      </c>
      <c r="S45" s="556">
        <v>2</v>
      </c>
      <c r="T45" s="556"/>
      <c r="U45" s="556">
        <f t="shared" si="35"/>
        <v>2</v>
      </c>
      <c r="V45" s="556">
        <v>2</v>
      </c>
      <c r="W45" s="556">
        <f t="shared" si="36"/>
        <v>2</v>
      </c>
      <c r="X45" s="556">
        <v>2</v>
      </c>
      <c r="Y45" s="556">
        <f t="shared" si="37"/>
        <v>2</v>
      </c>
      <c r="Z45" s="556">
        <v>2</v>
      </c>
      <c r="AA45" s="556">
        <f t="shared" si="38"/>
        <v>2</v>
      </c>
      <c r="AB45" s="556">
        <v>2</v>
      </c>
    </row>
    <row r="46" spans="1:28" s="564" customFormat="1" ht="19.5" customHeight="1">
      <c r="A46" s="563" t="s">
        <v>11</v>
      </c>
      <c r="B46" s="554" t="s">
        <v>898</v>
      </c>
      <c r="C46" s="555">
        <f t="shared" si="26"/>
        <v>7466.6880000000001</v>
      </c>
      <c r="D46" s="556">
        <f t="shared" si="27"/>
        <v>7466.6880000000001</v>
      </c>
      <c r="E46" s="556">
        <f t="shared" si="24"/>
        <v>0</v>
      </c>
      <c r="F46" s="556">
        <f t="shared" si="28"/>
        <v>781.35599999999999</v>
      </c>
      <c r="G46" s="556">
        <v>781.35599999999999</v>
      </c>
      <c r="H46" s="556">
        <f t="shared" si="29"/>
        <v>620.43600000000004</v>
      </c>
      <c r="I46" s="556">
        <v>620.43600000000004</v>
      </c>
      <c r="J46" s="556">
        <f t="shared" si="30"/>
        <v>441.63600000000002</v>
      </c>
      <c r="K46" s="556">
        <v>441.63600000000002</v>
      </c>
      <c r="L46" s="556">
        <f t="shared" si="31"/>
        <v>513.15599999999995</v>
      </c>
      <c r="M46" s="556">
        <v>513.15599999999995</v>
      </c>
      <c r="N46" s="556">
        <f t="shared" si="32"/>
        <v>459.51600000000002</v>
      </c>
      <c r="O46" s="556">
        <v>459.51600000000002</v>
      </c>
      <c r="P46" s="556">
        <f t="shared" si="33"/>
        <v>459.51600000000002</v>
      </c>
      <c r="Q46" s="556">
        <v>459.51600000000002</v>
      </c>
      <c r="R46" s="556">
        <f t="shared" si="34"/>
        <v>870.75599999999997</v>
      </c>
      <c r="S46" s="556">
        <v>870.75599999999997</v>
      </c>
      <c r="T46" s="556"/>
      <c r="U46" s="556">
        <f t="shared" si="35"/>
        <v>405.87599999999998</v>
      </c>
      <c r="V46" s="556">
        <v>405.87599999999998</v>
      </c>
      <c r="W46" s="556">
        <f t="shared" si="36"/>
        <v>911.88</v>
      </c>
      <c r="X46" s="556">
        <v>911.88</v>
      </c>
      <c r="Y46" s="556">
        <f t="shared" si="37"/>
        <v>822.48</v>
      </c>
      <c r="Z46" s="556">
        <v>822.48</v>
      </c>
      <c r="AA46" s="556">
        <f t="shared" si="38"/>
        <v>1180.08</v>
      </c>
      <c r="AB46" s="556">
        <v>1180.08</v>
      </c>
    </row>
    <row r="47" spans="1:28" ht="16.5" customHeight="1">
      <c r="A47" s="562"/>
      <c r="B47" s="565" t="s">
        <v>899</v>
      </c>
      <c r="C47" s="549">
        <f t="shared" si="26"/>
        <v>64</v>
      </c>
      <c r="D47" s="550">
        <f t="shared" si="27"/>
        <v>64</v>
      </c>
      <c r="E47" s="550">
        <f t="shared" si="24"/>
        <v>0</v>
      </c>
      <c r="F47" s="550">
        <f t="shared" si="28"/>
        <v>8</v>
      </c>
      <c r="G47" s="550">
        <v>8</v>
      </c>
      <c r="H47" s="550">
        <f t="shared" si="29"/>
        <v>7</v>
      </c>
      <c r="I47" s="550">
        <v>7</v>
      </c>
      <c r="J47" s="550">
        <f t="shared" si="30"/>
        <v>3</v>
      </c>
      <c r="K47" s="550">
        <v>3</v>
      </c>
      <c r="L47" s="550">
        <f t="shared" si="31"/>
        <v>5</v>
      </c>
      <c r="M47" s="550">
        <v>5</v>
      </c>
      <c r="N47" s="550">
        <f t="shared" si="32"/>
        <v>4</v>
      </c>
      <c r="O47" s="550">
        <v>4</v>
      </c>
      <c r="P47" s="550">
        <f t="shared" si="33"/>
        <v>4</v>
      </c>
      <c r="Q47" s="550">
        <v>4</v>
      </c>
      <c r="R47" s="550">
        <f t="shared" si="34"/>
        <v>7</v>
      </c>
      <c r="S47" s="550">
        <v>7</v>
      </c>
      <c r="T47" s="550"/>
      <c r="U47" s="550">
        <f t="shared" si="35"/>
        <v>3</v>
      </c>
      <c r="V47" s="550">
        <v>3</v>
      </c>
      <c r="W47" s="550">
        <f t="shared" si="36"/>
        <v>7</v>
      </c>
      <c r="X47" s="550">
        <v>7</v>
      </c>
      <c r="Y47" s="550">
        <f t="shared" si="37"/>
        <v>6</v>
      </c>
      <c r="Z47" s="550">
        <v>6</v>
      </c>
      <c r="AA47" s="550">
        <f t="shared" si="38"/>
        <v>10</v>
      </c>
      <c r="AB47" s="550">
        <v>10</v>
      </c>
    </row>
    <row r="48" spans="1:28" s="566" customFormat="1" ht="51" customHeight="1">
      <c r="A48" s="559" t="s">
        <v>11</v>
      </c>
      <c r="B48" s="554" t="s">
        <v>900</v>
      </c>
      <c r="C48" s="555">
        <f t="shared" si="26"/>
        <v>1280</v>
      </c>
      <c r="D48" s="556">
        <f t="shared" si="27"/>
        <v>1280</v>
      </c>
      <c r="E48" s="556">
        <f t="shared" si="24"/>
        <v>0</v>
      </c>
      <c r="F48" s="556">
        <f t="shared" si="28"/>
        <v>160</v>
      </c>
      <c r="G48" s="556">
        <f>20*8</f>
        <v>160</v>
      </c>
      <c r="H48" s="556">
        <f t="shared" si="29"/>
        <v>140</v>
      </c>
      <c r="I48" s="556">
        <f>20*7</f>
        <v>140</v>
      </c>
      <c r="J48" s="556">
        <f t="shared" si="30"/>
        <v>60</v>
      </c>
      <c r="K48" s="556">
        <f>20*3</f>
        <v>60</v>
      </c>
      <c r="L48" s="556">
        <f t="shared" si="31"/>
        <v>100</v>
      </c>
      <c r="M48" s="556">
        <f>20*5</f>
        <v>100</v>
      </c>
      <c r="N48" s="556">
        <f t="shared" si="32"/>
        <v>80</v>
      </c>
      <c r="O48" s="556">
        <f>20*4</f>
        <v>80</v>
      </c>
      <c r="P48" s="556">
        <f t="shared" si="33"/>
        <v>80</v>
      </c>
      <c r="Q48" s="556">
        <f>20*4</f>
        <v>80</v>
      </c>
      <c r="R48" s="556">
        <f t="shared" si="34"/>
        <v>140</v>
      </c>
      <c r="S48" s="556">
        <f>20*7</f>
        <v>140</v>
      </c>
      <c r="T48" s="556"/>
      <c r="U48" s="556">
        <f t="shared" si="35"/>
        <v>60</v>
      </c>
      <c r="V48" s="556">
        <f>20*3</f>
        <v>60</v>
      </c>
      <c r="W48" s="556">
        <f t="shared" si="36"/>
        <v>140</v>
      </c>
      <c r="X48" s="556">
        <f>20*7</f>
        <v>140</v>
      </c>
      <c r="Y48" s="556">
        <f t="shared" si="37"/>
        <v>120</v>
      </c>
      <c r="Z48" s="556">
        <f>20*6</f>
        <v>120</v>
      </c>
      <c r="AA48" s="556">
        <f t="shared" si="38"/>
        <v>200</v>
      </c>
      <c r="AB48" s="556">
        <f>20*10</f>
        <v>200</v>
      </c>
    </row>
    <row r="49" spans="1:28" s="568" customFormat="1" ht="18.75" customHeight="1">
      <c r="A49" s="567" t="s">
        <v>11</v>
      </c>
      <c r="B49" s="565" t="s">
        <v>901</v>
      </c>
      <c r="C49" s="549">
        <f t="shared" si="26"/>
        <v>139</v>
      </c>
      <c r="D49" s="550">
        <f t="shared" si="27"/>
        <v>139</v>
      </c>
      <c r="E49" s="550">
        <f t="shared" si="24"/>
        <v>0</v>
      </c>
      <c r="F49" s="550">
        <f t="shared" si="28"/>
        <v>16</v>
      </c>
      <c r="G49" s="550">
        <v>16</v>
      </c>
      <c r="H49" s="550">
        <f t="shared" si="29"/>
        <v>11</v>
      </c>
      <c r="I49" s="550">
        <v>11</v>
      </c>
      <c r="J49" s="550">
        <f t="shared" si="30"/>
        <v>6</v>
      </c>
      <c r="K49" s="550">
        <v>6</v>
      </c>
      <c r="L49" s="550">
        <f t="shared" si="31"/>
        <v>8</v>
      </c>
      <c r="M49" s="550">
        <v>8</v>
      </c>
      <c r="N49" s="550">
        <f t="shared" si="32"/>
        <v>6</v>
      </c>
      <c r="O49" s="550">
        <v>6</v>
      </c>
      <c r="P49" s="550">
        <f t="shared" si="33"/>
        <v>6</v>
      </c>
      <c r="Q49" s="550">
        <v>6</v>
      </c>
      <c r="R49" s="550">
        <f t="shared" si="34"/>
        <v>19</v>
      </c>
      <c r="S49" s="550">
        <v>19</v>
      </c>
      <c r="T49" s="550"/>
      <c r="U49" s="550">
        <f t="shared" si="35"/>
        <v>5</v>
      </c>
      <c r="V49" s="550">
        <v>5</v>
      </c>
      <c r="W49" s="550">
        <f t="shared" si="36"/>
        <v>19</v>
      </c>
      <c r="X49" s="550">
        <v>19</v>
      </c>
      <c r="Y49" s="550">
        <f t="shared" si="37"/>
        <v>16</v>
      </c>
      <c r="Z49" s="550">
        <v>16</v>
      </c>
      <c r="AA49" s="550">
        <f t="shared" si="38"/>
        <v>27</v>
      </c>
      <c r="AB49" s="550">
        <v>27</v>
      </c>
    </row>
    <row r="50" spans="1:28" s="557" customFormat="1" ht="33.75" customHeight="1">
      <c r="A50" s="559" t="s">
        <v>11</v>
      </c>
      <c r="B50" s="554" t="s">
        <v>526</v>
      </c>
      <c r="C50" s="555">
        <f t="shared" si="26"/>
        <v>132</v>
      </c>
      <c r="D50" s="556">
        <f t="shared" si="27"/>
        <v>132</v>
      </c>
      <c r="E50" s="556">
        <f t="shared" si="24"/>
        <v>0</v>
      </c>
      <c r="F50" s="556">
        <f t="shared" si="28"/>
        <v>12</v>
      </c>
      <c r="G50" s="556">
        <v>12</v>
      </c>
      <c r="H50" s="556">
        <f t="shared" si="29"/>
        <v>12</v>
      </c>
      <c r="I50" s="556">
        <v>12</v>
      </c>
      <c r="J50" s="556">
        <f t="shared" si="30"/>
        <v>12</v>
      </c>
      <c r="K50" s="556">
        <v>12</v>
      </c>
      <c r="L50" s="556">
        <f t="shared" si="31"/>
        <v>12</v>
      </c>
      <c r="M50" s="556">
        <v>12</v>
      </c>
      <c r="N50" s="556">
        <f t="shared" si="32"/>
        <v>12</v>
      </c>
      <c r="O50" s="556">
        <v>12</v>
      </c>
      <c r="P50" s="556">
        <f t="shared" si="33"/>
        <v>12</v>
      </c>
      <c r="Q50" s="556">
        <v>12</v>
      </c>
      <c r="R50" s="556">
        <f t="shared" si="34"/>
        <v>12</v>
      </c>
      <c r="S50" s="556">
        <v>12</v>
      </c>
      <c r="T50" s="556"/>
      <c r="U50" s="556">
        <f t="shared" si="35"/>
        <v>12</v>
      </c>
      <c r="V50" s="556">
        <v>12</v>
      </c>
      <c r="W50" s="556">
        <f t="shared" si="36"/>
        <v>12</v>
      </c>
      <c r="X50" s="556">
        <v>12</v>
      </c>
      <c r="Y50" s="556">
        <f t="shared" si="37"/>
        <v>12</v>
      </c>
      <c r="Z50" s="556">
        <v>12</v>
      </c>
      <c r="AA50" s="556">
        <f t="shared" si="38"/>
        <v>12</v>
      </c>
      <c r="AB50" s="556">
        <v>12</v>
      </c>
    </row>
    <row r="51" spans="1:28">
      <c r="A51" s="562" t="s">
        <v>11</v>
      </c>
      <c r="B51" s="565" t="s">
        <v>527</v>
      </c>
      <c r="C51" s="549">
        <f t="shared" si="26"/>
        <v>15</v>
      </c>
      <c r="D51" s="550">
        <f t="shared" si="27"/>
        <v>15</v>
      </c>
      <c r="E51" s="550">
        <f t="shared" si="24"/>
        <v>0</v>
      </c>
      <c r="F51" s="550">
        <f t="shared" si="28"/>
        <v>0</v>
      </c>
      <c r="G51" s="550"/>
      <c r="H51" s="550">
        <f t="shared" si="29"/>
        <v>0</v>
      </c>
      <c r="I51" s="550"/>
      <c r="J51" s="550">
        <f t="shared" si="30"/>
        <v>0</v>
      </c>
      <c r="K51" s="550"/>
      <c r="L51" s="550">
        <f t="shared" si="31"/>
        <v>0</v>
      </c>
      <c r="M51" s="550"/>
      <c r="N51" s="550">
        <f t="shared" si="32"/>
        <v>0</v>
      </c>
      <c r="O51" s="550"/>
      <c r="P51" s="550">
        <f t="shared" si="33"/>
        <v>15</v>
      </c>
      <c r="Q51" s="550">
        <v>15</v>
      </c>
      <c r="R51" s="550">
        <f t="shared" si="34"/>
        <v>0</v>
      </c>
      <c r="S51" s="550"/>
      <c r="T51" s="550"/>
      <c r="U51" s="550">
        <f t="shared" si="35"/>
        <v>0</v>
      </c>
      <c r="V51" s="550"/>
      <c r="W51" s="550">
        <f t="shared" si="36"/>
        <v>0</v>
      </c>
      <c r="X51" s="550"/>
      <c r="Y51" s="550">
        <f t="shared" si="37"/>
        <v>0</v>
      </c>
      <c r="Z51" s="550"/>
      <c r="AA51" s="550">
        <f t="shared" si="38"/>
        <v>0</v>
      </c>
      <c r="AB51" s="550"/>
    </row>
    <row r="52" spans="1:28" ht="15" customHeight="1">
      <c r="A52" s="562" t="s">
        <v>11</v>
      </c>
      <c r="B52" s="565" t="s">
        <v>902</v>
      </c>
      <c r="C52" s="549">
        <f t="shared" si="26"/>
        <v>100</v>
      </c>
      <c r="D52" s="550">
        <f t="shared" si="27"/>
        <v>100</v>
      </c>
      <c r="E52" s="550">
        <f t="shared" si="24"/>
        <v>0</v>
      </c>
      <c r="F52" s="550">
        <f t="shared" si="28"/>
        <v>0</v>
      </c>
      <c r="G52" s="550"/>
      <c r="H52" s="550">
        <f t="shared" si="29"/>
        <v>0</v>
      </c>
      <c r="I52" s="550"/>
      <c r="J52" s="550">
        <f t="shared" si="30"/>
        <v>0</v>
      </c>
      <c r="K52" s="550"/>
      <c r="L52" s="550">
        <f t="shared" si="31"/>
        <v>0</v>
      </c>
      <c r="M52" s="550"/>
      <c r="N52" s="550">
        <f t="shared" si="32"/>
        <v>0</v>
      </c>
      <c r="O52" s="550"/>
      <c r="P52" s="550">
        <f t="shared" si="33"/>
        <v>0</v>
      </c>
      <c r="Q52" s="550"/>
      <c r="R52" s="550">
        <f t="shared" si="34"/>
        <v>0</v>
      </c>
      <c r="S52" s="550"/>
      <c r="T52" s="550"/>
      <c r="U52" s="550">
        <f t="shared" si="35"/>
        <v>0</v>
      </c>
      <c r="V52" s="550"/>
      <c r="W52" s="550">
        <f t="shared" si="36"/>
        <v>50</v>
      </c>
      <c r="X52" s="550">
        <f>36+14</f>
        <v>50</v>
      </c>
      <c r="Y52" s="550">
        <f t="shared" si="37"/>
        <v>50</v>
      </c>
      <c r="Z52" s="550">
        <f>36+14</f>
        <v>50</v>
      </c>
      <c r="AA52" s="550">
        <f t="shared" si="38"/>
        <v>0</v>
      </c>
      <c r="AB52" s="550"/>
    </row>
    <row r="53" spans="1:28" ht="15" customHeight="1">
      <c r="A53" s="562" t="s">
        <v>11</v>
      </c>
      <c r="B53" s="565" t="s">
        <v>903</v>
      </c>
      <c r="C53" s="549">
        <f t="shared" si="26"/>
        <v>1100</v>
      </c>
      <c r="D53" s="550">
        <f t="shared" si="27"/>
        <v>1100</v>
      </c>
      <c r="E53" s="550">
        <f t="shared" si="24"/>
        <v>0</v>
      </c>
      <c r="F53" s="550">
        <f t="shared" si="28"/>
        <v>100</v>
      </c>
      <c r="G53" s="550">
        <v>100</v>
      </c>
      <c r="H53" s="550">
        <f t="shared" si="29"/>
        <v>100</v>
      </c>
      <c r="I53" s="550">
        <v>100</v>
      </c>
      <c r="J53" s="550">
        <f t="shared" si="30"/>
        <v>100</v>
      </c>
      <c r="K53" s="550">
        <v>100</v>
      </c>
      <c r="L53" s="550">
        <f t="shared" si="31"/>
        <v>100</v>
      </c>
      <c r="M53" s="550">
        <v>100</v>
      </c>
      <c r="N53" s="550">
        <f t="shared" si="32"/>
        <v>100</v>
      </c>
      <c r="O53" s="550">
        <v>100</v>
      </c>
      <c r="P53" s="550">
        <f t="shared" si="33"/>
        <v>100</v>
      </c>
      <c r="Q53" s="550">
        <f>100</f>
        <v>100</v>
      </c>
      <c r="R53" s="550">
        <f t="shared" si="34"/>
        <v>100</v>
      </c>
      <c r="S53" s="550">
        <v>100</v>
      </c>
      <c r="T53" s="550"/>
      <c r="U53" s="550">
        <f t="shared" si="35"/>
        <v>100</v>
      </c>
      <c r="V53" s="550">
        <v>100</v>
      </c>
      <c r="W53" s="550">
        <f t="shared" si="36"/>
        <v>100</v>
      </c>
      <c r="X53" s="550">
        <v>100</v>
      </c>
      <c r="Y53" s="550">
        <f t="shared" si="37"/>
        <v>100</v>
      </c>
      <c r="Z53" s="550">
        <v>100</v>
      </c>
      <c r="AA53" s="550">
        <f t="shared" si="38"/>
        <v>100</v>
      </c>
      <c r="AB53" s="550">
        <v>100</v>
      </c>
    </row>
    <row r="54" spans="1:28" ht="15" customHeight="1">
      <c r="A54" s="552" t="s">
        <v>11</v>
      </c>
      <c r="B54" s="565" t="s">
        <v>904</v>
      </c>
      <c r="C54" s="549">
        <f t="shared" si="26"/>
        <v>275</v>
      </c>
      <c r="D54" s="550">
        <f t="shared" si="27"/>
        <v>275</v>
      </c>
      <c r="E54" s="550">
        <f t="shared" si="24"/>
        <v>0</v>
      </c>
      <c r="F54" s="550">
        <f t="shared" si="28"/>
        <v>25</v>
      </c>
      <c r="G54" s="550">
        <v>25</v>
      </c>
      <c r="H54" s="550">
        <f t="shared" si="29"/>
        <v>25</v>
      </c>
      <c r="I54" s="550">
        <v>25</v>
      </c>
      <c r="J54" s="550">
        <f t="shared" si="30"/>
        <v>25</v>
      </c>
      <c r="K54" s="550">
        <v>25</v>
      </c>
      <c r="L54" s="550">
        <f t="shared" si="31"/>
        <v>25</v>
      </c>
      <c r="M54" s="550">
        <v>25</v>
      </c>
      <c r="N54" s="550">
        <f t="shared" si="32"/>
        <v>25</v>
      </c>
      <c r="O54" s="550">
        <v>25</v>
      </c>
      <c r="P54" s="550">
        <f t="shared" si="33"/>
        <v>25</v>
      </c>
      <c r="Q54" s="550">
        <v>25</v>
      </c>
      <c r="R54" s="550">
        <f t="shared" si="34"/>
        <v>25</v>
      </c>
      <c r="S54" s="550">
        <v>25</v>
      </c>
      <c r="T54" s="550"/>
      <c r="U54" s="550">
        <f t="shared" si="35"/>
        <v>25</v>
      </c>
      <c r="V54" s="550">
        <v>25</v>
      </c>
      <c r="W54" s="550">
        <f t="shared" si="36"/>
        <v>25</v>
      </c>
      <c r="X54" s="550">
        <v>25</v>
      </c>
      <c r="Y54" s="550">
        <f t="shared" si="37"/>
        <v>25</v>
      </c>
      <c r="Z54" s="550">
        <v>25</v>
      </c>
      <c r="AA54" s="550">
        <f t="shared" si="38"/>
        <v>25</v>
      </c>
      <c r="AB54" s="550">
        <v>25</v>
      </c>
    </row>
    <row r="55" spans="1:28" ht="18" customHeight="1">
      <c r="A55" s="562" t="s">
        <v>11</v>
      </c>
      <c r="B55" s="565" t="s">
        <v>528</v>
      </c>
      <c r="C55" s="549">
        <f t="shared" si="26"/>
        <v>847.51400000000001</v>
      </c>
      <c r="D55" s="550">
        <f t="shared" si="27"/>
        <v>847.51400000000001</v>
      </c>
      <c r="E55" s="550">
        <f t="shared" si="24"/>
        <v>0</v>
      </c>
      <c r="F55" s="550">
        <f t="shared" si="28"/>
        <v>80.459999999999994</v>
      </c>
      <c r="G55" s="550">
        <v>80.459999999999994</v>
      </c>
      <c r="H55" s="550">
        <f t="shared" si="29"/>
        <v>75.096000000000004</v>
      </c>
      <c r="I55" s="550">
        <v>75.096000000000004</v>
      </c>
      <c r="J55" s="550">
        <f t="shared" si="30"/>
        <v>75.096000000000004</v>
      </c>
      <c r="K55" s="550">
        <v>75.096000000000004</v>
      </c>
      <c r="L55" s="550">
        <f t="shared" si="31"/>
        <v>75.096000000000004</v>
      </c>
      <c r="M55" s="550">
        <v>75.096000000000004</v>
      </c>
      <c r="N55" s="550">
        <f t="shared" si="32"/>
        <v>69.73</v>
      </c>
      <c r="O55" s="550">
        <v>69.73</v>
      </c>
      <c r="P55" s="550">
        <f t="shared" si="33"/>
        <v>80.459999999999994</v>
      </c>
      <c r="Q55" s="550">
        <v>80.459999999999994</v>
      </c>
      <c r="R55" s="550">
        <f t="shared" si="34"/>
        <v>75.096000000000004</v>
      </c>
      <c r="S55" s="550">
        <v>75.096000000000004</v>
      </c>
      <c r="T55" s="550"/>
      <c r="U55" s="550">
        <f t="shared" si="35"/>
        <v>75.099999999999994</v>
      </c>
      <c r="V55" s="550">
        <v>75.099999999999994</v>
      </c>
      <c r="W55" s="550">
        <f t="shared" si="36"/>
        <v>75.096000000000004</v>
      </c>
      <c r="X55" s="550">
        <v>75.096000000000004</v>
      </c>
      <c r="Y55" s="550">
        <f t="shared" si="37"/>
        <v>85.823999999999998</v>
      </c>
      <c r="Z55" s="550">
        <v>85.823999999999998</v>
      </c>
      <c r="AA55" s="550">
        <f t="shared" si="38"/>
        <v>80.459999999999994</v>
      </c>
      <c r="AB55" s="550">
        <v>80.459999999999994</v>
      </c>
    </row>
    <row r="56" spans="1:28" ht="27.75" customHeight="1">
      <c r="A56" s="562" t="s">
        <v>11</v>
      </c>
      <c r="B56" s="565" t="s">
        <v>529</v>
      </c>
      <c r="C56" s="549">
        <f t="shared" si="26"/>
        <v>846.88800000000003</v>
      </c>
      <c r="D56" s="550">
        <f t="shared" si="27"/>
        <v>846.88800000000003</v>
      </c>
      <c r="E56" s="550">
        <f t="shared" si="24"/>
        <v>0</v>
      </c>
      <c r="F56" s="550">
        <f t="shared" si="28"/>
        <v>103.70400000000001</v>
      </c>
      <c r="G56" s="550">
        <f>(0.2*1.49*228)+(8*3*1.49)</f>
        <v>103.70400000000001</v>
      </c>
      <c r="H56" s="550">
        <f t="shared" si="29"/>
        <v>78.224999999999994</v>
      </c>
      <c r="I56" s="550">
        <f>(0.3*1.49*105)+(7*3*1.49)</f>
        <v>78.224999999999994</v>
      </c>
      <c r="J56" s="550">
        <f t="shared" si="30"/>
        <v>50.957999999999998</v>
      </c>
      <c r="K56" s="550">
        <f>(0.4*1.49*63)+(3*3*1.49)</f>
        <v>50.957999999999998</v>
      </c>
      <c r="L56" s="550">
        <f t="shared" si="31"/>
        <v>59.618000000000002</v>
      </c>
      <c r="M56" s="550">
        <f>0.4*1.21*77+(5*3*1.49)</f>
        <v>59.618000000000002</v>
      </c>
      <c r="N56" s="550">
        <f t="shared" si="32"/>
        <v>59.599999999999994</v>
      </c>
      <c r="O56" s="550">
        <f>0.4*1.49*70+(4*3*1.49)</f>
        <v>59.599999999999994</v>
      </c>
      <c r="P56" s="550">
        <f t="shared" si="33"/>
        <v>61.983999999999995</v>
      </c>
      <c r="Q56" s="550">
        <f>0.4*1.49*74+(4*3*1.49)</f>
        <v>61.983999999999995</v>
      </c>
      <c r="R56" s="550">
        <f t="shared" si="34"/>
        <v>100.57499999999999</v>
      </c>
      <c r="S56" s="550">
        <f>0.3*1.49*155+(7*3*1.49)</f>
        <v>100.57499999999999</v>
      </c>
      <c r="T56" s="550"/>
      <c r="U56" s="550">
        <f t="shared" si="35"/>
        <v>52.997999999999998</v>
      </c>
      <c r="V56" s="550">
        <f>0.4*1.21*87+(3*3*1.21)</f>
        <v>52.997999999999998</v>
      </c>
      <c r="W56" s="550">
        <f t="shared" si="36"/>
        <v>80.757999999999996</v>
      </c>
      <c r="X56" s="550">
        <f>0.4*1.49*83+(7*3*1.49)</f>
        <v>80.757999999999996</v>
      </c>
      <c r="Y56" s="550">
        <f t="shared" si="37"/>
        <v>85.37700000000001</v>
      </c>
      <c r="Z56" s="550">
        <f>0.3*1.49*131+(6*3*1.49)</f>
        <v>85.37700000000001</v>
      </c>
      <c r="AA56" s="550">
        <f t="shared" si="38"/>
        <v>113.09100000000001</v>
      </c>
      <c r="AB56" s="550">
        <f>0.3*1.49*153+(10*3*1.49)</f>
        <v>113.09100000000001</v>
      </c>
    </row>
    <row r="57" spans="1:28" s="568" customFormat="1" ht="27.75" customHeight="1">
      <c r="A57" s="567" t="s">
        <v>11</v>
      </c>
      <c r="B57" s="565" t="s">
        <v>905</v>
      </c>
      <c r="C57" s="549">
        <f t="shared" si="26"/>
        <v>700</v>
      </c>
      <c r="D57" s="550">
        <f t="shared" si="27"/>
        <v>700</v>
      </c>
      <c r="E57" s="550">
        <f t="shared" si="24"/>
        <v>0</v>
      </c>
      <c r="F57" s="550">
        <f t="shared" si="28"/>
        <v>0</v>
      </c>
      <c r="G57" s="550"/>
      <c r="H57" s="550">
        <f t="shared" si="29"/>
        <v>100</v>
      </c>
      <c r="I57" s="550">
        <v>100</v>
      </c>
      <c r="J57" s="550">
        <f t="shared" si="30"/>
        <v>100</v>
      </c>
      <c r="K57" s="550">
        <v>100</v>
      </c>
      <c r="L57" s="550">
        <f t="shared" si="31"/>
        <v>0</v>
      </c>
      <c r="M57" s="550"/>
      <c r="N57" s="550">
        <f t="shared" si="32"/>
        <v>0</v>
      </c>
      <c r="O57" s="550"/>
      <c r="P57" s="550">
        <f t="shared" si="33"/>
        <v>100</v>
      </c>
      <c r="Q57" s="550">
        <v>100</v>
      </c>
      <c r="R57" s="550">
        <f t="shared" si="34"/>
        <v>100</v>
      </c>
      <c r="S57" s="550">
        <v>100</v>
      </c>
      <c r="T57" s="550"/>
      <c r="U57" s="550">
        <f t="shared" si="35"/>
        <v>100</v>
      </c>
      <c r="V57" s="550">
        <v>100</v>
      </c>
      <c r="W57" s="550">
        <f t="shared" si="36"/>
        <v>100</v>
      </c>
      <c r="X57" s="550">
        <v>100</v>
      </c>
      <c r="Y57" s="550">
        <f t="shared" si="37"/>
        <v>100</v>
      </c>
      <c r="Z57" s="550">
        <v>100</v>
      </c>
      <c r="AA57" s="550">
        <f t="shared" si="38"/>
        <v>0</v>
      </c>
      <c r="AB57" s="550"/>
    </row>
    <row r="58" spans="1:28" ht="15.75" customHeight="1">
      <c r="A58" s="548" t="s">
        <v>11</v>
      </c>
      <c r="B58" s="565" t="s">
        <v>530</v>
      </c>
      <c r="C58" s="549">
        <f t="shared" si="26"/>
        <v>611</v>
      </c>
      <c r="D58" s="550">
        <f t="shared" si="27"/>
        <v>611</v>
      </c>
      <c r="E58" s="550">
        <f t="shared" si="24"/>
        <v>0</v>
      </c>
      <c r="F58" s="550">
        <f t="shared" si="28"/>
        <v>63</v>
      </c>
      <c r="G58" s="550">
        <f>(20+(5*8)+3)</f>
        <v>63</v>
      </c>
      <c r="H58" s="550">
        <f t="shared" si="29"/>
        <v>55</v>
      </c>
      <c r="I58" s="550">
        <f>25+(6*7)-5-7</f>
        <v>55</v>
      </c>
      <c r="J58" s="550">
        <f t="shared" si="30"/>
        <v>36</v>
      </c>
      <c r="K58" s="550">
        <f>20+(5*3)+1</f>
        <v>36</v>
      </c>
      <c r="L58" s="550">
        <f t="shared" si="31"/>
        <v>45</v>
      </c>
      <c r="M58" s="550">
        <f>20+(5*5)</f>
        <v>45</v>
      </c>
      <c r="N58" s="550">
        <f t="shared" si="32"/>
        <v>40</v>
      </c>
      <c r="O58" s="550">
        <f>20+(5*4)</f>
        <v>40</v>
      </c>
      <c r="P58" s="550">
        <f t="shared" si="33"/>
        <v>49</v>
      </c>
      <c r="Q58" s="550">
        <f>25+(6*4)</f>
        <v>49</v>
      </c>
      <c r="R58" s="550">
        <f t="shared" si="34"/>
        <v>67</v>
      </c>
      <c r="S58" s="550">
        <f>25+(6*7)-T58</f>
        <v>67</v>
      </c>
      <c r="T58" s="550"/>
      <c r="U58" s="550">
        <f t="shared" si="35"/>
        <v>43</v>
      </c>
      <c r="V58" s="550">
        <f>25+(6*3)</f>
        <v>43</v>
      </c>
      <c r="W58" s="550">
        <f t="shared" si="36"/>
        <v>67</v>
      </c>
      <c r="X58" s="550">
        <f>25+(6*7)</f>
        <v>67</v>
      </c>
      <c r="Y58" s="550">
        <f t="shared" si="37"/>
        <v>61</v>
      </c>
      <c r="Z58" s="550">
        <f>25+(6*6)</f>
        <v>61</v>
      </c>
      <c r="AA58" s="550">
        <f t="shared" si="38"/>
        <v>85</v>
      </c>
      <c r="AB58" s="550">
        <f>25+(6*10)</f>
        <v>85</v>
      </c>
    </row>
    <row r="59" spans="1:28" ht="15.75" customHeight="1">
      <c r="A59" s="548" t="s">
        <v>11</v>
      </c>
      <c r="B59" s="565" t="s">
        <v>906</v>
      </c>
      <c r="C59" s="549">
        <f t="shared" si="26"/>
        <v>250</v>
      </c>
      <c r="D59" s="550">
        <f t="shared" si="27"/>
        <v>250</v>
      </c>
      <c r="E59" s="550">
        <f t="shared" si="24"/>
        <v>0</v>
      </c>
      <c r="F59" s="550">
        <f t="shared" si="28"/>
        <v>25</v>
      </c>
      <c r="G59" s="550">
        <v>25</v>
      </c>
      <c r="H59" s="550">
        <f t="shared" si="29"/>
        <v>25</v>
      </c>
      <c r="I59" s="550">
        <v>25</v>
      </c>
      <c r="J59" s="550">
        <f t="shared" si="30"/>
        <v>20</v>
      </c>
      <c r="K59" s="550">
        <v>20</v>
      </c>
      <c r="L59" s="550">
        <f t="shared" si="31"/>
        <v>20</v>
      </c>
      <c r="M59" s="550">
        <v>20</v>
      </c>
      <c r="N59" s="550">
        <f t="shared" si="32"/>
        <v>20</v>
      </c>
      <c r="O59" s="550">
        <v>20</v>
      </c>
      <c r="P59" s="550">
        <f t="shared" si="33"/>
        <v>20</v>
      </c>
      <c r="Q59" s="550">
        <v>20</v>
      </c>
      <c r="R59" s="550">
        <f t="shared" si="34"/>
        <v>25</v>
      </c>
      <c r="S59" s="550">
        <v>25</v>
      </c>
      <c r="T59" s="550"/>
      <c r="U59" s="550">
        <f t="shared" si="35"/>
        <v>20</v>
      </c>
      <c r="V59" s="550">
        <v>20</v>
      </c>
      <c r="W59" s="550">
        <f t="shared" si="36"/>
        <v>25</v>
      </c>
      <c r="X59" s="550">
        <v>25</v>
      </c>
      <c r="Y59" s="550">
        <f t="shared" si="37"/>
        <v>25</v>
      </c>
      <c r="Z59" s="550">
        <v>25</v>
      </c>
      <c r="AA59" s="550">
        <f t="shared" si="38"/>
        <v>25</v>
      </c>
      <c r="AB59" s="550">
        <v>25</v>
      </c>
    </row>
    <row r="60" spans="1:28" s="568" customFormat="1" ht="19.5" customHeight="1">
      <c r="A60" s="548" t="s">
        <v>11</v>
      </c>
      <c r="B60" s="569" t="s">
        <v>829</v>
      </c>
      <c r="C60" s="549">
        <f t="shared" si="26"/>
        <v>165</v>
      </c>
      <c r="D60" s="550">
        <f t="shared" si="27"/>
        <v>165</v>
      </c>
      <c r="E60" s="550">
        <f t="shared" si="24"/>
        <v>0</v>
      </c>
      <c r="F60" s="550">
        <f t="shared" si="28"/>
        <v>15</v>
      </c>
      <c r="G60" s="550">
        <v>15</v>
      </c>
      <c r="H60" s="550">
        <f t="shared" si="29"/>
        <v>15</v>
      </c>
      <c r="I60" s="550">
        <v>15</v>
      </c>
      <c r="J60" s="550">
        <f t="shared" si="30"/>
        <v>15</v>
      </c>
      <c r="K60" s="550">
        <v>15</v>
      </c>
      <c r="L60" s="550">
        <f t="shared" si="31"/>
        <v>15</v>
      </c>
      <c r="M60" s="550">
        <v>15</v>
      </c>
      <c r="N60" s="550">
        <f t="shared" si="32"/>
        <v>15</v>
      </c>
      <c r="O60" s="550">
        <v>15</v>
      </c>
      <c r="P60" s="550">
        <f t="shared" si="33"/>
        <v>15</v>
      </c>
      <c r="Q60" s="550">
        <v>15</v>
      </c>
      <c r="R60" s="550">
        <f t="shared" si="34"/>
        <v>15</v>
      </c>
      <c r="S60" s="550">
        <v>15</v>
      </c>
      <c r="T60" s="550"/>
      <c r="U60" s="550">
        <f t="shared" si="35"/>
        <v>15</v>
      </c>
      <c r="V60" s="550">
        <v>15</v>
      </c>
      <c r="W60" s="550">
        <f t="shared" si="36"/>
        <v>15</v>
      </c>
      <c r="X60" s="550">
        <v>15</v>
      </c>
      <c r="Y60" s="550">
        <f t="shared" si="37"/>
        <v>15</v>
      </c>
      <c r="Z60" s="550">
        <v>15</v>
      </c>
      <c r="AA60" s="550">
        <f t="shared" si="38"/>
        <v>15</v>
      </c>
      <c r="AB60" s="550">
        <v>15</v>
      </c>
    </row>
    <row r="61" spans="1:28" ht="19.5" customHeight="1">
      <c r="A61" s="548" t="s">
        <v>11</v>
      </c>
      <c r="B61" s="565" t="s">
        <v>531</v>
      </c>
      <c r="C61" s="549">
        <f t="shared" si="26"/>
        <v>277.5</v>
      </c>
      <c r="D61" s="550">
        <f>G61+I61+K61+M61+O61+Q61+S61+V61+X61+Z61+AB61</f>
        <v>277.5</v>
      </c>
      <c r="E61" s="550">
        <f t="shared" si="24"/>
        <v>0</v>
      </c>
      <c r="F61" s="550">
        <f t="shared" si="28"/>
        <v>0</v>
      </c>
      <c r="G61" s="550"/>
      <c r="H61" s="550">
        <f t="shared" si="29"/>
        <v>0</v>
      </c>
      <c r="I61" s="550">
        <f>7*5*1.5-52.5</f>
        <v>0</v>
      </c>
      <c r="J61" s="550">
        <f t="shared" si="30"/>
        <v>0</v>
      </c>
      <c r="K61" s="550"/>
      <c r="L61" s="550">
        <f t="shared" si="31"/>
        <v>0</v>
      </c>
      <c r="M61" s="550"/>
      <c r="N61" s="550">
        <f t="shared" si="32"/>
        <v>0</v>
      </c>
      <c r="O61" s="550"/>
      <c r="P61" s="550">
        <f t="shared" si="33"/>
        <v>30</v>
      </c>
      <c r="Q61" s="550">
        <f>5*4*1.5</f>
        <v>30</v>
      </c>
      <c r="R61" s="550">
        <f t="shared" si="34"/>
        <v>52.5</v>
      </c>
      <c r="S61" s="550">
        <f>7*5*1.5</f>
        <v>52.5</v>
      </c>
      <c r="T61" s="550"/>
      <c r="U61" s="550">
        <f t="shared" si="35"/>
        <v>22.5</v>
      </c>
      <c r="V61" s="550">
        <f>3*5*1.5</f>
        <v>22.5</v>
      </c>
      <c r="W61" s="550">
        <f t="shared" si="36"/>
        <v>52.5</v>
      </c>
      <c r="X61" s="550">
        <f>7*5*1.5</f>
        <v>52.5</v>
      </c>
      <c r="Y61" s="550">
        <f t="shared" si="37"/>
        <v>45</v>
      </c>
      <c r="Z61" s="550">
        <f>6*5*1.5</f>
        <v>45</v>
      </c>
      <c r="AA61" s="550">
        <f t="shared" si="38"/>
        <v>75</v>
      </c>
      <c r="AB61" s="550">
        <f>10*5*1.5</f>
        <v>75</v>
      </c>
    </row>
    <row r="62" spans="1:28" ht="32.25" customHeight="1">
      <c r="A62" s="548" t="s">
        <v>11</v>
      </c>
      <c r="B62" s="565" t="s">
        <v>934</v>
      </c>
      <c r="C62" s="549">
        <f t="shared" si="26"/>
        <v>151.61000000000001</v>
      </c>
      <c r="D62" s="550">
        <f t="shared" si="27"/>
        <v>151.61000000000001</v>
      </c>
      <c r="E62" s="550">
        <f t="shared" si="24"/>
        <v>0</v>
      </c>
      <c r="F62" s="550">
        <f t="shared" si="28"/>
        <v>31.12</v>
      </c>
      <c r="G62" s="550">
        <v>31.12</v>
      </c>
      <c r="H62" s="550">
        <f>I62</f>
        <v>14.6</v>
      </c>
      <c r="I62" s="550">
        <v>14.6</v>
      </c>
      <c r="J62" s="550">
        <f t="shared" si="30"/>
        <v>9.5</v>
      </c>
      <c r="K62" s="550">
        <v>9.5</v>
      </c>
      <c r="L62" s="550">
        <f t="shared" si="31"/>
        <v>9.7100000000000009</v>
      </c>
      <c r="M62" s="550">
        <v>9.7100000000000009</v>
      </c>
      <c r="N62" s="550">
        <f t="shared" si="32"/>
        <v>8.75</v>
      </c>
      <c r="O62" s="550">
        <v>8.75</v>
      </c>
      <c r="P62" s="550">
        <f t="shared" si="33"/>
        <v>10.28</v>
      </c>
      <c r="Q62" s="550">
        <v>10.28</v>
      </c>
      <c r="R62" s="550">
        <f t="shared" si="34"/>
        <v>19.059999999999999</v>
      </c>
      <c r="S62" s="550">
        <v>19.059999999999999</v>
      </c>
      <c r="T62" s="550"/>
      <c r="U62" s="550">
        <f t="shared" si="35"/>
        <v>11.77</v>
      </c>
      <c r="V62" s="550">
        <v>11.77</v>
      </c>
      <c r="W62" s="550">
        <f t="shared" si="36"/>
        <v>10.28</v>
      </c>
      <c r="X62" s="550">
        <v>10.28</v>
      </c>
      <c r="Y62" s="550">
        <f t="shared" si="37"/>
        <v>9.42</v>
      </c>
      <c r="Z62" s="550">
        <v>9.42</v>
      </c>
      <c r="AA62" s="550">
        <f t="shared" si="38"/>
        <v>17.12</v>
      </c>
      <c r="AB62" s="550">
        <v>17.12</v>
      </c>
    </row>
    <row r="63" spans="1:28" ht="19.5" customHeight="1">
      <c r="A63" s="548" t="s">
        <v>11</v>
      </c>
      <c r="B63" s="565" t="s">
        <v>936</v>
      </c>
      <c r="C63" s="549">
        <f t="shared" si="26"/>
        <v>385.19</v>
      </c>
      <c r="D63" s="550">
        <f t="shared" si="27"/>
        <v>385.19</v>
      </c>
      <c r="E63" s="550">
        <f t="shared" si="24"/>
        <v>0</v>
      </c>
      <c r="F63" s="550">
        <f t="shared" si="28"/>
        <v>0</v>
      </c>
      <c r="G63" s="550"/>
      <c r="H63" s="550">
        <f>I63</f>
        <v>385.19</v>
      </c>
      <c r="I63" s="549">
        <v>385.19</v>
      </c>
      <c r="J63" s="550">
        <f t="shared" si="30"/>
        <v>0</v>
      </c>
      <c r="K63" s="550"/>
      <c r="L63" s="550">
        <f t="shared" si="31"/>
        <v>0</v>
      </c>
      <c r="M63" s="550"/>
      <c r="N63" s="550">
        <f t="shared" si="32"/>
        <v>0</v>
      </c>
      <c r="O63" s="550"/>
      <c r="P63" s="550">
        <f t="shared" si="33"/>
        <v>0</v>
      </c>
      <c r="Q63" s="550"/>
      <c r="R63" s="550">
        <f t="shared" si="34"/>
        <v>0</v>
      </c>
      <c r="S63" s="550"/>
      <c r="T63" s="550"/>
      <c r="U63" s="550">
        <f t="shared" si="35"/>
        <v>0</v>
      </c>
      <c r="V63" s="550"/>
      <c r="W63" s="550">
        <f t="shared" si="36"/>
        <v>0</v>
      </c>
      <c r="X63" s="550"/>
      <c r="Y63" s="550">
        <f t="shared" si="37"/>
        <v>0</v>
      </c>
      <c r="Z63" s="550"/>
      <c r="AA63" s="550">
        <f t="shared" si="38"/>
        <v>0</v>
      </c>
      <c r="AB63" s="550"/>
    </row>
    <row r="64" spans="1:28" ht="19.5" customHeight="1">
      <c r="A64" s="548" t="s">
        <v>11</v>
      </c>
      <c r="B64" s="565" t="s">
        <v>937</v>
      </c>
      <c r="C64" s="549">
        <f t="shared" si="26"/>
        <v>-84.57</v>
      </c>
      <c r="D64" s="550">
        <f t="shared" si="27"/>
        <v>-84.57</v>
      </c>
      <c r="E64" s="550">
        <f t="shared" si="24"/>
        <v>0</v>
      </c>
      <c r="F64" s="550">
        <f t="shared" si="28"/>
        <v>0</v>
      </c>
      <c r="G64" s="550"/>
      <c r="H64" s="550">
        <f>I64</f>
        <v>-84.57</v>
      </c>
      <c r="I64" s="549">
        <v>-84.57</v>
      </c>
      <c r="J64" s="550">
        <f t="shared" si="30"/>
        <v>0</v>
      </c>
      <c r="K64" s="550"/>
      <c r="L64" s="550">
        <f t="shared" si="31"/>
        <v>0</v>
      </c>
      <c r="M64" s="550"/>
      <c r="N64" s="550">
        <f t="shared" si="32"/>
        <v>0</v>
      </c>
      <c r="O64" s="550"/>
      <c r="P64" s="550">
        <f t="shared" si="33"/>
        <v>0</v>
      </c>
      <c r="Q64" s="550"/>
      <c r="R64" s="550">
        <f t="shared" si="34"/>
        <v>0</v>
      </c>
      <c r="S64" s="550"/>
      <c r="T64" s="550"/>
      <c r="U64" s="550">
        <f t="shared" si="35"/>
        <v>0</v>
      </c>
      <c r="V64" s="550"/>
      <c r="W64" s="550">
        <f t="shared" si="36"/>
        <v>0</v>
      </c>
      <c r="X64" s="550"/>
      <c r="Y64" s="550">
        <f t="shared" si="37"/>
        <v>0</v>
      </c>
      <c r="Z64" s="550"/>
      <c r="AA64" s="550">
        <f t="shared" si="38"/>
        <v>0</v>
      </c>
      <c r="AB64" s="550"/>
    </row>
    <row r="65" spans="1:28" ht="19.5" customHeight="1">
      <c r="A65" s="548"/>
      <c r="B65" s="565" t="s">
        <v>938</v>
      </c>
      <c r="C65" s="549">
        <f t="shared" si="26"/>
        <v>-212.77</v>
      </c>
      <c r="D65" s="550">
        <f t="shared" si="27"/>
        <v>-212.77</v>
      </c>
      <c r="E65" s="550">
        <f t="shared" si="24"/>
        <v>0</v>
      </c>
      <c r="F65" s="550">
        <f t="shared" si="28"/>
        <v>0</v>
      </c>
      <c r="G65" s="550"/>
      <c r="H65" s="550">
        <f>I65</f>
        <v>-212.77</v>
      </c>
      <c r="I65" s="549">
        <v>-212.77</v>
      </c>
      <c r="J65" s="550">
        <f t="shared" si="30"/>
        <v>0</v>
      </c>
      <c r="K65" s="550"/>
      <c r="L65" s="550">
        <f t="shared" si="31"/>
        <v>0</v>
      </c>
      <c r="M65" s="550"/>
      <c r="N65" s="550">
        <f t="shared" si="32"/>
        <v>0</v>
      </c>
      <c r="O65" s="550"/>
      <c r="P65" s="550">
        <f t="shared" si="33"/>
        <v>0</v>
      </c>
      <c r="Q65" s="550"/>
      <c r="R65" s="550">
        <f t="shared" si="34"/>
        <v>0</v>
      </c>
      <c r="S65" s="550"/>
      <c r="T65" s="550"/>
      <c r="U65" s="550">
        <f t="shared" si="35"/>
        <v>0</v>
      </c>
      <c r="V65" s="550"/>
      <c r="W65" s="550">
        <f t="shared" si="36"/>
        <v>0</v>
      </c>
      <c r="X65" s="550"/>
      <c r="Y65" s="550">
        <f t="shared" si="37"/>
        <v>0</v>
      </c>
      <c r="Z65" s="550"/>
      <c r="AA65" s="550">
        <f t="shared" si="38"/>
        <v>0</v>
      </c>
      <c r="AB65" s="550"/>
    </row>
    <row r="66" spans="1:28" s="359" customFormat="1" ht="18" customHeight="1">
      <c r="A66" s="552">
        <v>7</v>
      </c>
      <c r="B66" s="363" t="s">
        <v>532</v>
      </c>
      <c r="C66" s="544">
        <f>C67+C71</f>
        <v>7021.2290000000003</v>
      </c>
      <c r="D66" s="545">
        <f t="shared" ref="D66:AA66" si="39">D67+D71</f>
        <v>7021.2290000000003</v>
      </c>
      <c r="E66" s="545">
        <f t="shared" si="39"/>
        <v>0</v>
      </c>
      <c r="F66" s="545">
        <f t="shared" si="39"/>
        <v>459.68599999999998</v>
      </c>
      <c r="G66" s="545">
        <f t="shared" si="39"/>
        <v>459.68599999999998</v>
      </c>
      <c r="H66" s="545">
        <f t="shared" si="39"/>
        <v>362.11599999999999</v>
      </c>
      <c r="I66" s="545">
        <f t="shared" si="39"/>
        <v>362.11599999999999</v>
      </c>
      <c r="J66" s="545">
        <f t="shared" si="39"/>
        <v>295.49799999999999</v>
      </c>
      <c r="K66" s="545">
        <f t="shared" si="39"/>
        <v>295.49799999999999</v>
      </c>
      <c r="L66" s="545">
        <f t="shared" si="39"/>
        <v>315.69499999999999</v>
      </c>
      <c r="M66" s="545">
        <f t="shared" si="39"/>
        <v>315.69499999999999</v>
      </c>
      <c r="N66" s="545">
        <f t="shared" si="39"/>
        <v>302.54999999999995</v>
      </c>
      <c r="O66" s="545">
        <f t="shared" si="39"/>
        <v>302.54999999999995</v>
      </c>
      <c r="P66" s="545">
        <f t="shared" si="39"/>
        <v>338.19899999999996</v>
      </c>
      <c r="Q66" s="545">
        <f t="shared" si="39"/>
        <v>338.19899999999996</v>
      </c>
      <c r="R66" s="545">
        <f t="shared" si="39"/>
        <v>1131.7980000000002</v>
      </c>
      <c r="S66" s="545">
        <f t="shared" si="39"/>
        <v>1131.7980000000002</v>
      </c>
      <c r="T66" s="545">
        <f t="shared" si="39"/>
        <v>0</v>
      </c>
      <c r="U66" s="545">
        <f t="shared" si="39"/>
        <v>284.56000000000006</v>
      </c>
      <c r="V66" s="545">
        <f t="shared" si="39"/>
        <v>284.56000000000006</v>
      </c>
      <c r="W66" s="545">
        <f t="shared" si="39"/>
        <v>1139.1469999999999</v>
      </c>
      <c r="X66" s="545">
        <f t="shared" si="39"/>
        <v>1139.1469999999999</v>
      </c>
      <c r="Y66" s="545">
        <f t="shared" si="39"/>
        <v>1151.8020000000001</v>
      </c>
      <c r="Z66" s="545">
        <f t="shared" si="39"/>
        <v>1151.8020000000001</v>
      </c>
      <c r="AA66" s="545">
        <f t="shared" si="39"/>
        <v>1240.1780000000001</v>
      </c>
      <c r="AB66" s="545">
        <f>AB67+AB71</f>
        <v>1240.1780000000001</v>
      </c>
    </row>
    <row r="67" spans="1:28" s="359" customFormat="1" ht="18" customHeight="1">
      <c r="A67" s="552" t="s">
        <v>29</v>
      </c>
      <c r="B67" s="363" t="s">
        <v>533</v>
      </c>
      <c r="C67" s="544">
        <f>SUM(C68:C70)</f>
        <v>1130</v>
      </c>
      <c r="D67" s="545">
        <f t="shared" ref="D67:AA67" si="40">SUM(D68:D70)</f>
        <v>1130</v>
      </c>
      <c r="E67" s="545">
        <f t="shared" si="40"/>
        <v>0</v>
      </c>
      <c r="F67" s="545">
        <f t="shared" si="40"/>
        <v>80</v>
      </c>
      <c r="G67" s="545">
        <f t="shared" si="40"/>
        <v>80</v>
      </c>
      <c r="H67" s="545">
        <f t="shared" si="40"/>
        <v>80</v>
      </c>
      <c r="I67" s="545">
        <f t="shared" si="40"/>
        <v>80</v>
      </c>
      <c r="J67" s="545">
        <f t="shared" si="40"/>
        <v>50</v>
      </c>
      <c r="K67" s="545">
        <f t="shared" si="40"/>
        <v>50</v>
      </c>
      <c r="L67" s="545">
        <f t="shared" si="40"/>
        <v>50</v>
      </c>
      <c r="M67" s="545">
        <f t="shared" si="40"/>
        <v>50</v>
      </c>
      <c r="N67" s="545">
        <f t="shared" si="40"/>
        <v>50</v>
      </c>
      <c r="O67" s="545">
        <f t="shared" si="40"/>
        <v>50</v>
      </c>
      <c r="P67" s="545">
        <f t="shared" si="40"/>
        <v>50</v>
      </c>
      <c r="Q67" s="545">
        <f t="shared" si="40"/>
        <v>50</v>
      </c>
      <c r="R67" s="545">
        <f t="shared" si="40"/>
        <v>180</v>
      </c>
      <c r="S67" s="545">
        <f t="shared" si="40"/>
        <v>180</v>
      </c>
      <c r="T67" s="545">
        <f t="shared" si="40"/>
        <v>0</v>
      </c>
      <c r="U67" s="545">
        <f t="shared" si="40"/>
        <v>50</v>
      </c>
      <c r="V67" s="545">
        <f t="shared" si="40"/>
        <v>50</v>
      </c>
      <c r="W67" s="545">
        <f t="shared" si="40"/>
        <v>180</v>
      </c>
      <c r="X67" s="545">
        <f t="shared" si="40"/>
        <v>180</v>
      </c>
      <c r="Y67" s="545">
        <f t="shared" si="40"/>
        <v>180</v>
      </c>
      <c r="Z67" s="545">
        <f t="shared" si="40"/>
        <v>180</v>
      </c>
      <c r="AA67" s="545">
        <f t="shared" si="40"/>
        <v>180</v>
      </c>
      <c r="AB67" s="545">
        <f>SUM(AB68:AB70)</f>
        <v>180</v>
      </c>
    </row>
    <row r="68" spans="1:28" s="557" customFormat="1" ht="19.5" customHeight="1">
      <c r="A68" s="542" t="s">
        <v>11</v>
      </c>
      <c r="B68" s="554" t="s">
        <v>907</v>
      </c>
      <c r="C68" s="555">
        <f>SUM(D68:E68)</f>
        <v>1130</v>
      </c>
      <c r="D68" s="556">
        <f>G68+I68+K68+M68+O68+Q68+S68+V68+X68+Z68+AB68</f>
        <v>1130</v>
      </c>
      <c r="E68" s="556">
        <f>+T68</f>
        <v>0</v>
      </c>
      <c r="F68" s="556">
        <f>SUM(G68:G68)</f>
        <v>80</v>
      </c>
      <c r="G68" s="556">
        <v>80</v>
      </c>
      <c r="H68" s="556">
        <f>SUM(I68:I68)</f>
        <v>80</v>
      </c>
      <c r="I68" s="556">
        <v>80</v>
      </c>
      <c r="J68" s="556">
        <f>SUM(K68:K68)</f>
        <v>50</v>
      </c>
      <c r="K68" s="556">
        <v>50</v>
      </c>
      <c r="L68" s="556">
        <f>SUM(M68:M68)</f>
        <v>50</v>
      </c>
      <c r="M68" s="556">
        <v>50</v>
      </c>
      <c r="N68" s="556">
        <f>SUM(O68:O68)</f>
        <v>50</v>
      </c>
      <c r="O68" s="556">
        <v>50</v>
      </c>
      <c r="P68" s="556">
        <f>SUM(Q68:Q68)</f>
        <v>50</v>
      </c>
      <c r="Q68" s="556">
        <v>50</v>
      </c>
      <c r="R68" s="556">
        <f>SUM(S68:T68)</f>
        <v>180</v>
      </c>
      <c r="S68" s="556">
        <v>180</v>
      </c>
      <c r="T68" s="556"/>
      <c r="U68" s="556">
        <f>SUM(V68:V68)</f>
        <v>50</v>
      </c>
      <c r="V68" s="556">
        <v>50</v>
      </c>
      <c r="W68" s="556">
        <f>SUM(X68:X68)</f>
        <v>180</v>
      </c>
      <c r="X68" s="556">
        <v>180</v>
      </c>
      <c r="Y68" s="556">
        <f>SUM(Z68:Z68)</f>
        <v>180</v>
      </c>
      <c r="Z68" s="556">
        <v>180</v>
      </c>
      <c r="AA68" s="556">
        <f>SUM(AB68:AB68)</f>
        <v>180</v>
      </c>
      <c r="AB68" s="556">
        <v>180</v>
      </c>
    </row>
    <row r="69" spans="1:28" ht="36" hidden="1" customHeight="1">
      <c r="A69" s="548" t="s">
        <v>11</v>
      </c>
      <c r="B69" s="565" t="s">
        <v>908</v>
      </c>
      <c r="C69" s="549">
        <f>SUM(D69:E69)</f>
        <v>0</v>
      </c>
      <c r="D69" s="550">
        <f>G69+I69+K69+M69+O69+Q69+S69+V69+X69+Z69+AB69</f>
        <v>0</v>
      </c>
      <c r="E69" s="550">
        <f>+T69</f>
        <v>0</v>
      </c>
      <c r="F69" s="550">
        <f>SUM(G69:G69)</f>
        <v>0</v>
      </c>
      <c r="G69" s="550"/>
      <c r="H69" s="550">
        <f>SUM(I69:I69)</f>
        <v>0</v>
      </c>
      <c r="I69" s="550"/>
      <c r="J69" s="550">
        <f>SUM(K69:K69)</f>
        <v>0</v>
      </c>
      <c r="K69" s="550"/>
      <c r="L69" s="550">
        <f>SUM(M69:M69)</f>
        <v>0</v>
      </c>
      <c r="M69" s="550"/>
      <c r="N69" s="550">
        <f>SUM(O69:O69)</f>
        <v>0</v>
      </c>
      <c r="O69" s="550"/>
      <c r="P69" s="550">
        <f>SUM(Q69:Q69)</f>
        <v>0</v>
      </c>
      <c r="Q69" s="550"/>
      <c r="R69" s="550">
        <f>SUM(S69:T69)</f>
        <v>0</v>
      </c>
      <c r="S69" s="550"/>
      <c r="T69" s="550"/>
      <c r="U69" s="550">
        <f>SUM(V69:V69)</f>
        <v>0</v>
      </c>
      <c r="V69" s="550"/>
      <c r="W69" s="550">
        <f>SUM(X69:X69)</f>
        <v>0</v>
      </c>
      <c r="X69" s="550"/>
      <c r="Y69" s="550">
        <f>SUM(Z69:Z69)</f>
        <v>0</v>
      </c>
      <c r="Z69" s="550"/>
      <c r="AA69" s="550">
        <f>SUM(AB69:AB69)</f>
        <v>0</v>
      </c>
      <c r="AB69" s="550"/>
    </row>
    <row r="70" spans="1:28" ht="30.75" hidden="1" customHeight="1">
      <c r="A70" s="562" t="s">
        <v>11</v>
      </c>
      <c r="B70" s="565" t="s">
        <v>909</v>
      </c>
      <c r="C70" s="549">
        <f>SUM(D70:E70)</f>
        <v>0</v>
      </c>
      <c r="D70" s="550">
        <f>G70+I70+K70+M70+O70+Q70+S70+V70+X70+Z70+AB70</f>
        <v>0</v>
      </c>
      <c r="E70" s="550">
        <f>+T70</f>
        <v>0</v>
      </c>
      <c r="F70" s="550">
        <f>SUM(G70:G70)</f>
        <v>0</v>
      </c>
      <c r="G70" s="550"/>
      <c r="H70" s="550">
        <f>SUM(I70:I70)</f>
        <v>0</v>
      </c>
      <c r="I70" s="550"/>
      <c r="J70" s="550">
        <f>SUM(K70:K70)</f>
        <v>0</v>
      </c>
      <c r="K70" s="550"/>
      <c r="L70" s="550">
        <f>SUM(M70:M70)</f>
        <v>0</v>
      </c>
      <c r="M70" s="550"/>
      <c r="N70" s="550">
        <f>SUM(O70:O70)</f>
        <v>0</v>
      </c>
      <c r="O70" s="550"/>
      <c r="P70" s="550">
        <f>SUM(Q70:Q70)</f>
        <v>0</v>
      </c>
      <c r="Q70" s="550"/>
      <c r="R70" s="550">
        <f>SUM(S70:T70)</f>
        <v>0</v>
      </c>
      <c r="S70" s="550"/>
      <c r="T70" s="550"/>
      <c r="U70" s="550">
        <f>SUM(V70:V70)</f>
        <v>0</v>
      </c>
      <c r="V70" s="550"/>
      <c r="W70" s="550">
        <f>SUM(X70:X70)</f>
        <v>0</v>
      </c>
      <c r="X70" s="550"/>
      <c r="Y70" s="550">
        <f>SUM(Z70:Z70)</f>
        <v>0</v>
      </c>
      <c r="Z70" s="550"/>
      <c r="AA70" s="550">
        <f>SUM(AB70:AB70)</f>
        <v>0</v>
      </c>
      <c r="AB70" s="550"/>
    </row>
    <row r="71" spans="1:28" s="359" customFormat="1" ht="16.5" customHeight="1">
      <c r="A71" s="552" t="s">
        <v>30</v>
      </c>
      <c r="B71" s="363" t="s">
        <v>534</v>
      </c>
      <c r="C71" s="544">
        <f>SUM(C72:C77)</f>
        <v>5891.2290000000003</v>
      </c>
      <c r="D71" s="545">
        <f t="shared" ref="D71:AB71" si="41">SUM(D72:D77)</f>
        <v>5891.2290000000003</v>
      </c>
      <c r="E71" s="550">
        <f t="shared" si="41"/>
        <v>0</v>
      </c>
      <c r="F71" s="545">
        <f t="shared" si="41"/>
        <v>379.68599999999998</v>
      </c>
      <c r="G71" s="545">
        <f t="shared" si="41"/>
        <v>379.68599999999998</v>
      </c>
      <c r="H71" s="545">
        <f t="shared" si="41"/>
        <v>282.11599999999999</v>
      </c>
      <c r="I71" s="545">
        <f t="shared" si="41"/>
        <v>282.11599999999999</v>
      </c>
      <c r="J71" s="545">
        <f t="shared" si="41"/>
        <v>245.49799999999999</v>
      </c>
      <c r="K71" s="545">
        <f t="shared" si="41"/>
        <v>245.49799999999999</v>
      </c>
      <c r="L71" s="545">
        <f t="shared" si="41"/>
        <v>265.69499999999999</v>
      </c>
      <c r="M71" s="545">
        <f t="shared" si="41"/>
        <v>265.69499999999999</v>
      </c>
      <c r="N71" s="545">
        <f t="shared" si="41"/>
        <v>252.54999999999998</v>
      </c>
      <c r="O71" s="545">
        <f t="shared" si="41"/>
        <v>252.54999999999998</v>
      </c>
      <c r="P71" s="545">
        <f t="shared" si="41"/>
        <v>288.19899999999996</v>
      </c>
      <c r="Q71" s="545">
        <f t="shared" si="41"/>
        <v>288.19899999999996</v>
      </c>
      <c r="R71" s="545">
        <f t="shared" si="41"/>
        <v>951.79800000000012</v>
      </c>
      <c r="S71" s="545">
        <f t="shared" si="41"/>
        <v>951.79800000000012</v>
      </c>
      <c r="T71" s="545">
        <f t="shared" si="41"/>
        <v>0</v>
      </c>
      <c r="U71" s="545">
        <f t="shared" si="41"/>
        <v>234.56000000000003</v>
      </c>
      <c r="V71" s="545">
        <f t="shared" si="41"/>
        <v>234.56000000000003</v>
      </c>
      <c r="W71" s="545">
        <f t="shared" si="41"/>
        <v>959.14700000000005</v>
      </c>
      <c r="X71" s="545">
        <f t="shared" si="41"/>
        <v>959.14700000000005</v>
      </c>
      <c r="Y71" s="545">
        <f t="shared" si="41"/>
        <v>971.80200000000013</v>
      </c>
      <c r="Z71" s="545">
        <f t="shared" si="41"/>
        <v>971.80200000000013</v>
      </c>
      <c r="AA71" s="545">
        <f t="shared" si="41"/>
        <v>1060.1780000000001</v>
      </c>
      <c r="AB71" s="545">
        <f t="shared" si="41"/>
        <v>1060.1780000000001</v>
      </c>
    </row>
    <row r="72" spans="1:28" ht="16.5" customHeight="1">
      <c r="A72" s="562" t="s">
        <v>11</v>
      </c>
      <c r="B72" s="565" t="s">
        <v>910</v>
      </c>
      <c r="C72" s="549">
        <f t="shared" ref="C72:C77" si="42">SUM(D72:E72)</f>
        <v>1061.5700000000002</v>
      </c>
      <c r="D72" s="550">
        <f t="shared" ref="D72:D77" si="43">G72+I72+K72+M72+O72+Q72+S72+V72+X72+Z72+AB72</f>
        <v>1061.5700000000002</v>
      </c>
      <c r="E72" s="550">
        <f t="shared" ref="E72:E81" si="44">+T72</f>
        <v>0</v>
      </c>
      <c r="F72" s="550">
        <f t="shared" ref="F72:F77" si="45">SUM(G72:G72)</f>
        <v>88.058999999999997</v>
      </c>
      <c r="G72" s="550">
        <v>88.058999999999997</v>
      </c>
      <c r="H72" s="550">
        <f t="shared" ref="H72:H77" si="46">SUM(I72:I72)</f>
        <v>88.183999999999997</v>
      </c>
      <c r="I72" s="550">
        <v>88.183999999999997</v>
      </c>
      <c r="J72" s="550">
        <f t="shared" ref="J72:J77" si="47">SUM(K72:K72)</f>
        <v>63.295000000000002</v>
      </c>
      <c r="K72" s="550">
        <v>63.295000000000002</v>
      </c>
      <c r="L72" s="550">
        <f t="shared" ref="L72:L77" si="48">SUM(M72:M72)</f>
        <v>95.658000000000001</v>
      </c>
      <c r="M72" s="550">
        <v>95.658000000000001</v>
      </c>
      <c r="N72" s="550">
        <f t="shared" ref="N72:N77" si="49">SUM(O72:O72)</f>
        <v>101.97</v>
      </c>
      <c r="O72" s="550">
        <v>101.97</v>
      </c>
      <c r="P72" s="550">
        <f t="shared" ref="P72:P77" si="50">SUM(Q72:Q72)</f>
        <v>92.617999999999995</v>
      </c>
      <c r="Q72" s="550">
        <v>92.617999999999995</v>
      </c>
      <c r="R72" s="550">
        <f t="shared" ref="R72:R77" si="51">SUM(S72:T72)</f>
        <v>95.89</v>
      </c>
      <c r="S72" s="550">
        <v>95.89</v>
      </c>
      <c r="T72" s="550"/>
      <c r="U72" s="550">
        <f t="shared" ref="U72:U77" si="52">SUM(V72:V72)</f>
        <v>105.581</v>
      </c>
      <c r="V72" s="550">
        <v>105.581</v>
      </c>
      <c r="W72" s="550">
        <f t="shared" ref="W72:W77" si="53">SUM(X72:X72)</f>
        <v>91.617000000000004</v>
      </c>
      <c r="X72" s="550">
        <v>91.617000000000004</v>
      </c>
      <c r="Y72" s="550">
        <f t="shared" ref="Y72:Y77" si="54">SUM(Z72:Z72)</f>
        <v>112.64400000000001</v>
      </c>
      <c r="Z72" s="550">
        <f>112.644</f>
        <v>112.64400000000001</v>
      </c>
      <c r="AA72" s="550">
        <f t="shared" ref="AA72:AA77" si="55">SUM(AB72:AB72)</f>
        <v>126.054</v>
      </c>
      <c r="AB72" s="550">
        <v>126.054</v>
      </c>
    </row>
    <row r="73" spans="1:28" ht="20.25" customHeight="1">
      <c r="A73" s="562" t="s">
        <v>11</v>
      </c>
      <c r="B73" s="565" t="s">
        <v>911</v>
      </c>
      <c r="C73" s="549">
        <f t="shared" si="42"/>
        <v>576</v>
      </c>
      <c r="D73" s="550">
        <f t="shared" si="43"/>
        <v>576</v>
      </c>
      <c r="E73" s="550">
        <f t="shared" si="44"/>
        <v>0</v>
      </c>
      <c r="F73" s="550">
        <f t="shared" si="45"/>
        <v>72</v>
      </c>
      <c r="G73" s="550">
        <v>72</v>
      </c>
      <c r="H73" s="550">
        <f t="shared" si="46"/>
        <v>63</v>
      </c>
      <c r="I73" s="550">
        <v>63</v>
      </c>
      <c r="J73" s="550">
        <f t="shared" si="47"/>
        <v>27</v>
      </c>
      <c r="K73" s="550">
        <v>27</v>
      </c>
      <c r="L73" s="550">
        <f t="shared" si="48"/>
        <v>45</v>
      </c>
      <c r="M73" s="550">
        <v>45</v>
      </c>
      <c r="N73" s="550">
        <f t="shared" si="49"/>
        <v>36</v>
      </c>
      <c r="O73" s="550">
        <v>36</v>
      </c>
      <c r="P73" s="550">
        <f t="shared" si="50"/>
        <v>36</v>
      </c>
      <c r="Q73" s="550">
        <v>36</v>
      </c>
      <c r="R73" s="550">
        <f t="shared" si="51"/>
        <v>63</v>
      </c>
      <c r="S73" s="550">
        <v>63</v>
      </c>
      <c r="T73" s="550"/>
      <c r="U73" s="550">
        <f t="shared" si="52"/>
        <v>27</v>
      </c>
      <c r="V73" s="550">
        <v>27</v>
      </c>
      <c r="W73" s="550">
        <f t="shared" si="53"/>
        <v>63</v>
      </c>
      <c r="X73" s="550">
        <v>63</v>
      </c>
      <c r="Y73" s="550">
        <f t="shared" si="54"/>
        <v>54</v>
      </c>
      <c r="Z73" s="550">
        <f>54</f>
        <v>54</v>
      </c>
      <c r="AA73" s="550">
        <f t="shared" si="55"/>
        <v>90</v>
      </c>
      <c r="AB73" s="550">
        <v>90</v>
      </c>
    </row>
    <row r="74" spans="1:28" s="568" customFormat="1" ht="20.25" customHeight="1">
      <c r="A74" s="567" t="s">
        <v>11</v>
      </c>
      <c r="B74" s="565" t="s">
        <v>912</v>
      </c>
      <c r="C74" s="549">
        <f t="shared" si="42"/>
        <v>646.36200000000008</v>
      </c>
      <c r="D74" s="550">
        <f t="shared" si="43"/>
        <v>646.36200000000008</v>
      </c>
      <c r="E74" s="550">
        <f t="shared" si="44"/>
        <v>0</v>
      </c>
      <c r="F74" s="550">
        <f t="shared" si="45"/>
        <v>68.302000000000007</v>
      </c>
      <c r="G74" s="550">
        <v>68.302000000000007</v>
      </c>
      <c r="H74" s="550">
        <f t="shared" si="46"/>
        <v>46.13</v>
      </c>
      <c r="I74" s="550">
        <v>46.13</v>
      </c>
      <c r="J74" s="550">
        <f t="shared" si="47"/>
        <v>51.494</v>
      </c>
      <c r="K74" s="550">
        <v>51.494</v>
      </c>
      <c r="L74" s="550">
        <f t="shared" si="48"/>
        <v>53.281999999999996</v>
      </c>
      <c r="M74" s="550">
        <v>53.281999999999996</v>
      </c>
      <c r="N74" s="550">
        <f t="shared" si="49"/>
        <v>49.347999999999999</v>
      </c>
      <c r="O74" s="550">
        <v>49.347999999999999</v>
      </c>
      <c r="P74" s="550">
        <f t="shared" si="50"/>
        <v>49.348999999999997</v>
      </c>
      <c r="Q74" s="550">
        <v>49.348999999999997</v>
      </c>
      <c r="R74" s="550">
        <f t="shared" si="51"/>
        <v>55.786000000000001</v>
      </c>
      <c r="S74" s="550">
        <v>55.786000000000001</v>
      </c>
      <c r="T74" s="550"/>
      <c r="U74" s="550">
        <f t="shared" si="52"/>
        <v>43.27</v>
      </c>
      <c r="V74" s="550">
        <v>43.27</v>
      </c>
      <c r="W74" s="550">
        <f t="shared" si="53"/>
        <v>67.408000000000001</v>
      </c>
      <c r="X74" s="550">
        <v>67.408000000000001</v>
      </c>
      <c r="Y74" s="550">
        <f t="shared" si="54"/>
        <v>74.56</v>
      </c>
      <c r="Z74" s="550">
        <f>74.56</f>
        <v>74.56</v>
      </c>
      <c r="AA74" s="550">
        <f t="shared" si="55"/>
        <v>87.433000000000007</v>
      </c>
      <c r="AB74" s="550">
        <v>87.433000000000007</v>
      </c>
    </row>
    <row r="75" spans="1:28" s="568" customFormat="1" ht="20.25" customHeight="1">
      <c r="A75" s="567" t="s">
        <v>11</v>
      </c>
      <c r="B75" s="565" t="s">
        <v>913</v>
      </c>
      <c r="C75" s="549">
        <f t="shared" si="42"/>
        <v>2609.2800000000002</v>
      </c>
      <c r="D75" s="550">
        <f t="shared" si="43"/>
        <v>2609.2800000000002</v>
      </c>
      <c r="E75" s="550">
        <f t="shared" si="44"/>
        <v>0</v>
      </c>
      <c r="F75" s="550">
        <f t="shared" si="45"/>
        <v>0</v>
      </c>
      <c r="G75" s="550"/>
      <c r="H75" s="550">
        <f t="shared" si="46"/>
        <v>0</v>
      </c>
      <c r="I75" s="550"/>
      <c r="J75" s="550">
        <f t="shared" si="47"/>
        <v>0</v>
      </c>
      <c r="K75" s="550"/>
      <c r="L75" s="550">
        <f t="shared" si="48"/>
        <v>0</v>
      </c>
      <c r="M75" s="550"/>
      <c r="N75" s="550">
        <f t="shared" si="49"/>
        <v>0</v>
      </c>
      <c r="O75" s="550"/>
      <c r="P75" s="550">
        <f t="shared" si="50"/>
        <v>0</v>
      </c>
      <c r="Q75" s="550"/>
      <c r="R75" s="550">
        <f t="shared" si="51"/>
        <v>652.32000000000005</v>
      </c>
      <c r="S75" s="550">
        <v>652.32000000000005</v>
      </c>
      <c r="T75" s="550"/>
      <c r="U75" s="550">
        <f t="shared" si="52"/>
        <v>0</v>
      </c>
      <c r="V75" s="550"/>
      <c r="W75" s="550">
        <f t="shared" si="53"/>
        <v>652.32000000000005</v>
      </c>
      <c r="X75" s="550">
        <v>652.32000000000005</v>
      </c>
      <c r="Y75" s="550">
        <f t="shared" si="54"/>
        <v>652.32000000000005</v>
      </c>
      <c r="Z75" s="550">
        <v>652.32000000000005</v>
      </c>
      <c r="AA75" s="550">
        <f t="shared" si="55"/>
        <v>652.32000000000005</v>
      </c>
      <c r="AB75" s="550">
        <v>652.32000000000005</v>
      </c>
    </row>
    <row r="76" spans="1:28" s="568" customFormat="1" ht="20.25" customHeight="1">
      <c r="A76" s="567" t="s">
        <v>11</v>
      </c>
      <c r="B76" s="565" t="s">
        <v>914</v>
      </c>
      <c r="C76" s="549">
        <f t="shared" si="42"/>
        <v>848.01700000000005</v>
      </c>
      <c r="D76" s="550">
        <f t="shared" si="43"/>
        <v>848.01700000000005</v>
      </c>
      <c r="E76" s="550">
        <f t="shared" si="44"/>
        <v>0</v>
      </c>
      <c r="F76" s="550">
        <f t="shared" si="45"/>
        <v>91.325000000000003</v>
      </c>
      <c r="G76" s="550">
        <v>91.325000000000003</v>
      </c>
      <c r="H76" s="550">
        <f t="shared" si="46"/>
        <v>84.802000000000007</v>
      </c>
      <c r="I76" s="550">
        <v>84.802000000000007</v>
      </c>
      <c r="J76" s="550">
        <f t="shared" si="47"/>
        <v>58.709000000000003</v>
      </c>
      <c r="K76" s="550">
        <v>58.709000000000003</v>
      </c>
      <c r="L76" s="550">
        <f t="shared" si="48"/>
        <v>71.754999999999995</v>
      </c>
      <c r="M76" s="550">
        <v>71.754999999999995</v>
      </c>
      <c r="N76" s="550">
        <f t="shared" si="49"/>
        <v>65.231999999999999</v>
      </c>
      <c r="O76" s="550">
        <v>65.231999999999999</v>
      </c>
      <c r="P76" s="550">
        <f t="shared" si="50"/>
        <v>65.231999999999999</v>
      </c>
      <c r="Q76" s="550">
        <v>65.231999999999999</v>
      </c>
      <c r="R76" s="550">
        <f t="shared" si="51"/>
        <v>84.802000000000007</v>
      </c>
      <c r="S76" s="550">
        <v>84.802000000000007</v>
      </c>
      <c r="T76" s="550"/>
      <c r="U76" s="550">
        <f t="shared" si="52"/>
        <v>58.709000000000003</v>
      </c>
      <c r="V76" s="550">
        <v>58.709000000000003</v>
      </c>
      <c r="W76" s="550">
        <f t="shared" si="53"/>
        <v>84.802000000000007</v>
      </c>
      <c r="X76" s="550">
        <v>84.802000000000007</v>
      </c>
      <c r="Y76" s="550">
        <f t="shared" si="54"/>
        <v>78.278000000000006</v>
      </c>
      <c r="Z76" s="550">
        <f>78.278</f>
        <v>78.278000000000006</v>
      </c>
      <c r="AA76" s="550">
        <f t="shared" si="55"/>
        <v>104.371</v>
      </c>
      <c r="AB76" s="550">
        <v>104.371</v>
      </c>
    </row>
    <row r="77" spans="1:28" ht="20.25" customHeight="1">
      <c r="A77" s="562" t="s">
        <v>11</v>
      </c>
      <c r="B77" s="565" t="s">
        <v>535</v>
      </c>
      <c r="C77" s="549">
        <f t="shared" si="42"/>
        <v>150</v>
      </c>
      <c r="D77" s="550">
        <f t="shared" si="43"/>
        <v>150</v>
      </c>
      <c r="E77" s="550">
        <f t="shared" si="44"/>
        <v>0</v>
      </c>
      <c r="F77" s="550">
        <f t="shared" si="45"/>
        <v>60</v>
      </c>
      <c r="G77" s="550">
        <v>60</v>
      </c>
      <c r="H77" s="550">
        <f t="shared" si="46"/>
        <v>0</v>
      </c>
      <c r="I77" s="550"/>
      <c r="J77" s="550">
        <f t="shared" si="47"/>
        <v>45</v>
      </c>
      <c r="K77" s="550">
        <v>45</v>
      </c>
      <c r="L77" s="550">
        <f t="shared" si="48"/>
        <v>0</v>
      </c>
      <c r="M77" s="550"/>
      <c r="N77" s="550">
        <f t="shared" si="49"/>
        <v>0</v>
      </c>
      <c r="O77" s="550"/>
      <c r="P77" s="550">
        <f t="shared" si="50"/>
        <v>45</v>
      </c>
      <c r="Q77" s="550">
        <v>45</v>
      </c>
      <c r="R77" s="550">
        <f t="shared" si="51"/>
        <v>0</v>
      </c>
      <c r="S77" s="550"/>
      <c r="T77" s="550"/>
      <c r="U77" s="550">
        <f t="shared" si="52"/>
        <v>0</v>
      </c>
      <c r="V77" s="550"/>
      <c r="W77" s="550">
        <f t="shared" si="53"/>
        <v>0</v>
      </c>
      <c r="X77" s="550"/>
      <c r="Y77" s="550">
        <f t="shared" si="54"/>
        <v>0</v>
      </c>
      <c r="Z77" s="550"/>
      <c r="AA77" s="550">
        <f t="shared" si="55"/>
        <v>0</v>
      </c>
      <c r="AB77" s="550"/>
    </row>
    <row r="78" spans="1:28" s="359" customFormat="1" ht="17.25" customHeight="1">
      <c r="A78" s="552">
        <v>8</v>
      </c>
      <c r="B78" s="363" t="s">
        <v>41</v>
      </c>
      <c r="C78" s="544">
        <f>SUM(C79:C80)</f>
        <v>472</v>
      </c>
      <c r="D78" s="545">
        <f>SUM(D79:D80)</f>
        <v>472</v>
      </c>
      <c r="E78" s="545">
        <f t="shared" ref="E78:AB78" si="56">SUM(E79:E80)</f>
        <v>0</v>
      </c>
      <c r="F78" s="545">
        <f t="shared" si="56"/>
        <v>52</v>
      </c>
      <c r="G78" s="545">
        <f t="shared" si="56"/>
        <v>52</v>
      </c>
      <c r="H78" s="545">
        <f>SUM(H79:H80)</f>
        <v>49</v>
      </c>
      <c r="I78" s="545">
        <f t="shared" si="56"/>
        <v>49</v>
      </c>
      <c r="J78" s="545">
        <f>SUM(J79:J80)</f>
        <v>31</v>
      </c>
      <c r="K78" s="545">
        <f t="shared" si="56"/>
        <v>31</v>
      </c>
      <c r="L78" s="545">
        <f>SUM(L79:L80)</f>
        <v>37</v>
      </c>
      <c r="M78" s="545">
        <f t="shared" si="56"/>
        <v>37</v>
      </c>
      <c r="N78" s="545">
        <f>SUM(N79:N80)</f>
        <v>34</v>
      </c>
      <c r="O78" s="545">
        <f t="shared" si="56"/>
        <v>34</v>
      </c>
      <c r="P78" s="545">
        <f>SUM(P79:P80)</f>
        <v>34</v>
      </c>
      <c r="Q78" s="545">
        <f t="shared" si="56"/>
        <v>34</v>
      </c>
      <c r="R78" s="545">
        <f>SUM(R79:R80)</f>
        <v>49.5</v>
      </c>
      <c r="S78" s="545">
        <f t="shared" si="56"/>
        <v>49.5</v>
      </c>
      <c r="T78" s="545">
        <f t="shared" si="56"/>
        <v>0</v>
      </c>
      <c r="U78" s="545">
        <f>SUM(U79:U80)</f>
        <v>31</v>
      </c>
      <c r="V78" s="545">
        <f t="shared" si="56"/>
        <v>31</v>
      </c>
      <c r="W78" s="545">
        <f>SUM(W79:W80)</f>
        <v>49.5</v>
      </c>
      <c r="X78" s="545">
        <f t="shared" si="56"/>
        <v>49.5</v>
      </c>
      <c r="Y78" s="545">
        <f>SUM(Y79:Y80)</f>
        <v>46.5</v>
      </c>
      <c r="Z78" s="545">
        <f t="shared" si="56"/>
        <v>46.5</v>
      </c>
      <c r="AA78" s="545">
        <f>SUM(AA79:AA80)</f>
        <v>58.5</v>
      </c>
      <c r="AB78" s="545">
        <f t="shared" si="56"/>
        <v>58.5</v>
      </c>
    </row>
    <row r="79" spans="1:28" ht="17.25" customHeight="1">
      <c r="A79" s="552" t="s">
        <v>11</v>
      </c>
      <c r="B79" s="565" t="s">
        <v>536</v>
      </c>
      <c r="C79" s="549">
        <f>SUM(D79:E79)</f>
        <v>222</v>
      </c>
      <c r="D79" s="550">
        <f>G79+I79+K79+M79+O79+Q79+S79+V79+X79+Z79+AB79</f>
        <v>222</v>
      </c>
      <c r="E79" s="550">
        <f t="shared" si="44"/>
        <v>0</v>
      </c>
      <c r="F79" s="550">
        <f>SUM(G79:G79)</f>
        <v>27</v>
      </c>
      <c r="G79" s="550">
        <f>3*8+3</f>
        <v>27</v>
      </c>
      <c r="H79" s="550">
        <f>SUM(I79:I79)</f>
        <v>24</v>
      </c>
      <c r="I79" s="550">
        <f>3*7+3</f>
        <v>24</v>
      </c>
      <c r="J79" s="550">
        <f>SUM(K79:K79)</f>
        <v>11</v>
      </c>
      <c r="K79" s="550">
        <v>11</v>
      </c>
      <c r="L79" s="550">
        <f>SUM(M79:M79)</f>
        <v>17</v>
      </c>
      <c r="M79" s="550">
        <f>5*3+2</f>
        <v>17</v>
      </c>
      <c r="N79" s="550">
        <f>SUM(O79:O79)</f>
        <v>14</v>
      </c>
      <c r="O79" s="550">
        <f>3*4+2</f>
        <v>14</v>
      </c>
      <c r="P79" s="550">
        <f>SUM(Q79:Q79)</f>
        <v>14</v>
      </c>
      <c r="Q79" s="550">
        <f>4*3+2</f>
        <v>14</v>
      </c>
      <c r="R79" s="550">
        <f>SUM(S79:T79)</f>
        <v>24.5</v>
      </c>
      <c r="S79" s="550">
        <f>7*3+3.5</f>
        <v>24.5</v>
      </c>
      <c r="T79" s="550"/>
      <c r="U79" s="550">
        <f>SUM(V79:V79)</f>
        <v>11</v>
      </c>
      <c r="V79" s="550">
        <v>11</v>
      </c>
      <c r="W79" s="550">
        <f>SUM(X79:X79)</f>
        <v>24.5</v>
      </c>
      <c r="X79" s="550">
        <f>7*3+3.5</f>
        <v>24.5</v>
      </c>
      <c r="Y79" s="550">
        <f>SUM(Z79:Z79)</f>
        <v>21.5</v>
      </c>
      <c r="Z79" s="550">
        <f>6*3+3.5</f>
        <v>21.5</v>
      </c>
      <c r="AA79" s="550">
        <f>SUM(AB79:AB79)</f>
        <v>33.5</v>
      </c>
      <c r="AB79" s="550">
        <f>10*3+3.5</f>
        <v>33.5</v>
      </c>
    </row>
    <row r="80" spans="1:28" ht="18" customHeight="1">
      <c r="A80" s="552" t="s">
        <v>11</v>
      </c>
      <c r="B80" s="565" t="s">
        <v>915</v>
      </c>
      <c r="C80" s="549">
        <f>SUM(D80:E80)</f>
        <v>250</v>
      </c>
      <c r="D80" s="550">
        <f>G80+I80+K80+M80+O80+Q80+S80+V80+X80+Z80+AB80</f>
        <v>250</v>
      </c>
      <c r="E80" s="550">
        <f t="shared" si="44"/>
        <v>0</v>
      </c>
      <c r="F80" s="550">
        <f>SUM(G80:G80)</f>
        <v>25</v>
      </c>
      <c r="G80" s="550">
        <v>25</v>
      </c>
      <c r="H80" s="550">
        <f>SUM(I80:I80)</f>
        <v>25</v>
      </c>
      <c r="I80" s="550">
        <v>25</v>
      </c>
      <c r="J80" s="550">
        <f>SUM(K80:K80)</f>
        <v>20</v>
      </c>
      <c r="K80" s="550">
        <v>20</v>
      </c>
      <c r="L80" s="550">
        <f>SUM(M80:M80)</f>
        <v>20</v>
      </c>
      <c r="M80" s="550">
        <v>20</v>
      </c>
      <c r="N80" s="550">
        <f>SUM(O80:O80)</f>
        <v>20</v>
      </c>
      <c r="O80" s="550">
        <v>20</v>
      </c>
      <c r="P80" s="550">
        <f>SUM(Q80:Q80)</f>
        <v>20</v>
      </c>
      <c r="Q80" s="550">
        <v>20</v>
      </c>
      <c r="R80" s="550">
        <f>SUM(S80:T80)</f>
        <v>25</v>
      </c>
      <c r="S80" s="550">
        <v>25</v>
      </c>
      <c r="T80" s="550"/>
      <c r="U80" s="550">
        <f>SUM(V80:V80)</f>
        <v>20</v>
      </c>
      <c r="V80" s="550">
        <v>20</v>
      </c>
      <c r="W80" s="550">
        <f>SUM(X80:X80)</f>
        <v>25</v>
      </c>
      <c r="X80" s="550">
        <v>25</v>
      </c>
      <c r="Y80" s="550">
        <f>SUM(Z80:Z80)</f>
        <v>25</v>
      </c>
      <c r="Z80" s="550">
        <v>25</v>
      </c>
      <c r="AA80" s="550">
        <f>SUM(AB80:AB80)</f>
        <v>25</v>
      </c>
      <c r="AB80" s="550">
        <v>25</v>
      </c>
    </row>
    <row r="81" spans="1:28" s="359" customFormat="1" ht="14.25" customHeight="1">
      <c r="A81" s="552" t="s">
        <v>13</v>
      </c>
      <c r="B81" s="561" t="s">
        <v>537</v>
      </c>
      <c r="C81" s="544">
        <f>SUM(D81:D81)</f>
        <v>1214</v>
      </c>
      <c r="D81" s="545">
        <f>G81+I81+K81+M81+O81+Q81+S81+V81+X81+Z81+AB81</f>
        <v>1214</v>
      </c>
      <c r="E81" s="550">
        <f t="shared" si="44"/>
        <v>0</v>
      </c>
      <c r="F81" s="550">
        <f>SUM(G81:G81)</f>
        <v>116</v>
      </c>
      <c r="G81" s="550">
        <v>116</v>
      </c>
      <c r="H81" s="550">
        <f>SUM(I81:I81)</f>
        <v>108</v>
      </c>
      <c r="I81" s="550">
        <v>108</v>
      </c>
      <c r="J81" s="550">
        <f>SUM(K81:K81)</f>
        <v>84</v>
      </c>
      <c r="K81" s="550">
        <v>84</v>
      </c>
      <c r="L81" s="550">
        <f>SUM(M81:M81)</f>
        <v>86</v>
      </c>
      <c r="M81" s="550">
        <v>86</v>
      </c>
      <c r="N81" s="550">
        <f>SUM(O81:O81)</f>
        <v>84</v>
      </c>
      <c r="O81" s="550">
        <v>84</v>
      </c>
      <c r="P81" s="550">
        <f>SUM(Q81:Q81)</f>
        <v>93</v>
      </c>
      <c r="Q81" s="550">
        <v>93</v>
      </c>
      <c r="R81" s="550">
        <f>SUM(S81:T81)</f>
        <v>132</v>
      </c>
      <c r="S81" s="550">
        <v>132</v>
      </c>
      <c r="T81" s="550"/>
      <c r="U81" s="550">
        <f>SUM(V81:V81)</f>
        <v>91</v>
      </c>
      <c r="V81" s="550">
        <v>91</v>
      </c>
      <c r="W81" s="550">
        <f>SUM(X81:X81)</f>
        <v>136</v>
      </c>
      <c r="X81" s="550">
        <v>136</v>
      </c>
      <c r="Y81" s="550">
        <f>SUM(Z81:Z81)</f>
        <v>129</v>
      </c>
      <c r="Z81" s="550">
        <v>129</v>
      </c>
      <c r="AA81" s="550">
        <f>SUM(AB81:AB81)</f>
        <v>155</v>
      </c>
      <c r="AB81" s="550">
        <v>155</v>
      </c>
    </row>
    <row r="82" spans="1:28" s="533" customFormat="1" ht="20.25" customHeight="1">
      <c r="A82" s="570" t="s">
        <v>18</v>
      </c>
      <c r="B82" s="571" t="s">
        <v>916</v>
      </c>
      <c r="C82" s="572">
        <f>D82</f>
        <v>915.5</v>
      </c>
      <c r="D82" s="545">
        <f>G82+I82+K82+M82+O82+Q82+S82+V82+X82+Z82+AB82</f>
        <v>915.5</v>
      </c>
      <c r="E82" s="571"/>
      <c r="F82" s="571">
        <f>G82</f>
        <v>69.2</v>
      </c>
      <c r="G82" s="571">
        <v>69.2</v>
      </c>
      <c r="H82" s="571">
        <f>I82</f>
        <v>99</v>
      </c>
      <c r="I82" s="571">
        <v>99</v>
      </c>
      <c r="J82" s="571">
        <f>K82</f>
        <v>82</v>
      </c>
      <c r="K82" s="571">
        <v>82</v>
      </c>
      <c r="L82" s="571">
        <f>M82</f>
        <v>66.3</v>
      </c>
      <c r="M82" s="571">
        <v>66.3</v>
      </c>
      <c r="N82" s="571">
        <f>O82</f>
        <v>65.400000000000006</v>
      </c>
      <c r="O82" s="571">
        <v>65.400000000000006</v>
      </c>
      <c r="P82" s="571">
        <f>Q82</f>
        <v>73</v>
      </c>
      <c r="Q82" s="571">
        <v>73</v>
      </c>
      <c r="R82" s="571">
        <f>S82</f>
        <v>92.4</v>
      </c>
      <c r="S82" s="571">
        <v>92.4</v>
      </c>
      <c r="T82" s="571"/>
      <c r="U82" s="571">
        <f>V82</f>
        <v>81</v>
      </c>
      <c r="V82" s="571">
        <v>81</v>
      </c>
      <c r="W82" s="571">
        <f>X82</f>
        <v>109</v>
      </c>
      <c r="X82" s="571">
        <v>109</v>
      </c>
      <c r="Y82" s="571">
        <f>Z82</f>
        <v>91.2</v>
      </c>
      <c r="Z82" s="571">
        <v>91.2</v>
      </c>
      <c r="AA82" s="571">
        <f>AB82</f>
        <v>87</v>
      </c>
      <c r="AB82" s="571">
        <v>87</v>
      </c>
    </row>
  </sheetData>
  <mergeCells count="43">
    <mergeCell ref="P3:Q3"/>
    <mergeCell ref="AA3:AB3"/>
    <mergeCell ref="Z1:AB1"/>
    <mergeCell ref="A2:M2"/>
    <mergeCell ref="K1:M1"/>
    <mergeCell ref="W4:X4"/>
    <mergeCell ref="A4:A6"/>
    <mergeCell ref="B4:B6"/>
    <mergeCell ref="C4:E4"/>
    <mergeCell ref="F4:G4"/>
    <mergeCell ref="H4:I4"/>
    <mergeCell ref="J4:K4"/>
    <mergeCell ref="Q5:Q6"/>
    <mergeCell ref="M5:M6"/>
    <mergeCell ref="N5:N6"/>
    <mergeCell ref="O5:O6"/>
    <mergeCell ref="P5:P6"/>
    <mergeCell ref="Y4:Z4"/>
    <mergeCell ref="AA4:AB4"/>
    <mergeCell ref="C5:C6"/>
    <mergeCell ref="D5:D6"/>
    <mergeCell ref="F5:F6"/>
    <mergeCell ref="G5:G6"/>
    <mergeCell ref="H5:H6"/>
    <mergeCell ref="I5:I6"/>
    <mergeCell ref="J5:J6"/>
    <mergeCell ref="K5:K6"/>
    <mergeCell ref="L4:M4"/>
    <mergeCell ref="N4:O4"/>
    <mergeCell ref="P4:Q4"/>
    <mergeCell ref="R4:S4"/>
    <mergeCell ref="U4:V4"/>
    <mergeCell ref="L5:L6"/>
    <mergeCell ref="Y5:Y6"/>
    <mergeCell ref="Z5:Z6"/>
    <mergeCell ref="AA5:AA6"/>
    <mergeCell ref="AB5:AB6"/>
    <mergeCell ref="R5:R6"/>
    <mergeCell ref="S5:S6"/>
    <mergeCell ref="U5:U6"/>
    <mergeCell ref="V5:V6"/>
    <mergeCell ref="W5:W6"/>
    <mergeCell ref="X5:X6"/>
  </mergeCells>
  <printOptions horizontalCentered="1"/>
  <pageMargins left="0.23622047244094491" right="0.15748031496062992" top="0.31496062992125984" bottom="0.31496062992125984" header="0.35433070866141736" footer="0.31496062992125984"/>
  <pageSetup paperSize="9" scale="8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L5:L11"/>
  <sheetViews>
    <sheetView workbookViewId="0">
      <selection activeCell="K12" sqref="K12"/>
    </sheetView>
  </sheetViews>
  <sheetFormatPr defaultRowHeight="15"/>
  <cols>
    <col min="12" max="12" width="14.28515625" bestFit="1" customWidth="1"/>
  </cols>
  <sheetData>
    <row r="5" spans="12:12">
      <c r="L5" s="265">
        <f>70000*24</f>
        <v>1680000</v>
      </c>
    </row>
    <row r="6" spans="12:12">
      <c r="L6" s="368">
        <f>L5*12</f>
        <v>20160000</v>
      </c>
    </row>
    <row r="8" spans="12:12">
      <c r="L8">
        <f>70000*5*4*12</f>
        <v>16800000</v>
      </c>
    </row>
    <row r="9" spans="12:12">
      <c r="L9">
        <f>70000*20*6</f>
        <v>8400000</v>
      </c>
    </row>
    <row r="11" spans="12:12">
      <c r="L11">
        <f>70*70000</f>
        <v>4900000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10</vt:i4>
      </vt:variant>
    </vt:vector>
  </HeadingPairs>
  <TitlesOfParts>
    <vt:vector size="19" baseType="lpstr">
      <vt:lpstr>B31_TT342</vt:lpstr>
      <vt:lpstr>BIEU 29_TT342</vt:lpstr>
      <vt:lpstr>bieu 16</vt:lpstr>
      <vt:lpstr>32</vt:lpstr>
      <vt:lpstr>biểu 04</vt:lpstr>
      <vt:lpstr>mau 06</vt:lpstr>
      <vt:lpstr>Mau 05 UB (2)</vt:lpstr>
      <vt:lpstr>08 XA</vt:lpstr>
      <vt:lpstr>Sheet1</vt:lpstr>
      <vt:lpstr>'08 XA'!Print_Area</vt:lpstr>
      <vt:lpstr>'32'!Print_Area</vt:lpstr>
      <vt:lpstr>'biểu 04'!Print_Area</vt:lpstr>
      <vt:lpstr>'Mau 05 UB (2)'!Print_Area</vt:lpstr>
      <vt:lpstr>'mau 06'!Print_Area</vt:lpstr>
      <vt:lpstr>'08 XA'!Print_Titles</vt:lpstr>
      <vt:lpstr>'32'!Print_Titles</vt:lpstr>
      <vt:lpstr>B31_TT342!Print_Titles</vt:lpstr>
      <vt:lpstr>'biểu 04'!Print_Titles</vt:lpstr>
      <vt:lpstr>'Mau 05 UB (2)'!Print_Titles</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AutoBVT</dc:creator>
  <cp:lastModifiedBy>HTC</cp:lastModifiedBy>
  <cp:lastPrinted>2022-06-28T09:59:42Z</cp:lastPrinted>
  <dcterms:created xsi:type="dcterms:W3CDTF">2018-12-15T08:38:47Z</dcterms:created>
  <dcterms:modified xsi:type="dcterms:W3CDTF">2022-07-07T09:35:12Z</dcterms:modified>
</cp:coreProperties>
</file>