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20" windowWidth="20640" windowHeight="11760"/>
  </bookViews>
  <sheets>
    <sheet name="b01" sheetId="16" r:id="rId1"/>
    <sheet name="b02" sheetId="17" r:id="rId2"/>
    <sheet name="29.1" sheetId="6" r:id="rId3"/>
    <sheet name="b31" sheetId="7" r:id="rId4"/>
    <sheet name="32" sheetId="29" r:id="rId5"/>
    <sheet name="01" sheetId="1" state="hidden" r:id="rId6"/>
    <sheet name="02" sheetId="2" state="hidden" r:id="rId7"/>
    <sheet name="Sheet1" sheetId="15" state="hidden" r:id="rId8"/>
    <sheet name="05 UB" sheetId="57" r:id="rId9"/>
    <sheet name="05 xa" sheetId="58" r:id="rId10"/>
    <sheet name="07 THU NSX" sheetId="40" r:id="rId11"/>
    <sheet name="GDUC" sheetId="56" r:id="rId12"/>
  </sheets>
  <externalReferences>
    <externalReference r:id="rId13"/>
    <externalReference r:id="rId14"/>
    <externalReference r:id="rId15"/>
    <externalReference r:id="rId16"/>
    <externalReference r:id="rId17"/>
    <externalReference r:id="rId18"/>
    <externalReference r:id="rId19"/>
    <externalReference r:id="rId20"/>
    <externalReference r:id="rId21"/>
  </externalReferences>
  <definedNames>
    <definedName name="_">#N/A</definedName>
    <definedName name="_??" localSheetId="8">BlankMacro1</definedName>
    <definedName name="_??" localSheetId="9">BlankMacro1</definedName>
    <definedName name="_??" localSheetId="11">BlankMacro1</definedName>
    <definedName name="_??">BlankMacro1</definedName>
    <definedName name="_??????1" localSheetId="8">BlankMacro1</definedName>
    <definedName name="_??????1" localSheetId="9">BlankMacro1</definedName>
    <definedName name="_??????1" localSheetId="11">BlankMacro1</definedName>
    <definedName name="_??????1">BlankMacro1</definedName>
    <definedName name="_??????2" localSheetId="8">BlankMacro1</definedName>
    <definedName name="_??????2" localSheetId="9">BlankMacro1</definedName>
    <definedName name="_??????2" localSheetId="11">BlankMacro1</definedName>
    <definedName name="_??????2">BlankMacro1</definedName>
    <definedName name="_??????3" localSheetId="8">BlankMacro1</definedName>
    <definedName name="_??????3" localSheetId="9">BlankMacro1</definedName>
    <definedName name="_??????3" localSheetId="11">BlankMacro1</definedName>
    <definedName name="_??????3">BlankMacro1</definedName>
    <definedName name="_??????4" localSheetId="8">BlankMacro1</definedName>
    <definedName name="_??????4" localSheetId="9">BlankMacro1</definedName>
    <definedName name="_??????4" localSheetId="11">BlankMacro1</definedName>
    <definedName name="_??????4">BlankMacro1</definedName>
    <definedName name="_??????5" localSheetId="8">BlankMacro1</definedName>
    <definedName name="_??????5" localSheetId="9">BlankMacro1</definedName>
    <definedName name="_??????5" localSheetId="11">BlankMacro1</definedName>
    <definedName name="_??????5">BlankMacro1</definedName>
    <definedName name="_??????6" localSheetId="8">BlankMacro1</definedName>
    <definedName name="_??????6" localSheetId="9">BlankMacro1</definedName>
    <definedName name="_??????6" localSheetId="11">BlankMacro1</definedName>
    <definedName name="_??????6">BlankMacro1</definedName>
    <definedName name="_________a1" localSheetId="6" hidden="1">{"'Sheet1'!$L$16"}</definedName>
    <definedName name="_________a1" localSheetId="8" hidden="1">{"'Sheet1'!$L$16"}</definedName>
    <definedName name="_________a1" localSheetId="9" hidden="1">{"'Sheet1'!$L$16"}</definedName>
    <definedName name="_________a1" localSheetId="0" hidden="1">{"'Sheet1'!$L$16"}</definedName>
    <definedName name="_________a1" localSheetId="1" hidden="1">{"'Sheet1'!$L$16"}</definedName>
    <definedName name="_________a1" localSheetId="11" hidden="1">{"'Sheet1'!$L$16"}</definedName>
    <definedName name="_________a1" hidden="1">{"'Sheet1'!$L$16"}</definedName>
    <definedName name="_________PA3" localSheetId="6" hidden="1">{"'Sheet1'!$L$16"}</definedName>
    <definedName name="_________PA3" localSheetId="8" hidden="1">{"'Sheet1'!$L$16"}</definedName>
    <definedName name="_________PA3" localSheetId="9" hidden="1">{"'Sheet1'!$L$16"}</definedName>
    <definedName name="_________PA3" localSheetId="0" hidden="1">{"'Sheet1'!$L$16"}</definedName>
    <definedName name="_________PA3" localSheetId="1" hidden="1">{"'Sheet1'!$L$16"}</definedName>
    <definedName name="_________PA3" localSheetId="11" hidden="1">{"'Sheet1'!$L$16"}</definedName>
    <definedName name="_________PA3" hidden="1">{"'Sheet1'!$L$16"}</definedName>
    <definedName name="_______a1" localSheetId="6" hidden="1">{"'Sheet1'!$L$16"}</definedName>
    <definedName name="_______a1" localSheetId="8" hidden="1">{"'Sheet1'!$L$16"}</definedName>
    <definedName name="_______a1" localSheetId="9" hidden="1">{"'Sheet1'!$L$16"}</definedName>
    <definedName name="_______a1" localSheetId="0" hidden="1">{"'Sheet1'!$L$16"}</definedName>
    <definedName name="_______a1" localSheetId="1" hidden="1">{"'Sheet1'!$L$16"}</definedName>
    <definedName name="_______a1" localSheetId="11" hidden="1">{"'Sheet1'!$L$16"}</definedName>
    <definedName name="_______a1" hidden="1">{"'Sheet1'!$L$16"}</definedName>
    <definedName name="_______btm10">#REF!</definedName>
    <definedName name="_______btm100">#REF!</definedName>
    <definedName name="_______hom2">#REF!</definedName>
    <definedName name="_______KM188">#REF!</definedName>
    <definedName name="_______km189">#REF!</definedName>
    <definedName name="_______km193">#REF!</definedName>
    <definedName name="_______km194">#REF!</definedName>
    <definedName name="_______km195">#REF!</definedName>
    <definedName name="_______km197">#REF!</definedName>
    <definedName name="_______km198">#REF!</definedName>
    <definedName name="_______NCL100">#REF!</definedName>
    <definedName name="_______NCL200">#REF!</definedName>
    <definedName name="_______NCL250">#REF!</definedName>
    <definedName name="_______nin190">#REF!</definedName>
    <definedName name="_______NSO2" localSheetId="8" hidden="1">{"'Sheet1'!$L$16"}</definedName>
    <definedName name="_______NSO2" localSheetId="9" hidden="1">{"'Sheet1'!$L$16"}</definedName>
    <definedName name="_______NSO2" localSheetId="11" hidden="1">{"'Sheet1'!$L$16"}</definedName>
    <definedName name="_______NSO2" hidden="1">{"'Sheet1'!$L$16"}</definedName>
    <definedName name="_______PA3" localSheetId="6" hidden="1">{"'Sheet1'!$L$16"}</definedName>
    <definedName name="_______PA3" localSheetId="8" hidden="1">{"'Sheet1'!$L$16"}</definedName>
    <definedName name="_______PA3" localSheetId="9" hidden="1">{"'Sheet1'!$L$16"}</definedName>
    <definedName name="_______PA3" localSheetId="0" hidden="1">{"'Sheet1'!$L$16"}</definedName>
    <definedName name="_______PA3" localSheetId="1" hidden="1">{"'Sheet1'!$L$16"}</definedName>
    <definedName name="_______PA3" localSheetId="11" hidden="1">{"'Sheet1'!$L$16"}</definedName>
    <definedName name="_______PA3" hidden="1">{"'Sheet1'!$L$16"}</definedName>
    <definedName name="_______SN3">#REF!</definedName>
    <definedName name="_______sua20">#REF!</definedName>
    <definedName name="_______sua30">#REF!</definedName>
    <definedName name="_______TB1">#REF!</definedName>
    <definedName name="_______TL3">#REF!</definedName>
    <definedName name="_______VL100">#REF!</definedName>
    <definedName name="_______VL250">#REF!</definedName>
    <definedName name="______a1" localSheetId="6" hidden="1">{"'Sheet1'!$L$16"}</definedName>
    <definedName name="______a1" localSheetId="8" hidden="1">{"'Sheet1'!$L$16"}</definedName>
    <definedName name="______a1" localSheetId="9" hidden="1">{"'Sheet1'!$L$16"}</definedName>
    <definedName name="______a1" localSheetId="0" hidden="1">{"'Sheet1'!$L$16"}</definedName>
    <definedName name="______a1" localSheetId="1" hidden="1">{"'Sheet1'!$L$16"}</definedName>
    <definedName name="______a1" localSheetId="11" hidden="1">{"'Sheet1'!$L$16"}</definedName>
    <definedName name="______a1" hidden="1">{"'Sheet1'!$L$16"}</definedName>
    <definedName name="______boi1">#REF!</definedName>
    <definedName name="______boi2">#REF!</definedName>
    <definedName name="______boi3">#REF!</definedName>
    <definedName name="______boi4">#REF!</definedName>
    <definedName name="______btm10">#REF!</definedName>
    <definedName name="______btm100">#REF!</definedName>
    <definedName name="______BTM250">#REF!</definedName>
    <definedName name="______btM300">#REF!</definedName>
    <definedName name="______cao1">#REF!</definedName>
    <definedName name="______cao2">#REF!</definedName>
    <definedName name="______cao3">#REF!</definedName>
    <definedName name="______cao4">#REF!</definedName>
    <definedName name="______cao5">#REF!</definedName>
    <definedName name="______cao6">#REF!</definedName>
    <definedName name="______CON1">#REF!</definedName>
    <definedName name="______CON2">#REF!</definedName>
    <definedName name="______dai1">#REF!</definedName>
    <definedName name="______dai2">#REF!</definedName>
    <definedName name="______dai3">#REF!</definedName>
    <definedName name="______dai4">#REF!</definedName>
    <definedName name="______dai5">#REF!</definedName>
    <definedName name="______dai6">#REF!</definedName>
    <definedName name="______dan1">#REF!</definedName>
    <definedName name="______dan2">#REF!</definedName>
    <definedName name="______ddn400">#REF!</definedName>
    <definedName name="______ddn600">#REF!</definedName>
    <definedName name="______gon4">#REF!</definedName>
    <definedName name="______h1" localSheetId="6" hidden="1">{"'Sheet1'!$L$16"}</definedName>
    <definedName name="______h1" localSheetId="8" hidden="1">{"'Sheet1'!$L$16"}</definedName>
    <definedName name="______h1" localSheetId="9" hidden="1">{"'Sheet1'!$L$16"}</definedName>
    <definedName name="______h1" localSheetId="0" hidden="1">{"'Sheet1'!$L$16"}</definedName>
    <definedName name="______h1" localSheetId="1" hidden="1">{"'Sheet1'!$L$16"}</definedName>
    <definedName name="______h1" localSheetId="11" hidden="1">{"'Sheet1'!$L$16"}</definedName>
    <definedName name="______h1" hidden="1">{"'Sheet1'!$L$16"}</definedName>
    <definedName name="______h10" localSheetId="6" hidden="1">{#N/A,#N/A,FALSE,"Chi tiÆt"}</definedName>
    <definedName name="______h10" localSheetId="8" hidden="1">{#N/A,#N/A,FALSE,"Chi tiÆt"}</definedName>
    <definedName name="______h10" localSheetId="9" hidden="1">{#N/A,#N/A,FALSE,"Chi tiÆt"}</definedName>
    <definedName name="______h10" localSheetId="0" hidden="1">{#N/A,#N/A,FALSE,"Chi tiÆt"}</definedName>
    <definedName name="______h10" localSheetId="1" hidden="1">{#N/A,#N/A,FALSE,"Chi tiÆt"}</definedName>
    <definedName name="______h10" localSheetId="11" hidden="1">{#N/A,#N/A,FALSE,"Chi tiÆt"}</definedName>
    <definedName name="______h10" hidden="1">{#N/A,#N/A,FALSE,"Chi tiÆt"}</definedName>
    <definedName name="______h2" localSheetId="6" hidden="1">{"'Sheet1'!$L$16"}</definedName>
    <definedName name="______h2" localSheetId="8" hidden="1">{"'Sheet1'!$L$16"}</definedName>
    <definedName name="______h2" localSheetId="9" hidden="1">{"'Sheet1'!$L$16"}</definedName>
    <definedName name="______h2" localSheetId="0" hidden="1">{"'Sheet1'!$L$16"}</definedName>
    <definedName name="______h2" localSheetId="1" hidden="1">{"'Sheet1'!$L$16"}</definedName>
    <definedName name="______h2" localSheetId="11" hidden="1">{"'Sheet1'!$L$16"}</definedName>
    <definedName name="______h2" hidden="1">{"'Sheet1'!$L$16"}</definedName>
    <definedName name="______h3" localSheetId="6" hidden="1">{"'Sheet1'!$L$16"}</definedName>
    <definedName name="______h3" localSheetId="8" hidden="1">{"'Sheet1'!$L$16"}</definedName>
    <definedName name="______h3" localSheetId="9" hidden="1">{"'Sheet1'!$L$16"}</definedName>
    <definedName name="______h3" localSheetId="0" hidden="1">{"'Sheet1'!$L$16"}</definedName>
    <definedName name="______h3" localSheetId="1" hidden="1">{"'Sheet1'!$L$16"}</definedName>
    <definedName name="______h3" localSheetId="11" hidden="1">{"'Sheet1'!$L$16"}</definedName>
    <definedName name="______h3" hidden="1">{"'Sheet1'!$L$16"}</definedName>
    <definedName name="______h5" localSheetId="6" hidden="1">{"'Sheet1'!$L$16"}</definedName>
    <definedName name="______h5" localSheetId="8" hidden="1">{"'Sheet1'!$L$16"}</definedName>
    <definedName name="______h5" localSheetId="9" hidden="1">{"'Sheet1'!$L$16"}</definedName>
    <definedName name="______h5" localSheetId="0" hidden="1">{"'Sheet1'!$L$16"}</definedName>
    <definedName name="______h5" localSheetId="1" hidden="1">{"'Sheet1'!$L$16"}</definedName>
    <definedName name="______h5" localSheetId="11" hidden="1">{"'Sheet1'!$L$16"}</definedName>
    <definedName name="______h5" hidden="1">{"'Sheet1'!$L$16"}</definedName>
    <definedName name="______h6" localSheetId="6" hidden="1">{"'Sheet1'!$L$16"}</definedName>
    <definedName name="______h6" localSheetId="8" hidden="1">{"'Sheet1'!$L$16"}</definedName>
    <definedName name="______h6" localSheetId="9" hidden="1">{"'Sheet1'!$L$16"}</definedName>
    <definedName name="______h6" localSheetId="0" hidden="1">{"'Sheet1'!$L$16"}</definedName>
    <definedName name="______h6" localSheetId="1" hidden="1">{"'Sheet1'!$L$16"}</definedName>
    <definedName name="______h6" localSheetId="11" hidden="1">{"'Sheet1'!$L$16"}</definedName>
    <definedName name="______h6" hidden="1">{"'Sheet1'!$L$16"}</definedName>
    <definedName name="______h7" localSheetId="6" hidden="1">{"'Sheet1'!$L$16"}</definedName>
    <definedName name="______h7" localSheetId="8" hidden="1">{"'Sheet1'!$L$16"}</definedName>
    <definedName name="______h7" localSheetId="9" hidden="1">{"'Sheet1'!$L$16"}</definedName>
    <definedName name="______h7" localSheetId="0" hidden="1">{"'Sheet1'!$L$16"}</definedName>
    <definedName name="______h7" localSheetId="1" hidden="1">{"'Sheet1'!$L$16"}</definedName>
    <definedName name="______h7" localSheetId="11" hidden="1">{"'Sheet1'!$L$16"}</definedName>
    <definedName name="______h7" hidden="1">{"'Sheet1'!$L$16"}</definedName>
    <definedName name="______h8" localSheetId="6" hidden="1">{"'Sheet1'!$L$16"}</definedName>
    <definedName name="______h8" localSheetId="8" hidden="1">{"'Sheet1'!$L$16"}</definedName>
    <definedName name="______h8" localSheetId="9" hidden="1">{"'Sheet1'!$L$16"}</definedName>
    <definedName name="______h8" localSheetId="0" hidden="1">{"'Sheet1'!$L$16"}</definedName>
    <definedName name="______h8" localSheetId="1" hidden="1">{"'Sheet1'!$L$16"}</definedName>
    <definedName name="______h8" localSheetId="11" hidden="1">{"'Sheet1'!$L$16"}</definedName>
    <definedName name="______h8" hidden="1">{"'Sheet1'!$L$16"}</definedName>
    <definedName name="______h9" localSheetId="6" hidden="1">{"'Sheet1'!$L$16"}</definedName>
    <definedName name="______h9" localSheetId="8" hidden="1">{"'Sheet1'!$L$16"}</definedName>
    <definedName name="______h9" localSheetId="9" hidden="1">{"'Sheet1'!$L$16"}</definedName>
    <definedName name="______h9" localSheetId="0" hidden="1">{"'Sheet1'!$L$16"}</definedName>
    <definedName name="______h9" localSheetId="1" hidden="1">{"'Sheet1'!$L$16"}</definedName>
    <definedName name="______h9" localSheetId="11" hidden="1">{"'Sheet1'!$L$16"}</definedName>
    <definedName name="______h9" hidden="1">{"'Sheet1'!$L$16"}</definedName>
    <definedName name="______hom2">#REF!</definedName>
    <definedName name="______KM188">#REF!</definedName>
    <definedName name="______km189">#REF!</definedName>
    <definedName name="______km190">#REF!</definedName>
    <definedName name="______km191">#REF!</definedName>
    <definedName name="______km192">#REF!</definedName>
    <definedName name="______km193">#REF!</definedName>
    <definedName name="______km194">#REF!</definedName>
    <definedName name="______km195">#REF!</definedName>
    <definedName name="______km196">#REF!</definedName>
    <definedName name="______km197">#REF!</definedName>
    <definedName name="______km198">#REF!</definedName>
    <definedName name="______lap1">#REF!</definedName>
    <definedName name="______lap2">#REF!</definedName>
    <definedName name="______MAC12">#REF!</definedName>
    <definedName name="______MAC46">#REF!</definedName>
    <definedName name="______NCL100">#REF!</definedName>
    <definedName name="______NCL200">#REF!</definedName>
    <definedName name="______NCL250">#REF!</definedName>
    <definedName name="______NET2">#REF!</definedName>
    <definedName name="______nin190">#REF!</definedName>
    <definedName name="______NSO2" localSheetId="6" hidden="1">{"'Sheet1'!$L$16"}</definedName>
    <definedName name="______NSO2" localSheetId="8" hidden="1">{"'Sheet1'!$L$16"}</definedName>
    <definedName name="______NSO2" localSheetId="9" hidden="1">{"'Sheet1'!$L$16"}</definedName>
    <definedName name="______NSO2" localSheetId="0" hidden="1">{"'Sheet1'!$L$16"}</definedName>
    <definedName name="______NSO2" localSheetId="1" hidden="1">{"'Sheet1'!$L$16"}</definedName>
    <definedName name="______NSO2" localSheetId="11" hidden="1">{"'Sheet1'!$L$16"}</definedName>
    <definedName name="______NSO2" hidden="1">{"'Sheet1'!$L$16"}</definedName>
    <definedName name="______PA3" localSheetId="6" hidden="1">{"'Sheet1'!$L$16"}</definedName>
    <definedName name="______PA3" localSheetId="8" hidden="1">{"'Sheet1'!$L$16"}</definedName>
    <definedName name="______PA3" localSheetId="9" hidden="1">{"'Sheet1'!$L$16"}</definedName>
    <definedName name="______PA3" localSheetId="0" hidden="1">{"'Sheet1'!$L$16"}</definedName>
    <definedName name="______PA3" localSheetId="1" hidden="1">{"'Sheet1'!$L$16"}</definedName>
    <definedName name="______PA3" localSheetId="11" hidden="1">{"'Sheet1'!$L$16"}</definedName>
    <definedName name="______PA3" hidden="1">{"'Sheet1'!$L$16"}</definedName>
    <definedName name="______phi10">#REF!</definedName>
    <definedName name="______phi12">#REF!</definedName>
    <definedName name="______phi14">#REF!</definedName>
    <definedName name="______phi16">#REF!</definedName>
    <definedName name="______phi18">#REF!</definedName>
    <definedName name="______phi20">#REF!</definedName>
    <definedName name="______phi22">#REF!</definedName>
    <definedName name="______phi25">#REF!</definedName>
    <definedName name="______phi28">#REF!</definedName>
    <definedName name="______phi6">#REF!</definedName>
    <definedName name="______phi8">#REF!</definedName>
    <definedName name="______PL1242">#REF!</definedName>
    <definedName name="______sat10">#REF!</definedName>
    <definedName name="______sat14">#REF!</definedName>
    <definedName name="______sat16">#REF!</definedName>
    <definedName name="______sat20">#REF!</definedName>
    <definedName name="______sat8">#REF!</definedName>
    <definedName name="______sc1">#REF!</definedName>
    <definedName name="______SC2">#REF!</definedName>
    <definedName name="______sc3">#REF!</definedName>
    <definedName name="______slg1">#REF!</definedName>
    <definedName name="______slg2">#REF!</definedName>
    <definedName name="______slg3">#REF!</definedName>
    <definedName name="______slg4">#REF!</definedName>
    <definedName name="______slg5">#REF!</definedName>
    <definedName name="______slg6">#REF!</definedName>
    <definedName name="______SN3">#REF!</definedName>
    <definedName name="______sua20">#REF!</definedName>
    <definedName name="______sua30">#REF!</definedName>
    <definedName name="______TB1">#REF!</definedName>
    <definedName name="______TH1">#REF!</definedName>
    <definedName name="______TH2">#REF!</definedName>
    <definedName name="______TH3">#REF!</definedName>
    <definedName name="______TK155">#REF!</definedName>
    <definedName name="______TK422">#REF!</definedName>
    <definedName name="______TL1">#REF!</definedName>
    <definedName name="______TL2">#REF!</definedName>
    <definedName name="______TL3">#REF!</definedName>
    <definedName name="______TLA120">#REF!</definedName>
    <definedName name="______TLA35">#REF!</definedName>
    <definedName name="______TLA50">#REF!</definedName>
    <definedName name="______TLA70">#REF!</definedName>
    <definedName name="______TLA95">#REF!</definedName>
    <definedName name="______VL100">#REF!</definedName>
    <definedName name="______vl2" localSheetId="6" hidden="1">{"'Sheet1'!$L$16"}</definedName>
    <definedName name="______vl2" localSheetId="8" hidden="1">{"'Sheet1'!$L$16"}</definedName>
    <definedName name="______vl2" localSheetId="9" hidden="1">{"'Sheet1'!$L$16"}</definedName>
    <definedName name="______vl2" localSheetId="0" hidden="1">{"'Sheet1'!$L$16"}</definedName>
    <definedName name="______vl2" localSheetId="1" hidden="1">{"'Sheet1'!$L$16"}</definedName>
    <definedName name="______vl2" localSheetId="11" hidden="1">{"'Sheet1'!$L$16"}</definedName>
    <definedName name="______vl2" hidden="1">{"'Sheet1'!$L$16"}</definedName>
    <definedName name="______VL250">#REF!</definedName>
    <definedName name="_____a1" localSheetId="6" hidden="1">{"'Sheet1'!$L$16"}</definedName>
    <definedName name="_____a1" localSheetId="8" hidden="1">{"'Sheet1'!$L$16"}</definedName>
    <definedName name="_____a1" localSheetId="9" hidden="1">{"'Sheet1'!$L$16"}</definedName>
    <definedName name="_____a1" localSheetId="0" hidden="1">{"'Sheet1'!$L$16"}</definedName>
    <definedName name="_____a1" localSheetId="1" hidden="1">{"'Sheet1'!$L$16"}</definedName>
    <definedName name="_____a1" localSheetId="11" hidden="1">{"'Sheet1'!$L$16"}</definedName>
    <definedName name="_____a1" hidden="1">{"'Sheet1'!$L$16"}</definedName>
    <definedName name="_____boi1">#REF!</definedName>
    <definedName name="_____boi2">#REF!</definedName>
    <definedName name="_____boi3">#REF!</definedName>
    <definedName name="_____boi4">#REF!</definedName>
    <definedName name="_____BTM250">#REF!</definedName>
    <definedName name="_____btM300">#REF!</definedName>
    <definedName name="_____cao1">#REF!</definedName>
    <definedName name="_____cao2">#REF!</definedName>
    <definedName name="_____cao3">#REF!</definedName>
    <definedName name="_____cao4">#REF!</definedName>
    <definedName name="_____cao5">#REF!</definedName>
    <definedName name="_____cao6">#REF!</definedName>
    <definedName name="_____CON1">#REF!</definedName>
    <definedName name="_____CON2">#REF!</definedName>
    <definedName name="_____dai1">#REF!</definedName>
    <definedName name="_____dai2">#REF!</definedName>
    <definedName name="_____dai3">#REF!</definedName>
    <definedName name="_____dai4">#REF!</definedName>
    <definedName name="_____dai5">#REF!</definedName>
    <definedName name="_____dai6">#REF!</definedName>
    <definedName name="_____dan1">#REF!</definedName>
    <definedName name="_____dan2">#REF!</definedName>
    <definedName name="_____ddn400">#REF!</definedName>
    <definedName name="_____ddn600">#REF!</definedName>
    <definedName name="_____gon4">#REF!</definedName>
    <definedName name="_____h1" localSheetId="6" hidden="1">{"'Sheet1'!$L$16"}</definedName>
    <definedName name="_____h1" localSheetId="8" hidden="1">{"'Sheet1'!$L$16"}</definedName>
    <definedName name="_____h1" localSheetId="9" hidden="1">{"'Sheet1'!$L$16"}</definedName>
    <definedName name="_____h1" localSheetId="0" hidden="1">{"'Sheet1'!$L$16"}</definedName>
    <definedName name="_____h1" localSheetId="1" hidden="1">{"'Sheet1'!$L$16"}</definedName>
    <definedName name="_____h1" localSheetId="11" hidden="1">{"'Sheet1'!$L$16"}</definedName>
    <definedName name="_____h1" hidden="1">{"'Sheet1'!$L$16"}</definedName>
    <definedName name="_____h10" localSheetId="6" hidden="1">{#N/A,#N/A,FALSE,"Chi tiÆt"}</definedName>
    <definedName name="_____h10" localSheetId="8" hidden="1">{#N/A,#N/A,FALSE,"Chi tiÆt"}</definedName>
    <definedName name="_____h10" localSheetId="9" hidden="1">{#N/A,#N/A,FALSE,"Chi tiÆt"}</definedName>
    <definedName name="_____h10" localSheetId="0" hidden="1">{#N/A,#N/A,FALSE,"Chi tiÆt"}</definedName>
    <definedName name="_____h10" localSheetId="1" hidden="1">{#N/A,#N/A,FALSE,"Chi tiÆt"}</definedName>
    <definedName name="_____h10" localSheetId="11" hidden="1">{#N/A,#N/A,FALSE,"Chi tiÆt"}</definedName>
    <definedName name="_____h10" hidden="1">{#N/A,#N/A,FALSE,"Chi tiÆt"}</definedName>
    <definedName name="_____h2" localSheetId="6" hidden="1">{"'Sheet1'!$L$16"}</definedName>
    <definedName name="_____h2" localSheetId="8" hidden="1">{"'Sheet1'!$L$16"}</definedName>
    <definedName name="_____h2" localSheetId="9" hidden="1">{"'Sheet1'!$L$16"}</definedName>
    <definedName name="_____h2" localSheetId="0" hidden="1">{"'Sheet1'!$L$16"}</definedName>
    <definedName name="_____h2" localSheetId="1" hidden="1">{"'Sheet1'!$L$16"}</definedName>
    <definedName name="_____h2" localSheetId="11" hidden="1">{"'Sheet1'!$L$16"}</definedName>
    <definedName name="_____h2" hidden="1">{"'Sheet1'!$L$16"}</definedName>
    <definedName name="_____h3" localSheetId="6" hidden="1">{"'Sheet1'!$L$16"}</definedName>
    <definedName name="_____h3" localSheetId="8" hidden="1">{"'Sheet1'!$L$16"}</definedName>
    <definedName name="_____h3" localSheetId="9" hidden="1">{"'Sheet1'!$L$16"}</definedName>
    <definedName name="_____h3" localSheetId="0" hidden="1">{"'Sheet1'!$L$16"}</definedName>
    <definedName name="_____h3" localSheetId="1" hidden="1">{"'Sheet1'!$L$16"}</definedName>
    <definedName name="_____h3" localSheetId="11" hidden="1">{"'Sheet1'!$L$16"}</definedName>
    <definedName name="_____h3" hidden="1">{"'Sheet1'!$L$16"}</definedName>
    <definedName name="_____h5" localSheetId="6" hidden="1">{"'Sheet1'!$L$16"}</definedName>
    <definedName name="_____h5" localSheetId="8" hidden="1">{"'Sheet1'!$L$16"}</definedName>
    <definedName name="_____h5" localSheetId="9" hidden="1">{"'Sheet1'!$L$16"}</definedName>
    <definedName name="_____h5" localSheetId="0" hidden="1">{"'Sheet1'!$L$16"}</definedName>
    <definedName name="_____h5" localSheetId="1" hidden="1">{"'Sheet1'!$L$16"}</definedName>
    <definedName name="_____h5" localSheetId="11" hidden="1">{"'Sheet1'!$L$16"}</definedName>
    <definedName name="_____h5" hidden="1">{"'Sheet1'!$L$16"}</definedName>
    <definedName name="_____h6" localSheetId="6" hidden="1">{"'Sheet1'!$L$16"}</definedName>
    <definedName name="_____h6" localSheetId="8" hidden="1">{"'Sheet1'!$L$16"}</definedName>
    <definedName name="_____h6" localSheetId="9" hidden="1">{"'Sheet1'!$L$16"}</definedName>
    <definedName name="_____h6" localSheetId="0" hidden="1">{"'Sheet1'!$L$16"}</definedName>
    <definedName name="_____h6" localSheetId="1" hidden="1">{"'Sheet1'!$L$16"}</definedName>
    <definedName name="_____h6" localSheetId="11" hidden="1">{"'Sheet1'!$L$16"}</definedName>
    <definedName name="_____h6" hidden="1">{"'Sheet1'!$L$16"}</definedName>
    <definedName name="_____h7" localSheetId="6" hidden="1">{"'Sheet1'!$L$16"}</definedName>
    <definedName name="_____h7" localSheetId="8" hidden="1">{"'Sheet1'!$L$16"}</definedName>
    <definedName name="_____h7" localSheetId="9" hidden="1">{"'Sheet1'!$L$16"}</definedName>
    <definedName name="_____h7" localSheetId="0" hidden="1">{"'Sheet1'!$L$16"}</definedName>
    <definedName name="_____h7" localSheetId="1" hidden="1">{"'Sheet1'!$L$16"}</definedName>
    <definedName name="_____h7" localSheetId="11" hidden="1">{"'Sheet1'!$L$16"}</definedName>
    <definedName name="_____h7" hidden="1">{"'Sheet1'!$L$16"}</definedName>
    <definedName name="_____h8" localSheetId="6" hidden="1">{"'Sheet1'!$L$16"}</definedName>
    <definedName name="_____h8" localSheetId="8" hidden="1">{"'Sheet1'!$L$16"}</definedName>
    <definedName name="_____h8" localSheetId="9" hidden="1">{"'Sheet1'!$L$16"}</definedName>
    <definedName name="_____h8" localSheetId="0" hidden="1">{"'Sheet1'!$L$16"}</definedName>
    <definedName name="_____h8" localSheetId="1" hidden="1">{"'Sheet1'!$L$16"}</definedName>
    <definedName name="_____h8" localSheetId="11" hidden="1">{"'Sheet1'!$L$16"}</definedName>
    <definedName name="_____h8" hidden="1">{"'Sheet1'!$L$16"}</definedName>
    <definedName name="_____h9" localSheetId="6" hidden="1">{"'Sheet1'!$L$16"}</definedName>
    <definedName name="_____h9" localSheetId="8" hidden="1">{"'Sheet1'!$L$16"}</definedName>
    <definedName name="_____h9" localSheetId="9" hidden="1">{"'Sheet1'!$L$16"}</definedName>
    <definedName name="_____h9" localSheetId="0" hidden="1">{"'Sheet1'!$L$16"}</definedName>
    <definedName name="_____h9" localSheetId="1" hidden="1">{"'Sheet1'!$L$16"}</definedName>
    <definedName name="_____h9" localSheetId="11" hidden="1">{"'Sheet1'!$L$16"}</definedName>
    <definedName name="_____h9" hidden="1">{"'Sheet1'!$L$16"}</definedName>
    <definedName name="_____km190">#REF!</definedName>
    <definedName name="_____km191">#REF!</definedName>
    <definedName name="_____km192">#REF!</definedName>
    <definedName name="_____km196">#REF!</definedName>
    <definedName name="_____lap1">#REF!</definedName>
    <definedName name="_____lap2">#REF!</definedName>
    <definedName name="_____MAC12">#REF!</definedName>
    <definedName name="_____MAC46">#REF!</definedName>
    <definedName name="_____NET2">#REF!</definedName>
    <definedName name="_____NSO2" localSheetId="6" hidden="1">{"'Sheet1'!$L$16"}</definedName>
    <definedName name="_____NSO2" localSheetId="8" hidden="1">{"'Sheet1'!$L$16"}</definedName>
    <definedName name="_____NSO2" localSheetId="9" hidden="1">{"'Sheet1'!$L$16"}</definedName>
    <definedName name="_____NSO2" localSheetId="0" hidden="1">{"'Sheet1'!$L$16"}</definedName>
    <definedName name="_____NSO2" localSheetId="1" hidden="1">{"'Sheet1'!$L$16"}</definedName>
    <definedName name="_____NSO2" localSheetId="11" hidden="1">{"'Sheet1'!$L$16"}</definedName>
    <definedName name="_____NSO2" hidden="1">{"'Sheet1'!$L$16"}</definedName>
    <definedName name="_____PA3" localSheetId="6" hidden="1">{"'Sheet1'!$L$16"}</definedName>
    <definedName name="_____PA3" localSheetId="8" hidden="1">{"'Sheet1'!$L$16"}</definedName>
    <definedName name="_____PA3" localSheetId="9" hidden="1">{"'Sheet1'!$L$16"}</definedName>
    <definedName name="_____PA3" localSheetId="0" hidden="1">{"'Sheet1'!$L$16"}</definedName>
    <definedName name="_____PA3" localSheetId="1" hidden="1">{"'Sheet1'!$L$16"}</definedName>
    <definedName name="_____PA3" localSheetId="11" hidden="1">{"'Sheet1'!$L$16"}</definedName>
    <definedName name="_____PA3" hidden="1">{"'Sheet1'!$L$16"}</definedName>
    <definedName name="_____phi10">#REF!</definedName>
    <definedName name="_____phi12">#REF!</definedName>
    <definedName name="_____phi14">#REF!</definedName>
    <definedName name="_____phi16">#REF!</definedName>
    <definedName name="_____phi18">#REF!</definedName>
    <definedName name="_____phi20">#REF!</definedName>
    <definedName name="_____phi22">#REF!</definedName>
    <definedName name="_____phi25">#REF!</definedName>
    <definedName name="_____phi28">#REF!</definedName>
    <definedName name="_____phi6">#REF!</definedName>
    <definedName name="_____phi8">#REF!</definedName>
    <definedName name="_____PL1242">#REF!</definedName>
    <definedName name="_____sat10">#REF!</definedName>
    <definedName name="_____sat14">#REF!</definedName>
    <definedName name="_____sat16">#REF!</definedName>
    <definedName name="_____sat20">#REF!</definedName>
    <definedName name="_____sat8">#REF!</definedName>
    <definedName name="_____sc1">#REF!</definedName>
    <definedName name="_____SC2">#REF!</definedName>
    <definedName name="_____sc3">#REF!</definedName>
    <definedName name="_____slg1">#REF!</definedName>
    <definedName name="_____slg2">#REF!</definedName>
    <definedName name="_____slg3">#REF!</definedName>
    <definedName name="_____slg4">#REF!</definedName>
    <definedName name="_____slg5">#REF!</definedName>
    <definedName name="_____slg6">#REF!</definedName>
    <definedName name="_____TH1">#REF!</definedName>
    <definedName name="_____TH2">#REF!</definedName>
    <definedName name="_____TH3">#REF!</definedName>
    <definedName name="_____TK155">#REF!</definedName>
    <definedName name="_____TK422">#REF!</definedName>
    <definedName name="_____TL1">#REF!</definedName>
    <definedName name="_____TL2">#REF!</definedName>
    <definedName name="_____TLA120">#REF!</definedName>
    <definedName name="_____TLA35">#REF!</definedName>
    <definedName name="_____TLA50">#REF!</definedName>
    <definedName name="_____TLA70">#REF!</definedName>
    <definedName name="_____TLA95">#REF!</definedName>
    <definedName name="_____vl2" localSheetId="6" hidden="1">{"'Sheet1'!$L$16"}</definedName>
    <definedName name="_____vl2" localSheetId="8" hidden="1">{"'Sheet1'!$L$16"}</definedName>
    <definedName name="_____vl2" localSheetId="9" hidden="1">{"'Sheet1'!$L$16"}</definedName>
    <definedName name="_____vl2" localSheetId="0" hidden="1">{"'Sheet1'!$L$16"}</definedName>
    <definedName name="_____vl2" localSheetId="1" hidden="1">{"'Sheet1'!$L$16"}</definedName>
    <definedName name="_____vl2" localSheetId="11" hidden="1">{"'Sheet1'!$L$16"}</definedName>
    <definedName name="_____vl2" hidden="1">{"'Sheet1'!$L$16"}</definedName>
    <definedName name="____boi1">#REF!</definedName>
    <definedName name="____boi2">#REF!</definedName>
    <definedName name="____boi3">#REF!</definedName>
    <definedName name="____boi4">#REF!</definedName>
    <definedName name="____btm10">#REF!</definedName>
    <definedName name="____btm100">#REF!</definedName>
    <definedName name="____BTM250">#REF!</definedName>
    <definedName name="____btM300">#REF!</definedName>
    <definedName name="____cao1">#REF!</definedName>
    <definedName name="____cao2">#REF!</definedName>
    <definedName name="____cao3">#REF!</definedName>
    <definedName name="____cao4">#REF!</definedName>
    <definedName name="____cao5">#REF!</definedName>
    <definedName name="____cao6">#REF!</definedName>
    <definedName name="____CON1">#REF!</definedName>
    <definedName name="____CON2">#REF!</definedName>
    <definedName name="____dai1">#REF!</definedName>
    <definedName name="____dai2">#REF!</definedName>
    <definedName name="____dai3">#REF!</definedName>
    <definedName name="____dai4">#REF!</definedName>
    <definedName name="____dai5">#REF!</definedName>
    <definedName name="____dai6">#REF!</definedName>
    <definedName name="____dan1">#REF!</definedName>
    <definedName name="____dan2">#REF!</definedName>
    <definedName name="____ddn400">#REF!</definedName>
    <definedName name="____ddn600">#REF!</definedName>
    <definedName name="____gon4">#REF!</definedName>
    <definedName name="____h1" localSheetId="6" hidden="1">{"'Sheet1'!$L$16"}</definedName>
    <definedName name="____h1" localSheetId="8" hidden="1">{"'Sheet1'!$L$16"}</definedName>
    <definedName name="____h1" localSheetId="9" hidden="1">{"'Sheet1'!$L$16"}</definedName>
    <definedName name="____h1" localSheetId="0" hidden="1">{"'Sheet1'!$L$16"}</definedName>
    <definedName name="____h1" localSheetId="1" hidden="1">{"'Sheet1'!$L$16"}</definedName>
    <definedName name="____h1" localSheetId="11" hidden="1">{"'Sheet1'!$L$16"}</definedName>
    <definedName name="____h1" hidden="1">{"'Sheet1'!$L$16"}</definedName>
    <definedName name="____h10" localSheetId="6" hidden="1">{#N/A,#N/A,FALSE,"Chi tiÆt"}</definedName>
    <definedName name="____h10" localSheetId="8" hidden="1">{#N/A,#N/A,FALSE,"Chi tiÆt"}</definedName>
    <definedName name="____h10" localSheetId="9" hidden="1">{#N/A,#N/A,FALSE,"Chi tiÆt"}</definedName>
    <definedName name="____h10" localSheetId="0" hidden="1">{#N/A,#N/A,FALSE,"Chi tiÆt"}</definedName>
    <definedName name="____h10" localSheetId="1" hidden="1">{#N/A,#N/A,FALSE,"Chi tiÆt"}</definedName>
    <definedName name="____h10" localSheetId="11" hidden="1">{#N/A,#N/A,FALSE,"Chi tiÆt"}</definedName>
    <definedName name="____h10" hidden="1">{#N/A,#N/A,FALSE,"Chi tiÆt"}</definedName>
    <definedName name="____h2" localSheetId="6" hidden="1">{"'Sheet1'!$L$16"}</definedName>
    <definedName name="____h2" localSheetId="8" hidden="1">{"'Sheet1'!$L$16"}</definedName>
    <definedName name="____h2" localSheetId="9" hidden="1">{"'Sheet1'!$L$16"}</definedName>
    <definedName name="____h2" localSheetId="0" hidden="1">{"'Sheet1'!$L$16"}</definedName>
    <definedName name="____h2" localSheetId="1" hidden="1">{"'Sheet1'!$L$16"}</definedName>
    <definedName name="____h2" localSheetId="11" hidden="1">{"'Sheet1'!$L$16"}</definedName>
    <definedName name="____h2" hidden="1">{"'Sheet1'!$L$16"}</definedName>
    <definedName name="____h3" localSheetId="6" hidden="1">{"'Sheet1'!$L$16"}</definedName>
    <definedName name="____h3" localSheetId="8" hidden="1">{"'Sheet1'!$L$16"}</definedName>
    <definedName name="____h3" localSheetId="9" hidden="1">{"'Sheet1'!$L$16"}</definedName>
    <definedName name="____h3" localSheetId="0" hidden="1">{"'Sheet1'!$L$16"}</definedName>
    <definedName name="____h3" localSheetId="1" hidden="1">{"'Sheet1'!$L$16"}</definedName>
    <definedName name="____h3" localSheetId="11" hidden="1">{"'Sheet1'!$L$16"}</definedName>
    <definedName name="____h3" hidden="1">{"'Sheet1'!$L$16"}</definedName>
    <definedName name="____h5" localSheetId="6" hidden="1">{"'Sheet1'!$L$16"}</definedName>
    <definedName name="____h5" localSheetId="8" hidden="1">{"'Sheet1'!$L$16"}</definedName>
    <definedName name="____h5" localSheetId="9" hidden="1">{"'Sheet1'!$L$16"}</definedName>
    <definedName name="____h5" localSheetId="0" hidden="1">{"'Sheet1'!$L$16"}</definedName>
    <definedName name="____h5" localSheetId="1" hidden="1">{"'Sheet1'!$L$16"}</definedName>
    <definedName name="____h5" localSheetId="11" hidden="1">{"'Sheet1'!$L$16"}</definedName>
    <definedName name="____h5" hidden="1">{"'Sheet1'!$L$16"}</definedName>
    <definedName name="____h6" localSheetId="6" hidden="1">{"'Sheet1'!$L$16"}</definedName>
    <definedName name="____h6" localSheetId="8" hidden="1">{"'Sheet1'!$L$16"}</definedName>
    <definedName name="____h6" localSheetId="9" hidden="1">{"'Sheet1'!$L$16"}</definedName>
    <definedName name="____h6" localSheetId="0" hidden="1">{"'Sheet1'!$L$16"}</definedName>
    <definedName name="____h6" localSheetId="1" hidden="1">{"'Sheet1'!$L$16"}</definedName>
    <definedName name="____h6" localSheetId="11" hidden="1">{"'Sheet1'!$L$16"}</definedName>
    <definedName name="____h6" hidden="1">{"'Sheet1'!$L$16"}</definedName>
    <definedName name="____h7" localSheetId="6" hidden="1">{"'Sheet1'!$L$16"}</definedName>
    <definedName name="____h7" localSheetId="8" hidden="1">{"'Sheet1'!$L$16"}</definedName>
    <definedName name="____h7" localSheetId="9" hidden="1">{"'Sheet1'!$L$16"}</definedName>
    <definedName name="____h7" localSheetId="0" hidden="1">{"'Sheet1'!$L$16"}</definedName>
    <definedName name="____h7" localSheetId="1" hidden="1">{"'Sheet1'!$L$16"}</definedName>
    <definedName name="____h7" localSheetId="11" hidden="1">{"'Sheet1'!$L$16"}</definedName>
    <definedName name="____h7" hidden="1">{"'Sheet1'!$L$16"}</definedName>
    <definedName name="____h8" localSheetId="6" hidden="1">{"'Sheet1'!$L$16"}</definedName>
    <definedName name="____h8" localSheetId="8" hidden="1">{"'Sheet1'!$L$16"}</definedName>
    <definedName name="____h8" localSheetId="9" hidden="1">{"'Sheet1'!$L$16"}</definedName>
    <definedName name="____h8" localSheetId="0" hidden="1">{"'Sheet1'!$L$16"}</definedName>
    <definedName name="____h8" localSheetId="1" hidden="1">{"'Sheet1'!$L$16"}</definedName>
    <definedName name="____h8" localSheetId="11" hidden="1">{"'Sheet1'!$L$16"}</definedName>
    <definedName name="____h8" hidden="1">{"'Sheet1'!$L$16"}</definedName>
    <definedName name="____h9" localSheetId="6" hidden="1">{"'Sheet1'!$L$16"}</definedName>
    <definedName name="____h9" localSheetId="8" hidden="1">{"'Sheet1'!$L$16"}</definedName>
    <definedName name="____h9" localSheetId="9" hidden="1">{"'Sheet1'!$L$16"}</definedName>
    <definedName name="____h9" localSheetId="0" hidden="1">{"'Sheet1'!$L$16"}</definedName>
    <definedName name="____h9" localSheetId="1" hidden="1">{"'Sheet1'!$L$16"}</definedName>
    <definedName name="____h9" localSheetId="11" hidden="1">{"'Sheet1'!$L$16"}</definedName>
    <definedName name="____h9" hidden="1">{"'Sheet1'!$L$16"}</definedName>
    <definedName name="____hom2">#REF!</definedName>
    <definedName name="____KM188">#REF!</definedName>
    <definedName name="____km189">#REF!</definedName>
    <definedName name="____km190">#REF!</definedName>
    <definedName name="____km191">#REF!</definedName>
    <definedName name="____km192">#REF!</definedName>
    <definedName name="____km193">#REF!</definedName>
    <definedName name="____km194">#REF!</definedName>
    <definedName name="____km195">#REF!</definedName>
    <definedName name="____km197">#REF!</definedName>
    <definedName name="____km198">#REF!</definedName>
    <definedName name="____lap1">#REF!</definedName>
    <definedName name="____lap2">#REF!</definedName>
    <definedName name="____MAC12">#REF!</definedName>
    <definedName name="____MAC46">#REF!</definedName>
    <definedName name="____NCL100">#REF!</definedName>
    <definedName name="____NCL200">#REF!</definedName>
    <definedName name="____NCL250">#REF!</definedName>
    <definedName name="____NET2">#REF!</definedName>
    <definedName name="____nin190">#REF!</definedName>
    <definedName name="____NSO2" localSheetId="6" hidden="1">{"'Sheet1'!$L$16"}</definedName>
    <definedName name="____NSO2" localSheetId="8" hidden="1">{"'Sheet1'!$L$16"}</definedName>
    <definedName name="____NSO2" localSheetId="9" hidden="1">{"'Sheet1'!$L$16"}</definedName>
    <definedName name="____NSO2" localSheetId="0" hidden="1">{"'Sheet1'!$L$16"}</definedName>
    <definedName name="____NSO2" localSheetId="1" hidden="1">{"'Sheet1'!$L$16"}</definedName>
    <definedName name="____NSO2" localSheetId="11" hidden="1">{"'Sheet1'!$L$16"}</definedName>
    <definedName name="____NSO2" hidden="1">{"'Sheet1'!$L$16"}</definedName>
    <definedName name="____PA3" localSheetId="8" hidden="1">{"'Sheet1'!$L$16"}</definedName>
    <definedName name="____PA3" localSheetId="9" hidden="1">{"'Sheet1'!$L$16"}</definedName>
    <definedName name="____PA3" localSheetId="11" hidden="1">{"'Sheet1'!$L$16"}</definedName>
    <definedName name="____PA3" hidden="1">{"'Sheet1'!$L$16"}</definedName>
    <definedName name="____phi10">#REF!</definedName>
    <definedName name="____phi12">#REF!</definedName>
    <definedName name="____phi14">#REF!</definedName>
    <definedName name="____phi16">#REF!</definedName>
    <definedName name="____phi18">#REF!</definedName>
    <definedName name="____phi20">#REF!</definedName>
    <definedName name="____phi22">#REF!</definedName>
    <definedName name="____phi25">#REF!</definedName>
    <definedName name="____phi28">#REF!</definedName>
    <definedName name="____phi6">#REF!</definedName>
    <definedName name="____phi8">#REF!</definedName>
    <definedName name="____PL1242">#REF!</definedName>
    <definedName name="____sat10">#REF!</definedName>
    <definedName name="____sat14">#REF!</definedName>
    <definedName name="____sat16">#REF!</definedName>
    <definedName name="____sat20">#REF!</definedName>
    <definedName name="____sat8">#REF!</definedName>
    <definedName name="____sc1">#REF!</definedName>
    <definedName name="____SC2">#REF!</definedName>
    <definedName name="____sc3">#REF!</definedName>
    <definedName name="____slg1">#REF!</definedName>
    <definedName name="____slg2">#REF!</definedName>
    <definedName name="____slg3">#REF!</definedName>
    <definedName name="____slg4">#REF!</definedName>
    <definedName name="____slg5">#REF!</definedName>
    <definedName name="____slg6">#REF!</definedName>
    <definedName name="____SN3">#REF!</definedName>
    <definedName name="____sua20">#REF!</definedName>
    <definedName name="____sua30">#REF!</definedName>
    <definedName name="____TB1">#REF!</definedName>
    <definedName name="____TH1">#REF!</definedName>
    <definedName name="____TH2">#REF!</definedName>
    <definedName name="____TH3">#REF!</definedName>
    <definedName name="____TK155">#REF!</definedName>
    <definedName name="____TK422">#REF!</definedName>
    <definedName name="____TL1">#REF!</definedName>
    <definedName name="____TL2">#REF!</definedName>
    <definedName name="____TL3">#REF!</definedName>
    <definedName name="____TLA120">#REF!</definedName>
    <definedName name="____TLA35">#REF!</definedName>
    <definedName name="____TLA50">#REF!</definedName>
    <definedName name="____TLA70">#REF!</definedName>
    <definedName name="____TLA95">#REF!</definedName>
    <definedName name="____VL100">#REF!</definedName>
    <definedName name="____vl2" localSheetId="6" hidden="1">{"'Sheet1'!$L$16"}</definedName>
    <definedName name="____vl2" localSheetId="8" hidden="1">{"'Sheet1'!$L$16"}</definedName>
    <definedName name="____vl2" localSheetId="9" hidden="1">{"'Sheet1'!$L$16"}</definedName>
    <definedName name="____vl2" localSheetId="0" hidden="1">{"'Sheet1'!$L$16"}</definedName>
    <definedName name="____vl2" localSheetId="1" hidden="1">{"'Sheet1'!$L$16"}</definedName>
    <definedName name="____vl2" localSheetId="11" hidden="1">{"'Sheet1'!$L$16"}</definedName>
    <definedName name="____vl2" hidden="1">{"'Sheet1'!$L$16"}</definedName>
    <definedName name="____VL250">#REF!</definedName>
    <definedName name="___a1" localSheetId="6" hidden="1">{"'Sheet1'!$L$16"}</definedName>
    <definedName name="___a1" localSheetId="8" hidden="1">{"'Sheet1'!$L$16"}</definedName>
    <definedName name="___a1" localSheetId="9" hidden="1">{"'Sheet1'!$L$16"}</definedName>
    <definedName name="___a1" localSheetId="0" hidden="1">{"'Sheet1'!$L$16"}</definedName>
    <definedName name="___a1" localSheetId="1" hidden="1">{"'Sheet1'!$L$16"}</definedName>
    <definedName name="___a1" localSheetId="11" hidden="1">{"'Sheet1'!$L$16"}</definedName>
    <definedName name="___a1" hidden="1">{"'Sheet1'!$L$16"}</definedName>
    <definedName name="___boi1">#REF!</definedName>
    <definedName name="___boi2">#REF!</definedName>
    <definedName name="___boi3">#REF!</definedName>
    <definedName name="___boi4">#REF!</definedName>
    <definedName name="___btm10">#REF!</definedName>
    <definedName name="___btm100">#REF!</definedName>
    <definedName name="___BTM250">#REF!</definedName>
    <definedName name="___btM300">#REF!</definedName>
    <definedName name="___cao1">#REF!</definedName>
    <definedName name="___cao2">#REF!</definedName>
    <definedName name="___cao3">#REF!</definedName>
    <definedName name="___cao4">#REF!</definedName>
    <definedName name="___cao5">#REF!</definedName>
    <definedName name="___cao6">#REF!</definedName>
    <definedName name="___CON1">#REF!</definedName>
    <definedName name="___CON2">#REF!</definedName>
    <definedName name="___dai1">#REF!</definedName>
    <definedName name="___dai2">#REF!</definedName>
    <definedName name="___dai3">#REF!</definedName>
    <definedName name="___dai4">#REF!</definedName>
    <definedName name="___dai5">#REF!</definedName>
    <definedName name="___dai6">#REF!</definedName>
    <definedName name="___dan1">#REF!</definedName>
    <definedName name="___dan2">#REF!</definedName>
    <definedName name="___ddn400">#REF!</definedName>
    <definedName name="___ddn600">#REF!</definedName>
    <definedName name="___gon4">#REF!</definedName>
    <definedName name="___h1" localSheetId="6" hidden="1">{"'Sheet1'!$L$16"}</definedName>
    <definedName name="___h1" localSheetId="8" hidden="1">{"'Sheet1'!$L$16"}</definedName>
    <definedName name="___h1" localSheetId="9" hidden="1">{"'Sheet1'!$L$16"}</definedName>
    <definedName name="___h1" localSheetId="0" hidden="1">{"'Sheet1'!$L$16"}</definedName>
    <definedName name="___h1" localSheetId="1" hidden="1">{"'Sheet1'!$L$16"}</definedName>
    <definedName name="___h1" localSheetId="11" hidden="1">{"'Sheet1'!$L$16"}</definedName>
    <definedName name="___h1" hidden="1">{"'Sheet1'!$L$16"}</definedName>
    <definedName name="___h10" localSheetId="6" hidden="1">{#N/A,#N/A,FALSE,"Chi tiÆt"}</definedName>
    <definedName name="___h10" localSheetId="8" hidden="1">{#N/A,#N/A,FALSE,"Chi tiÆt"}</definedName>
    <definedName name="___h10" localSheetId="9" hidden="1">{#N/A,#N/A,FALSE,"Chi tiÆt"}</definedName>
    <definedName name="___h10" localSheetId="0" hidden="1">{#N/A,#N/A,FALSE,"Chi tiÆt"}</definedName>
    <definedName name="___h10" localSheetId="1" hidden="1">{#N/A,#N/A,FALSE,"Chi tiÆt"}</definedName>
    <definedName name="___h10" localSheetId="11" hidden="1">{#N/A,#N/A,FALSE,"Chi tiÆt"}</definedName>
    <definedName name="___h10" hidden="1">{#N/A,#N/A,FALSE,"Chi tiÆt"}</definedName>
    <definedName name="___h2" localSheetId="6" hidden="1">{"'Sheet1'!$L$16"}</definedName>
    <definedName name="___h2" localSheetId="8" hidden="1">{"'Sheet1'!$L$16"}</definedName>
    <definedName name="___h2" localSheetId="9" hidden="1">{"'Sheet1'!$L$16"}</definedName>
    <definedName name="___h2" localSheetId="0" hidden="1">{"'Sheet1'!$L$16"}</definedName>
    <definedName name="___h2" localSheetId="1" hidden="1">{"'Sheet1'!$L$16"}</definedName>
    <definedName name="___h2" localSheetId="11" hidden="1">{"'Sheet1'!$L$16"}</definedName>
    <definedName name="___h2" hidden="1">{"'Sheet1'!$L$16"}</definedName>
    <definedName name="___h3" localSheetId="6" hidden="1">{"'Sheet1'!$L$16"}</definedName>
    <definedName name="___h3" localSheetId="8" hidden="1">{"'Sheet1'!$L$16"}</definedName>
    <definedName name="___h3" localSheetId="9" hidden="1">{"'Sheet1'!$L$16"}</definedName>
    <definedName name="___h3" localSheetId="0" hidden="1">{"'Sheet1'!$L$16"}</definedName>
    <definedName name="___h3" localSheetId="1" hidden="1">{"'Sheet1'!$L$16"}</definedName>
    <definedName name="___h3" localSheetId="11" hidden="1">{"'Sheet1'!$L$16"}</definedName>
    <definedName name="___h3" hidden="1">{"'Sheet1'!$L$16"}</definedName>
    <definedName name="___h5" localSheetId="6" hidden="1">{"'Sheet1'!$L$16"}</definedName>
    <definedName name="___h5" localSheetId="8" hidden="1">{"'Sheet1'!$L$16"}</definedName>
    <definedName name="___h5" localSheetId="9" hidden="1">{"'Sheet1'!$L$16"}</definedName>
    <definedName name="___h5" localSheetId="0" hidden="1">{"'Sheet1'!$L$16"}</definedName>
    <definedName name="___h5" localSheetId="1" hidden="1">{"'Sheet1'!$L$16"}</definedName>
    <definedName name="___h5" localSheetId="11" hidden="1">{"'Sheet1'!$L$16"}</definedName>
    <definedName name="___h5" hidden="1">{"'Sheet1'!$L$16"}</definedName>
    <definedName name="___h6" localSheetId="6" hidden="1">{"'Sheet1'!$L$16"}</definedName>
    <definedName name="___h6" localSheetId="8" hidden="1">{"'Sheet1'!$L$16"}</definedName>
    <definedName name="___h6" localSheetId="9" hidden="1">{"'Sheet1'!$L$16"}</definedName>
    <definedName name="___h6" localSheetId="0" hidden="1">{"'Sheet1'!$L$16"}</definedName>
    <definedName name="___h6" localSheetId="1" hidden="1">{"'Sheet1'!$L$16"}</definedName>
    <definedName name="___h6" localSheetId="11" hidden="1">{"'Sheet1'!$L$16"}</definedName>
    <definedName name="___h6" hidden="1">{"'Sheet1'!$L$16"}</definedName>
    <definedName name="___h7" localSheetId="6" hidden="1">{"'Sheet1'!$L$16"}</definedName>
    <definedName name="___h7" localSheetId="8" hidden="1">{"'Sheet1'!$L$16"}</definedName>
    <definedName name="___h7" localSheetId="9" hidden="1">{"'Sheet1'!$L$16"}</definedName>
    <definedName name="___h7" localSheetId="0" hidden="1">{"'Sheet1'!$L$16"}</definedName>
    <definedName name="___h7" localSheetId="1" hidden="1">{"'Sheet1'!$L$16"}</definedName>
    <definedName name="___h7" localSheetId="11" hidden="1">{"'Sheet1'!$L$16"}</definedName>
    <definedName name="___h7" hidden="1">{"'Sheet1'!$L$16"}</definedName>
    <definedName name="___h8" localSheetId="6" hidden="1">{"'Sheet1'!$L$16"}</definedName>
    <definedName name="___h8" localSheetId="8" hidden="1">{"'Sheet1'!$L$16"}</definedName>
    <definedName name="___h8" localSheetId="9" hidden="1">{"'Sheet1'!$L$16"}</definedName>
    <definedName name="___h8" localSheetId="0" hidden="1">{"'Sheet1'!$L$16"}</definedName>
    <definedName name="___h8" localSheetId="1" hidden="1">{"'Sheet1'!$L$16"}</definedName>
    <definedName name="___h8" localSheetId="11" hidden="1">{"'Sheet1'!$L$16"}</definedName>
    <definedName name="___h8" hidden="1">{"'Sheet1'!$L$16"}</definedName>
    <definedName name="___h9" localSheetId="6" hidden="1">{"'Sheet1'!$L$16"}</definedName>
    <definedName name="___h9" localSheetId="8" hidden="1">{"'Sheet1'!$L$16"}</definedName>
    <definedName name="___h9" localSheetId="9" hidden="1">{"'Sheet1'!$L$16"}</definedName>
    <definedName name="___h9" localSheetId="0" hidden="1">{"'Sheet1'!$L$16"}</definedName>
    <definedName name="___h9" localSheetId="1" hidden="1">{"'Sheet1'!$L$16"}</definedName>
    <definedName name="___h9" localSheetId="11" hidden="1">{"'Sheet1'!$L$16"}</definedName>
    <definedName name="___h9" hidden="1">{"'Sheet1'!$L$16"}</definedName>
    <definedName name="___hom2">#REF!</definedName>
    <definedName name="___KM188">#REF!</definedName>
    <definedName name="___km189">#REF!</definedName>
    <definedName name="___km190">#REF!</definedName>
    <definedName name="___km191">#REF!</definedName>
    <definedName name="___km192">#REF!</definedName>
    <definedName name="___km193">#REF!</definedName>
    <definedName name="___km194">#REF!</definedName>
    <definedName name="___km195">#REF!</definedName>
    <definedName name="___km196">#REF!</definedName>
    <definedName name="___km197">#REF!</definedName>
    <definedName name="___km198">#REF!</definedName>
    <definedName name="___lap1">#REF!</definedName>
    <definedName name="___lap2">#REF!</definedName>
    <definedName name="___MAC12">#REF!</definedName>
    <definedName name="___MAC46">#REF!</definedName>
    <definedName name="___NCL100">#REF!</definedName>
    <definedName name="___NCL200">#REF!</definedName>
    <definedName name="___NCL250">#REF!</definedName>
    <definedName name="___NET2">#REF!</definedName>
    <definedName name="___nin190">#REF!</definedName>
    <definedName name="___NSO2" localSheetId="6" hidden="1">{"'Sheet1'!$L$16"}</definedName>
    <definedName name="___NSO2" localSheetId="8" hidden="1">{"'Sheet1'!$L$16"}</definedName>
    <definedName name="___NSO2" localSheetId="9" hidden="1">{"'Sheet1'!$L$16"}</definedName>
    <definedName name="___NSO2" localSheetId="0" hidden="1">{"'Sheet1'!$L$16"}</definedName>
    <definedName name="___NSO2" localSheetId="1" hidden="1">{"'Sheet1'!$L$16"}</definedName>
    <definedName name="___NSO2" localSheetId="11" hidden="1">{"'Sheet1'!$L$16"}</definedName>
    <definedName name="___NSO2" hidden="1">{"'Sheet1'!$L$16"}</definedName>
    <definedName name="___PA3" localSheetId="6" hidden="1">{"'Sheet1'!$L$16"}</definedName>
    <definedName name="___PA3" localSheetId="8" hidden="1">{"'Sheet1'!$L$16"}</definedName>
    <definedName name="___PA3" localSheetId="9" hidden="1">{"'Sheet1'!$L$16"}</definedName>
    <definedName name="___PA3" localSheetId="0" hidden="1">{"'Sheet1'!$L$16"}</definedName>
    <definedName name="___PA3" localSheetId="1" hidden="1">{"'Sheet1'!$L$16"}</definedName>
    <definedName name="___PA3" localSheetId="11" hidden="1">{"'Sheet1'!$L$16"}</definedName>
    <definedName name="___PA3" hidden="1">{"'Sheet1'!$L$16"}</definedName>
    <definedName name="___phi10">#REF!</definedName>
    <definedName name="___phi12">#REF!</definedName>
    <definedName name="___phi14">#REF!</definedName>
    <definedName name="___phi16">#REF!</definedName>
    <definedName name="___phi18">#REF!</definedName>
    <definedName name="___phi20">#REF!</definedName>
    <definedName name="___phi22">#REF!</definedName>
    <definedName name="___phi25">#REF!</definedName>
    <definedName name="___phi28">#REF!</definedName>
    <definedName name="___phi6">#REF!</definedName>
    <definedName name="___phi8">#REF!</definedName>
    <definedName name="___PL1242">#REF!</definedName>
    <definedName name="___sat10">#REF!</definedName>
    <definedName name="___sat14">#REF!</definedName>
    <definedName name="___sat16">#REF!</definedName>
    <definedName name="___sat20">#REF!</definedName>
    <definedName name="___sat8">#REF!</definedName>
    <definedName name="___sc1">#REF!</definedName>
    <definedName name="___SC2">#REF!</definedName>
    <definedName name="___sc3">#REF!</definedName>
    <definedName name="___slg1">#REF!</definedName>
    <definedName name="___slg2">#REF!</definedName>
    <definedName name="___slg3">#REF!</definedName>
    <definedName name="___slg4">#REF!</definedName>
    <definedName name="___slg5">#REF!</definedName>
    <definedName name="___slg6">#REF!</definedName>
    <definedName name="___SN3">#REF!</definedName>
    <definedName name="___sua20">#REF!</definedName>
    <definedName name="___sua30">#REF!</definedName>
    <definedName name="___TB1">#REF!</definedName>
    <definedName name="___TH1">#REF!</definedName>
    <definedName name="___TH2">#REF!</definedName>
    <definedName name="___TH3">#REF!</definedName>
    <definedName name="___TK155">#REF!</definedName>
    <definedName name="___TK422">#REF!</definedName>
    <definedName name="___TL1">#REF!</definedName>
    <definedName name="___TL2">#REF!</definedName>
    <definedName name="___TL3">#REF!</definedName>
    <definedName name="___TLA120">#REF!</definedName>
    <definedName name="___TLA35">#REF!</definedName>
    <definedName name="___TLA50">#REF!</definedName>
    <definedName name="___TLA70">#REF!</definedName>
    <definedName name="___TLA95">#REF!</definedName>
    <definedName name="___VL100">#REF!</definedName>
    <definedName name="___vl2" localSheetId="6" hidden="1">{"'Sheet1'!$L$16"}</definedName>
    <definedName name="___vl2" localSheetId="8" hidden="1">{"'Sheet1'!$L$16"}</definedName>
    <definedName name="___vl2" localSheetId="9" hidden="1">{"'Sheet1'!$L$16"}</definedName>
    <definedName name="___vl2" localSheetId="0" hidden="1">{"'Sheet1'!$L$16"}</definedName>
    <definedName name="___vl2" localSheetId="1" hidden="1">{"'Sheet1'!$L$16"}</definedName>
    <definedName name="___vl2" localSheetId="11" hidden="1">{"'Sheet1'!$L$16"}</definedName>
    <definedName name="___vl2" hidden="1">{"'Sheet1'!$L$16"}</definedName>
    <definedName name="___VL250">#REF!</definedName>
    <definedName name="__a1" localSheetId="6" hidden="1">{"'Sheet1'!$L$16"}</definedName>
    <definedName name="__a1" localSheetId="8" hidden="1">{"'Sheet1'!$L$16"}</definedName>
    <definedName name="__a1" localSheetId="9" hidden="1">{"'Sheet1'!$L$16"}</definedName>
    <definedName name="__a1" localSheetId="0" hidden="1">{"'Sheet1'!$L$16"}</definedName>
    <definedName name="__a1" localSheetId="1" hidden="1">{"'Sheet1'!$L$16"}</definedName>
    <definedName name="__a1" localSheetId="11" hidden="1">{"'Sheet1'!$L$16"}</definedName>
    <definedName name="__a1" hidden="1">{"'Sheet1'!$L$16"}</definedName>
    <definedName name="__boi1">#REF!</definedName>
    <definedName name="__boi2">#REF!</definedName>
    <definedName name="__boi3">#REF!</definedName>
    <definedName name="__boi4">#REF!</definedName>
    <definedName name="__btm10">#REF!</definedName>
    <definedName name="__btm100">#REF!</definedName>
    <definedName name="__BTM250">#REF!</definedName>
    <definedName name="__btM300">#REF!</definedName>
    <definedName name="__cao1">#REF!</definedName>
    <definedName name="__cao2">#REF!</definedName>
    <definedName name="__cao3">#REF!</definedName>
    <definedName name="__cao4">#REF!</definedName>
    <definedName name="__cao5">#REF!</definedName>
    <definedName name="__cao6">#REF!</definedName>
    <definedName name="__CON1">#REF!</definedName>
    <definedName name="__CON2">#REF!</definedName>
    <definedName name="__dai1">#REF!</definedName>
    <definedName name="__dai2">#REF!</definedName>
    <definedName name="__dai3">#REF!</definedName>
    <definedName name="__dai4">#REF!</definedName>
    <definedName name="__dai5">#REF!</definedName>
    <definedName name="__dai6">#REF!</definedName>
    <definedName name="__dan1">#REF!</definedName>
    <definedName name="__dan2">#REF!</definedName>
    <definedName name="__ddn400">#REF!</definedName>
    <definedName name="__ddn600">#REF!</definedName>
    <definedName name="__gon4">#REF!</definedName>
    <definedName name="__h1" localSheetId="6" hidden="1">{"'Sheet1'!$L$16"}</definedName>
    <definedName name="__h1" localSheetId="8" hidden="1">{"'Sheet1'!$L$16"}</definedName>
    <definedName name="__h1" localSheetId="9" hidden="1">{"'Sheet1'!$L$16"}</definedName>
    <definedName name="__h1" localSheetId="0" hidden="1">{"'Sheet1'!$L$16"}</definedName>
    <definedName name="__h1" localSheetId="1" hidden="1">{"'Sheet1'!$L$16"}</definedName>
    <definedName name="__h1" localSheetId="11" hidden="1">{"'Sheet1'!$L$16"}</definedName>
    <definedName name="__h1" hidden="1">{"'Sheet1'!$L$16"}</definedName>
    <definedName name="__h10" localSheetId="6" hidden="1">{#N/A,#N/A,FALSE,"Chi tiÆt"}</definedName>
    <definedName name="__h10" localSheetId="8" hidden="1">{#N/A,#N/A,FALSE,"Chi tiÆt"}</definedName>
    <definedName name="__h10" localSheetId="9" hidden="1">{#N/A,#N/A,FALSE,"Chi tiÆt"}</definedName>
    <definedName name="__h10" localSheetId="0" hidden="1">{#N/A,#N/A,FALSE,"Chi tiÆt"}</definedName>
    <definedName name="__h10" localSheetId="1" hidden="1">{#N/A,#N/A,FALSE,"Chi tiÆt"}</definedName>
    <definedName name="__h10" localSheetId="11" hidden="1">{#N/A,#N/A,FALSE,"Chi tiÆt"}</definedName>
    <definedName name="__h10" hidden="1">{#N/A,#N/A,FALSE,"Chi tiÆt"}</definedName>
    <definedName name="__h2" localSheetId="6" hidden="1">{"'Sheet1'!$L$16"}</definedName>
    <definedName name="__h2" localSheetId="8" hidden="1">{"'Sheet1'!$L$16"}</definedName>
    <definedName name="__h2" localSheetId="9" hidden="1">{"'Sheet1'!$L$16"}</definedName>
    <definedName name="__h2" localSheetId="0" hidden="1">{"'Sheet1'!$L$16"}</definedName>
    <definedName name="__h2" localSheetId="1" hidden="1">{"'Sheet1'!$L$16"}</definedName>
    <definedName name="__h2" localSheetId="11" hidden="1">{"'Sheet1'!$L$16"}</definedName>
    <definedName name="__h2" hidden="1">{"'Sheet1'!$L$16"}</definedName>
    <definedName name="__h3" localSheetId="6" hidden="1">{"'Sheet1'!$L$16"}</definedName>
    <definedName name="__h3" localSheetId="8" hidden="1">{"'Sheet1'!$L$16"}</definedName>
    <definedName name="__h3" localSheetId="9" hidden="1">{"'Sheet1'!$L$16"}</definedName>
    <definedName name="__h3" localSheetId="0" hidden="1">{"'Sheet1'!$L$16"}</definedName>
    <definedName name="__h3" localSheetId="1" hidden="1">{"'Sheet1'!$L$16"}</definedName>
    <definedName name="__h3" localSheetId="11" hidden="1">{"'Sheet1'!$L$16"}</definedName>
    <definedName name="__h3" hidden="1">{"'Sheet1'!$L$16"}</definedName>
    <definedName name="__h5" localSheetId="6" hidden="1">{"'Sheet1'!$L$16"}</definedName>
    <definedName name="__h5" localSheetId="8" hidden="1">{"'Sheet1'!$L$16"}</definedName>
    <definedName name="__h5" localSheetId="9" hidden="1">{"'Sheet1'!$L$16"}</definedName>
    <definedName name="__h5" localSheetId="0" hidden="1">{"'Sheet1'!$L$16"}</definedName>
    <definedName name="__h5" localSheetId="1" hidden="1">{"'Sheet1'!$L$16"}</definedName>
    <definedName name="__h5" localSheetId="11" hidden="1">{"'Sheet1'!$L$16"}</definedName>
    <definedName name="__h5" hidden="1">{"'Sheet1'!$L$16"}</definedName>
    <definedName name="__h6" localSheetId="6" hidden="1">{"'Sheet1'!$L$16"}</definedName>
    <definedName name="__h6" localSheetId="8" hidden="1">{"'Sheet1'!$L$16"}</definedName>
    <definedName name="__h6" localSheetId="9" hidden="1">{"'Sheet1'!$L$16"}</definedName>
    <definedName name="__h6" localSheetId="0" hidden="1">{"'Sheet1'!$L$16"}</definedName>
    <definedName name="__h6" localSheetId="1" hidden="1">{"'Sheet1'!$L$16"}</definedName>
    <definedName name="__h6" localSheetId="11" hidden="1">{"'Sheet1'!$L$16"}</definedName>
    <definedName name="__h6" hidden="1">{"'Sheet1'!$L$16"}</definedName>
    <definedName name="__h7" localSheetId="6" hidden="1">{"'Sheet1'!$L$16"}</definedName>
    <definedName name="__h7" localSheetId="8" hidden="1">{"'Sheet1'!$L$16"}</definedName>
    <definedName name="__h7" localSheetId="9" hidden="1">{"'Sheet1'!$L$16"}</definedName>
    <definedName name="__h7" localSheetId="0" hidden="1">{"'Sheet1'!$L$16"}</definedName>
    <definedName name="__h7" localSheetId="1" hidden="1">{"'Sheet1'!$L$16"}</definedName>
    <definedName name="__h7" localSheetId="11" hidden="1">{"'Sheet1'!$L$16"}</definedName>
    <definedName name="__h7" hidden="1">{"'Sheet1'!$L$16"}</definedName>
    <definedName name="__h8" localSheetId="6" hidden="1">{"'Sheet1'!$L$16"}</definedName>
    <definedName name="__h8" localSheetId="8" hidden="1">{"'Sheet1'!$L$16"}</definedName>
    <definedName name="__h8" localSheetId="9" hidden="1">{"'Sheet1'!$L$16"}</definedName>
    <definedName name="__h8" localSheetId="0" hidden="1">{"'Sheet1'!$L$16"}</definedName>
    <definedName name="__h8" localSheetId="1" hidden="1">{"'Sheet1'!$L$16"}</definedName>
    <definedName name="__h8" localSheetId="11" hidden="1">{"'Sheet1'!$L$16"}</definedName>
    <definedName name="__h8" hidden="1">{"'Sheet1'!$L$16"}</definedName>
    <definedName name="__h9" localSheetId="6" hidden="1">{"'Sheet1'!$L$16"}</definedName>
    <definedName name="__h9" localSheetId="8" hidden="1">{"'Sheet1'!$L$16"}</definedName>
    <definedName name="__h9" localSheetId="9" hidden="1">{"'Sheet1'!$L$16"}</definedName>
    <definedName name="__h9" localSheetId="0" hidden="1">{"'Sheet1'!$L$16"}</definedName>
    <definedName name="__h9" localSheetId="1" hidden="1">{"'Sheet1'!$L$16"}</definedName>
    <definedName name="__h9" localSheetId="11" hidden="1">{"'Sheet1'!$L$16"}</definedName>
    <definedName name="__h9" hidden="1">{"'Sheet1'!$L$16"}</definedName>
    <definedName name="__hom2">#REF!</definedName>
    <definedName name="__KM188">#REF!</definedName>
    <definedName name="__km189">#REF!</definedName>
    <definedName name="__km190">#REF!</definedName>
    <definedName name="__km191">#REF!</definedName>
    <definedName name="__km192">#REF!</definedName>
    <definedName name="__km193">#REF!</definedName>
    <definedName name="__km194">#REF!</definedName>
    <definedName name="__km195">#REF!</definedName>
    <definedName name="__km196">#REF!</definedName>
    <definedName name="__km197">#REF!</definedName>
    <definedName name="__km198">#REF!</definedName>
    <definedName name="__Lan1" localSheetId="8" hidden="1">{"'Sheet1'!$L$16"}</definedName>
    <definedName name="__Lan1" localSheetId="9" hidden="1">{"'Sheet1'!$L$16"}</definedName>
    <definedName name="__Lan1" localSheetId="11" hidden="1">{"'Sheet1'!$L$16"}</definedName>
    <definedName name="__Lan1" hidden="1">{"'Sheet1'!$L$16"}</definedName>
    <definedName name="__LAN3" localSheetId="8" hidden="1">{"'Sheet1'!$L$16"}</definedName>
    <definedName name="__LAN3" localSheetId="9" hidden="1">{"'Sheet1'!$L$16"}</definedName>
    <definedName name="__LAN3" localSheetId="11" hidden="1">{"'Sheet1'!$L$16"}</definedName>
    <definedName name="__LAN3" hidden="1">{"'Sheet1'!$L$16"}</definedName>
    <definedName name="__lap1">#REF!</definedName>
    <definedName name="__lap2">#REF!</definedName>
    <definedName name="__MAC12">#REF!</definedName>
    <definedName name="__MAC46">#REF!</definedName>
    <definedName name="__NCL100">#REF!</definedName>
    <definedName name="__NCL200">#REF!</definedName>
    <definedName name="__NCL250">#REF!</definedName>
    <definedName name="__NET2">#REF!</definedName>
    <definedName name="__nin190">#REF!</definedName>
    <definedName name="__NSO2" localSheetId="6" hidden="1">{"'Sheet1'!$L$16"}</definedName>
    <definedName name="__NSO2" localSheetId="8" hidden="1">{"'Sheet1'!$L$16"}</definedName>
    <definedName name="__NSO2" localSheetId="9" hidden="1">{"'Sheet1'!$L$16"}</definedName>
    <definedName name="__NSO2" localSheetId="0" hidden="1">{"'Sheet1'!$L$16"}</definedName>
    <definedName name="__NSO2" localSheetId="1" hidden="1">{"'Sheet1'!$L$16"}</definedName>
    <definedName name="__NSO2" localSheetId="11" hidden="1">{"'Sheet1'!$L$16"}</definedName>
    <definedName name="__NSO2" hidden="1">{"'Sheet1'!$L$16"}</definedName>
    <definedName name="__PA3" localSheetId="6" hidden="1">{"'Sheet1'!$L$16"}</definedName>
    <definedName name="__PA3" localSheetId="8" hidden="1">{"'Sheet1'!$L$16"}</definedName>
    <definedName name="__PA3" localSheetId="9" hidden="1">{"'Sheet1'!$L$16"}</definedName>
    <definedName name="__PA3" localSheetId="0" hidden="1">{"'Sheet1'!$L$16"}</definedName>
    <definedName name="__PA3" localSheetId="1" hidden="1">{"'Sheet1'!$L$16"}</definedName>
    <definedName name="__PA3" localSheetId="11" hidden="1">{"'Sheet1'!$L$16"}</definedName>
    <definedName name="__PA3" hidden="1">{"'Sheet1'!$L$16"}</definedName>
    <definedName name="__phi10">#REF!</definedName>
    <definedName name="__phi12">#REF!</definedName>
    <definedName name="__phi14">#REF!</definedName>
    <definedName name="__phi16">#REF!</definedName>
    <definedName name="__phi18">#REF!</definedName>
    <definedName name="__phi20">#REF!</definedName>
    <definedName name="__phi22">#REF!</definedName>
    <definedName name="__phi25">#REF!</definedName>
    <definedName name="__phi28">#REF!</definedName>
    <definedName name="__phi6">#REF!</definedName>
    <definedName name="__phi8">#REF!</definedName>
    <definedName name="__PL1242">#REF!</definedName>
    <definedName name="__sat10">#REF!</definedName>
    <definedName name="__sat14">#REF!</definedName>
    <definedName name="__sat16">#REF!</definedName>
    <definedName name="__sat20">#REF!</definedName>
    <definedName name="__sat8">#REF!</definedName>
    <definedName name="__sc1">#REF!</definedName>
    <definedName name="__SC2">#REF!</definedName>
    <definedName name="__sc3">#REF!</definedName>
    <definedName name="__slg1">#REF!</definedName>
    <definedName name="__slg2">#REF!</definedName>
    <definedName name="__slg3">#REF!</definedName>
    <definedName name="__slg4">#REF!</definedName>
    <definedName name="__slg5">#REF!</definedName>
    <definedName name="__slg6">#REF!</definedName>
    <definedName name="__SN3">#REF!</definedName>
    <definedName name="__sua20">#REF!</definedName>
    <definedName name="__sua30">#REF!</definedName>
    <definedName name="__TB1">#REF!</definedName>
    <definedName name="__TH1">#REF!</definedName>
    <definedName name="__TH2">#REF!</definedName>
    <definedName name="__TH3">#REF!</definedName>
    <definedName name="__TK155">#REF!</definedName>
    <definedName name="__TK422">#REF!</definedName>
    <definedName name="__TL1">#REF!</definedName>
    <definedName name="__TL2">#REF!</definedName>
    <definedName name="__TL3">#REF!</definedName>
    <definedName name="__TLA120">#REF!</definedName>
    <definedName name="__TLA35">#REF!</definedName>
    <definedName name="__TLA50">#REF!</definedName>
    <definedName name="__TLA70">#REF!</definedName>
    <definedName name="__TLA95">#REF!</definedName>
    <definedName name="__tt3" localSheetId="8" hidden="1">{"'Sheet1'!$L$16"}</definedName>
    <definedName name="__tt3" localSheetId="9" hidden="1">{"'Sheet1'!$L$16"}</definedName>
    <definedName name="__tt3" localSheetId="11" hidden="1">{"'Sheet1'!$L$16"}</definedName>
    <definedName name="__tt3" hidden="1">{"'Sheet1'!$L$16"}</definedName>
    <definedName name="__TT31" localSheetId="8" hidden="1">{"'Sheet1'!$L$16"}</definedName>
    <definedName name="__TT31" localSheetId="9" hidden="1">{"'Sheet1'!$L$16"}</definedName>
    <definedName name="__TT31" localSheetId="11" hidden="1">{"'Sheet1'!$L$16"}</definedName>
    <definedName name="__TT31" hidden="1">{"'Sheet1'!$L$16"}</definedName>
    <definedName name="__VL100">#REF!</definedName>
    <definedName name="__vl2" localSheetId="6" hidden="1">{"'Sheet1'!$L$16"}</definedName>
    <definedName name="__vl2" localSheetId="8" hidden="1">{"'Sheet1'!$L$16"}</definedName>
    <definedName name="__vl2" localSheetId="9" hidden="1">{"'Sheet1'!$L$16"}</definedName>
    <definedName name="__vl2" localSheetId="0" hidden="1">{"'Sheet1'!$L$16"}</definedName>
    <definedName name="__vl2" localSheetId="1" hidden="1">{"'Sheet1'!$L$16"}</definedName>
    <definedName name="__vl2" localSheetId="11" hidden="1">{"'Sheet1'!$L$16"}</definedName>
    <definedName name="__vl2" hidden="1">{"'Sheet1'!$L$16"}</definedName>
    <definedName name="__VL250">#REF!</definedName>
    <definedName name="_1">#REF!</definedName>
    <definedName name="_1000A01">#N/A</definedName>
    <definedName name="_1BA2500" localSheetId="0">#REF!</definedName>
    <definedName name="_1BA2500" localSheetId="1">#REF!</definedName>
    <definedName name="_1BA2500" localSheetId="11">#REF!</definedName>
    <definedName name="_1BA2500">#REF!</definedName>
    <definedName name="_1BA3250" localSheetId="0">#REF!</definedName>
    <definedName name="_1BA3250" localSheetId="1">#REF!</definedName>
    <definedName name="_1BA3250" localSheetId="11">#REF!</definedName>
    <definedName name="_1BA3250">#REF!</definedName>
    <definedName name="_1BA400P" localSheetId="0">#REF!</definedName>
    <definedName name="_1BA400P" localSheetId="1">#REF!</definedName>
    <definedName name="_1BA400P" localSheetId="11">#REF!</definedName>
    <definedName name="_1BA400P">#REF!</definedName>
    <definedName name="_1CAP001">#REF!</definedName>
    <definedName name="_1DAU002">#REF!</definedName>
    <definedName name="_1DDAY03">#REF!</definedName>
    <definedName name="_1DDTT01">#REF!</definedName>
    <definedName name="_1FCO101">#REF!</definedName>
    <definedName name="_1GIA101">#REF!</definedName>
    <definedName name="_1LA1001">#REF!</definedName>
    <definedName name="_1MCCBO2">#REF!</definedName>
    <definedName name="_1PKCAP1">#REF!</definedName>
    <definedName name="_1PKTT01">#REF!</definedName>
    <definedName name="_1TCD101">#REF!</definedName>
    <definedName name="_1TCD201">#REF!</definedName>
    <definedName name="_1TD2001">#REF!</definedName>
    <definedName name="_1TIHT01">#REF!</definedName>
    <definedName name="_1TRU121">#REF!</definedName>
    <definedName name="_2">#REF!</definedName>
    <definedName name="_2BLA100">#REF!</definedName>
    <definedName name="_2DAL201">#REF!</definedName>
    <definedName name="_3BLXMD">#REF!</definedName>
    <definedName name="_3TU0609">#REF!</definedName>
    <definedName name="_40x4">5100</definedName>
    <definedName name="_413565">"hdong+Sheet1!$A$2:$J$24263!$A$13374"</definedName>
    <definedName name="_4CNT240" localSheetId="0">#REF!</definedName>
    <definedName name="_4CNT240" localSheetId="1">#REF!</definedName>
    <definedName name="_4CNT240" localSheetId="11">#REF!</definedName>
    <definedName name="_4CNT240">#REF!</definedName>
    <definedName name="_4CTL240" localSheetId="0">#REF!</definedName>
    <definedName name="_4CTL240" localSheetId="1">#REF!</definedName>
    <definedName name="_4CTL240" localSheetId="11">#REF!</definedName>
    <definedName name="_4CTL240">#REF!</definedName>
    <definedName name="_4FCO100" localSheetId="0">#REF!</definedName>
    <definedName name="_4FCO100" localSheetId="1">#REF!</definedName>
    <definedName name="_4FCO100" localSheetId="11">#REF!</definedName>
    <definedName name="_4FCO100">#REF!</definedName>
    <definedName name="_4HDCTT4">#REF!</definedName>
    <definedName name="_4HNCTT4">#REF!</definedName>
    <definedName name="_4LBCO01">#REF!</definedName>
    <definedName name="_a1" localSheetId="6" hidden="1">{"'Sheet1'!$L$16"}</definedName>
    <definedName name="_a1" localSheetId="8" hidden="1">{"'Sheet1'!$L$16"}</definedName>
    <definedName name="_a1" localSheetId="9" hidden="1">{"'Sheet1'!$L$16"}</definedName>
    <definedName name="_a1" localSheetId="0" hidden="1">{"'Sheet1'!$L$16"}</definedName>
    <definedName name="_a1" localSheetId="1" hidden="1">{"'Sheet1'!$L$16"}</definedName>
    <definedName name="_a1" localSheetId="11" hidden="1">{"'Sheet1'!$L$16"}</definedName>
    <definedName name="_a1" hidden="1">{"'Sheet1'!$L$16"}</definedName>
    <definedName name="_a129" localSheetId="6" hidden="1">{"Offgrid",#N/A,FALSE,"OFFGRID";"Region",#N/A,FALSE,"REGION";"Offgrid -2",#N/A,FALSE,"OFFGRID";"WTP",#N/A,FALSE,"WTP";"WTP -2",#N/A,FALSE,"WTP";"Project",#N/A,FALSE,"PROJECT";"Summary -2",#N/A,FALSE,"SUMMARY"}</definedName>
    <definedName name="_a129" localSheetId="8" hidden="1">{"Offgrid",#N/A,FALSE,"OFFGRID";"Region",#N/A,FALSE,"REGION";"Offgrid -2",#N/A,FALSE,"OFFGRID";"WTP",#N/A,FALSE,"WTP";"WTP -2",#N/A,FALSE,"WTP";"Project",#N/A,FALSE,"PROJECT";"Summary -2",#N/A,FALSE,"SUMMARY"}</definedName>
    <definedName name="_a129" localSheetId="9" hidden="1">{"Offgrid",#N/A,FALSE,"OFFGRID";"Region",#N/A,FALSE,"REGION";"Offgrid -2",#N/A,FALSE,"OFFGRID";"WTP",#N/A,FALSE,"WTP";"WTP -2",#N/A,FALSE,"WTP";"Project",#N/A,FALSE,"PROJECT";"Summary -2",#N/A,FALSE,"SUMMARY"}</definedName>
    <definedName name="_a129" localSheetId="0" hidden="1">{"Offgrid",#N/A,FALSE,"OFFGRID";"Region",#N/A,FALSE,"REGION";"Offgrid -2",#N/A,FALSE,"OFFGRID";"WTP",#N/A,FALSE,"WTP";"WTP -2",#N/A,FALSE,"WTP";"Project",#N/A,FALSE,"PROJECT";"Summary -2",#N/A,FALSE,"SUMMARY"}</definedName>
    <definedName name="_a129" localSheetId="1" hidden="1">{"Offgrid",#N/A,FALSE,"OFFGRID";"Region",#N/A,FALSE,"REGION";"Offgrid -2",#N/A,FALSE,"OFFGRID";"WTP",#N/A,FALSE,"WTP";"WTP -2",#N/A,FALSE,"WTP";"Project",#N/A,FALSE,"PROJECT";"Summary -2",#N/A,FALSE,"SUMMARY"}</definedName>
    <definedName name="_a129" localSheetId="11" hidden="1">{"Offgrid",#N/A,FALSE,"OFFGRID";"Region",#N/A,FALSE,"REGION";"Offgrid -2",#N/A,FALSE,"OFFGRID";"WTP",#N/A,FALSE,"WTP";"WTP -2",#N/A,FALSE,"WTP";"Project",#N/A,FALSE,"PROJECT";"Summary -2",#N/A,FALSE,"SUMMARY"}</definedName>
    <definedName name="_a129" hidden="1">{"Offgrid",#N/A,FALSE,"OFFGRID";"Region",#N/A,FALSE,"REGION";"Offgrid -2",#N/A,FALSE,"OFFGRID";"WTP",#N/A,FALSE,"WTP";"WTP -2",#N/A,FALSE,"WTP";"Project",#N/A,FALSE,"PROJECT";"Summary -2",#N/A,FALSE,"SUMMARY"}</definedName>
    <definedName name="_a130" localSheetId="6" hidden="1">{"Offgrid",#N/A,FALSE,"OFFGRID";"Region",#N/A,FALSE,"REGION";"Offgrid -2",#N/A,FALSE,"OFFGRID";"WTP",#N/A,FALSE,"WTP";"WTP -2",#N/A,FALSE,"WTP";"Project",#N/A,FALSE,"PROJECT";"Summary -2",#N/A,FALSE,"SUMMARY"}</definedName>
    <definedName name="_a130" localSheetId="8" hidden="1">{"Offgrid",#N/A,FALSE,"OFFGRID";"Region",#N/A,FALSE,"REGION";"Offgrid -2",#N/A,FALSE,"OFFGRID";"WTP",#N/A,FALSE,"WTP";"WTP -2",#N/A,FALSE,"WTP";"Project",#N/A,FALSE,"PROJECT";"Summary -2",#N/A,FALSE,"SUMMARY"}</definedName>
    <definedName name="_a130" localSheetId="9" hidden="1">{"Offgrid",#N/A,FALSE,"OFFGRID";"Region",#N/A,FALSE,"REGION";"Offgrid -2",#N/A,FALSE,"OFFGRID";"WTP",#N/A,FALSE,"WTP";"WTP -2",#N/A,FALSE,"WTP";"Project",#N/A,FALSE,"PROJECT";"Summary -2",#N/A,FALSE,"SUMMARY"}</definedName>
    <definedName name="_a130" localSheetId="0" hidden="1">{"Offgrid",#N/A,FALSE,"OFFGRID";"Region",#N/A,FALSE,"REGION";"Offgrid -2",#N/A,FALSE,"OFFGRID";"WTP",#N/A,FALSE,"WTP";"WTP -2",#N/A,FALSE,"WTP";"Project",#N/A,FALSE,"PROJECT";"Summary -2",#N/A,FALSE,"SUMMARY"}</definedName>
    <definedName name="_a130" localSheetId="1" hidden="1">{"Offgrid",#N/A,FALSE,"OFFGRID";"Region",#N/A,FALSE,"REGION";"Offgrid -2",#N/A,FALSE,"OFFGRID";"WTP",#N/A,FALSE,"WTP";"WTP -2",#N/A,FALSE,"WTP";"Project",#N/A,FALSE,"PROJECT";"Summary -2",#N/A,FALSE,"SUMMARY"}</definedName>
    <definedName name="_a130" localSheetId="11" hidden="1">{"Offgrid",#N/A,FALSE,"OFFGRID";"Region",#N/A,FALSE,"REGION";"Offgrid -2",#N/A,FALSE,"OFFGRID";"WTP",#N/A,FALSE,"WTP";"WTP -2",#N/A,FALSE,"WTP";"Project",#N/A,FALSE,"PROJECT";"Summary -2",#N/A,FALSE,"SUMMARY"}</definedName>
    <definedName name="_a130" hidden="1">{"Offgrid",#N/A,FALSE,"OFFGRID";"Region",#N/A,FALSE,"REGION";"Offgrid -2",#N/A,FALSE,"OFFGRID";"WTP",#N/A,FALSE,"WTP";"WTP -2",#N/A,FALSE,"WTP";"Project",#N/A,FALSE,"PROJECT";"Summary -2",#N/A,FALSE,"SUMMARY"}</definedName>
    <definedName name="_ban2" localSheetId="8" hidden="1">{"'Sheet1'!$L$16"}</definedName>
    <definedName name="_ban2" localSheetId="9" hidden="1">{"'Sheet1'!$L$16"}</definedName>
    <definedName name="_ban2" localSheetId="11" hidden="1">{"'Sheet1'!$L$16"}</definedName>
    <definedName name="_ban2" hidden="1">{"'Sheet1'!$L$16"}</definedName>
    <definedName name="_boi1">#REF!</definedName>
    <definedName name="_boi2">#REF!</definedName>
    <definedName name="_boi3">#REF!</definedName>
    <definedName name="_boi4">#REF!</definedName>
    <definedName name="_btm10">#REF!</definedName>
    <definedName name="_btm100">#REF!</definedName>
    <definedName name="_BTM250">#REF!</definedName>
    <definedName name="_btM300">#REF!</definedName>
    <definedName name="_cao1">#REF!</definedName>
    <definedName name="_cao2">#REF!</definedName>
    <definedName name="_cao3">#REF!</definedName>
    <definedName name="_cao4">#REF!</definedName>
    <definedName name="_cao5">#REF!</definedName>
    <definedName name="_cao6">#REF!</definedName>
    <definedName name="_cep1" localSheetId="8" hidden="1">{"'Sheet1'!$L$16"}</definedName>
    <definedName name="_cep1" localSheetId="9" hidden="1">{"'Sheet1'!$L$16"}</definedName>
    <definedName name="_cep1" localSheetId="11" hidden="1">{"'Sheet1'!$L$16"}</definedName>
    <definedName name="_cep1" hidden="1">{"'Sheet1'!$L$16"}</definedName>
    <definedName name="_CN1" localSheetId="6" hidden="1">{"'Sheet1'!$L$16"}</definedName>
    <definedName name="_CN1" localSheetId="8" hidden="1">{"'Sheet1'!$L$16"}</definedName>
    <definedName name="_CN1" localSheetId="9" hidden="1">{"'Sheet1'!$L$16"}</definedName>
    <definedName name="_CN1" localSheetId="0" hidden="1">{"'Sheet1'!$L$16"}</definedName>
    <definedName name="_CN1" localSheetId="1" hidden="1">{"'Sheet1'!$L$16"}</definedName>
    <definedName name="_CN1" localSheetId="11" hidden="1">{"'Sheet1'!$L$16"}</definedName>
    <definedName name="_CN1" hidden="1">{"'Sheet1'!$L$16"}</definedName>
    <definedName name="_Coc39" localSheetId="8" hidden="1">{"'Sheet1'!$L$16"}</definedName>
    <definedName name="_Coc39" localSheetId="9" hidden="1">{"'Sheet1'!$L$16"}</definedName>
    <definedName name="_Coc39" localSheetId="11" hidden="1">{"'Sheet1'!$L$16"}</definedName>
    <definedName name="_Coc39" hidden="1">{"'Sheet1'!$L$16"}</definedName>
    <definedName name="_CON1">#REF!</definedName>
    <definedName name="_CON2">#REF!</definedName>
    <definedName name="_CT250">'[1]dongia (2)'!#REF!</definedName>
    <definedName name="_CV1">[2]gvl!$N$17</definedName>
    <definedName name="_dai1" localSheetId="0">#REF!</definedName>
    <definedName name="_dai1" localSheetId="1">#REF!</definedName>
    <definedName name="_dai1" localSheetId="11">#REF!</definedName>
    <definedName name="_dai1">#REF!</definedName>
    <definedName name="_dai2" localSheetId="0">#REF!</definedName>
    <definedName name="_dai2" localSheetId="1">#REF!</definedName>
    <definedName name="_dai2" localSheetId="11">#REF!</definedName>
    <definedName name="_dai2">#REF!</definedName>
    <definedName name="_dai3" localSheetId="0">#REF!</definedName>
    <definedName name="_dai3" localSheetId="1">#REF!</definedName>
    <definedName name="_dai3" localSheetId="11">#REF!</definedName>
    <definedName name="_dai3">#REF!</definedName>
    <definedName name="_dai4">#REF!</definedName>
    <definedName name="_dai5">#REF!</definedName>
    <definedName name="_dai6">#REF!</definedName>
    <definedName name="_dan1">#REF!</definedName>
    <definedName name="_dan2">#REF!</definedName>
    <definedName name="_ddn400">#REF!</definedName>
    <definedName name="_ddn600">#REF!</definedName>
    <definedName name="_Fill" hidden="1">#REF!</definedName>
    <definedName name="_xlnm._FilterDatabase" localSheetId="8" hidden="1">'05 UB'!$A$8:$Y$451</definedName>
    <definedName name="_xlnm._FilterDatabase" localSheetId="11" hidden="1">#REF!</definedName>
    <definedName name="_xlnm._FilterDatabase" hidden="1">#REF!</definedName>
    <definedName name="_Goi8" localSheetId="8" hidden="1">{"'Sheet1'!$L$16"}</definedName>
    <definedName name="_Goi8" localSheetId="9" hidden="1">{"'Sheet1'!$L$16"}</definedName>
    <definedName name="_Goi8" localSheetId="11" hidden="1">{"'Sheet1'!$L$16"}</definedName>
    <definedName name="_Goi8" hidden="1">{"'Sheet1'!$L$16"}</definedName>
    <definedName name="_gon4">#REF!</definedName>
    <definedName name="_h1" localSheetId="6" hidden="1">{"'Sheet1'!$L$16"}</definedName>
    <definedName name="_h1" localSheetId="8" hidden="1">{"'Sheet1'!$L$16"}</definedName>
    <definedName name="_h1" localSheetId="9" hidden="1">{"'Sheet1'!$L$16"}</definedName>
    <definedName name="_h1" localSheetId="0" hidden="1">{"'Sheet1'!$L$16"}</definedName>
    <definedName name="_h1" localSheetId="1" hidden="1">{"'Sheet1'!$L$16"}</definedName>
    <definedName name="_h1" localSheetId="11" hidden="1">{"'Sheet1'!$L$16"}</definedName>
    <definedName name="_h1" hidden="1">{"'Sheet1'!$L$16"}</definedName>
    <definedName name="_h10" localSheetId="6" hidden="1">{#N/A,#N/A,FALSE,"Chi tiÆt"}</definedName>
    <definedName name="_h10" localSheetId="8" hidden="1">{#N/A,#N/A,FALSE,"Chi tiÆt"}</definedName>
    <definedName name="_h10" localSheetId="9" hidden="1">{#N/A,#N/A,FALSE,"Chi tiÆt"}</definedName>
    <definedName name="_h10" localSheetId="0" hidden="1">{#N/A,#N/A,FALSE,"Chi tiÆt"}</definedName>
    <definedName name="_h10" localSheetId="1" hidden="1">{#N/A,#N/A,FALSE,"Chi tiÆt"}</definedName>
    <definedName name="_h10" localSheetId="11" hidden="1">{#N/A,#N/A,FALSE,"Chi tiÆt"}</definedName>
    <definedName name="_h10" hidden="1">{#N/A,#N/A,FALSE,"Chi tiÆt"}</definedName>
    <definedName name="_h2" localSheetId="6" hidden="1">{"'Sheet1'!$L$16"}</definedName>
    <definedName name="_h2" localSheetId="8" hidden="1">{"'Sheet1'!$L$16"}</definedName>
    <definedName name="_h2" localSheetId="9" hidden="1">{"'Sheet1'!$L$16"}</definedName>
    <definedName name="_h2" localSheetId="0" hidden="1">{"'Sheet1'!$L$16"}</definedName>
    <definedName name="_h2" localSheetId="1" hidden="1">{"'Sheet1'!$L$16"}</definedName>
    <definedName name="_h2" localSheetId="11" hidden="1">{"'Sheet1'!$L$16"}</definedName>
    <definedName name="_h2" hidden="1">{"'Sheet1'!$L$16"}</definedName>
    <definedName name="_h3" localSheetId="6" hidden="1">{"'Sheet1'!$L$16"}</definedName>
    <definedName name="_h3" localSheetId="8" hidden="1">{"'Sheet1'!$L$16"}</definedName>
    <definedName name="_h3" localSheetId="9" hidden="1">{"'Sheet1'!$L$16"}</definedName>
    <definedName name="_h3" localSheetId="0" hidden="1">{"'Sheet1'!$L$16"}</definedName>
    <definedName name="_h3" localSheetId="1" hidden="1">{"'Sheet1'!$L$16"}</definedName>
    <definedName name="_h3" localSheetId="11" hidden="1">{"'Sheet1'!$L$16"}</definedName>
    <definedName name="_h3" hidden="1">{"'Sheet1'!$L$16"}</definedName>
    <definedName name="_h5" localSheetId="6" hidden="1">{"'Sheet1'!$L$16"}</definedName>
    <definedName name="_h5" localSheetId="8" hidden="1">{"'Sheet1'!$L$16"}</definedName>
    <definedName name="_h5" localSheetId="9" hidden="1">{"'Sheet1'!$L$16"}</definedName>
    <definedName name="_h5" localSheetId="0" hidden="1">{"'Sheet1'!$L$16"}</definedName>
    <definedName name="_h5" localSheetId="1" hidden="1">{"'Sheet1'!$L$16"}</definedName>
    <definedName name="_h5" localSheetId="11" hidden="1">{"'Sheet1'!$L$16"}</definedName>
    <definedName name="_h5" hidden="1">{"'Sheet1'!$L$16"}</definedName>
    <definedName name="_h6" localSheetId="6" hidden="1">{"'Sheet1'!$L$16"}</definedName>
    <definedName name="_h6" localSheetId="8" hidden="1">{"'Sheet1'!$L$16"}</definedName>
    <definedName name="_h6" localSheetId="9" hidden="1">{"'Sheet1'!$L$16"}</definedName>
    <definedName name="_h6" localSheetId="0" hidden="1">{"'Sheet1'!$L$16"}</definedName>
    <definedName name="_h6" localSheetId="1" hidden="1">{"'Sheet1'!$L$16"}</definedName>
    <definedName name="_h6" localSheetId="11" hidden="1">{"'Sheet1'!$L$16"}</definedName>
    <definedName name="_h6" hidden="1">{"'Sheet1'!$L$16"}</definedName>
    <definedName name="_h7" localSheetId="6" hidden="1">{"'Sheet1'!$L$16"}</definedName>
    <definedName name="_h7" localSheetId="8" hidden="1">{"'Sheet1'!$L$16"}</definedName>
    <definedName name="_h7" localSheetId="9" hidden="1">{"'Sheet1'!$L$16"}</definedName>
    <definedName name="_h7" localSheetId="0" hidden="1">{"'Sheet1'!$L$16"}</definedName>
    <definedName name="_h7" localSheetId="1" hidden="1">{"'Sheet1'!$L$16"}</definedName>
    <definedName name="_h7" localSheetId="11" hidden="1">{"'Sheet1'!$L$16"}</definedName>
    <definedName name="_h7" hidden="1">{"'Sheet1'!$L$16"}</definedName>
    <definedName name="_h8" localSheetId="6" hidden="1">{"'Sheet1'!$L$16"}</definedName>
    <definedName name="_h8" localSheetId="8" hidden="1">{"'Sheet1'!$L$16"}</definedName>
    <definedName name="_h8" localSheetId="9" hidden="1">{"'Sheet1'!$L$16"}</definedName>
    <definedName name="_h8" localSheetId="0" hidden="1">{"'Sheet1'!$L$16"}</definedName>
    <definedName name="_h8" localSheetId="1" hidden="1">{"'Sheet1'!$L$16"}</definedName>
    <definedName name="_h8" localSheetId="11" hidden="1">{"'Sheet1'!$L$16"}</definedName>
    <definedName name="_h8" hidden="1">{"'Sheet1'!$L$16"}</definedName>
    <definedName name="_h9" localSheetId="6" hidden="1">{"'Sheet1'!$L$16"}</definedName>
    <definedName name="_h9" localSheetId="8" hidden="1">{"'Sheet1'!$L$16"}</definedName>
    <definedName name="_h9" localSheetId="9" hidden="1">{"'Sheet1'!$L$16"}</definedName>
    <definedName name="_h9" localSheetId="0" hidden="1">{"'Sheet1'!$L$16"}</definedName>
    <definedName name="_h9" localSheetId="1" hidden="1">{"'Sheet1'!$L$16"}</definedName>
    <definedName name="_h9" localSheetId="11" hidden="1">{"'Sheet1'!$L$16"}</definedName>
    <definedName name="_h9" hidden="1">{"'Sheet1'!$L$16"}</definedName>
    <definedName name="_hom2">#REF!</definedName>
    <definedName name="_hsm2">1.1289</definedName>
    <definedName name="_hu2" localSheetId="6" hidden="1">{"'Sheet1'!$L$16"}</definedName>
    <definedName name="_hu2" localSheetId="8" hidden="1">{"'Sheet1'!$L$16"}</definedName>
    <definedName name="_hu2" localSheetId="9" hidden="1">{"'Sheet1'!$L$16"}</definedName>
    <definedName name="_hu2" localSheetId="0" hidden="1">{"'Sheet1'!$L$16"}</definedName>
    <definedName name="_hu2" localSheetId="1" hidden="1">{"'Sheet1'!$L$16"}</definedName>
    <definedName name="_hu2" localSheetId="11" hidden="1">{"'Sheet1'!$L$16"}</definedName>
    <definedName name="_hu2" hidden="1">{"'Sheet1'!$L$16"}</definedName>
    <definedName name="_hu5" localSheetId="6" hidden="1">{"'Sheet1'!$L$16"}</definedName>
    <definedName name="_hu5" localSheetId="8" hidden="1">{"'Sheet1'!$L$16"}</definedName>
    <definedName name="_hu5" localSheetId="9" hidden="1">{"'Sheet1'!$L$16"}</definedName>
    <definedName name="_hu5" localSheetId="0" hidden="1">{"'Sheet1'!$L$16"}</definedName>
    <definedName name="_hu5" localSheetId="1" hidden="1">{"'Sheet1'!$L$16"}</definedName>
    <definedName name="_hu5" localSheetId="11" hidden="1">{"'Sheet1'!$L$16"}</definedName>
    <definedName name="_hu5" hidden="1">{"'Sheet1'!$L$16"}</definedName>
    <definedName name="_hu6" localSheetId="6" hidden="1">{"'Sheet1'!$L$16"}</definedName>
    <definedName name="_hu6" localSheetId="8" hidden="1">{"'Sheet1'!$L$16"}</definedName>
    <definedName name="_hu6" localSheetId="9" hidden="1">{"'Sheet1'!$L$16"}</definedName>
    <definedName name="_hu6" localSheetId="0" hidden="1">{"'Sheet1'!$L$16"}</definedName>
    <definedName name="_hu6" localSheetId="1" hidden="1">{"'Sheet1'!$L$16"}</definedName>
    <definedName name="_hu6" localSheetId="11" hidden="1">{"'Sheet1'!$L$16"}</definedName>
    <definedName name="_hu6" hidden="1">{"'Sheet1'!$L$16"}</definedName>
    <definedName name="_HUY1" localSheetId="8" hidden="1">{"'Sheet1'!$L$16"}</definedName>
    <definedName name="_HUY1" localSheetId="9" hidden="1">{"'Sheet1'!$L$16"}</definedName>
    <definedName name="_HUY1" localSheetId="11" hidden="1">{"'Sheet1'!$L$16"}</definedName>
    <definedName name="_HUY1" hidden="1">{"'Sheet1'!$L$16"}</definedName>
    <definedName name="_HUY2" localSheetId="8" hidden="1">{"'Sheet1'!$L$16"}</definedName>
    <definedName name="_HUY2" localSheetId="9" hidden="1">{"'Sheet1'!$L$16"}</definedName>
    <definedName name="_HUY2" localSheetId="11" hidden="1">{"'Sheet1'!$L$16"}</definedName>
    <definedName name="_HUY2" hidden="1">{"'Sheet1'!$L$16"}</definedName>
    <definedName name="_isc1">0.035</definedName>
    <definedName name="_isc2">0.02</definedName>
    <definedName name="_isc3">0.054</definedName>
    <definedName name="_Key1" localSheetId="0" hidden="1">#REF!</definedName>
    <definedName name="_Key1" localSheetId="1" hidden="1">#REF!</definedName>
    <definedName name="_Key1" localSheetId="11" hidden="1">#REF!</definedName>
    <definedName name="_Key1" hidden="1">#REF!</definedName>
    <definedName name="_Key2" localSheetId="0" hidden="1">#REF!</definedName>
    <definedName name="_Key2" localSheetId="1" hidden="1">#REF!</definedName>
    <definedName name="_Key2" localSheetId="11" hidden="1">#REF!</definedName>
    <definedName name="_Key2" hidden="1">#REF!</definedName>
    <definedName name="_KM188" localSheetId="0">#REF!</definedName>
    <definedName name="_KM188" localSheetId="1">#REF!</definedName>
    <definedName name="_KM188" localSheetId="11">#REF!</definedName>
    <definedName name="_KM188">#REF!</definedName>
    <definedName name="_km189">#REF!</definedName>
    <definedName name="_km190">#REF!</definedName>
    <definedName name="_km191">#REF!</definedName>
    <definedName name="_km192">#REF!</definedName>
    <definedName name="_km193">#REF!</definedName>
    <definedName name="_km194">#REF!</definedName>
    <definedName name="_km195">#REF!</definedName>
    <definedName name="_km196">#REF!</definedName>
    <definedName name="_km197">#REF!</definedName>
    <definedName name="_km198">#REF!</definedName>
    <definedName name="_Lan1" localSheetId="6" hidden="1">{"'Sheet1'!$L$16"}</definedName>
    <definedName name="_Lan1" localSheetId="8" hidden="1">{"'Sheet1'!$L$16"}</definedName>
    <definedName name="_Lan1" localSheetId="9" hidden="1">{"'Sheet1'!$L$16"}</definedName>
    <definedName name="_Lan1" localSheetId="0" hidden="1">{"'Sheet1'!$L$16"}</definedName>
    <definedName name="_Lan1" localSheetId="1" hidden="1">{"'Sheet1'!$L$16"}</definedName>
    <definedName name="_Lan1" localSheetId="11" hidden="1">{"'Sheet1'!$L$16"}</definedName>
    <definedName name="_Lan1" hidden="1">{"'Sheet1'!$L$16"}</definedName>
    <definedName name="_LAN3" localSheetId="6" hidden="1">{"'Sheet1'!$L$16"}</definedName>
    <definedName name="_LAN3" localSheetId="8" hidden="1">{"'Sheet1'!$L$16"}</definedName>
    <definedName name="_LAN3" localSheetId="9" hidden="1">{"'Sheet1'!$L$16"}</definedName>
    <definedName name="_LAN3" localSheetId="0" hidden="1">{"'Sheet1'!$L$16"}</definedName>
    <definedName name="_LAN3" localSheetId="1" hidden="1">{"'Sheet1'!$L$16"}</definedName>
    <definedName name="_LAN3" localSheetId="11" hidden="1">{"'Sheet1'!$L$16"}</definedName>
    <definedName name="_LAN3" hidden="1">{"'Sheet1'!$L$16"}</definedName>
    <definedName name="_lap1">#REF!</definedName>
    <definedName name="_lap2">#REF!</definedName>
    <definedName name="_lk2" localSheetId="8" hidden="1">{"'Sheet1'!$L$16"}</definedName>
    <definedName name="_lk2" localSheetId="9" hidden="1">{"'Sheet1'!$L$16"}</definedName>
    <definedName name="_lk2" localSheetId="11" hidden="1">{"'Sheet1'!$L$16"}</definedName>
    <definedName name="_lk2" hidden="1">{"'Sheet1'!$L$16"}</definedName>
    <definedName name="_MAC12">#REF!</definedName>
    <definedName name="_MAC46">#REF!</definedName>
    <definedName name="_n1">[3]COTTHEPMO!$J$6</definedName>
    <definedName name="_N1b2">[4]NhanCong!$G$9</definedName>
    <definedName name="_N1b3">[4]NhanCong!$G$19</definedName>
    <definedName name="_N1b4">[4]NhanCong!$G$29</definedName>
    <definedName name="_N1b5">[4]NhanCong!$G$39</definedName>
    <definedName name="_N1b6">[4]NhanCong!$G$49</definedName>
    <definedName name="_N1b7">[4]NhanCong!$G$59</definedName>
    <definedName name="_NCL100" localSheetId="0">#REF!</definedName>
    <definedName name="_NCL100" localSheetId="1">#REF!</definedName>
    <definedName name="_NCL100" localSheetId="11">#REF!</definedName>
    <definedName name="_NCL100">#REF!</definedName>
    <definedName name="_NCL200" localSheetId="0">#REF!</definedName>
    <definedName name="_NCL200" localSheetId="1">#REF!</definedName>
    <definedName name="_NCL200" localSheetId="11">#REF!</definedName>
    <definedName name="_NCL200">#REF!</definedName>
    <definedName name="_NCL250" localSheetId="0">#REF!</definedName>
    <definedName name="_NCL250" localSheetId="1">#REF!</definedName>
    <definedName name="_NCL250" localSheetId="11">#REF!</definedName>
    <definedName name="_NCL250">#REF!</definedName>
    <definedName name="_NET2">#REF!</definedName>
    <definedName name="_nga3">[2]gvl!$N$17</definedName>
    <definedName name="_nin190" localSheetId="0">#REF!</definedName>
    <definedName name="_nin190" localSheetId="1">#REF!</definedName>
    <definedName name="_nin190" localSheetId="11">#REF!</definedName>
    <definedName name="_nin190">#REF!</definedName>
    <definedName name="_NSO2" localSheetId="6" hidden="1">{"'Sheet1'!$L$16"}</definedName>
    <definedName name="_NSO2" localSheetId="8" hidden="1">{"'Sheet1'!$L$16"}</definedName>
    <definedName name="_NSO2" localSheetId="9" hidden="1">{"'Sheet1'!$L$16"}</definedName>
    <definedName name="_NSO2" localSheetId="0" hidden="1">{"'Sheet1'!$L$16"}</definedName>
    <definedName name="_NSO2" localSheetId="1" hidden="1">{"'Sheet1'!$L$16"}</definedName>
    <definedName name="_NSO2" localSheetId="11" hidden="1">{"'Sheet1'!$L$16"}</definedName>
    <definedName name="_NSO2" hidden="1">{"'Sheet1'!$L$16"}</definedName>
    <definedName name="_Order1" hidden="1">255</definedName>
    <definedName name="_Order2" hidden="1">255</definedName>
    <definedName name="_PA3" localSheetId="6" hidden="1">{"'Sheet1'!$L$16"}</definedName>
    <definedName name="_PA3" localSheetId="8" hidden="1">{"'Sheet1'!$L$16"}</definedName>
    <definedName name="_PA3" localSheetId="9" hidden="1">{"'Sheet1'!$L$16"}</definedName>
    <definedName name="_PA3" localSheetId="0" hidden="1">{"'Sheet1'!$L$16"}</definedName>
    <definedName name="_PA3" localSheetId="1" hidden="1">{"'Sheet1'!$L$16"}</definedName>
    <definedName name="_PA3" localSheetId="11" hidden="1">{"'Sheet1'!$L$16"}</definedName>
    <definedName name="_PA3" hidden="1">{"'Sheet1'!$L$16"}</definedName>
    <definedName name="_phi10">#REF!</definedName>
    <definedName name="_phi12">#REF!</definedName>
    <definedName name="_phi14">#REF!</definedName>
    <definedName name="_phi16">#REF!</definedName>
    <definedName name="_phi18">#REF!</definedName>
    <definedName name="_phi20">#REF!</definedName>
    <definedName name="_phi22">#REF!</definedName>
    <definedName name="_phi25">#REF!</definedName>
    <definedName name="_phi28">#REF!</definedName>
    <definedName name="_phi6">#REF!</definedName>
    <definedName name="_phi8">#REF!</definedName>
    <definedName name="_PL1242">#REF!</definedName>
    <definedName name="_Pl2" localSheetId="8" hidden="1">{"'Sheet1'!$L$16"}</definedName>
    <definedName name="_Pl2" localSheetId="9" hidden="1">{"'Sheet1'!$L$16"}</definedName>
    <definedName name="_Pl2" localSheetId="11" hidden="1">{"'Sheet1'!$L$16"}</definedName>
    <definedName name="_Pl2" hidden="1">{"'Sheet1'!$L$16"}</definedName>
    <definedName name="_sat10">#REF!</definedName>
    <definedName name="_sat14">#REF!</definedName>
    <definedName name="_sat16">#REF!</definedName>
    <definedName name="_sat20">#REF!</definedName>
    <definedName name="_sat8">#REF!</definedName>
    <definedName name="_sc1">#REF!</definedName>
    <definedName name="_SC2">#REF!</definedName>
    <definedName name="_sc3">#REF!</definedName>
    <definedName name="_slg1">#REF!</definedName>
    <definedName name="_slg2">#REF!</definedName>
    <definedName name="_slg3">#REF!</definedName>
    <definedName name="_slg4">#REF!</definedName>
    <definedName name="_slg5">#REF!</definedName>
    <definedName name="_slg6">#REF!</definedName>
    <definedName name="_SN3">#REF!</definedName>
    <definedName name="_SOC10">0.3456</definedName>
    <definedName name="_SOC8">0.2827</definedName>
    <definedName name="_Sort" localSheetId="0" hidden="1">#REF!</definedName>
    <definedName name="_Sort" localSheetId="1" hidden="1">#REF!</definedName>
    <definedName name="_Sort" localSheetId="11" hidden="1">#REF!</definedName>
    <definedName name="_Sort" hidden="1">#REF!</definedName>
    <definedName name="_Sta1">531.877</definedName>
    <definedName name="_Sta2">561.952</definedName>
    <definedName name="_Sta3">712.202</definedName>
    <definedName name="_Sta4">762.202</definedName>
    <definedName name="_sua20" localSheetId="0">#REF!</definedName>
    <definedName name="_sua20" localSheetId="1">#REF!</definedName>
    <definedName name="_sua20" localSheetId="11">#REF!</definedName>
    <definedName name="_sua20">#REF!</definedName>
    <definedName name="_sua30" localSheetId="0">#REF!</definedName>
    <definedName name="_sua30" localSheetId="1">#REF!</definedName>
    <definedName name="_sua30" localSheetId="11">#REF!</definedName>
    <definedName name="_sua30">#REF!</definedName>
    <definedName name="_TB1" localSheetId="0">#REF!</definedName>
    <definedName name="_TB1" localSheetId="1">#REF!</definedName>
    <definedName name="_TB1" localSheetId="11">#REF!</definedName>
    <definedName name="_TB1">#REF!</definedName>
    <definedName name="_tb2" localSheetId="8">BlankMacro1</definedName>
    <definedName name="_tb2" localSheetId="9">BlankMacro1</definedName>
    <definedName name="_tb2" localSheetId="11">BlankMacro1</definedName>
    <definedName name="_tb2">BlankMacro1</definedName>
    <definedName name="_TH1" localSheetId="0">#REF!</definedName>
    <definedName name="_TH1" localSheetId="1">#REF!</definedName>
    <definedName name="_TH1" localSheetId="11">#REF!</definedName>
    <definedName name="_TH1">#REF!</definedName>
    <definedName name="_TH2" localSheetId="0">#REF!</definedName>
    <definedName name="_TH2" localSheetId="1">#REF!</definedName>
    <definedName name="_TH2" localSheetId="11">#REF!</definedName>
    <definedName name="_TH2">#REF!</definedName>
    <definedName name="_TH3" localSheetId="0">#REF!</definedName>
    <definedName name="_TH3" localSheetId="1">#REF!</definedName>
    <definedName name="_TH3" localSheetId="11">#REF!</definedName>
    <definedName name="_TH3">#REF!</definedName>
    <definedName name="_TK155" localSheetId="8">#REF!</definedName>
    <definedName name="_TK155" localSheetId="9">#REF!</definedName>
    <definedName name="_TK155">#REF!</definedName>
    <definedName name="_TK422" localSheetId="8">#REF!</definedName>
    <definedName name="_TK422" localSheetId="9">#REF!</definedName>
    <definedName name="_TK422">#REF!</definedName>
    <definedName name="_TL1" localSheetId="8">#REF!</definedName>
    <definedName name="_TL1" localSheetId="9">#REF!</definedName>
    <definedName name="_TL1">#REF!</definedName>
    <definedName name="_TL2">#REF!</definedName>
    <definedName name="_TL3">#REF!</definedName>
    <definedName name="_TLA120">#REF!</definedName>
    <definedName name="_TLA35">#REF!</definedName>
    <definedName name="_TLA50">#REF!</definedName>
    <definedName name="_TLA70">#REF!</definedName>
    <definedName name="_TLA95">#REF!</definedName>
    <definedName name="_Tru21" localSheetId="8" hidden="1">{"'Sheet1'!$L$16"}</definedName>
    <definedName name="_Tru21" localSheetId="9" hidden="1">{"'Sheet1'!$L$16"}</definedName>
    <definedName name="_Tru21" localSheetId="11" hidden="1">{"'Sheet1'!$L$16"}</definedName>
    <definedName name="_Tru21" hidden="1">{"'Sheet1'!$L$16"}</definedName>
    <definedName name="_tt3" localSheetId="6" hidden="1">{"'Sheet1'!$L$16"}</definedName>
    <definedName name="_tt3" localSheetId="8" hidden="1">{"'Sheet1'!$L$16"}</definedName>
    <definedName name="_tt3" localSheetId="9" hidden="1">{"'Sheet1'!$L$16"}</definedName>
    <definedName name="_tt3" localSheetId="0" hidden="1">{"'Sheet1'!$L$16"}</definedName>
    <definedName name="_tt3" localSheetId="1" hidden="1">{"'Sheet1'!$L$16"}</definedName>
    <definedName name="_tt3" localSheetId="11" hidden="1">{"'Sheet1'!$L$16"}</definedName>
    <definedName name="_tt3" hidden="1">{"'Sheet1'!$L$16"}</definedName>
    <definedName name="_TT31" localSheetId="6" hidden="1">{"'Sheet1'!$L$16"}</definedName>
    <definedName name="_TT31" localSheetId="8" hidden="1">{"'Sheet1'!$L$16"}</definedName>
    <definedName name="_TT31" localSheetId="9" hidden="1">{"'Sheet1'!$L$16"}</definedName>
    <definedName name="_TT31" localSheetId="0" hidden="1">{"'Sheet1'!$L$16"}</definedName>
    <definedName name="_TT31" localSheetId="1" hidden="1">{"'Sheet1'!$L$16"}</definedName>
    <definedName name="_TT31" localSheetId="11" hidden="1">{"'Sheet1'!$L$16"}</definedName>
    <definedName name="_TT31" hidden="1">{"'Sheet1'!$L$16"}</definedName>
    <definedName name="_VL100">#REF!</definedName>
    <definedName name="_vl2" localSheetId="6" hidden="1">{"'Sheet1'!$L$16"}</definedName>
    <definedName name="_vl2" localSheetId="8" hidden="1">{"'Sheet1'!$L$16"}</definedName>
    <definedName name="_vl2" localSheetId="9" hidden="1">{"'Sheet1'!$L$16"}</definedName>
    <definedName name="_vl2" localSheetId="0" hidden="1">{"'Sheet1'!$L$16"}</definedName>
    <definedName name="_vl2" localSheetId="1" hidden="1">{"'Sheet1'!$L$16"}</definedName>
    <definedName name="_vl2" localSheetId="11" hidden="1">{"'Sheet1'!$L$16"}</definedName>
    <definedName name="_vl2" hidden="1">{"'Sheet1'!$L$16"}</definedName>
    <definedName name="_VL250">#REF!</definedName>
    <definedName name="_VM2" localSheetId="8" hidden="1">{"'Sheet1'!$L$16"}</definedName>
    <definedName name="_VM2" localSheetId="9" hidden="1">{"'Sheet1'!$L$16"}</definedName>
    <definedName name="_VM2" localSheetId="11" hidden="1">{"'Sheet1'!$L$16"}</definedName>
    <definedName name="_VM2" hidden="1">{"'Sheet1'!$L$16"}</definedName>
    <definedName name="â" localSheetId="8" hidden="1">{"'Sheet1'!$L$16"}</definedName>
    <definedName name="â" localSheetId="9" hidden="1">{"'Sheet1'!$L$16"}</definedName>
    <definedName name="â" localSheetId="11" hidden="1">{"'Sheet1'!$L$16"}</definedName>
    <definedName name="â" hidden="1">{"'Sheet1'!$L$16"}</definedName>
    <definedName name="A01_">#N/A</definedName>
    <definedName name="A01AC">#N/A</definedName>
    <definedName name="A01CAT">#N/A</definedName>
    <definedName name="A01CODE">#N/A</definedName>
    <definedName name="A01DATA">#N/A</definedName>
    <definedName name="A01MI">#N/A</definedName>
    <definedName name="A01TO">#N/A</definedName>
    <definedName name="A120_" localSheetId="0">#REF!</definedName>
    <definedName name="A120_" localSheetId="1">#REF!</definedName>
    <definedName name="A120_" localSheetId="11">#REF!</definedName>
    <definedName name="A120_">#REF!</definedName>
    <definedName name="a277Print_Titles" localSheetId="0">#REF!</definedName>
    <definedName name="a277Print_Titles" localSheetId="1">#REF!</definedName>
    <definedName name="a277Print_Titles" localSheetId="11">#REF!</definedName>
    <definedName name="a277Print_Titles">#REF!</definedName>
    <definedName name="A35_" localSheetId="0">#REF!</definedName>
    <definedName name="A35_" localSheetId="1">#REF!</definedName>
    <definedName name="A35_" localSheetId="11">#REF!</definedName>
    <definedName name="A35_">#REF!</definedName>
    <definedName name="A50_">#REF!</definedName>
    <definedName name="A6N2">#REF!</definedName>
    <definedName name="A6N3">#REF!</definedName>
    <definedName name="A70_">#REF!</definedName>
    <definedName name="A95_">#REF!</definedName>
    <definedName name="aa">#REF!</definedName>
    <definedName name="abc">#REF!</definedName>
    <definedName name="AC120_">#REF!</definedName>
    <definedName name="AC35_">#REF!</definedName>
    <definedName name="AC50_">#REF!</definedName>
    <definedName name="AC70_">#REF!</definedName>
    <definedName name="AC95_">#REF!</definedName>
    <definedName name="acb">[2]gvl!$N$38</definedName>
    <definedName name="ADADADD" localSheetId="6" hidden="1">{"'Sheet1'!$L$16"}</definedName>
    <definedName name="ADADADD" localSheetId="8" hidden="1">{"'Sheet1'!$L$16"}</definedName>
    <definedName name="ADADADD" localSheetId="9" hidden="1">{"'Sheet1'!$L$16"}</definedName>
    <definedName name="ADADADD" localSheetId="0" hidden="1">{"'Sheet1'!$L$16"}</definedName>
    <definedName name="ADADADD" localSheetId="1" hidden="1">{"'Sheet1'!$L$16"}</definedName>
    <definedName name="ADADADD" localSheetId="11" hidden="1">{"'Sheet1'!$L$16"}</definedName>
    <definedName name="ADADADD" hidden="1">{"'Sheet1'!$L$16"}</definedName>
    <definedName name="ADAY">#REF!</definedName>
    <definedName name="âdf" localSheetId="8">{"Book5","sæ quü.xls","Dù to¸n x©y dùng nhµ s¶n xuÊt.xls","Than.xls","TiÕn ®é s¶n xuÊt - Th¸ng 9.xls"}</definedName>
    <definedName name="âdf" localSheetId="9">{"Book5","sæ quü.xls","Dù to¸n x©y dùng nhµ s¶n xuÊt.xls","Than.xls","TiÕn ®é s¶n xuÊt - Th¸ng 9.xls"}</definedName>
    <definedName name="âdf" localSheetId="11">{"Book5","sæ quü.xls","Dù to¸n x©y dùng nhµ s¶n xuÊt.xls","Than.xls","TiÕn ®é s¶n xuÊt - Th¸ng 9.xls"}</definedName>
    <definedName name="âdf">{"Book5","sæ quü.xls","Dù to¸n x©y dùng nhµ s¶n xuÊt.xls","Than.xls","TiÕn ®é s¶n xuÊt - Th¸ng 9.xls"}</definedName>
    <definedName name="ADP" localSheetId="0">#REF!</definedName>
    <definedName name="ADP" localSheetId="1">#REF!</definedName>
    <definedName name="ADP" localSheetId="11">#REF!</definedName>
    <definedName name="ADP">#REF!</definedName>
    <definedName name="AKHAC" localSheetId="0">#REF!</definedName>
    <definedName name="AKHAC" localSheetId="1">#REF!</definedName>
    <definedName name="AKHAC" localSheetId="11">#REF!</definedName>
    <definedName name="AKHAC">#REF!</definedName>
    <definedName name="All_Item" localSheetId="0">#REF!</definedName>
    <definedName name="All_Item" localSheetId="1">#REF!</definedName>
    <definedName name="All_Item" localSheetId="11">#REF!</definedName>
    <definedName name="All_Item">#REF!</definedName>
    <definedName name="ALPIN">#N/A</definedName>
    <definedName name="ALPJYOU">#N/A</definedName>
    <definedName name="ALPTOI">#N/A</definedName>
    <definedName name="ALTINH" localSheetId="0">#REF!</definedName>
    <definedName name="ALTINH" localSheetId="1">#REF!</definedName>
    <definedName name="ALTINH" localSheetId="11">#REF!</definedName>
    <definedName name="ALTINH">#REF!</definedName>
    <definedName name="Anguon" localSheetId="0">#REF!</definedName>
    <definedName name="Anguon" localSheetId="1">#REF!</definedName>
    <definedName name="Anguon" localSheetId="11">#REF!</definedName>
    <definedName name="Anguon">#REF!</definedName>
    <definedName name="ANN" localSheetId="0">#REF!</definedName>
    <definedName name="ANN" localSheetId="1">#REF!</definedName>
    <definedName name="ANN" localSheetId="11">#REF!</definedName>
    <definedName name="ANN">#REF!</definedName>
    <definedName name="anpha">#REF!</definedName>
    <definedName name="ANQD">#REF!</definedName>
    <definedName name="ANQQH">#REF!</definedName>
    <definedName name="anscount" hidden="1">3</definedName>
    <definedName name="ANSNN" localSheetId="0">#REF!</definedName>
    <definedName name="ANSNN" localSheetId="1">#REF!</definedName>
    <definedName name="ANSNN" localSheetId="11">#REF!</definedName>
    <definedName name="ANSNN">#REF!</definedName>
    <definedName name="ANSNNxnk" localSheetId="0">#REF!</definedName>
    <definedName name="ANSNNxnk" localSheetId="1">#REF!</definedName>
    <definedName name="ANSNNxnk" localSheetId="11">#REF!</definedName>
    <definedName name="ANSNNxnk">#REF!</definedName>
    <definedName name="APC" localSheetId="0">#REF!</definedName>
    <definedName name="APC" localSheetId="1">#REF!</definedName>
    <definedName name="APC" localSheetId="11">#REF!</definedName>
    <definedName name="APC">#REF!</definedName>
    <definedName name="asega" localSheetId="8">{"Thuxm2.xls","Sheet1"}</definedName>
    <definedName name="asega" localSheetId="9">{"Thuxm2.xls","Sheet1"}</definedName>
    <definedName name="asega" localSheetId="11">{"Thuxm2.xls","Sheet1"}</definedName>
    <definedName name="asega">{"Thuxm2.xls","Sheet1"}</definedName>
    <definedName name="ATGT" localSheetId="8" hidden="1">{"'Sheet1'!$L$16"}</definedName>
    <definedName name="ATGT" localSheetId="9" hidden="1">{"'Sheet1'!$L$16"}</definedName>
    <definedName name="ATGT" localSheetId="11" hidden="1">{"'Sheet1'!$L$16"}</definedName>
    <definedName name="ATGT" hidden="1">{"'Sheet1'!$L$16"}</definedName>
    <definedName name="ATRAM">#REF!</definedName>
    <definedName name="ATW">#REF!</definedName>
    <definedName name="B.nuamat">7.25</definedName>
    <definedName name="b_240">#REF!</definedName>
    <definedName name="b_280">#REF!</definedName>
    <definedName name="b_320">#REF!</definedName>
    <definedName name="BANG_CHI_TIET_THI_NGHIEM_CONG_TO">#REF!</definedName>
    <definedName name="BANG_CHI_TIET_THI_NGHIEM_DZ0.4KV">#REF!</definedName>
    <definedName name="Bang_cly">#REF!</definedName>
    <definedName name="Bang_CVC">#REF!</definedName>
    <definedName name="bang_gia">#REF!</definedName>
    <definedName name="BANG_TONG_HOP_CONG_TO">#REF!</definedName>
    <definedName name="BANG_TONG_HOP_DZ0.4KV">#REF!</definedName>
    <definedName name="BANG_TONG_HOP_DZ22KV">#REF!</definedName>
    <definedName name="BANG_TONG_HOP_KHO_BAI">#REF!</definedName>
    <definedName name="BANG_TONG_HOP_TBA">#REF!</definedName>
    <definedName name="Bang_travl">#REF!</definedName>
    <definedName name="bangchu">#REF!</definedName>
    <definedName name="bb" localSheetId="6">{"Thuxm2.xls","Sheet1"}</definedName>
    <definedName name="bb" localSheetId="8">{"Thuxm2.xls","Sheet1"}</definedName>
    <definedName name="bb" localSheetId="9">{"Thuxm2.xls","Sheet1"}</definedName>
    <definedName name="bb" localSheetId="0">{"Thuxm2.xls","Sheet1"}</definedName>
    <definedName name="bb" localSheetId="1">{"Thuxm2.xls","Sheet1"}</definedName>
    <definedName name="bb" localSheetId="11">{"Thuxm2.xls","Sheet1"}</definedName>
    <definedName name="bb">{"Thuxm2.xls","Sheet1"}</definedName>
    <definedName name="BCBo" localSheetId="6" hidden="1">{"'Sheet1'!$L$16"}</definedName>
    <definedName name="BCBo" localSheetId="8" hidden="1">{"'Sheet1'!$L$16"}</definedName>
    <definedName name="BCBo" localSheetId="9" hidden="1">{"'Sheet1'!$L$16"}</definedName>
    <definedName name="BCBo" localSheetId="0" hidden="1">{"'Sheet1'!$L$16"}</definedName>
    <definedName name="BCBo" localSheetId="1" hidden="1">{"'Sheet1'!$L$16"}</definedName>
    <definedName name="BCBo" localSheetId="11" hidden="1">{"'Sheet1'!$L$16"}</definedName>
    <definedName name="BCBo" hidden="1">{"'Sheet1'!$L$16"}</definedName>
    <definedName name="BDAY">#REF!</definedName>
    <definedName name="bdd">1.5</definedName>
    <definedName name="beepsound">#REF!</definedName>
    <definedName name="bengam">#REF!</definedName>
    <definedName name="benuoc">#REF!</definedName>
    <definedName name="beta">#REF!</definedName>
    <definedName name="blkh">#REF!</definedName>
    <definedName name="blkh1">#REF!</definedName>
    <definedName name="boa">[2]gvl!$N$17</definedName>
    <definedName name="Book2" localSheetId="0">#REF!</definedName>
    <definedName name="Book2" localSheetId="1">#REF!</definedName>
    <definedName name="Book2" localSheetId="11">#REF!</definedName>
    <definedName name="Book2">#REF!</definedName>
    <definedName name="BOQ" localSheetId="0">#REF!</definedName>
    <definedName name="BOQ" localSheetId="1">#REF!</definedName>
    <definedName name="BOQ" localSheetId="11">#REF!</definedName>
    <definedName name="BOQ">#REF!</definedName>
    <definedName name="btchiuaxitm300" localSheetId="0">#REF!</definedName>
    <definedName name="btchiuaxitm300" localSheetId="1">#REF!</definedName>
    <definedName name="btchiuaxitm300" localSheetId="11">#REF!</definedName>
    <definedName name="btchiuaxitm300">#REF!</definedName>
    <definedName name="BTchiuaxm200">#REF!</definedName>
    <definedName name="btcocM400">#REF!</definedName>
    <definedName name="BTlotm100">#REF!</definedName>
    <definedName name="btnm3" localSheetId="8" hidden="1">{"'Sheet1'!$L$16"}</definedName>
    <definedName name="btnm3" localSheetId="9" hidden="1">{"'Sheet1'!$L$16"}</definedName>
    <definedName name="btnm3" localSheetId="11" hidden="1">{"'Sheet1'!$L$16"}</definedName>
    <definedName name="btnm3" hidden="1">{"'Sheet1'!$L$16"}</definedName>
    <definedName name="BTRAM">#REF!</definedName>
    <definedName name="BU_CHENH_LECH_DZ0.4KV">#REF!</definedName>
    <definedName name="BU_CHENH_LECH_DZ22KV">#REF!</definedName>
    <definedName name="BU_CHENH_LECH_TBA">#REF!</definedName>
    <definedName name="Bulongma">8700</definedName>
    <definedName name="BVCISUMMARY" localSheetId="0">#REF!</definedName>
    <definedName name="BVCISUMMARY" localSheetId="1">#REF!</definedName>
    <definedName name="BVCISUMMARY" localSheetId="11">#REF!</definedName>
    <definedName name="BVCISUMMARY">#REF!</definedName>
    <definedName name="BŸo_cŸo_täng_hìp_giŸ_trÙ_t_i_s_n_câ__Ùnh" localSheetId="0">#REF!</definedName>
    <definedName name="BŸo_cŸo_täng_hìp_giŸ_trÙ_t_i_s_n_câ__Ùnh" localSheetId="1">#REF!</definedName>
    <definedName name="BŸo_cŸo_täng_hìp_giŸ_trÙ_t_i_s_n_câ__Ùnh" localSheetId="11">#REF!</definedName>
    <definedName name="BŸo_cŸo_täng_hìp_giŸ_trÙ_t_i_s_n_câ__Ùnh">#REF!</definedName>
    <definedName name="C.1.1..Phat_tuyen" localSheetId="0">#REF!</definedName>
    <definedName name="C.1.1..Phat_tuyen" localSheetId="1">#REF!</definedName>
    <definedName name="C.1.1..Phat_tuyen" localSheetId="11">#REF!</definedName>
    <definedName name="C.1.1..Phat_tuyen">#REF!</definedName>
    <definedName name="C.1.10..VC_Thu_cong_CG">#REF!</definedName>
    <definedName name="C.1.2..Chat_cay_thu_cong">#REF!</definedName>
    <definedName name="C.1.3..Chat_cay_may">#REF!</definedName>
    <definedName name="C.1.4..Dao_goc_cay">#REF!</definedName>
    <definedName name="C.1.5..Lam_duong_tam">#REF!</definedName>
    <definedName name="C.1.6..Lam_cau_tam">#REF!</definedName>
    <definedName name="C.1.7..Rai_da_chong_lun">#REF!</definedName>
    <definedName name="C.1.8..Lam_kho_tam">#REF!</definedName>
    <definedName name="C.1.8..San_mat_bang">#REF!</definedName>
    <definedName name="C.2.1..VC_Thu_cong">#REF!</definedName>
    <definedName name="C.2.2..VC_T_cong_CG">#REF!</definedName>
    <definedName name="C.2.3..Boc_do">#REF!</definedName>
    <definedName name="C.3.1..Dao_dat_mong_cot">#REF!</definedName>
    <definedName name="C.3.2..Dao_dat_de_dap">#REF!</definedName>
    <definedName name="C.3.3..Dap_dat_mong">#REF!</definedName>
    <definedName name="C.3.4..Dao_dap_TDia">#REF!</definedName>
    <definedName name="C.3.5..Dap_bo_bao">#REF!</definedName>
    <definedName name="C.3.6..Bom_tat_nuoc">#REF!</definedName>
    <definedName name="C.3.7..Dao_bun">#REF!</definedName>
    <definedName name="C.3.8..Dap_cat_CT">#REF!</definedName>
    <definedName name="C.3.9..Dao_pha_da">#REF!</definedName>
    <definedName name="C.4.1.Cot_thep">#REF!</definedName>
    <definedName name="C.4.2..Van_khuon">#REF!</definedName>
    <definedName name="C.4.3..Be_tong">#REF!</definedName>
    <definedName name="C.4.4..Lap_BT_D.San">#REF!</definedName>
    <definedName name="C.4.5..Xay_da_hoc">#REF!</definedName>
    <definedName name="C.4.6..Dong_coc">#REF!</definedName>
    <definedName name="C.4.7..Quet_Bi_tum">#REF!</definedName>
    <definedName name="C.5.1..Lap_cot_thep">#REF!</definedName>
    <definedName name="C.5.2..Lap_cot_BT">#REF!</definedName>
    <definedName name="C.5.3..Lap_dat_xa">#REF!</definedName>
    <definedName name="C.5.4..Lap_tiep_dia">#REF!</definedName>
    <definedName name="C.5.5..Son_sat_thep">#REF!</definedName>
    <definedName name="C.6.1..Lap_su_dung">#REF!</definedName>
    <definedName name="C.6.2..Lap_su_CS">#REF!</definedName>
    <definedName name="C.6.3..Su_chuoi_do">#REF!</definedName>
    <definedName name="C.6.4..Su_chuoi_neo">#REF!</definedName>
    <definedName name="C.6.5..Lap_phu_kien">#REF!</definedName>
    <definedName name="C.6.6..Ep_noi_day">#REF!</definedName>
    <definedName name="C.6.7..KD_vuot_CN">#REF!</definedName>
    <definedName name="C.6.8..Rai_cang_day">#REF!</definedName>
    <definedName name="C.6.9..Cap_quang">#REF!</definedName>
    <definedName name="C.doc1">540</definedName>
    <definedName name="C.doc2">740</definedName>
    <definedName name="ca.1111" localSheetId="0">#REF!</definedName>
    <definedName name="ca.1111" localSheetId="1">#REF!</definedName>
    <definedName name="ca.1111" localSheetId="11">#REF!</definedName>
    <definedName name="ca.1111">#REF!</definedName>
    <definedName name="ca.1111.th" localSheetId="0">#REF!</definedName>
    <definedName name="ca.1111.th" localSheetId="1">#REF!</definedName>
    <definedName name="ca.1111.th" localSheetId="11">#REF!</definedName>
    <definedName name="ca.1111.th">#REF!</definedName>
    <definedName name="CACAU">298161</definedName>
    <definedName name="Can_doi" localSheetId="0">#REF!</definedName>
    <definedName name="Can_doi" localSheetId="1">#REF!</definedName>
    <definedName name="Can_doi" localSheetId="11">#REF!</definedName>
    <definedName name="Can_doi">#REF!</definedName>
    <definedName name="cao">#REF!</definedName>
    <definedName name="cap">#REF!</definedName>
    <definedName name="cap0.7">#REF!</definedName>
    <definedName name="Cat">#REF!</definedName>
    <definedName name="Category_All">#REF!</definedName>
    <definedName name="CATIN">#N/A</definedName>
    <definedName name="CATJYOU">#N/A</definedName>
    <definedName name="catm" localSheetId="0">#REF!</definedName>
    <definedName name="catm" localSheetId="1">#REF!</definedName>
    <definedName name="catm" localSheetId="11">#REF!</definedName>
    <definedName name="catm">#REF!</definedName>
    <definedName name="catn" localSheetId="0">#REF!</definedName>
    <definedName name="catn" localSheetId="1">#REF!</definedName>
    <definedName name="catn" localSheetId="11">#REF!</definedName>
    <definedName name="catn">#REF!</definedName>
    <definedName name="CATREC">#N/A</definedName>
    <definedName name="CATSYU">#N/A</definedName>
    <definedName name="catvang" localSheetId="0">#REF!</definedName>
    <definedName name="catvang" localSheetId="1">#REF!</definedName>
    <definedName name="catvang" localSheetId="11">#REF!</definedName>
    <definedName name="catvang">#REF!</definedName>
    <definedName name="CCS" localSheetId="0">#REF!</definedName>
    <definedName name="CCS" localSheetId="1">#REF!</definedName>
    <definedName name="CCS" localSheetId="11">#REF!</definedName>
    <definedName name="CCS">#REF!</definedName>
    <definedName name="CDAY" localSheetId="0">#REF!</definedName>
    <definedName name="CDAY" localSheetId="1">#REF!</definedName>
    <definedName name="CDAY" localSheetId="11">#REF!</definedName>
    <definedName name="CDAY">#REF!</definedName>
    <definedName name="CDD">#REF!</definedName>
    <definedName name="CDDD">#REF!</definedName>
    <definedName name="CDDD1P">#REF!</definedName>
    <definedName name="CDDD1PHA">#REF!</definedName>
    <definedName name="CDDD3PHA">#REF!</definedName>
    <definedName name="Cdnum">#REF!</definedName>
    <definedName name="CDTK_tim">31.77</definedName>
    <definedName name="cf" localSheetId="8">BlankMacro1</definedName>
    <definedName name="cf" localSheetId="9">BlankMacro1</definedName>
    <definedName name="cf" localSheetId="11">BlankMacro1</definedName>
    <definedName name="cf">BlankMacro1</definedName>
    <definedName name="CH" localSheetId="0">#REF!</definedName>
    <definedName name="CH" localSheetId="1">#REF!</definedName>
    <definedName name="CH" localSheetId="11">#REF!</definedName>
    <definedName name="CH">#REF!</definedName>
    <definedName name="chie" localSheetId="8">BlankMacro1</definedName>
    <definedName name="chie" localSheetId="9">BlankMacro1</definedName>
    <definedName name="chie" localSheetId="11">BlankMacro1</definedName>
    <definedName name="chie">BlankMacro1</definedName>
    <definedName name="chitietbgiang2" localSheetId="8" hidden="1">{"'Sheet1'!$L$16"}</definedName>
    <definedName name="chitietbgiang2" localSheetId="9" hidden="1">{"'Sheet1'!$L$16"}</definedName>
    <definedName name="chitietbgiang2" localSheetId="11" hidden="1">{"'Sheet1'!$L$16"}</definedName>
    <definedName name="chitietbgiang2" hidden="1">{"'Sheet1'!$L$16"}</definedName>
    <definedName name="chon">#REF!</definedName>
    <definedName name="chon1">#REF!</definedName>
    <definedName name="chon2">#REF!</definedName>
    <definedName name="chon3">#REF!</definedName>
    <definedName name="chung">66</definedName>
    <definedName name="CK" localSheetId="0">#REF!</definedName>
    <definedName name="CK" localSheetId="1">#REF!</definedName>
    <definedName name="CK" localSheetId="11">#REF!</definedName>
    <definedName name="CK">#REF!</definedName>
    <definedName name="CL" localSheetId="0">#REF!</definedName>
    <definedName name="CL" localSheetId="1">#REF!</definedName>
    <definedName name="CL" localSheetId="11">#REF!</definedName>
    <definedName name="CL">#REF!</definedName>
    <definedName name="CLECH_0.4" localSheetId="0">#REF!</definedName>
    <definedName name="CLECH_0.4" localSheetId="1">#REF!</definedName>
    <definedName name="CLECH_0.4" localSheetId="11">#REF!</definedName>
    <definedName name="CLECH_0.4">#REF!</definedName>
    <definedName name="CLVC3">0.1</definedName>
    <definedName name="CLVC35" localSheetId="0">#REF!</definedName>
    <definedName name="CLVC35" localSheetId="1">#REF!</definedName>
    <definedName name="CLVC35" localSheetId="11">#REF!</definedName>
    <definedName name="CLVC35">#REF!</definedName>
    <definedName name="CLVCTB" localSheetId="0">#REF!</definedName>
    <definedName name="CLVCTB" localSheetId="1">#REF!</definedName>
    <definedName name="CLVCTB" localSheetId="11">#REF!</definedName>
    <definedName name="CLVCTB">#REF!</definedName>
    <definedName name="clvl" localSheetId="0">#REF!</definedName>
    <definedName name="clvl" localSheetId="1">#REF!</definedName>
    <definedName name="clvl" localSheetId="11">#REF!</definedName>
    <definedName name="clvl">#REF!</definedName>
    <definedName name="cn">#REF!</definedName>
    <definedName name="CNC">#REF!</definedName>
    <definedName name="CND">#REF!</definedName>
    <definedName name="CNG">#REF!</definedName>
    <definedName name="Co">#REF!</definedName>
    <definedName name="coc">#REF!</definedName>
    <definedName name="Coc_60" localSheetId="8" hidden="1">{"'Sheet1'!$L$16"}</definedName>
    <definedName name="Coc_60" localSheetId="9" hidden="1">{"'Sheet1'!$L$16"}</definedName>
    <definedName name="Coc_60" localSheetId="11" hidden="1">{"'Sheet1'!$L$16"}</definedName>
    <definedName name="Coc_60" hidden="1">{"'Sheet1'!$L$16"}</definedName>
    <definedName name="cocbtct">#REF!</definedName>
    <definedName name="cocot">#REF!</definedName>
    <definedName name="cocott">#REF!</definedName>
    <definedName name="Code" hidden="1">#REF!</definedName>
    <definedName name="Cöï_ly_vaän_chuyeãn">#REF!</definedName>
    <definedName name="CÖÏ_LY_VAÄN_CHUYEÅN">#REF!</definedName>
    <definedName name="Comm" localSheetId="8">BlankMacro1</definedName>
    <definedName name="Comm" localSheetId="9">BlankMacro1</definedName>
    <definedName name="Comm" localSheetId="11">BlankMacro1</definedName>
    <definedName name="Comm">BlankMacro1</definedName>
    <definedName name="COMMON" localSheetId="0">#REF!</definedName>
    <definedName name="COMMON" localSheetId="1">#REF!</definedName>
    <definedName name="COMMON" localSheetId="11">#REF!</definedName>
    <definedName name="COMMON">#REF!</definedName>
    <definedName name="comong" localSheetId="0">#REF!</definedName>
    <definedName name="comong" localSheetId="1">#REF!</definedName>
    <definedName name="comong" localSheetId="11">#REF!</definedName>
    <definedName name="comong">#REF!</definedName>
    <definedName name="CON_EQP_COS" localSheetId="0">#REF!</definedName>
    <definedName name="CON_EQP_COS" localSheetId="1">#REF!</definedName>
    <definedName name="CON_EQP_COS" localSheetId="11">#REF!</definedName>
    <definedName name="CON_EQP_COS">#REF!</definedName>
    <definedName name="CON_EQP_COST">#REF!</definedName>
    <definedName name="công" localSheetId="6" hidden="1">{"'Sheet1'!$L$16"}</definedName>
    <definedName name="công" localSheetId="8" hidden="1">{"'Sheet1'!$L$16"}</definedName>
    <definedName name="công" localSheetId="9" hidden="1">{"'Sheet1'!$L$16"}</definedName>
    <definedName name="công" localSheetId="0" hidden="1">{"'Sheet1'!$L$16"}</definedName>
    <definedName name="công" localSheetId="1" hidden="1">{"'Sheet1'!$L$16"}</definedName>
    <definedName name="công" localSheetId="11" hidden="1">{"'Sheet1'!$L$16"}</definedName>
    <definedName name="công" hidden="1">{"'Sheet1'!$L$16"}</definedName>
    <definedName name="Cong_HM_DTCT" localSheetId="8">#REF!</definedName>
    <definedName name="Cong_HM_DTCT" localSheetId="9">#REF!</definedName>
    <definedName name="Cong_HM_DTCT">#REF!</definedName>
    <definedName name="Cong_M_DTCT" localSheetId="8">#REF!</definedName>
    <definedName name="Cong_M_DTCT" localSheetId="9">#REF!</definedName>
    <definedName name="Cong_M_DTCT">#REF!</definedName>
    <definedName name="Cong_NC_DTCT" localSheetId="8">#REF!</definedName>
    <definedName name="Cong_NC_DTCT" localSheetId="9">#REF!</definedName>
    <definedName name="Cong_NC_DTCT">#REF!</definedName>
    <definedName name="Cong_VL_DTCT">#REF!</definedName>
    <definedName name="congbengam">#REF!</definedName>
    <definedName name="congbenuoc">#REF!</definedName>
    <definedName name="congcoc">#REF!</definedName>
    <definedName name="congcocot">#REF!</definedName>
    <definedName name="congcocott">#REF!</definedName>
    <definedName name="congcomong">#REF!</definedName>
    <definedName name="congcottron">#REF!</definedName>
    <definedName name="congcotvuong">#REF!</definedName>
    <definedName name="congdam">#REF!</definedName>
    <definedName name="congdan1">#REF!</definedName>
    <definedName name="congdan2">#REF!</definedName>
    <definedName name="congdandusan">#REF!</definedName>
    <definedName name="conglanhto">#REF!</definedName>
    <definedName name="congmong">#REF!</definedName>
    <definedName name="congmongbang">#REF!</definedName>
    <definedName name="congmongdon">#REF!</definedName>
    <definedName name="congpanen">#REF!</definedName>
    <definedName name="congsan">#REF!</definedName>
    <definedName name="congthang">#REF!</definedName>
    <definedName name="CongVattu">#REF!</definedName>
    <definedName name="CONST_EQ">#REF!</definedName>
    <definedName name="Content1" localSheetId="8">ErrorHandler_1</definedName>
    <definedName name="Content1" localSheetId="9">ErrorHandler_1</definedName>
    <definedName name="Content1" localSheetId="11">ErrorHandler_1</definedName>
    <definedName name="Content1">ErrorHandler_1</definedName>
    <definedName name="COT" localSheetId="0">#REF!</definedName>
    <definedName name="COT" localSheetId="1">#REF!</definedName>
    <definedName name="COT" localSheetId="11">#REF!</definedName>
    <definedName name="COT">#REF!</definedName>
    <definedName name="cot7.5" localSheetId="0">#REF!</definedName>
    <definedName name="cot7.5" localSheetId="1">#REF!</definedName>
    <definedName name="cot7.5" localSheetId="11">#REF!</definedName>
    <definedName name="cot7.5">#REF!</definedName>
    <definedName name="cot8.5" localSheetId="0">#REF!</definedName>
    <definedName name="cot8.5" localSheetId="1">#REF!</definedName>
    <definedName name="cot8.5" localSheetId="11">#REF!</definedName>
    <definedName name="cot8.5">#REF!</definedName>
    <definedName name="Cotsatma">9726</definedName>
    <definedName name="Cotthepma">9726</definedName>
    <definedName name="cottron" localSheetId="0">#REF!</definedName>
    <definedName name="cottron" localSheetId="1">#REF!</definedName>
    <definedName name="cottron" localSheetId="11">#REF!</definedName>
    <definedName name="cottron">#REF!</definedName>
    <definedName name="cotvuong" localSheetId="0">#REF!</definedName>
    <definedName name="cotvuong" localSheetId="1">#REF!</definedName>
    <definedName name="cotvuong" localSheetId="11">#REF!</definedName>
    <definedName name="cotvuong">#REF!</definedName>
    <definedName name="COVER" localSheetId="0">#REF!</definedName>
    <definedName name="COVER" localSheetId="1">#REF!</definedName>
    <definedName name="COVER" localSheetId="11">#REF!</definedName>
    <definedName name="COVER">#REF!</definedName>
    <definedName name="cpmtc">#REF!</definedName>
    <definedName name="cpnc">#REF!</definedName>
    <definedName name="cptt">#REF!</definedName>
    <definedName name="CPVC35">#REF!</definedName>
    <definedName name="CPVCDN">#REF!</definedName>
    <definedName name="cpvl">#REF!</definedName>
    <definedName name="CRD">#REF!</definedName>
    <definedName name="CRITINST">#REF!</definedName>
    <definedName name="CRITPURC">#REF!</definedName>
    <definedName name="CRS">#REF!</definedName>
    <definedName name="CS">#REF!</definedName>
    <definedName name="CS_10">#REF!</definedName>
    <definedName name="CS_100">#REF!</definedName>
    <definedName name="CS_10S">#REF!</definedName>
    <definedName name="CS_120">#REF!</definedName>
    <definedName name="CS_140">#REF!</definedName>
    <definedName name="CS_160">#REF!</definedName>
    <definedName name="CS_20">#REF!</definedName>
    <definedName name="CS_30">#REF!</definedName>
    <definedName name="CS_40">#REF!</definedName>
    <definedName name="CS_40S">#REF!</definedName>
    <definedName name="CS_5S">#REF!</definedName>
    <definedName name="CS_60">#REF!</definedName>
    <definedName name="CS_80">#REF!</definedName>
    <definedName name="CS_80S">#REF!</definedName>
    <definedName name="CS_STD">#REF!</definedName>
    <definedName name="CS_XS">#REF!</definedName>
    <definedName name="CS_XXS">#REF!</definedName>
    <definedName name="csd3p">#REF!</definedName>
    <definedName name="csddg1p">#REF!</definedName>
    <definedName name="csddt1p">#REF!</definedName>
    <definedName name="csht3p">#REF!</definedName>
    <definedName name="CTCT1" localSheetId="6" hidden="1">{"'Sheet1'!$L$16"}</definedName>
    <definedName name="CTCT1" localSheetId="8" hidden="1">{"'Sheet1'!$L$16"}</definedName>
    <definedName name="CTCT1" localSheetId="9" hidden="1">{"'Sheet1'!$L$16"}</definedName>
    <definedName name="CTCT1" localSheetId="0" hidden="1">{"'Sheet1'!$L$16"}</definedName>
    <definedName name="CTCT1" localSheetId="1" hidden="1">{"'Sheet1'!$L$16"}</definedName>
    <definedName name="CTCT1" localSheetId="11" hidden="1">{"'Sheet1'!$L$16"}</definedName>
    <definedName name="CTCT1" hidden="1">{"'Sheet1'!$L$16"}</definedName>
    <definedName name="ctdn9697">#REF!</definedName>
    <definedName name="ctiep">#REF!</definedName>
    <definedName name="CTIET">#REF!</definedName>
    <definedName name="CTRAM">#REF!</definedName>
    <definedName name="CU_LY_VAN_CHUYEN_GIA_QUYEN">#REF!</definedName>
    <definedName name="CU_LY_VAN_CHUYEN_THU_CONG">#REF!</definedName>
    <definedName name="CURRENCY">#REF!</definedName>
    <definedName name="cv">[2]gvl!$N$17</definedName>
    <definedName name="CV.1">[2]gvl!$N$17</definedName>
    <definedName name="cx" localSheetId="0">#REF!</definedName>
    <definedName name="cx" localSheetId="1">#REF!</definedName>
    <definedName name="cx" localSheetId="11">#REF!</definedName>
    <definedName name="cx">#REF!</definedName>
    <definedName name="Ð" localSheetId="8">BlankMacro1</definedName>
    <definedName name="Ð" localSheetId="9">BlankMacro1</definedName>
    <definedName name="Ð" localSheetId="11">BlankMacro1</definedName>
    <definedName name="Ð">BlankMacro1</definedName>
    <definedName name="D_7101A_B" localSheetId="0">#REF!</definedName>
    <definedName name="D_7101A_B" localSheetId="1">#REF!</definedName>
    <definedName name="D_7101A_B" localSheetId="11">#REF!</definedName>
    <definedName name="D_7101A_B">#REF!</definedName>
    <definedName name="da1x2" localSheetId="0">#REF!</definedName>
    <definedName name="da1x2" localSheetId="1">#REF!</definedName>
    <definedName name="da1x2" localSheetId="11">#REF!</definedName>
    <definedName name="da1x2">#REF!</definedName>
    <definedName name="dahoc" localSheetId="0">#REF!</definedName>
    <definedName name="dahoc" localSheetId="1">#REF!</definedName>
    <definedName name="dahoc" localSheetId="11">#REF!</definedName>
    <definedName name="dahoc">#REF!</definedName>
    <definedName name="dam">#REF!</definedName>
    <definedName name="danducsan">#REF!</definedName>
    <definedName name="dao">#REF!</definedName>
    <definedName name="DAT">#REF!</definedName>
    <definedName name="DATA_DATA2_List">#REF!</definedName>
    <definedName name="data1" hidden="1">#REF!</definedName>
    <definedName name="data2" hidden="1">#REF!</definedName>
    <definedName name="data3" hidden="1">#REF!</definedName>
    <definedName name="_xlnm.Database">#REF!</definedName>
    <definedName name="DATDAO">#REF!</definedName>
    <definedName name="DCL_22">12117600</definedName>
    <definedName name="DCL_35">25490000</definedName>
    <definedName name="dd" localSheetId="0">#REF!</definedName>
    <definedName name="dd" localSheetId="1">#REF!</definedName>
    <definedName name="dd" localSheetId="11">#REF!</definedName>
    <definedName name="dd">#REF!</definedName>
    <definedName name="dd1x2">[2]gvl!$N$9</definedName>
    <definedName name="dd1x2.">[2]gvl!$N$9</definedName>
    <definedName name="dd1x2.1">[2]gvl!$N$9</definedName>
    <definedName name="DDAY" localSheetId="0">#REF!</definedName>
    <definedName name="DDAY" localSheetId="1">#REF!</definedName>
    <definedName name="DDAY" localSheetId="11">#REF!</definedName>
    <definedName name="DDAY">#REF!</definedName>
    <definedName name="dddem">0.1</definedName>
    <definedName name="DDK" localSheetId="0">#REF!</definedName>
    <definedName name="DDK" localSheetId="1">#REF!</definedName>
    <definedName name="DDK" localSheetId="11">#REF!</definedName>
    <definedName name="DDK">#REF!</definedName>
    <definedName name="den_bu" localSheetId="0">#REF!</definedName>
    <definedName name="den_bu" localSheetId="1">#REF!</definedName>
    <definedName name="den_bu" localSheetId="11">#REF!</definedName>
    <definedName name="den_bu">#REF!</definedName>
    <definedName name="denbu" localSheetId="0">#REF!</definedName>
    <definedName name="denbu" localSheetId="1">#REF!</definedName>
    <definedName name="denbu" localSheetId="11">#REF!</definedName>
    <definedName name="denbu">#REF!</definedName>
    <definedName name="DenDK" localSheetId="8" hidden="1">{"'Sheet1'!$L$16"}</definedName>
    <definedName name="DenDK" localSheetId="9" hidden="1">{"'Sheet1'!$L$16"}</definedName>
    <definedName name="DenDK" localSheetId="11" hidden="1">{"'Sheet1'!$L$16"}</definedName>
    <definedName name="DenDK" hidden="1">{"'Sheet1'!$L$16"}</definedName>
    <definedName name="Det32x3">#REF!</definedName>
    <definedName name="Det35x3">#REF!</definedName>
    <definedName name="Det40x4">#REF!</definedName>
    <definedName name="Det50x5">#REF!</definedName>
    <definedName name="Det63x6">#REF!</definedName>
    <definedName name="Det75x6">#REF!</definedName>
    <definedName name="dfg" localSheetId="8" hidden="1">{"'Sheet1'!$L$16"}</definedName>
    <definedName name="dfg" localSheetId="9" hidden="1">{"'Sheet1'!$L$16"}</definedName>
    <definedName name="dfg" localSheetId="11" hidden="1">{"'Sheet1'!$L$16"}</definedName>
    <definedName name="dfg" hidden="1">{"'Sheet1'!$L$16"}</definedName>
    <definedName name="dgbdII">#REF!</definedName>
    <definedName name="DGCTI592">#REF!</definedName>
    <definedName name="dgctp2" localSheetId="6" hidden="1">{"'Sheet1'!$L$16"}</definedName>
    <definedName name="dgctp2" localSheetId="8" hidden="1">{"'Sheet1'!$L$16"}</definedName>
    <definedName name="dgctp2" localSheetId="9" hidden="1">{"'Sheet1'!$L$16"}</definedName>
    <definedName name="dgctp2" localSheetId="0" hidden="1">{"'Sheet1'!$L$16"}</definedName>
    <definedName name="dgctp2" localSheetId="1" hidden="1">{"'Sheet1'!$L$16"}</definedName>
    <definedName name="dgctp2" localSheetId="11" hidden="1">{"'Sheet1'!$L$16"}</definedName>
    <definedName name="dgctp2" hidden="1">{"'Sheet1'!$L$16"}</definedName>
    <definedName name="DGNC">#REF!</definedName>
    <definedName name="dgqndn">#REF!</definedName>
    <definedName name="DGTV">#REF!</definedName>
    <definedName name="dgvl">#REF!</definedName>
    <definedName name="DGVT">#REF!</definedName>
    <definedName name="dhom">#REF!</definedName>
    <definedName name="dien">#REF!</definedName>
    <definedName name="dientichck">#REF!</definedName>
    <definedName name="dinh2">#REF!</definedName>
    <definedName name="Discount" hidden="1">#REF!</definedName>
    <definedName name="display_area_2" hidden="1">#REF!</definedName>
    <definedName name="DLCC">#REF!</definedName>
    <definedName name="DM">#REF!</definedName>
    <definedName name="dm56bxd">#REF!</definedName>
    <definedName name="DN">#REF!</definedName>
    <definedName name="DNNN">#REF!</definedName>
    <definedName name="DÑt45x4">#REF!</definedName>
    <definedName name="doan1">#REF!</definedName>
    <definedName name="doan2">#REF!</definedName>
    <definedName name="doan3">#REF!</definedName>
    <definedName name="doan4">#REF!</definedName>
    <definedName name="doan5">#REF!</definedName>
    <definedName name="doan6">#REF!</definedName>
    <definedName name="dobt">#REF!</definedName>
    <definedName name="docdoc">0.03125</definedName>
    <definedName name="Document_array" localSheetId="6">{"Thuxm2.xls","Sheet1"}</definedName>
    <definedName name="Document_array" localSheetId="8">{"Thuxm2.xls","Sheet1"}</definedName>
    <definedName name="Document_array" localSheetId="9">{"Thuxm2.xls","Sheet1"}</definedName>
    <definedName name="Document_array" localSheetId="0">{"Thuxm2.xls","Sheet1"}</definedName>
    <definedName name="Document_array" localSheetId="1">{"Thuxm2.xls","Sheet1"}</definedName>
    <definedName name="Document_array" localSheetId="11">{"Thuxm2.xls","Sheet1"}</definedName>
    <definedName name="Document_array">{"Thuxm2.xls","Sheet1"}</definedName>
    <definedName name="DON_GIA_3282" localSheetId="0">#REF!</definedName>
    <definedName name="DON_GIA_3282" localSheetId="1">#REF!</definedName>
    <definedName name="DON_GIA_3282" localSheetId="11">#REF!</definedName>
    <definedName name="DON_GIA_3282">#REF!</definedName>
    <definedName name="DON_GIA_3283" localSheetId="0">#REF!</definedName>
    <definedName name="DON_GIA_3283" localSheetId="1">#REF!</definedName>
    <definedName name="DON_GIA_3283" localSheetId="11">#REF!</definedName>
    <definedName name="DON_GIA_3283">#REF!</definedName>
    <definedName name="DON_GIA_3285" localSheetId="0">#REF!</definedName>
    <definedName name="DON_GIA_3285" localSheetId="1">#REF!</definedName>
    <definedName name="DON_GIA_3285" localSheetId="11">#REF!</definedName>
    <definedName name="DON_GIA_3285">#REF!</definedName>
    <definedName name="DON_GIA_VAN_CHUYEN_36">#REF!</definedName>
    <definedName name="dongia">#REF!</definedName>
    <definedName name="Drawpoints">1</definedName>
    <definedName name="Drop1">"Drop Down 3"</definedName>
    <definedName name="DS1p1vc" localSheetId="0">#REF!</definedName>
    <definedName name="DS1p1vc" localSheetId="1">#REF!</definedName>
    <definedName name="DS1p1vc" localSheetId="11">#REF!</definedName>
    <definedName name="DS1p1vc">#REF!</definedName>
    <definedName name="ds1p2nc" localSheetId="0">#REF!</definedName>
    <definedName name="ds1p2nc" localSheetId="1">#REF!</definedName>
    <definedName name="ds1p2nc" localSheetId="11">#REF!</definedName>
    <definedName name="ds1p2nc">#REF!</definedName>
    <definedName name="ds1p2vc" localSheetId="0">#REF!</definedName>
    <definedName name="ds1p2vc" localSheetId="1">#REF!</definedName>
    <definedName name="ds1p2vc" localSheetId="11">#REF!</definedName>
    <definedName name="ds1p2vc">#REF!</definedName>
    <definedName name="ds1pnc">#REF!</definedName>
    <definedName name="ds1pvl">#REF!</definedName>
    <definedName name="ds3pctnc">#REF!</definedName>
    <definedName name="ds3pctvc">#REF!</definedName>
    <definedName name="ds3pctvl">#REF!</definedName>
    <definedName name="DSPK1p1nc">#REF!</definedName>
    <definedName name="DSPK1p1vl">#REF!</definedName>
    <definedName name="DSPK1pnc">#REF!</definedName>
    <definedName name="DSPK1pvl">#REF!</definedName>
    <definedName name="DSTD_Clear">#N/A</definedName>
    <definedName name="DSUMDATA" localSheetId="0">#REF!</definedName>
    <definedName name="DSUMDATA" localSheetId="1">#REF!</definedName>
    <definedName name="DSUMDATA" localSheetId="11">#REF!</definedName>
    <definedName name="DSUMDATA">#REF!</definedName>
    <definedName name="dthft" localSheetId="6" hidden="1">{"'Sheet1'!$L$16"}</definedName>
    <definedName name="dthft" localSheetId="8" hidden="1">{"'Sheet1'!$L$16"}</definedName>
    <definedName name="dthft" localSheetId="9" hidden="1">{"'Sheet1'!$L$16"}</definedName>
    <definedName name="dthft" localSheetId="0" hidden="1">{"'Sheet1'!$L$16"}</definedName>
    <definedName name="dthft" localSheetId="1" hidden="1">{"'Sheet1'!$L$16"}</definedName>
    <definedName name="dthft" localSheetId="11" hidden="1">{"'Sheet1'!$L$16"}</definedName>
    <definedName name="dthft" hidden="1">{"'Sheet1'!$L$16"}</definedName>
    <definedName name="dtich1">#REF!</definedName>
    <definedName name="dtich2">#REF!</definedName>
    <definedName name="dtich3">#REF!</definedName>
    <definedName name="dtich4">#REF!</definedName>
    <definedName name="dtich5">#REF!</definedName>
    <definedName name="dtich6">#REF!</definedName>
    <definedName name="DtrCuocPhun.1b">[4]NhanCong!$G$202</definedName>
    <definedName name="DtrCuocPhun.2b">[4]NhanCong!$G$203</definedName>
    <definedName name="DtrCuocPhun.4b">[4]NhanCong!$G$214</definedName>
    <definedName name="DtrHutCuoc300.2s">[4]NhanCong!$G$191</definedName>
    <definedName name="DU_TOAN_CHI_TIET_CONG_TO" localSheetId="0">#REF!</definedName>
    <definedName name="DU_TOAN_CHI_TIET_CONG_TO" localSheetId="1">#REF!</definedName>
    <definedName name="DU_TOAN_CHI_TIET_CONG_TO" localSheetId="11">#REF!</definedName>
    <definedName name="DU_TOAN_CHI_TIET_CONG_TO">#REF!</definedName>
    <definedName name="DU_TOAN_CHI_TIET_DZ22KV" localSheetId="0">#REF!</definedName>
    <definedName name="DU_TOAN_CHI_TIET_DZ22KV" localSheetId="1">#REF!</definedName>
    <definedName name="DU_TOAN_CHI_TIET_DZ22KV" localSheetId="11">#REF!</definedName>
    <definedName name="DU_TOAN_CHI_TIET_DZ22KV">#REF!</definedName>
    <definedName name="DU_TOAN_CHI_TIET_KHO_BAI" localSheetId="0">#REF!</definedName>
    <definedName name="DU_TOAN_CHI_TIET_KHO_BAI" localSheetId="1">#REF!</definedName>
    <definedName name="DU_TOAN_CHI_TIET_KHO_BAI" localSheetId="11">#REF!</definedName>
    <definedName name="DU_TOAN_CHI_TIET_KHO_BAI">#REF!</definedName>
    <definedName name="duaån">#REF!</definedName>
    <definedName name="duan">#REF!</definedName>
    <definedName name="DUCANH" localSheetId="6" hidden="1">{"'Sheet1'!$L$16"}</definedName>
    <definedName name="DUCANH" localSheetId="8" hidden="1">{"'Sheet1'!$L$16"}</definedName>
    <definedName name="DUCANH" localSheetId="9" hidden="1">{"'Sheet1'!$L$16"}</definedName>
    <definedName name="DUCANH" localSheetId="0" hidden="1">{"'Sheet1'!$L$16"}</definedName>
    <definedName name="DUCANH" localSheetId="1" hidden="1">{"'Sheet1'!$L$16"}</definedName>
    <definedName name="DUCANH" localSheetId="11" hidden="1">{"'Sheet1'!$L$16"}</definedName>
    <definedName name="DUCANH" hidden="1">{"'Sheet1'!$L$16"}</definedName>
    <definedName name="Dutoan2001">'[5]Tro giup'!$A$1</definedName>
    <definedName name="DutoanDongmo" localSheetId="0">#REF!</definedName>
    <definedName name="DutoanDongmo" localSheetId="1">#REF!</definedName>
    <definedName name="DutoanDongmo" localSheetId="11">#REF!</definedName>
    <definedName name="DutoanDongmo">#REF!</definedName>
    <definedName name="E.chandoc">8.875</definedName>
    <definedName name="E.PC">10.438</definedName>
    <definedName name="E.PVI">12</definedName>
    <definedName name="emb" localSheetId="0">#REF!</definedName>
    <definedName name="emb" localSheetId="1">#REF!</definedName>
    <definedName name="emb" localSheetId="11">#REF!</definedName>
    <definedName name="emb">#REF!</definedName>
    <definedName name="End_1" localSheetId="0">#REF!</definedName>
    <definedName name="End_1" localSheetId="1">#REF!</definedName>
    <definedName name="End_1" localSheetId="11">#REF!</definedName>
    <definedName name="End_1">#REF!</definedName>
    <definedName name="End_10" localSheetId="0">#REF!</definedName>
    <definedName name="End_10" localSheetId="1">#REF!</definedName>
    <definedName name="End_10" localSheetId="11">#REF!</definedName>
    <definedName name="End_10">#REF!</definedName>
    <definedName name="End_11">#REF!</definedName>
    <definedName name="End_12">#REF!</definedName>
    <definedName name="End_13">#REF!</definedName>
    <definedName name="End_2">#REF!</definedName>
    <definedName name="End_3">#REF!</definedName>
    <definedName name="End_4">#REF!</definedName>
    <definedName name="End_5">#REF!</definedName>
    <definedName name="End_6">#REF!</definedName>
    <definedName name="End_7">#REF!</definedName>
    <definedName name="End_8">#REF!</definedName>
    <definedName name="End_9">#REF!</definedName>
    <definedName name="ex">#REF!</definedName>
    <definedName name="_xlnm.Extract">#REF!</definedName>
    <definedName name="f">#REF!</definedName>
    <definedName name="FACTOR">#REF!</definedName>
    <definedName name="FCode" hidden="1">#REF!</definedName>
    <definedName name="FFF" localSheetId="8">BlankMacro1</definedName>
    <definedName name="FFF" localSheetId="9">BlankMacro1</definedName>
    <definedName name="FFF" localSheetId="11">BlankMacro1</definedName>
    <definedName name="FFF">BlankMacro1</definedName>
    <definedName name="FI_12">4820</definedName>
    <definedName name="FIT" localSheetId="8">BlankMacro1</definedName>
    <definedName name="FIT" localSheetId="9">BlankMacro1</definedName>
    <definedName name="FIT" localSheetId="11">BlankMacro1</definedName>
    <definedName name="FIT">BlankMacro1</definedName>
    <definedName name="FITT2" localSheetId="8">BlankMacro1</definedName>
    <definedName name="FITT2" localSheetId="9">BlankMacro1</definedName>
    <definedName name="FITT2" localSheetId="11">BlankMacro1</definedName>
    <definedName name="FITT2">BlankMacro1</definedName>
    <definedName name="FITTING2" localSheetId="8">BlankMacro1</definedName>
    <definedName name="FITTING2" localSheetId="9">BlankMacro1</definedName>
    <definedName name="FITTING2" localSheetId="11">BlankMacro1</definedName>
    <definedName name="FITTING2">BlankMacro1</definedName>
    <definedName name="FLG" localSheetId="8">BlankMacro1</definedName>
    <definedName name="FLG" localSheetId="9">BlankMacro1</definedName>
    <definedName name="FLG" localSheetId="11">BlankMacro1</definedName>
    <definedName name="FLG">BlankMacro1</definedName>
    <definedName name="foo" localSheetId="8">ErrorHandler_1</definedName>
    <definedName name="foo" localSheetId="9">ErrorHandler_1</definedName>
    <definedName name="foo" localSheetId="11">ErrorHandler_1</definedName>
    <definedName name="foo">ErrorHandler_1</definedName>
    <definedName name="fsdfdsf" localSheetId="6" hidden="1">{"'Sheet1'!$L$16"}</definedName>
    <definedName name="fsdfdsf" localSheetId="8" hidden="1">{"'Sheet1'!$L$16"}</definedName>
    <definedName name="fsdfdsf" localSheetId="9" hidden="1">{"'Sheet1'!$L$16"}</definedName>
    <definedName name="fsdfdsf" localSheetId="0" hidden="1">{"'Sheet1'!$L$16"}</definedName>
    <definedName name="fsdfdsf" localSheetId="1" hidden="1">{"'Sheet1'!$L$16"}</definedName>
    <definedName name="fsdfdsf" localSheetId="11" hidden="1">{"'Sheet1'!$L$16"}</definedName>
    <definedName name="fsdfdsf" hidden="1">{"'Sheet1'!$L$16"}</definedName>
    <definedName name="G_ME">#REF!</definedName>
    <definedName name="gach">#REF!</definedName>
    <definedName name="geo">#REF!</definedName>
    <definedName name="getrtertertert" localSheetId="8">BlankMacro1</definedName>
    <definedName name="getrtertertert" localSheetId="9">BlankMacro1</definedName>
    <definedName name="getrtertertert" localSheetId="11">BlankMacro1</definedName>
    <definedName name="getrtertertert">BlankMacro1</definedName>
    <definedName name="gg" localSheetId="0">#REF!</definedName>
    <definedName name="gg" localSheetId="1">#REF!</definedName>
    <definedName name="gg" localSheetId="11">#REF!</definedName>
    <definedName name="gg">#REF!</definedName>
    <definedName name="ghip" localSheetId="0">#REF!</definedName>
    <definedName name="ghip" localSheetId="1">#REF!</definedName>
    <definedName name="ghip" localSheetId="11">#REF!</definedName>
    <definedName name="ghip">#REF!</definedName>
    <definedName name="gi">0.4</definedName>
    <definedName name="gia" localSheetId="0">#REF!</definedName>
    <definedName name="gia" localSheetId="1">#REF!</definedName>
    <definedName name="gia" localSheetId="11">#REF!</definedName>
    <definedName name="gia">#REF!</definedName>
    <definedName name="Gia_CT" localSheetId="0">#REF!</definedName>
    <definedName name="Gia_CT" localSheetId="1">#REF!</definedName>
    <definedName name="Gia_CT" localSheetId="11">#REF!</definedName>
    <definedName name="Gia_CT">#REF!</definedName>
    <definedName name="GIA_CU_LY_VAN_CHUYEN" localSheetId="0">#REF!</definedName>
    <definedName name="GIA_CU_LY_VAN_CHUYEN" localSheetId="1">#REF!</definedName>
    <definedName name="GIA_CU_LY_VAN_CHUYEN" localSheetId="11">#REF!</definedName>
    <definedName name="GIA_CU_LY_VAN_CHUYEN">#REF!</definedName>
    <definedName name="gia_tien">#REF!</definedName>
    <definedName name="gia_tien_BTN">#REF!</definedName>
    <definedName name="Gia_VT">#REF!</definedName>
    <definedName name="GIAVLIEUTN">#REF!</definedName>
    <definedName name="Giocong">#REF!</definedName>
    <definedName name="gl3p">#REF!</definedName>
    <definedName name="Goc32x3">#REF!</definedName>
    <definedName name="Goc35x3">#REF!</definedName>
    <definedName name="Goc40x4">#REF!</definedName>
    <definedName name="Goc45x4">#REF!</definedName>
    <definedName name="Goc50x5">#REF!</definedName>
    <definedName name="Goc63x6">#REF!</definedName>
    <definedName name="Goc75x6">#REF!</definedName>
    <definedName name="Gtb">#REF!</definedName>
    <definedName name="gtbtt">#REF!</definedName>
    <definedName name="gtst">#REF!</definedName>
    <definedName name="GTXL">#REF!</definedName>
    <definedName name="Gxl">#REF!</definedName>
    <definedName name="gxltt">#REF!</definedName>
    <definedName name="h" localSheetId="6" hidden="1">{"'Sheet1'!$L$16"}</definedName>
    <definedName name="h" localSheetId="8" hidden="1">{"'Sheet1'!$L$16"}</definedName>
    <definedName name="h" localSheetId="9" hidden="1">{"'Sheet1'!$L$16"}</definedName>
    <definedName name="h" localSheetId="0" hidden="1">{"'Sheet1'!$L$16"}</definedName>
    <definedName name="h" localSheetId="1" hidden="1">{"'Sheet1'!$L$16"}</definedName>
    <definedName name="h" localSheetId="11" hidden="1">{"'Sheet1'!$L$16"}</definedName>
    <definedName name="h" hidden="1">{"'Sheet1'!$L$16"}</definedName>
    <definedName name="H_THUCHTHH">#REF!</definedName>
    <definedName name="H_THUCTT">#REF!</definedName>
    <definedName name="HANG" localSheetId="6" hidden="1">{#N/A,#N/A,FALSE,"Chi tiÆt"}</definedName>
    <definedName name="HANG" localSheetId="8" hidden="1">{#N/A,#N/A,FALSE,"Chi tiÆt"}</definedName>
    <definedName name="HANG" localSheetId="9" hidden="1">{#N/A,#N/A,FALSE,"Chi tiÆt"}</definedName>
    <definedName name="HANG" localSheetId="0" hidden="1">{#N/A,#N/A,FALSE,"Chi tiÆt"}</definedName>
    <definedName name="HANG" localSheetId="1" hidden="1">{#N/A,#N/A,FALSE,"Chi tiÆt"}</definedName>
    <definedName name="HANG" localSheetId="11" hidden="1">{#N/A,#N/A,FALSE,"Chi tiÆt"}</definedName>
    <definedName name="HANG" hidden="1">{#N/A,#N/A,FALSE,"Chi tiÆt"}</definedName>
    <definedName name="HCM" localSheetId="0">#REF!</definedName>
    <definedName name="HCM" localSheetId="1">#REF!</definedName>
    <definedName name="HCM" localSheetId="11">#REF!</definedName>
    <definedName name="HCM">#REF!</definedName>
    <definedName name="Hdao">0.3</definedName>
    <definedName name="Hdap">5.2</definedName>
    <definedName name="HE_SO_KHO_KHAN_CANG_DAY" localSheetId="0">#REF!</definedName>
    <definedName name="HE_SO_KHO_KHAN_CANG_DAY" localSheetId="1">#REF!</definedName>
    <definedName name="HE_SO_KHO_KHAN_CANG_DAY" localSheetId="11">#REF!</definedName>
    <definedName name="HE_SO_KHO_KHAN_CANG_DAY">#REF!</definedName>
    <definedName name="Heä_soá_laép_xaø_H">1.7</definedName>
    <definedName name="heä_soá_sình_laày" localSheetId="0">#REF!</definedName>
    <definedName name="heä_soá_sình_laày" localSheetId="1">#REF!</definedName>
    <definedName name="heä_soá_sình_laày" localSheetId="11">#REF!</definedName>
    <definedName name="heä_soá_sình_laày">#REF!</definedName>
    <definedName name="hh" localSheetId="0">#REF!</definedName>
    <definedName name="hh" localSheetId="1">#REF!</definedName>
    <definedName name="hh" localSheetId="11">#REF!</definedName>
    <definedName name="hh">#REF!</definedName>
    <definedName name="HHcat" localSheetId="0">#REF!</definedName>
    <definedName name="HHcat" localSheetId="1">#REF!</definedName>
    <definedName name="HHcat" localSheetId="11">#REF!</definedName>
    <definedName name="HHcat">#REF!</definedName>
    <definedName name="HHda">#REF!</definedName>
    <definedName name="hhh" localSheetId="8" hidden="1">{"'Sheet1'!$L$16"}</definedName>
    <definedName name="hhh" localSheetId="9" hidden="1">{"'Sheet1'!$L$16"}</definedName>
    <definedName name="hhh" localSheetId="11" hidden="1">{"'Sheet1'!$L$16"}</definedName>
    <definedName name="hhh" hidden="1">{"'Sheet1'!$L$16"}</definedName>
    <definedName name="HHTT">#REF!</definedName>
    <definedName name="HHUHOI">#N/A</definedName>
    <definedName name="HiddenRows" hidden="1">#REF!</definedName>
    <definedName name="hien" localSheetId="0">#REF!</definedName>
    <definedName name="hien" localSheetId="1">#REF!</definedName>
    <definedName name="hien" localSheetId="11">#REF!</definedName>
    <definedName name="hien">#REF!</definedName>
    <definedName name="HIHIHIHOI" localSheetId="6" hidden="1">{"'Sheet1'!$L$16"}</definedName>
    <definedName name="HIHIHIHOI" localSheetId="8" hidden="1">{"'Sheet1'!$L$16"}</definedName>
    <definedName name="HIHIHIHOI" localSheetId="9" hidden="1">{"'Sheet1'!$L$16"}</definedName>
    <definedName name="HIHIHIHOI" localSheetId="0" hidden="1">{"'Sheet1'!$L$16"}</definedName>
    <definedName name="HIHIHIHOI" localSheetId="1" hidden="1">{"'Sheet1'!$L$16"}</definedName>
    <definedName name="HIHIHIHOI" localSheetId="11" hidden="1">{"'Sheet1'!$L$16"}</definedName>
    <definedName name="HIHIHIHOI" hidden="1">{"'Sheet1'!$L$16"}</definedName>
    <definedName name="Hinh_thuc">#REF!</definedName>
    <definedName name="HiÕu">#REF!</definedName>
    <definedName name="HJKL" localSheetId="6" hidden="1">{"'Sheet1'!$L$16"}</definedName>
    <definedName name="HJKL" localSheetId="8" hidden="1">{"'Sheet1'!$L$16"}</definedName>
    <definedName name="HJKL" localSheetId="9" hidden="1">{"'Sheet1'!$L$16"}</definedName>
    <definedName name="HJKL" localSheetId="0" hidden="1">{"'Sheet1'!$L$16"}</definedName>
    <definedName name="HJKL" localSheetId="1" hidden="1">{"'Sheet1'!$L$16"}</definedName>
    <definedName name="HJKL" localSheetId="11" hidden="1">{"'Sheet1'!$L$16"}</definedName>
    <definedName name="HJKL" hidden="1">{"'Sheet1'!$L$16"}</definedName>
    <definedName name="hoc">55000</definedName>
    <definedName name="HOME_MANP" localSheetId="0">#REF!</definedName>
    <definedName name="HOME_MANP" localSheetId="1">#REF!</definedName>
    <definedName name="HOME_MANP" localSheetId="11">#REF!</definedName>
    <definedName name="HOME_MANP">#REF!</definedName>
    <definedName name="HOMEOFFICE_COST" localSheetId="0">#REF!</definedName>
    <definedName name="HOMEOFFICE_COST" localSheetId="1">#REF!</definedName>
    <definedName name="HOMEOFFICE_COST" localSheetId="11">#REF!</definedName>
    <definedName name="HOMEOFFICE_COST">#REF!</definedName>
    <definedName name="hs" localSheetId="0">#REF!</definedName>
    <definedName name="hs" localSheetId="1">#REF!</definedName>
    <definedName name="hs" localSheetId="11">#REF!</definedName>
    <definedName name="hs">#REF!</definedName>
    <definedName name="HSCT3">0.1</definedName>
    <definedName name="hsd" localSheetId="0">#REF!</definedName>
    <definedName name="hsd" localSheetId="1">#REF!</definedName>
    <definedName name="hsd" localSheetId="11">#REF!</definedName>
    <definedName name="hsd">#REF!</definedName>
    <definedName name="hsdc" localSheetId="0">#REF!</definedName>
    <definedName name="hsdc" localSheetId="1">#REF!</definedName>
    <definedName name="hsdc" localSheetId="11">#REF!</definedName>
    <definedName name="hsdc">#REF!</definedName>
    <definedName name="hsdc1" localSheetId="0">#REF!</definedName>
    <definedName name="hsdc1" localSheetId="1">#REF!</definedName>
    <definedName name="hsdc1" localSheetId="11">#REF!</definedName>
    <definedName name="hsdc1">#REF!</definedName>
    <definedName name="HSDN">2.5</definedName>
    <definedName name="HSHH">#REF!</definedName>
    <definedName name="HSHHUT">#REF!</definedName>
    <definedName name="hsk">#REF!</definedName>
    <definedName name="HSKK35">#REF!</definedName>
    <definedName name="HSLX">#REF!</definedName>
    <definedName name="HSLXH">1.7</definedName>
    <definedName name="HSLXP" localSheetId="0">#REF!</definedName>
    <definedName name="HSLXP" localSheetId="1">#REF!</definedName>
    <definedName name="HSLXP" localSheetId="11">#REF!</definedName>
    <definedName name="HSLXP">#REF!</definedName>
    <definedName name="hsn">0.5</definedName>
    <definedName name="hsnc_cau">2.5039</definedName>
    <definedName name="hsnc_cau2">1.626</definedName>
    <definedName name="hsnc_d">1.6356</definedName>
    <definedName name="hsnc_d2">1.6356</definedName>
    <definedName name="hßm4" localSheetId="0">#REF!</definedName>
    <definedName name="hßm4" localSheetId="1">#REF!</definedName>
    <definedName name="hßm4" localSheetId="11">#REF!</definedName>
    <definedName name="hßm4">#REF!</definedName>
    <definedName name="hstb" localSheetId="0">#REF!</definedName>
    <definedName name="hstb" localSheetId="1">#REF!</definedName>
    <definedName name="hstb" localSheetId="11">#REF!</definedName>
    <definedName name="hstb">#REF!</definedName>
    <definedName name="hstdtk" localSheetId="0">#REF!</definedName>
    <definedName name="hstdtk" localSheetId="1">#REF!</definedName>
    <definedName name="hstdtk" localSheetId="11">#REF!</definedName>
    <definedName name="hstdtk">#REF!</definedName>
    <definedName name="hsthep">#REF!</definedName>
    <definedName name="HSVC1">#REF!</definedName>
    <definedName name="HSVC2">#REF!</definedName>
    <definedName name="HSVC3">#REF!</definedName>
    <definedName name="hsvl">#REF!</definedName>
    <definedName name="hsvl2">1</definedName>
    <definedName name="HT" localSheetId="0">#REF!</definedName>
    <definedName name="HT" localSheetId="1">#REF!</definedName>
    <definedName name="HT" localSheetId="11">#REF!</definedName>
    <definedName name="HT">#REF!</definedName>
    <definedName name="HTHH" localSheetId="0">#REF!</definedName>
    <definedName name="HTHH" localSheetId="1">#REF!</definedName>
    <definedName name="HTHH" localSheetId="11">#REF!</definedName>
    <definedName name="HTHH">#REF!</definedName>
    <definedName name="htlm" localSheetId="6" hidden="1">{"'Sheet1'!$L$16"}</definedName>
    <definedName name="htlm" localSheetId="8" hidden="1">{"'Sheet1'!$L$16"}</definedName>
    <definedName name="htlm" localSheetId="9" hidden="1">{"'Sheet1'!$L$16"}</definedName>
    <definedName name="htlm" localSheetId="0" hidden="1">{"'Sheet1'!$L$16"}</definedName>
    <definedName name="htlm" localSheetId="1" hidden="1">{"'Sheet1'!$L$16"}</definedName>
    <definedName name="htlm" localSheetId="11" hidden="1">{"'Sheet1'!$L$16"}</definedName>
    <definedName name="htlm" hidden="1">{"'Sheet1'!$L$16"}</definedName>
    <definedName name="HTML_CodePage" hidden="1">950</definedName>
    <definedName name="HTML_Control" localSheetId="6" hidden="1">{"'Sheet1'!$L$16"}</definedName>
    <definedName name="HTML_Control" localSheetId="8" hidden="1">{"'Sheet1'!$L$16"}</definedName>
    <definedName name="HTML_Control" localSheetId="9" hidden="1">{"'Sheet1'!$L$16"}</definedName>
    <definedName name="HTML_Control" localSheetId="0" hidden="1">{"'Sheet1'!$L$16"}</definedName>
    <definedName name="HTML_Control" localSheetId="1" hidden="1">{"'Sheet1'!$L$16"}</definedName>
    <definedName name="HTML_Control" localSheetId="11" hidden="1">{"'Sheet1'!$L$16"}</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TNC" localSheetId="0">#REF!</definedName>
    <definedName name="HTNC" localSheetId="1">#REF!</definedName>
    <definedName name="HTNC" localSheetId="11">#REF!</definedName>
    <definedName name="HTNC">#REF!</definedName>
    <definedName name="htrhrt" localSheetId="6" hidden="1">{"'Sheet1'!$L$16"}</definedName>
    <definedName name="htrhrt" localSheetId="8" hidden="1">{"'Sheet1'!$L$16"}</definedName>
    <definedName name="htrhrt" localSheetId="9" hidden="1">{"'Sheet1'!$L$16"}</definedName>
    <definedName name="htrhrt" localSheetId="0" hidden="1">{"'Sheet1'!$L$16"}</definedName>
    <definedName name="htrhrt" localSheetId="1" hidden="1">{"'Sheet1'!$L$16"}</definedName>
    <definedName name="htrhrt" localSheetId="11" hidden="1">{"'Sheet1'!$L$16"}</definedName>
    <definedName name="htrhrt" hidden="1">{"'Sheet1'!$L$16"}</definedName>
    <definedName name="HTVL">#REF!</definedName>
    <definedName name="hu" localSheetId="8" hidden="1">{"'Sheet1'!$L$16"}</definedName>
    <definedName name="hu" localSheetId="9" hidden="1">{"'Sheet1'!$L$16"}</definedName>
    <definedName name="hu" localSheetId="11" hidden="1">{"'Sheet1'!$L$16"}</definedName>
    <definedName name="hu" hidden="1">{"'Sheet1'!$L$16"}</definedName>
    <definedName name="huy">#REF!</definedName>
    <definedName name="I">#REF!</definedName>
    <definedName name="IDLAB_COST">#REF!</definedName>
    <definedName name="IND_LAB">#REF!</definedName>
    <definedName name="INDMANP">#REF!</definedName>
    <definedName name="j">#REF!</definedName>
    <definedName name="j356C8">#REF!</definedName>
    <definedName name="K">#REF!</definedName>
    <definedName name="k2b">#REF!</definedName>
    <definedName name="kcong">#REF!</definedName>
    <definedName name="KH_Chang">#REF!</definedName>
    <definedName name="Khac" localSheetId="0">#REF!</definedName>
    <definedName name="Khac" localSheetId="1">#REF!</definedName>
    <definedName name="Khac">#REF!</definedName>
    <definedName name="KHANHKHUNG" localSheetId="8" hidden="1">{"'Sheet1'!$L$16"}</definedName>
    <definedName name="KHANHKHUNG" localSheetId="9" hidden="1">{"'Sheet1'!$L$16"}</definedName>
    <definedName name="KHANHKHUNG" localSheetId="11" hidden="1">{"'Sheet1'!$L$16"}</definedName>
    <definedName name="KHANHKHUNG" hidden="1">{"'Sheet1'!$L$16"}</definedName>
    <definedName name="khla09" localSheetId="8" hidden="1">{"'Sheet1'!$L$16"}</definedName>
    <definedName name="khla09" localSheetId="9" hidden="1">{"'Sheet1'!$L$16"}</definedName>
    <definedName name="khla09" localSheetId="11" hidden="1">{"'Sheet1'!$L$16"}</definedName>
    <definedName name="khla09" hidden="1">{"'Sheet1'!$L$16"}</definedName>
    <definedName name="KHOI_LUONG_DAT_DAO_DAP">#REF!</definedName>
    <definedName name="Khong_can_doi">#REF!</definedName>
    <definedName name="khongtruotgia" localSheetId="8" hidden="1">{"'Sheet1'!$L$16"}</definedName>
    <definedName name="khongtruotgia" localSheetId="9" hidden="1">{"'Sheet1'!$L$16"}</definedName>
    <definedName name="khongtruotgia" localSheetId="11" hidden="1">{"'Sheet1'!$L$16"}</definedName>
    <definedName name="khongtruotgia" hidden="1">{"'Sheet1'!$L$16"}</definedName>
    <definedName name="KhuyenmaiUPS">"AutoShape 264"</definedName>
    <definedName name="khvh09" localSheetId="8" hidden="1">{"'Sheet1'!$L$16"}</definedName>
    <definedName name="khvh09" localSheetId="9" hidden="1">{"'Sheet1'!$L$16"}</definedName>
    <definedName name="khvh09" localSheetId="11" hidden="1">{"'Sheet1'!$L$16"}</definedName>
    <definedName name="khvh09" hidden="1">{"'Sheet1'!$L$16"}</definedName>
    <definedName name="KHYt09" localSheetId="8" hidden="1">{"'Sheet1'!$L$16"}</definedName>
    <definedName name="KHYt09" localSheetId="9" hidden="1">{"'Sheet1'!$L$16"}</definedName>
    <definedName name="KHYt09" localSheetId="11" hidden="1">{"'Sheet1'!$L$16"}</definedName>
    <definedName name="KHYt09" hidden="1">{"'Sheet1'!$L$16"}</definedName>
    <definedName name="KINH_PHI_DEN_BU">#REF!</definedName>
    <definedName name="KINH_PHI_DZ0.4KV">#REF!</definedName>
    <definedName name="KINH_PHI_KHAO_SAT__LAP_BCNCKT__TKKTTC">#REF!</definedName>
    <definedName name="KINH_PHI_KHO_BAI">#REF!</definedName>
    <definedName name="KINH_PHI_TBA">#REF!</definedName>
    <definedName name="kk">0.8</definedName>
    <definedName name="kl_ME" localSheetId="0">#REF!</definedName>
    <definedName name="kl_ME" localSheetId="1">#REF!</definedName>
    <definedName name="kl_ME" localSheetId="11">#REF!</definedName>
    <definedName name="kl_ME">#REF!</definedName>
    <definedName name="KLduonggiaods" localSheetId="8" hidden="1">{"'Sheet1'!$L$16"}</definedName>
    <definedName name="KLduonggiaods" localSheetId="9" hidden="1">{"'Sheet1'!$L$16"}</definedName>
    <definedName name="KLduonggiaods" localSheetId="11" hidden="1">{"'Sheet1'!$L$16"}</definedName>
    <definedName name="KLduonggiaods" hidden="1">{"'Sheet1'!$L$16"}</definedName>
    <definedName name="KLTHDN">#REF!</definedName>
    <definedName name="KLVANKHUON">#REF!</definedName>
    <definedName name="komtun" localSheetId="6" hidden="1">{"'Sheet1'!$L$16"}</definedName>
    <definedName name="komtun" localSheetId="8" hidden="1">{"'Sheet1'!$L$16"}</definedName>
    <definedName name="komtun" localSheetId="9" hidden="1">{"'Sheet1'!$L$16"}</definedName>
    <definedName name="komtun" localSheetId="0" hidden="1">{"'Sheet1'!$L$16"}</definedName>
    <definedName name="komtun" localSheetId="1" hidden="1">{"'Sheet1'!$L$16"}</definedName>
    <definedName name="komtun" localSheetId="11" hidden="1">{"'Sheet1'!$L$16"}</definedName>
    <definedName name="komtun" hidden="1">{"'Sheet1'!$L$16"}</definedName>
    <definedName name="kp1ph">#REF!</definedName>
    <definedName name="KQ_Truong">#REF!</definedName>
    <definedName name="ksbn" localSheetId="8" hidden="1">{"'Sheet1'!$L$16"}</definedName>
    <definedName name="ksbn" localSheetId="9" hidden="1">{"'Sheet1'!$L$16"}</definedName>
    <definedName name="ksbn" localSheetId="11" hidden="1">{"'Sheet1'!$L$16"}</definedName>
    <definedName name="ksbn" hidden="1">{"'Sheet1'!$L$16"}</definedName>
    <definedName name="kshn" localSheetId="8" hidden="1">{"'Sheet1'!$L$16"}</definedName>
    <definedName name="kshn" localSheetId="9" hidden="1">{"'Sheet1'!$L$16"}</definedName>
    <definedName name="kshn" localSheetId="11" hidden="1">{"'Sheet1'!$L$16"}</definedName>
    <definedName name="kshn" hidden="1">{"'Sheet1'!$L$16"}</definedName>
    <definedName name="ksls" localSheetId="8" hidden="1">{"'Sheet1'!$L$16"}</definedName>
    <definedName name="ksls" localSheetId="9" hidden="1">{"'Sheet1'!$L$16"}</definedName>
    <definedName name="ksls" localSheetId="11" hidden="1">{"'Sheet1'!$L$16"}</definedName>
    <definedName name="ksls" hidden="1">{"'Sheet1'!$L$16"}</definedName>
    <definedName name="KSTK">#REF!</definedName>
    <definedName name="KtvCuoc2.2s">[4]NhanCong!$G$175</definedName>
    <definedName name="KtvCuoc2.4s">[4]NhanCong!$G$184</definedName>
    <definedName name="KtvCuoc2.6s">[4]NhanCong!$G$195</definedName>
    <definedName name="KVC" localSheetId="0">#REF!</definedName>
    <definedName name="KVC" localSheetId="1">#REF!</definedName>
    <definedName name="KVC" localSheetId="11">#REF!</definedName>
    <definedName name="KVC">#REF!</definedName>
    <definedName name="L" localSheetId="0">#REF!</definedName>
    <definedName name="L" localSheetId="1">#REF!</definedName>
    <definedName name="L" localSheetId="11">#REF!</definedName>
    <definedName name="L">#REF!</definedName>
    <definedName name="L_mong" localSheetId="0">#REF!</definedName>
    <definedName name="L_mong" localSheetId="1">#REF!</definedName>
    <definedName name="L_mong" localSheetId="11">#REF!</definedName>
    <definedName name="L_mong">#REF!</definedName>
    <definedName name="L63x6">5800</definedName>
    <definedName name="lan" localSheetId="0">#REF!</definedName>
    <definedName name="lan" localSheetId="1">#REF!</definedName>
    <definedName name="lan" localSheetId="11">#REF!</definedName>
    <definedName name="lan">#REF!</definedName>
    <definedName name="langson" localSheetId="8" hidden="1">{"'Sheet1'!$L$16"}</definedName>
    <definedName name="langson" localSheetId="9" hidden="1">{"'Sheet1'!$L$16"}</definedName>
    <definedName name="langson" localSheetId="11" hidden="1">{"'Sheet1'!$L$16"}</definedName>
    <definedName name="langson" hidden="1">{"'Sheet1'!$L$16"}</definedName>
    <definedName name="lanhto">#REF!</definedName>
    <definedName name="LAP_DAT_TBA">#REF!</definedName>
    <definedName name="Last_Row" localSheetId="8">IF('05 UB'!Values_Entered,Header_Row+'05 UB'!Number_of_Payments,Header_Row)</definedName>
    <definedName name="Last_Row" localSheetId="9">IF('05 xa'!Values_Entered,Header_Row+'05 xa'!Number_of_Payments,Header_Row)</definedName>
    <definedName name="Last_Row" localSheetId="11">#N/A</definedName>
    <definedName name="Last_Row">IF([0]!Values_Entered,Header_Row+[0]!Number_of_Payments,Header_Row)</definedName>
    <definedName name="LBS_22">107800000</definedName>
    <definedName name="LIET_KE_VI_TRI_DZ0.4KV" localSheetId="0">#REF!</definedName>
    <definedName name="LIET_KE_VI_TRI_DZ0.4KV" localSheetId="1">#REF!</definedName>
    <definedName name="LIET_KE_VI_TRI_DZ0.4KV" localSheetId="11">#REF!</definedName>
    <definedName name="LIET_KE_VI_TRI_DZ0.4KV">#REF!</definedName>
    <definedName name="LIET_KE_VI_TRI_DZ22KV">#REF!</definedName>
    <definedName name="LK_hathe">#REF!</definedName>
    <definedName name="Lmk">#REF!</definedName>
    <definedName name="lntt">#REF!</definedName>
    <definedName name="Loai_TD">#REF!</definedName>
    <definedName name="lVC">#REF!</definedName>
    <definedName name="Lx.125">[4]NhanCong!$G$132</definedName>
    <definedName name="Lx.140">[4]NhanCong!$G$137</definedName>
    <definedName name="Lx.175">[4]NhanCong!$G$127</definedName>
    <definedName name="Lx.225">[4]NhanCong!$G$133</definedName>
    <definedName name="Lx.275">[4]NhanCong!$G$128</definedName>
    <definedName name="Lx.325">[4]NhanCong!$G$134</definedName>
    <definedName name="Lx.340">[4]NhanCong!$G$139</definedName>
    <definedName name="Lx.375">[4]NhanCong!$G$129</definedName>
    <definedName name="Lx.440">[4]NhanCong!$G$140</definedName>
    <definedName name="M0.4" localSheetId="0">#REF!</definedName>
    <definedName name="M0.4" localSheetId="1">#REF!</definedName>
    <definedName name="M0.4" localSheetId="11">#REF!</definedName>
    <definedName name="M0.4">#REF!</definedName>
    <definedName name="M10aa1p" localSheetId="0">#REF!</definedName>
    <definedName name="M10aa1p" localSheetId="1">#REF!</definedName>
    <definedName name="M10aa1p" localSheetId="11">#REF!</definedName>
    <definedName name="M10aa1p">#REF!</definedName>
    <definedName name="M12aavl" localSheetId="0">#REF!</definedName>
    <definedName name="M12aavl" localSheetId="1">#REF!</definedName>
    <definedName name="M12aavl" localSheetId="11">#REF!</definedName>
    <definedName name="M12aavl">#REF!</definedName>
    <definedName name="M12ba3p">#REF!</definedName>
    <definedName name="M12bb1p">#REF!</definedName>
    <definedName name="M14bb1p">#REF!</definedName>
    <definedName name="M2KtvBung.1b">[4]NhanCong!$G$204</definedName>
    <definedName name="M2KtvBung.2b">[4]NhanCong!$G$205</definedName>
    <definedName name="M2KtvBung.3b">[4]NhanCong!$G$215</definedName>
    <definedName name="M2KtvBung.4b">[4]NhanCong!$G$216</definedName>
    <definedName name="M2KtvCuoc1.2s">[4]NhanCong!$G$173</definedName>
    <definedName name="M2KtvCuoc1.4s">[4]NhanCong!$G$182</definedName>
    <definedName name="M2KtvCuoc1.6s">[4]NhanCong!$G$193</definedName>
    <definedName name="M8a" localSheetId="0">#REF!</definedName>
    <definedName name="M8a" localSheetId="1">#REF!</definedName>
    <definedName name="M8a" localSheetId="11">#REF!</definedName>
    <definedName name="M8a">#REF!</definedName>
    <definedName name="M8aa" localSheetId="0">#REF!</definedName>
    <definedName name="M8aa" localSheetId="1">#REF!</definedName>
    <definedName name="M8aa" localSheetId="11">#REF!</definedName>
    <definedName name="M8aa">#REF!</definedName>
    <definedName name="m8aanc" localSheetId="0">#REF!</definedName>
    <definedName name="m8aanc" localSheetId="1">#REF!</definedName>
    <definedName name="m8aanc" localSheetId="11">#REF!</definedName>
    <definedName name="m8aanc">#REF!</definedName>
    <definedName name="m8aavl">#REF!</definedName>
    <definedName name="Ma3pnc">#REF!</definedName>
    <definedName name="Ma3pvl">#REF!</definedName>
    <definedName name="Maa3pnc">#REF!</definedName>
    <definedName name="Maa3pvl">#REF!</definedName>
    <definedName name="Macro3">#REF!</definedName>
    <definedName name="MAJ_CON_EQP">#REF!</definedName>
    <definedName name="MAVANKHUON">#REF!</definedName>
    <definedName name="MAVLTHDN">#REF!</definedName>
    <definedName name="Mba1p">#REF!</definedName>
    <definedName name="Mba3p">#REF!</definedName>
    <definedName name="Mbb3p">#REF!</definedName>
    <definedName name="mc">#REF!</definedName>
    <definedName name="MG_A">#REF!</definedName>
    <definedName name="MN">#REF!</definedName>
    <definedName name="mo" localSheetId="6" hidden="1">{"'Sheet1'!$L$16"}</definedName>
    <definedName name="mo" localSheetId="8" hidden="1">{"'Sheet1'!$L$16"}</definedName>
    <definedName name="mo" localSheetId="9" hidden="1">{"'Sheet1'!$L$16"}</definedName>
    <definedName name="mo" localSheetId="0" hidden="1">{"'Sheet1'!$L$16"}</definedName>
    <definedName name="mo" localSheetId="1" hidden="1">{"'Sheet1'!$L$16"}</definedName>
    <definedName name="mo" localSheetId="11" hidden="1">{"'Sheet1'!$L$16"}</definedName>
    <definedName name="mo" hidden="1">{"'Sheet1'!$L$16"}</definedName>
    <definedName name="mongbang">#REF!</definedName>
    <definedName name="mongdon">#REF!</definedName>
    <definedName name="Moùng">#REF!</definedName>
    <definedName name="MSCT">#REF!</definedName>
    <definedName name="mtcdg">#REF!</definedName>
    <definedName name="MTMAC12">#REF!</definedName>
    <definedName name="Mtr.1s">[4]NhanCong!$G$170</definedName>
    <definedName name="Mtr.2s">[4]NhanCong!$G$171</definedName>
    <definedName name="Mtr.3s">[4]NhanCong!$G$179</definedName>
    <definedName name="Mtr.4s">[4]NhanCong!$G$180</definedName>
    <definedName name="Mtr.5s">[4]NhanCong!$G$188</definedName>
    <definedName name="Mtr.6s">[4]NhanCong!$G$189</definedName>
    <definedName name="mtram" localSheetId="0">#REF!</definedName>
    <definedName name="mtram" localSheetId="1">#REF!</definedName>
    <definedName name="mtram" localSheetId="11">#REF!</definedName>
    <definedName name="mtram">#REF!</definedName>
    <definedName name="MtrTtrCuocPhun.2b">[4]NhanCong!$G$201</definedName>
    <definedName name="MtrTtrCuocPhun.4b">[4]NhanCong!$G$212</definedName>
    <definedName name="myle" localSheetId="0">#REF!</definedName>
    <definedName name="myle" localSheetId="1">#REF!</definedName>
    <definedName name="myle" localSheetId="11">#REF!</definedName>
    <definedName name="myle">#REF!</definedName>
    <definedName name="n" localSheetId="0">#REF!</definedName>
    <definedName name="n" localSheetId="1">#REF!</definedName>
    <definedName name="n" localSheetId="11">#REF!</definedName>
    <definedName name="n">#REF!</definedName>
    <definedName name="n..">[2]gvl!$N$38</definedName>
    <definedName name="n1pig" localSheetId="0">#REF!</definedName>
    <definedName name="n1pig" localSheetId="1">#REF!</definedName>
    <definedName name="n1pig" localSheetId="11">#REF!</definedName>
    <definedName name="n1pig">#REF!</definedName>
    <definedName name="N1pIGnc" localSheetId="0">#REF!</definedName>
    <definedName name="N1pIGnc" localSheetId="1">#REF!</definedName>
    <definedName name="N1pIGnc" localSheetId="11">#REF!</definedName>
    <definedName name="N1pIGnc">#REF!</definedName>
    <definedName name="N1pIGvc" localSheetId="0">#REF!</definedName>
    <definedName name="N1pIGvc" localSheetId="1">#REF!</definedName>
    <definedName name="N1pIGvc" localSheetId="11">#REF!</definedName>
    <definedName name="N1pIGvc">#REF!</definedName>
    <definedName name="N1pIGvl">#REF!</definedName>
    <definedName name="n1pind">#REF!</definedName>
    <definedName name="N1pINDnc">#REF!</definedName>
    <definedName name="N1pINDvc">#REF!</definedName>
    <definedName name="N1pINDvl">#REF!</definedName>
    <definedName name="n1ping">#REF!</definedName>
    <definedName name="N1pINGvc">#REF!</definedName>
    <definedName name="n1pint">#REF!</definedName>
    <definedName name="nc">#REF!</definedName>
    <definedName name="nc_btm10">#REF!</definedName>
    <definedName name="nc_btm100">#REF!</definedName>
    <definedName name="nc3p">#REF!</definedName>
    <definedName name="NCBD100">#REF!</definedName>
    <definedName name="NCBD200">#REF!</definedName>
    <definedName name="NCBD250">#REF!</definedName>
    <definedName name="NCcap0.7">#REF!</definedName>
    <definedName name="NCcap1">#REF!</definedName>
    <definedName name="NCCT3p">#REF!</definedName>
    <definedName name="ncdg">#REF!</definedName>
    <definedName name="NCKT">#REF!</definedName>
    <definedName name="nctram">#REF!</definedName>
    <definedName name="NCVC100">#REF!</definedName>
    <definedName name="NCVC200">#REF!</definedName>
    <definedName name="NCVC250">#REF!</definedName>
    <definedName name="NCVC3P">#REF!</definedName>
    <definedName name="NET">#REF!</definedName>
    <definedName name="NET_1">#REF!</definedName>
    <definedName name="NET_ANA">#REF!</definedName>
    <definedName name="NET_ANA_1">#REF!</definedName>
    <definedName name="NET_ANA_2">#REF!</definedName>
    <definedName name="Ngay">#REF!</definedName>
    <definedName name="NH">#REF!</definedName>
    <definedName name="NHAÂN_COÂNG" localSheetId="6">BTRAM</definedName>
    <definedName name="NHAÂN_COÂNG" localSheetId="8">BTRAM</definedName>
    <definedName name="NHAÂN_COÂNG" localSheetId="9">BTRAM</definedName>
    <definedName name="NHAÂN_COÂNG" localSheetId="0">BTRAM</definedName>
    <definedName name="NHAÂN_COÂNG" localSheetId="1">BTRAM</definedName>
    <definedName name="NHAÂN_COÂNG" localSheetId="11">BTRAM</definedName>
    <definedName name="NHAÂN_COÂNG">BTRAM</definedName>
    <definedName name="NHANH2_CG4" localSheetId="6" hidden="1">{"'Sheet1'!$L$16"}</definedName>
    <definedName name="NHANH2_CG4" localSheetId="8" hidden="1">{"'Sheet1'!$L$16"}</definedName>
    <definedName name="NHANH2_CG4" localSheetId="9" hidden="1">{"'Sheet1'!$L$16"}</definedName>
    <definedName name="NHANH2_CG4" localSheetId="0" hidden="1">{"'Sheet1'!$L$16"}</definedName>
    <definedName name="NHANH2_CG4" localSheetId="1" hidden="1">{"'Sheet1'!$L$16"}</definedName>
    <definedName name="NHANH2_CG4" localSheetId="11" hidden="1">{"'Sheet1'!$L$16"}</definedName>
    <definedName name="NHANH2_CG4" hidden="1">{"'Sheet1'!$L$16"}</definedName>
    <definedName name="nhn">#REF!</definedName>
    <definedName name="NHot">#REF!</definedName>
    <definedName name="nhu">#REF!</definedName>
    <definedName name="nhua">#REF!</definedName>
    <definedName name="nhuad">#REF!</definedName>
    <definedName name="nig">#REF!</definedName>
    <definedName name="nig1p">#REF!</definedName>
    <definedName name="nig3p">#REF!</definedName>
    <definedName name="NIGnc">#REF!</definedName>
    <definedName name="nignc1p">#REF!</definedName>
    <definedName name="NIGvc">#REF!</definedName>
    <definedName name="NIGvl">#REF!</definedName>
    <definedName name="nigvl1p">#REF!</definedName>
    <definedName name="nin">#REF!</definedName>
    <definedName name="nin1903p">#REF!</definedName>
    <definedName name="nin3p">#REF!</definedName>
    <definedName name="nind">#REF!</definedName>
    <definedName name="nind1p">#REF!</definedName>
    <definedName name="nind3p">#REF!</definedName>
    <definedName name="NINDnc">#REF!</definedName>
    <definedName name="nindnc1p">#REF!</definedName>
    <definedName name="NINDvc">#REF!</definedName>
    <definedName name="NINDvl">#REF!</definedName>
    <definedName name="nindvl1p">#REF!</definedName>
    <definedName name="ning1p">#REF!</definedName>
    <definedName name="ningnc1p">#REF!</definedName>
    <definedName name="ningvl1p">#REF!</definedName>
    <definedName name="NINnc">#REF!</definedName>
    <definedName name="nint1p">#REF!</definedName>
    <definedName name="nintnc1p">#REF!</definedName>
    <definedName name="nintvl1p">#REF!</definedName>
    <definedName name="NINvc">#REF!</definedName>
    <definedName name="NINvl">#REF!</definedName>
    <definedName name="nl">#REF!</definedName>
    <definedName name="nl1p">#REF!</definedName>
    <definedName name="nl3p">#REF!</definedName>
    <definedName name="nlht">#REF!</definedName>
    <definedName name="NLTK1p">#REF!</definedName>
    <definedName name="nn">#REF!</definedName>
    <definedName name="nn1p">#REF!</definedName>
    <definedName name="nn3p">#REF!</definedName>
    <definedName name="No">#REF!</definedName>
    <definedName name="NQD">#REF!</definedName>
    <definedName name="NQQH">#REF!</definedName>
    <definedName name="NSNN">#REF!</definedName>
    <definedName name="Number_of_Payments" localSheetId="8">MATCH(0.01,End_Bal,-1)+1</definedName>
    <definedName name="Number_of_Payments" localSheetId="9">MATCH(0.01,End_Bal,-1)+1</definedName>
    <definedName name="Number_of_Payments" localSheetId="11">MATCH(0.01,End_Bal,-1)+1</definedName>
    <definedName name="Number_of_Payments">MATCH(0.01,End_Bal,-1)+1</definedName>
    <definedName name="nuoc">[2]gvl!$N$38</definedName>
    <definedName name="nuoc1">[2]gvl!$N$38</definedName>
    <definedName name="nx" localSheetId="0">#REF!</definedName>
    <definedName name="nx" localSheetId="1">#REF!</definedName>
    <definedName name="nx" localSheetId="11">#REF!</definedName>
    <definedName name="nx">#REF!</definedName>
    <definedName name="ophom" localSheetId="0">#REF!</definedName>
    <definedName name="ophom" localSheetId="1">#REF!</definedName>
    <definedName name="ophom" localSheetId="11">#REF!</definedName>
    <definedName name="ophom">#REF!</definedName>
    <definedName name="OrderTable" localSheetId="0" hidden="1">#REF!</definedName>
    <definedName name="OrderTable" localSheetId="1" hidden="1">#REF!</definedName>
    <definedName name="OrderTable" localSheetId="11" hidden="1">#REF!</definedName>
    <definedName name="OrderTable" hidden="1">#REF!</definedName>
    <definedName name="osc">#REF!</definedName>
    <definedName name="PA">#REF!</definedName>
    <definedName name="PAIII_" localSheetId="8" hidden="1">{"'Sheet1'!$L$16"}</definedName>
    <definedName name="PAIII_" localSheetId="9" hidden="1">{"'Sheet1'!$L$16"}</definedName>
    <definedName name="PAIII_" localSheetId="11" hidden="1">{"'Sheet1'!$L$16"}</definedName>
    <definedName name="PAIII_" hidden="1">{"'Sheet1'!$L$16"}</definedName>
    <definedName name="panen">#REF!</definedName>
    <definedName name="PC">#REF!</definedName>
    <definedName name="Phan_cap">#REF!</definedName>
    <definedName name="PHAN_DIEN_DZ0.4KV">#REF!</definedName>
    <definedName name="PHAN_DIEN_TBA">#REF!</definedName>
    <definedName name="PHAN_MUA_SAM_DZ0.4KV">#REF!</definedName>
    <definedName name="Phi_le_phi">#REF!</definedName>
    <definedName name="phu_luc_vua">#REF!</definedName>
    <definedName name="PIP" localSheetId="8">BlankMacro1</definedName>
    <definedName name="PIP" localSheetId="9">BlankMacro1</definedName>
    <definedName name="PIP" localSheetId="11">BlankMacro1</definedName>
    <definedName name="PIP">BlankMacro1</definedName>
    <definedName name="PIPE2" localSheetId="8">BlankMacro1</definedName>
    <definedName name="PIPE2" localSheetId="9">BlankMacro1</definedName>
    <definedName name="PIPE2" localSheetId="11">BlankMacro1</definedName>
    <definedName name="PIPE2">BlankMacro1</definedName>
    <definedName name="PLKL" localSheetId="0">#REF!</definedName>
    <definedName name="PLKL" localSheetId="1">#REF!</definedName>
    <definedName name="PLKL" localSheetId="11">#REF!</definedName>
    <definedName name="PLKL">#REF!</definedName>
    <definedName name="PMS" localSheetId="8" hidden="1">{"'Sheet1'!$L$16"}</definedName>
    <definedName name="PMS" localSheetId="9" hidden="1">{"'Sheet1'!$L$16"}</definedName>
    <definedName name="PMS" localSheetId="11" hidden="1">{"'Sheet1'!$L$16"}</definedName>
    <definedName name="PMS" hidden="1">{"'Sheet1'!$L$16"}</definedName>
    <definedName name="PPP" localSheetId="8">BlankMacro1</definedName>
    <definedName name="PPP" localSheetId="9">BlankMacro1</definedName>
    <definedName name="PPP" localSheetId="11">BlankMacro1</definedName>
    <definedName name="PPP">BlankMacro1</definedName>
    <definedName name="PRICE" localSheetId="0">#REF!</definedName>
    <definedName name="PRICE" localSheetId="1">#REF!</definedName>
    <definedName name="PRICE" localSheetId="11">#REF!</definedName>
    <definedName name="PRICE">#REF!</definedName>
    <definedName name="PRICE1" localSheetId="0">#REF!</definedName>
    <definedName name="PRICE1" localSheetId="1">#REF!</definedName>
    <definedName name="PRICE1" localSheetId="11">#REF!</definedName>
    <definedName name="PRICE1">#REF!</definedName>
    <definedName name="_xlnm.Print_Area" localSheetId="8">'05 UB'!$A$1:$X$452</definedName>
    <definedName name="_xlnm.Print_Area" localSheetId="9">'05 xa'!$A$1:$AB$93</definedName>
    <definedName name="_xlnm.Print_Area" localSheetId="10">'07 THU NSX'!$A$1:$AE$19</definedName>
    <definedName name="_xlnm.Print_Area" localSheetId="2">'29.1'!$A$1:$I$37</definedName>
    <definedName name="_xlnm.Print_Area" localSheetId="4">'32'!$A$1:$H$46</definedName>
    <definedName name="_xlnm.Print_Area" localSheetId="0">'b01'!$A$1:$I$79</definedName>
    <definedName name="_xlnm.Print_Area" localSheetId="1">'b02'!$A$1:$AD$35</definedName>
    <definedName name="_xlnm.Print_Area" localSheetId="3">'b31'!$A$1:$J$80</definedName>
    <definedName name="_xlnm.Print_Area" localSheetId="11">GDUC!$A$1:$N$308</definedName>
    <definedName name="_xlnm.Print_Area">#REF!</definedName>
    <definedName name="_xlnm.Print_Titles" localSheetId="8">'05 UB'!$4:$9</definedName>
    <definedName name="_xlnm.Print_Titles" localSheetId="9">'05 xa'!$A:$B,'05 xa'!$4:$6</definedName>
    <definedName name="_xlnm.Print_Titles" localSheetId="4">'32'!$4:$6</definedName>
    <definedName name="_xlnm.Print_Titles" localSheetId="0">'b01'!$4:$5</definedName>
    <definedName name="_xlnm.Print_Titles" localSheetId="3">'b31'!$4:$5</definedName>
    <definedName name="_xlnm.Print_Titles" localSheetId="11">GDUC!$5:$8</definedName>
    <definedName name="_xlnm.Print_Titles">#N/A</definedName>
    <definedName name="PRINT_TITLES_MI" localSheetId="0">#REF!</definedName>
    <definedName name="PRINT_TITLES_MI" localSheetId="1">#REF!</definedName>
    <definedName name="PRINT_TITLES_MI" localSheetId="11">#REF!</definedName>
    <definedName name="PRINT_TITLES_MI">#REF!</definedName>
    <definedName name="PRINTA" localSheetId="0">#REF!</definedName>
    <definedName name="PRINTA" localSheetId="1">#REF!</definedName>
    <definedName name="PRINTA" localSheetId="11">#REF!</definedName>
    <definedName name="PRINTA">#REF!</definedName>
    <definedName name="PRINTB" localSheetId="0">#REF!</definedName>
    <definedName name="PRINTB" localSheetId="1">#REF!</definedName>
    <definedName name="PRINTB" localSheetId="11">#REF!</definedName>
    <definedName name="PRINTB">#REF!</definedName>
    <definedName name="PRINTC">#REF!</definedName>
    <definedName name="ProdForm" hidden="1">#REF!</definedName>
    <definedName name="Product" hidden="1">#REF!</definedName>
    <definedName name="PROPOSAL">#REF!</definedName>
    <definedName name="pt">#REF!</definedName>
    <definedName name="PT_Duong">#REF!</definedName>
    <definedName name="ptdg">#REF!</definedName>
    <definedName name="PTDG_cau">#REF!</definedName>
    <definedName name="PtichDTL">[6]!PtichDTL</definedName>
    <definedName name="PTNC" localSheetId="0">#REF!</definedName>
    <definedName name="PTNC" localSheetId="1">#REF!</definedName>
    <definedName name="PTNC" localSheetId="11">#REF!</definedName>
    <definedName name="PTNC">#REF!</definedName>
    <definedName name="pvd" localSheetId="0">#REF!</definedName>
    <definedName name="pvd" localSheetId="1">#REF!</definedName>
    <definedName name="pvd" localSheetId="11">#REF!</definedName>
    <definedName name="pvd">#REF!</definedName>
    <definedName name="Q__sè_721_Q__KH_T___27_5_03" localSheetId="8">TUANKHANHTUYET1</definedName>
    <definedName name="Q__sè_721_Q__KH_T___27_5_03" localSheetId="9">TUANKHANHTUYET1</definedName>
    <definedName name="Q__sè_721_Q__KH_T___27_5_03" localSheetId="11">TUANKHANHTUYET1</definedName>
    <definedName name="Q__sè_721_Q__KH_T___27_5_03">TUANKHANHTUYET1</definedName>
    <definedName name="qq" localSheetId="8">BlankMacro1</definedName>
    <definedName name="qq" localSheetId="9">BlankMacro1</definedName>
    <definedName name="qq" localSheetId="11">BlankMacro1</definedName>
    <definedName name="qq">BlankMacro1</definedName>
    <definedName name="qtdm" localSheetId="0">#REF!</definedName>
    <definedName name="qtdm" localSheetId="1">#REF!</definedName>
    <definedName name="qtdm" localSheetId="11">#REF!</definedName>
    <definedName name="qtdm">#REF!</definedName>
    <definedName name="ra11p" localSheetId="0">#REF!</definedName>
    <definedName name="ra11p" localSheetId="1">#REF!</definedName>
    <definedName name="ra11p" localSheetId="11">#REF!</definedName>
    <definedName name="ra11p">#REF!</definedName>
    <definedName name="ra13p" localSheetId="0">#REF!</definedName>
    <definedName name="ra13p" localSheetId="1">#REF!</definedName>
    <definedName name="ra13p" localSheetId="11">#REF!</definedName>
    <definedName name="ra13p">#REF!</definedName>
    <definedName name="rack1">#REF!</definedName>
    <definedName name="rack2">#REF!</definedName>
    <definedName name="rack3">#REF!</definedName>
    <definedName name="rack4">#REF!</definedName>
    <definedName name="rate">14000</definedName>
    <definedName name="RCArea" hidden="1">#REF!</definedName>
    <definedName name="re" localSheetId="8" hidden="1">{"'Sheet1'!$L$16"}</definedName>
    <definedName name="re" localSheetId="9" hidden="1">{"'Sheet1'!$L$16"}</definedName>
    <definedName name="re" localSheetId="11" hidden="1">{"'Sheet1'!$L$16"}</definedName>
    <definedName name="re" hidden="1">{"'Sheet1'!$L$16"}</definedName>
    <definedName name="_xlnm.Recorder">#REF!</definedName>
    <definedName name="RECOUT">#N/A</definedName>
    <definedName name="RFP003A" localSheetId="0">#REF!</definedName>
    <definedName name="RFP003A" localSheetId="1">#REF!</definedName>
    <definedName name="RFP003A" localSheetId="11">#REF!</definedName>
    <definedName name="RFP003A">#REF!</definedName>
    <definedName name="RFP003B" localSheetId="0">#REF!</definedName>
    <definedName name="RFP003B" localSheetId="1">#REF!</definedName>
    <definedName name="RFP003B" localSheetId="11">#REF!</definedName>
    <definedName name="RFP003B">#REF!</definedName>
    <definedName name="RFP003C" localSheetId="0">#REF!</definedName>
    <definedName name="RFP003C" localSheetId="1">#REF!</definedName>
    <definedName name="RFP003C" localSheetId="11">#REF!</definedName>
    <definedName name="RFP003C">#REF!</definedName>
    <definedName name="RFP003D">#REF!</definedName>
    <definedName name="RFP003E">#REF!</definedName>
    <definedName name="RFP003F">#REF!</definedName>
    <definedName name="RGHGSD" localSheetId="6" hidden="1">{"'Sheet1'!$L$16"}</definedName>
    <definedName name="RGHGSD" localSheetId="8" hidden="1">{"'Sheet1'!$L$16"}</definedName>
    <definedName name="RGHGSD" localSheetId="9" hidden="1">{"'Sheet1'!$L$16"}</definedName>
    <definedName name="RGHGSD" localSheetId="0" hidden="1">{"'Sheet1'!$L$16"}</definedName>
    <definedName name="RGHGSD" localSheetId="1" hidden="1">{"'Sheet1'!$L$16"}</definedName>
    <definedName name="RGHGSD" localSheetId="11" hidden="1">{"'Sheet1'!$L$16"}</definedName>
    <definedName name="RGHGSD" hidden="1">{"'Sheet1'!$L$16"}</definedName>
    <definedName name="rnp">32</definedName>
    <definedName name="rong1" localSheetId="0">#REF!</definedName>
    <definedName name="rong1" localSheetId="1">#REF!</definedName>
    <definedName name="rong1" localSheetId="11">#REF!</definedName>
    <definedName name="rong1">#REF!</definedName>
    <definedName name="rong2" localSheetId="0">#REF!</definedName>
    <definedName name="rong2" localSheetId="1">#REF!</definedName>
    <definedName name="rong2" localSheetId="11">#REF!</definedName>
    <definedName name="rong2">#REF!</definedName>
    <definedName name="rong3" localSheetId="0">#REF!</definedName>
    <definedName name="rong3" localSheetId="1">#REF!</definedName>
    <definedName name="rong3" localSheetId="11">#REF!</definedName>
    <definedName name="rong3">#REF!</definedName>
    <definedName name="rong4">#REF!</definedName>
    <definedName name="rong5">#REF!</definedName>
    <definedName name="rong6">#REF!</definedName>
    <definedName name="rr" localSheetId="6" hidden="1">{"'Sheet1'!$L$16"}</definedName>
    <definedName name="rr" localSheetId="8" hidden="1">{"'Sheet1'!$L$16"}</definedName>
    <definedName name="rr" localSheetId="9" hidden="1">{"'Sheet1'!$L$16"}</definedName>
    <definedName name="rr" localSheetId="0" hidden="1">{"'Sheet1'!$L$16"}</definedName>
    <definedName name="rr" localSheetId="1" hidden="1">{"'Sheet1'!$L$16"}</definedName>
    <definedName name="rr" localSheetId="11" hidden="1">{"'Sheet1'!$L$16"}</definedName>
    <definedName name="rr" hidden="1">{"'Sheet1'!$L$16"}</definedName>
    <definedName name="rytyuyu" localSheetId="6" hidden="1">{"'Sheet1'!$L$16"}</definedName>
    <definedName name="rytyuyu" localSheetId="8" hidden="1">{"'Sheet1'!$L$16"}</definedName>
    <definedName name="rytyuyu" localSheetId="9" hidden="1">{"'Sheet1'!$L$16"}</definedName>
    <definedName name="rytyuyu" localSheetId="0" hidden="1">{"'Sheet1'!$L$16"}</definedName>
    <definedName name="rytyuyu" localSheetId="1" hidden="1">{"'Sheet1'!$L$16"}</definedName>
    <definedName name="rytyuyu" localSheetId="11" hidden="1">{"'Sheet1'!$L$16"}</definedName>
    <definedName name="rytyuyu" hidden="1">{"'Sheet1'!$L$16"}</definedName>
    <definedName name="S.dinh">640</definedName>
    <definedName name="san" localSheetId="0">#REF!</definedName>
    <definedName name="san" localSheetId="1">#REF!</definedName>
    <definedName name="san" localSheetId="11">#REF!</definedName>
    <definedName name="san">#REF!</definedName>
    <definedName name="sand" localSheetId="0">#REF!</definedName>
    <definedName name="sand" localSheetId="1">#REF!</definedName>
    <definedName name="sand" localSheetId="11">#REF!</definedName>
    <definedName name="sand">#REF!</definedName>
    <definedName name="SCH" localSheetId="0">#REF!</definedName>
    <definedName name="SCH" localSheetId="1">#REF!</definedName>
    <definedName name="SCH" localSheetId="11">#REF!</definedName>
    <definedName name="SCH">#REF!</definedName>
    <definedName name="SCT">#REF!</definedName>
    <definedName name="sd1p">#REF!</definedName>
    <definedName name="sd3p">#REF!</definedName>
    <definedName name="sdbv" localSheetId="8" hidden="1">{"'Sheet1'!$L$16"}</definedName>
    <definedName name="sdbv" localSheetId="9" hidden="1">{"'Sheet1'!$L$16"}</definedName>
    <definedName name="sdbv" localSheetId="11" hidden="1">{"'Sheet1'!$L$16"}</definedName>
    <definedName name="sdbv" hidden="1">{"'Sheet1'!$L$16"}</definedName>
    <definedName name="SDDNN02" localSheetId="6" hidden="1">{"'Sheet1'!$L$16"}</definedName>
    <definedName name="SDDNN02" localSheetId="8" hidden="1">{"'Sheet1'!$L$16"}</definedName>
    <definedName name="SDDNN02" localSheetId="9" hidden="1">{"'Sheet1'!$L$16"}</definedName>
    <definedName name="SDDNN02" localSheetId="0" hidden="1">{"'Sheet1'!$L$16"}</definedName>
    <definedName name="SDDNN02" localSheetId="1" hidden="1">{"'Sheet1'!$L$16"}</definedName>
    <definedName name="SDDNN02" localSheetId="11" hidden="1">{"'Sheet1'!$L$16"}</definedName>
    <definedName name="SDDNN02" hidden="1">{"'Sheet1'!$L$16"}</definedName>
    <definedName name="SDMONG">#REF!</definedName>
    <definedName name="Sheet3" localSheetId="8">BlankMacro1</definedName>
    <definedName name="Sheet3" localSheetId="9">BlankMacro1</definedName>
    <definedName name="Sheet3" localSheetId="11">BlankMacro1</definedName>
    <definedName name="Sheet3">BlankMacro1</definedName>
    <definedName name="sho" localSheetId="0">#REF!</definedName>
    <definedName name="sho" localSheetId="1">#REF!</definedName>
    <definedName name="sho" localSheetId="11">#REF!</definedName>
    <definedName name="sho">#REF!</definedName>
    <definedName name="sht" localSheetId="0">#REF!</definedName>
    <definedName name="sht" localSheetId="1">#REF!</definedName>
    <definedName name="sht" localSheetId="11">#REF!</definedName>
    <definedName name="sht">#REF!</definedName>
    <definedName name="sht1p" localSheetId="0">#REF!</definedName>
    <definedName name="sht1p" localSheetId="1">#REF!</definedName>
    <definedName name="sht1p" localSheetId="11">#REF!</definedName>
    <definedName name="sht1p">#REF!</definedName>
    <definedName name="sht3p">#REF!</definedName>
    <definedName name="SIZE">#REF!</definedName>
    <definedName name="SL_CRD">#REF!</definedName>
    <definedName name="SL_CRS">#REF!</definedName>
    <definedName name="SL_CS">#REF!</definedName>
    <definedName name="SL_DD">#REF!</definedName>
    <definedName name="slg">#REF!</definedName>
    <definedName name="soc3p">#REF!</definedName>
    <definedName name="Soi">#REF!</definedName>
    <definedName name="soichon12">#REF!</definedName>
    <definedName name="soichon24">#REF!</definedName>
    <definedName name="soichon46">#REF!</definedName>
    <definedName name="solieu">#REF!</definedName>
    <definedName name="Sosanh2" localSheetId="8" hidden="1">{"'Sheet1'!$L$16"}</definedName>
    <definedName name="Sosanh2" localSheetId="9" hidden="1">{"'Sheet1'!$L$16"}</definedName>
    <definedName name="Sosanh2" localSheetId="11" hidden="1">{"'Sheet1'!$L$16"}</definedName>
    <definedName name="Sosanh2" hidden="1">{"'Sheet1'!$L$16"}</definedName>
    <definedName name="SPEC">#REF!</definedName>
    <definedName name="SpecialPrice" hidden="1">#REF!</definedName>
    <definedName name="SPECSUMMARY">#REF!</definedName>
    <definedName name="ss" localSheetId="0">#REF!</definedName>
    <definedName name="ss" localSheetId="1">#REF!</definedName>
    <definedName name="ss">#REF!</definedName>
    <definedName name="sss" localSheetId="0">#REF!</definedName>
    <definedName name="sss" localSheetId="1">#REF!</definedName>
    <definedName name="sss">#REF!</definedName>
    <definedName name="st1p" localSheetId="0">#REF!</definedName>
    <definedName name="st1p" localSheetId="1">#REF!</definedName>
    <definedName name="st1p">#REF!</definedName>
    <definedName name="st3p">#REF!</definedName>
    <definedName name="Start_1">#REF!</definedName>
    <definedName name="Start_10">#REF!</definedName>
    <definedName name="Start_11">#REF!</definedName>
    <definedName name="Start_12">#REF!</definedName>
    <definedName name="Start_13">#REF!</definedName>
    <definedName name="Start_2">#REF!</definedName>
    <definedName name="Start_3">#REF!</definedName>
    <definedName name="Start_4">#REF!</definedName>
    <definedName name="Start_5">#REF!</definedName>
    <definedName name="Start_6">#REF!</definedName>
    <definedName name="Start_7">#REF!</definedName>
    <definedName name="Start_8">#REF!</definedName>
    <definedName name="Start_9">#REF!</definedName>
    <definedName name="SU">#REF!</definedName>
    <definedName name="Sua" localSheetId="8">BlankMacro1</definedName>
    <definedName name="Sua" localSheetId="9">BlankMacro1</definedName>
    <definedName name="Sua" localSheetId="11">BlankMacro1</definedName>
    <definedName name="Sua">BlankMacro1</definedName>
    <definedName name="sub" localSheetId="0">#REF!</definedName>
    <definedName name="sub" localSheetId="1">#REF!</definedName>
    <definedName name="sub" localSheetId="11">#REF!</definedName>
    <definedName name="sub">#REF!</definedName>
    <definedName name="SUMMARY" localSheetId="0">#REF!</definedName>
    <definedName name="SUMMARY" localSheetId="1">#REF!</definedName>
    <definedName name="SUMMARY" localSheetId="11">#REF!</definedName>
    <definedName name="SUMMARY">#REF!</definedName>
    <definedName name="sur" localSheetId="0">#REF!</definedName>
    <definedName name="sur" localSheetId="1">#REF!</definedName>
    <definedName name="sur" localSheetId="11">#REF!</definedName>
    <definedName name="sur">#REF!</definedName>
    <definedName name="t">#REF!</definedName>
    <definedName name="T.3" localSheetId="8" hidden="1">{"'Sheet1'!$L$16"}</definedName>
    <definedName name="T.3" localSheetId="9" hidden="1">{"'Sheet1'!$L$16"}</definedName>
    <definedName name="T.3" localSheetId="11" hidden="1">{"'Sheet1'!$L$16"}</definedName>
    <definedName name="T.3" hidden="1">{"'Sheet1'!$L$16"}</definedName>
    <definedName name="t101p">#REF!</definedName>
    <definedName name="t103p">#REF!</definedName>
    <definedName name="t10m">#REF!</definedName>
    <definedName name="t10nc1p">#REF!</definedName>
    <definedName name="t10vl1p">#REF!</definedName>
    <definedName name="t121p">#REF!</definedName>
    <definedName name="t123p">#REF!</definedName>
    <definedName name="T12nc">#REF!</definedName>
    <definedName name="t12nc3p">#REF!</definedName>
    <definedName name="T12vc">#REF!</definedName>
    <definedName name="T12vl">#REF!</definedName>
    <definedName name="t141p">#REF!</definedName>
    <definedName name="t143p">#REF!</definedName>
    <definedName name="t7m">#REF!</definedName>
    <definedName name="t8m">#REF!</definedName>
    <definedName name="Tæng_c_ng_suÊt_hiÖn_t_i">"THOP"</definedName>
    <definedName name="TAN" localSheetId="0">#REF!</definedName>
    <definedName name="TAN" localSheetId="1">#REF!</definedName>
    <definedName name="TAN" localSheetId="11">#REF!</definedName>
    <definedName name="TAN">#REF!</definedName>
    <definedName name="Tang">100</definedName>
    <definedName name="TaxTV">10%</definedName>
    <definedName name="TaxXL">5%</definedName>
    <definedName name="TBA" localSheetId="0">#REF!</definedName>
    <definedName name="TBA" localSheetId="1">#REF!</definedName>
    <definedName name="TBA" localSheetId="11">#REF!</definedName>
    <definedName name="TBA">#REF!</definedName>
    <definedName name="tbl_ProdInfo" localSheetId="0" hidden="1">#REF!</definedName>
    <definedName name="tbl_ProdInfo" localSheetId="1" hidden="1">#REF!</definedName>
    <definedName name="tbl_ProdInfo" localSheetId="11" hidden="1">#REF!</definedName>
    <definedName name="tbl_ProdInfo" hidden="1">#REF!</definedName>
    <definedName name="tbtram" localSheetId="0">#REF!</definedName>
    <definedName name="tbtram" localSheetId="1">#REF!</definedName>
    <definedName name="tbtram" localSheetId="11">#REF!</definedName>
    <definedName name="tbtram">#REF!</definedName>
    <definedName name="TBXD">#REF!</definedName>
    <definedName name="TC">#REF!</definedName>
    <definedName name="TC_NHANH1">#REF!</definedName>
    <definedName name="TD">#REF!</definedName>
    <definedName name="TD12vl">#REF!</definedName>
    <definedName name="TD1p1nc">#REF!</definedName>
    <definedName name="td1p1vc">#REF!</definedName>
    <definedName name="TD1p1vl">#REF!</definedName>
    <definedName name="td3p">#REF!</definedName>
    <definedName name="TDctnc">#REF!</definedName>
    <definedName name="TDctvc">#REF!</definedName>
    <definedName name="TDctvl">#REF!</definedName>
    <definedName name="tdia">#REF!</definedName>
    <definedName name="tdnc1p">#REF!</definedName>
    <definedName name="tdt">#REF!</definedName>
    <definedName name="tdtr2cnc">#REF!</definedName>
    <definedName name="tdtr2cvl">#REF!</definedName>
    <definedName name="tdvl1p">#REF!</definedName>
    <definedName name="tenck">#REF!</definedName>
    <definedName name="Test5">#REF!</definedName>
    <definedName name="tha" localSheetId="6" hidden="1">{"'Sheet1'!$L$16"}</definedName>
    <definedName name="tha" localSheetId="8" hidden="1">{"'Sheet1'!$L$16"}</definedName>
    <definedName name="tha" localSheetId="9" hidden="1">{"'Sheet1'!$L$16"}</definedName>
    <definedName name="tha" localSheetId="0" hidden="1">{"'Sheet1'!$L$16"}</definedName>
    <definedName name="tha" localSheetId="1" hidden="1">{"'Sheet1'!$L$16"}</definedName>
    <definedName name="tha" localSheetId="11" hidden="1">{"'Sheet1'!$L$16"}</definedName>
    <definedName name="tha" hidden="1">{"'Sheet1'!$L$16"}</definedName>
    <definedName name="thai" localSheetId="6" hidden="1">{"'Sheet1'!$L$16"}</definedName>
    <definedName name="thai" localSheetId="8" hidden="1">{"'Sheet1'!$L$16"}</definedName>
    <definedName name="thai" localSheetId="9" hidden="1">{"'Sheet1'!$L$16"}</definedName>
    <definedName name="thai" localSheetId="0" hidden="1">{"'Sheet1'!$L$16"}</definedName>
    <definedName name="thai" localSheetId="1" hidden="1">{"'Sheet1'!$L$16"}</definedName>
    <definedName name="thai" localSheetId="11" hidden="1">{"'Sheet1'!$L$16"}</definedName>
    <definedName name="thai" hidden="1">{"'Sheet1'!$L$16"}</definedName>
    <definedName name="thang">#REF!</definedName>
    <definedName name="thanh" localSheetId="6" hidden="1">{"'Sheet1'!$L$16"}</definedName>
    <definedName name="thanh" localSheetId="8" hidden="1">{"'Sheet1'!$L$16"}</definedName>
    <definedName name="thanh" localSheetId="9" hidden="1">{"'Sheet1'!$L$16"}</definedName>
    <definedName name="thanh" localSheetId="0" hidden="1">{"'Sheet1'!$L$16"}</definedName>
    <definedName name="thanh" localSheetId="1" hidden="1">{"'Sheet1'!$L$16"}</definedName>
    <definedName name="thanh" localSheetId="11" hidden="1">{"'Sheet1'!$L$16"}</definedName>
    <definedName name="thanh" hidden="1">{"'Sheet1'!$L$16"}</definedName>
    <definedName name="thanhtien">#REF!</definedName>
    <definedName name="THCHM">[2]gvl!$N$38</definedName>
    <definedName name="THchon" localSheetId="0">#REF!</definedName>
    <definedName name="THchon" localSheetId="1">#REF!</definedName>
    <definedName name="THchon" localSheetId="11">#REF!</definedName>
    <definedName name="THchon">#REF!</definedName>
    <definedName name="thdt" localSheetId="0">#REF!</definedName>
    <definedName name="thdt" localSheetId="1">#REF!</definedName>
    <definedName name="thdt" localSheetId="11">#REF!</definedName>
    <definedName name="thdt">#REF!</definedName>
    <definedName name="THDT_HT_DAO_THUONG" localSheetId="0">#REF!</definedName>
    <definedName name="THDT_HT_DAO_THUONG" localSheetId="1">#REF!</definedName>
    <definedName name="THDT_HT_DAO_THUONG" localSheetId="11">#REF!</definedName>
    <definedName name="THDT_HT_DAO_THUONG">#REF!</definedName>
    <definedName name="THDT_HT_XOM_NOI">#REF!</definedName>
    <definedName name="THDT_NPP_XOM_NOI">#REF!</definedName>
    <definedName name="THDT_TBA_XOM_NOI">#REF!</definedName>
    <definedName name="thepban">#REF!</definedName>
    <definedName name="thepgoc25_60">#REF!</definedName>
    <definedName name="thepgoc63_75">#REF!</definedName>
    <definedName name="thepgoc80_100">#REF!</definedName>
    <definedName name="thepma">10500</definedName>
    <definedName name="theptron12" localSheetId="0">#REF!</definedName>
    <definedName name="theptron12" localSheetId="1">#REF!</definedName>
    <definedName name="theptron12" localSheetId="11">#REF!</definedName>
    <definedName name="theptron12">#REF!</definedName>
    <definedName name="theptron14_22" localSheetId="0">#REF!</definedName>
    <definedName name="theptron14_22" localSheetId="1">#REF!</definedName>
    <definedName name="theptron14_22" localSheetId="11">#REF!</definedName>
    <definedName name="theptron14_22">#REF!</definedName>
    <definedName name="theptron6_8" localSheetId="0">#REF!</definedName>
    <definedName name="theptron6_8" localSheetId="1">#REF!</definedName>
    <definedName name="theptron6_8" localSheetId="11">#REF!</definedName>
    <definedName name="theptron6_8">#REF!</definedName>
    <definedName name="thetichck">#REF!</definedName>
    <definedName name="THGO1pnc">#REF!</definedName>
    <definedName name="thht">#REF!</definedName>
    <definedName name="THI">#REF!</definedName>
    <definedName name="thkp3">#REF!</definedName>
    <definedName name="Tholan.204">[4]NhanCong!$G$221</definedName>
    <definedName name="TholanC1.12">[4]NhanCong!$G$224</definedName>
    <definedName name="THOP">"THOP"</definedName>
    <definedName name="THT" localSheetId="0">#REF!</definedName>
    <definedName name="THT" localSheetId="1">#REF!</definedName>
    <definedName name="THT" localSheetId="11">#REF!</definedName>
    <definedName name="THT">#REF!</definedName>
    <definedName name="thtich1" localSheetId="0">#REF!</definedName>
    <definedName name="thtich1" localSheetId="1">#REF!</definedName>
    <definedName name="thtich1" localSheetId="11">#REF!</definedName>
    <definedName name="thtich1">#REF!</definedName>
    <definedName name="thtich2" localSheetId="0">#REF!</definedName>
    <definedName name="thtich2" localSheetId="1">#REF!</definedName>
    <definedName name="thtich2" localSheetId="11">#REF!</definedName>
    <definedName name="thtich2">#REF!</definedName>
    <definedName name="thtich3">#REF!</definedName>
    <definedName name="thtich4">#REF!</definedName>
    <definedName name="thtich5">#REF!</definedName>
    <definedName name="thtich6">#REF!</definedName>
    <definedName name="thtt">#REF!</definedName>
    <definedName name="ThuyThu.2b">[4]NhanCong!$G$159</definedName>
    <definedName name="ThuyThu.3b">[4]NhanCong!$G$160</definedName>
    <definedName name="ThuyThu.4b">[4]NhanCong!$G$161</definedName>
    <definedName name="Tien" localSheetId="0">#REF!</definedName>
    <definedName name="Tien" localSheetId="1">#REF!</definedName>
    <definedName name="Tien" localSheetId="11">#REF!</definedName>
    <definedName name="Tien">#REF!</definedName>
    <definedName name="TIENLUONG" localSheetId="0">#REF!</definedName>
    <definedName name="TIENLUONG" localSheetId="1">#REF!</definedName>
    <definedName name="TIENLUONG" localSheetId="11">#REF!</definedName>
    <definedName name="TIENLUONG">#REF!</definedName>
    <definedName name="Tiepdiama">9500</definedName>
    <definedName name="TIEU_HAO_VAT_TU_DZ0.4KV" localSheetId="0">#REF!</definedName>
    <definedName name="TIEU_HAO_VAT_TU_DZ0.4KV" localSheetId="1">#REF!</definedName>
    <definedName name="TIEU_HAO_VAT_TU_DZ0.4KV" localSheetId="11">#REF!</definedName>
    <definedName name="TIEU_HAO_VAT_TU_DZ0.4KV">#REF!</definedName>
    <definedName name="TIEU_HAO_VAT_TU_DZ22KV" localSheetId="0">#REF!</definedName>
    <definedName name="TIEU_HAO_VAT_TU_DZ22KV" localSheetId="1">#REF!</definedName>
    <definedName name="TIEU_HAO_VAT_TU_DZ22KV" localSheetId="11">#REF!</definedName>
    <definedName name="TIEU_HAO_VAT_TU_DZ22KV">#REF!</definedName>
    <definedName name="TIEU_HAO_VAT_TU_TBA" localSheetId="0">#REF!</definedName>
    <definedName name="TIEU_HAO_VAT_TU_TBA" localSheetId="1">#REF!</definedName>
    <definedName name="TIEU_HAO_VAT_TU_TBA" localSheetId="11">#REF!</definedName>
    <definedName name="TIEU_HAO_VAT_TU_TBA">#REF!</definedName>
    <definedName name="TIT" localSheetId="0">#REF!</definedName>
    <definedName name="TIT" localSheetId="1">#REF!</definedName>
    <definedName name="TIT">#REF!</definedName>
    <definedName name="TITAN">#REF!</definedName>
    <definedName name="tk">#REF!</definedName>
    <definedName name="TKYB">"TKYB"</definedName>
    <definedName name="TLAC120" localSheetId="0">#REF!</definedName>
    <definedName name="TLAC120" localSheetId="1">#REF!</definedName>
    <definedName name="TLAC120" localSheetId="11">#REF!</definedName>
    <definedName name="TLAC120">#REF!</definedName>
    <definedName name="TLAC35" localSheetId="0">#REF!</definedName>
    <definedName name="TLAC35" localSheetId="1">#REF!</definedName>
    <definedName name="TLAC35" localSheetId="11">#REF!</definedName>
    <definedName name="TLAC35">#REF!</definedName>
    <definedName name="TLAC50" localSheetId="0">#REF!</definedName>
    <definedName name="TLAC50" localSheetId="1">#REF!</definedName>
    <definedName name="TLAC50" localSheetId="11">#REF!</definedName>
    <definedName name="TLAC50">#REF!</definedName>
    <definedName name="TLAC70">#REF!</definedName>
    <definedName name="TLAC95">#REF!</definedName>
    <definedName name="Tle">#REF!</definedName>
    <definedName name="TmayTdien.1b">[4]NhanCong!$G$162</definedName>
    <definedName name="TmayTdien.2b">[4]NhanCong!$G$163</definedName>
    <definedName name="TmayTdien.3b">[4]NhanCong!$G$164</definedName>
    <definedName name="TmayTdien.4b">[4]NhanCong!$G$165</definedName>
    <definedName name="Tong_co" localSheetId="0">#REF!</definedName>
    <definedName name="Tong_co" localSheetId="1">#REF!</definedName>
    <definedName name="Tong_co" localSheetId="11">#REF!</definedName>
    <definedName name="Tong_co">#REF!</definedName>
    <definedName name="TONG_GIA_TRI_CONG_TRINH" localSheetId="0">#REF!</definedName>
    <definedName name="TONG_GIA_TRI_CONG_TRINH" localSheetId="1">#REF!</definedName>
    <definedName name="TONG_GIA_TRI_CONG_TRINH" localSheetId="11">#REF!</definedName>
    <definedName name="TONG_GIA_TRI_CONG_TRINH">#REF!</definedName>
    <definedName name="TONG_HOP_THI_NGHIEM_DZ0.4KV" localSheetId="0">#REF!</definedName>
    <definedName name="TONG_HOP_THI_NGHIEM_DZ0.4KV" localSheetId="1">#REF!</definedName>
    <definedName name="TONG_HOP_THI_NGHIEM_DZ0.4KV" localSheetId="11">#REF!</definedName>
    <definedName name="TONG_HOP_THI_NGHIEM_DZ0.4KV">#REF!</definedName>
    <definedName name="TONG_HOP_THI_NGHIEM_DZ22KV">#REF!</definedName>
    <definedName name="TONG_KE_TBA">#REF!</definedName>
    <definedName name="Tong_no">#REF!</definedName>
    <definedName name="tongbt">#REF!</definedName>
    <definedName name="tongcong">#REF!</definedName>
    <definedName name="tongdientich">#REF!</definedName>
    <definedName name="TONGDUTOAN">#REF!</definedName>
    <definedName name="tongthep">#REF!</definedName>
    <definedName name="tongthetich">#REF!</definedName>
    <definedName name="Tonmai" localSheetId="8">#REF!</definedName>
    <definedName name="Tonmai" localSheetId="9">#REF!</definedName>
    <definedName name="Tonmai">#REF!</definedName>
    <definedName name="Tp1M1.11s">[4]NhanCong!$G$146</definedName>
    <definedName name="Tp1M1.22s">[4]NhanCong!$G$154</definedName>
    <definedName name="Tp2KtvHutBung.1b">[4]NhanCong!$G$206</definedName>
    <definedName name="Tp2KtvHutBung.2b">[4]NhanCong!$G$207</definedName>
    <definedName name="Tp2KtvHutBung.4b">[4]NhanCong!$G$218</definedName>
    <definedName name="Tp2M2.21s">[4]NhanCong!$G$155</definedName>
    <definedName name="TPLRP" localSheetId="0">#REF!</definedName>
    <definedName name="TPLRP" localSheetId="1">#REF!</definedName>
    <definedName name="TPLRP" localSheetId="11">#REF!</definedName>
    <definedName name="TPLRP">#REF!</definedName>
    <definedName name="Tra_DM_su_dung" localSheetId="0">#REF!</definedName>
    <definedName name="Tra_DM_su_dung" localSheetId="1">#REF!</definedName>
    <definedName name="Tra_DM_su_dung" localSheetId="11">#REF!</definedName>
    <definedName name="Tra_DM_su_dung">#REF!</definedName>
    <definedName name="Tra_don_gia_KS" localSheetId="0">#REF!</definedName>
    <definedName name="Tra_don_gia_KS" localSheetId="1">#REF!</definedName>
    <definedName name="Tra_don_gia_KS" localSheetId="11">#REF!</definedName>
    <definedName name="Tra_don_gia_KS">#REF!</definedName>
    <definedName name="Tra_DTCT">#REF!</definedName>
    <definedName name="Tra_tim_hang_mucPT_trung">#REF!</definedName>
    <definedName name="Tra_TL">#REF!</definedName>
    <definedName name="Tra_ty_le2">#REF!</definedName>
    <definedName name="Tra_ty_le3">#REF!</definedName>
    <definedName name="Tra_ty_le4">#REF!</definedName>
    <definedName name="Tra_ty_le5">#REF!</definedName>
    <definedName name="TRADE2">#REF!</definedName>
    <definedName name="trong" localSheetId="6" hidden="1">{"'Sheet1'!$L$16"}</definedName>
    <definedName name="trong" localSheetId="8" hidden="1">{"'Sheet1'!$L$16"}</definedName>
    <definedName name="trong" localSheetId="9" hidden="1">{"'Sheet1'!$L$16"}</definedName>
    <definedName name="trong" localSheetId="0" hidden="1">{"'Sheet1'!$L$16"}</definedName>
    <definedName name="trong" localSheetId="1" hidden="1">{"'Sheet1'!$L$16"}</definedName>
    <definedName name="trong" localSheetId="11" hidden="1">{"'Sheet1'!$L$16"}</definedName>
    <definedName name="trong" hidden="1">{"'Sheet1'!$L$16"}</definedName>
    <definedName name="trt">#REF!</definedName>
    <definedName name="TT_1P">#REF!</definedName>
    <definedName name="TT_3p">#REF!</definedName>
    <definedName name="ttbt">#REF!</definedName>
    <definedName name="TTDD1P">#REF!</definedName>
    <definedName name="TTDKKH">#REF!</definedName>
    <definedName name="tthi">#REF!</definedName>
    <definedName name="Ttr.11s">[4]NhanCong!$G$144</definedName>
    <definedName name="Ttr.12s">[4]NhanCong!$G$145</definedName>
    <definedName name="Ttr.21s">[4]NhanCong!$G$151</definedName>
    <definedName name="Ttr.22s">[4]NhanCong!$G$152</definedName>
    <definedName name="TTrHut300.1s">[4]NhanCong!$G$177</definedName>
    <definedName name="TTrHutCuoc300.1s">[4]NhanCong!$G$186</definedName>
    <definedName name="TTrHutCuoc300.2b">[4]NhanCong!$G$199</definedName>
    <definedName name="TTrHutCuoc300.2s">[4]NhanCong!$G$187</definedName>
    <definedName name="TTrHutCuoc800.2b">[4]NhanCong!$G$210</definedName>
    <definedName name="ttronmk" localSheetId="0">#REF!</definedName>
    <definedName name="ttronmk" localSheetId="1">#REF!</definedName>
    <definedName name="ttronmk" localSheetId="11">#REF!</definedName>
    <definedName name="ttronmk">#REF!</definedName>
    <definedName name="ttttt" localSheetId="8" hidden="1">{"'Sheet1'!$L$16"}</definedName>
    <definedName name="ttttt" localSheetId="9" hidden="1">{"'Sheet1'!$L$16"}</definedName>
    <definedName name="ttttt" localSheetId="11" hidden="1">{"'Sheet1'!$L$16"}</definedName>
    <definedName name="ttttt" hidden="1">{"'Sheet1'!$L$16"}</definedName>
    <definedName name="ttttttttttt" localSheetId="8" hidden="1">{"'Sheet1'!$L$16"}</definedName>
    <definedName name="ttttttttttt" localSheetId="9" hidden="1">{"'Sheet1'!$L$16"}</definedName>
    <definedName name="ttttttttttt" localSheetId="11" hidden="1">{"'Sheet1'!$L$16"}</definedName>
    <definedName name="ttttttttttt" hidden="1">{"'Sheet1'!$L$16"}</definedName>
    <definedName name="tuyennhanh" localSheetId="6" hidden="1">{"'Sheet1'!$L$16"}</definedName>
    <definedName name="tuyennhanh" localSheetId="8" hidden="1">{"'Sheet1'!$L$16"}</definedName>
    <definedName name="tuyennhanh" localSheetId="9" hidden="1">{"'Sheet1'!$L$16"}</definedName>
    <definedName name="tuyennhanh" localSheetId="0" hidden="1">{"'Sheet1'!$L$16"}</definedName>
    <definedName name="tuyennhanh" localSheetId="1" hidden="1">{"'Sheet1'!$L$16"}</definedName>
    <definedName name="tuyennhanh" localSheetId="11" hidden="1">{"'Sheet1'!$L$16"}</definedName>
    <definedName name="tuyennhanh" hidden="1">{"'Sheet1'!$L$16"}</definedName>
    <definedName name="tv75nc">#REF!</definedName>
    <definedName name="tv75vl">#REF!</definedName>
    <definedName name="TW">#REF!</definedName>
    <definedName name="ty_le">#REF!</definedName>
    <definedName name="ty_le_BTN">#REF!</definedName>
    <definedName name="Ty_le1">#REF!</definedName>
    <definedName name="TYT" localSheetId="8">BlankMacro1</definedName>
    <definedName name="TYT" localSheetId="9">BlankMacro1</definedName>
    <definedName name="TYT" localSheetId="11">BlankMacro1</definedName>
    <definedName name="TYT">BlankMacro1</definedName>
    <definedName name="ưewqêqư" localSheetId="6" hidden="1">{"'Sheet1'!$L$16"}</definedName>
    <definedName name="ưewqêqư" localSheetId="8" hidden="1">{"'Sheet1'!$L$16"}</definedName>
    <definedName name="ưewqêqư" localSheetId="9" hidden="1">{"'Sheet1'!$L$16"}</definedName>
    <definedName name="ưewqêqư" localSheetId="0" hidden="1">{"'Sheet1'!$L$16"}</definedName>
    <definedName name="ưewqêqư" localSheetId="1" hidden="1">{"'Sheet1'!$L$16"}</definedName>
    <definedName name="ưewqêqư" localSheetId="11" hidden="1">{"'Sheet1'!$L$16"}</definedName>
    <definedName name="ưewqêqư" hidden="1">{"'Sheet1'!$L$16"}</definedName>
    <definedName name="unitt" localSheetId="8">BlankMacro1</definedName>
    <definedName name="unitt" localSheetId="9">BlankMacro1</definedName>
    <definedName name="unitt" localSheetId="11">BlankMacro1</definedName>
    <definedName name="unitt">BlankMacro1</definedName>
    <definedName name="upnoc" localSheetId="0">#REF!</definedName>
    <definedName name="upnoc" localSheetId="1">#REF!</definedName>
    <definedName name="upnoc" localSheetId="11">#REF!</definedName>
    <definedName name="upnoc">#REF!</definedName>
    <definedName name="ut" localSheetId="8">BlankMacro1</definedName>
    <definedName name="ut" localSheetId="9">BlankMacro1</definedName>
    <definedName name="ut" localSheetId="11">BlankMacro1</definedName>
    <definedName name="ut">BlankMacro1</definedName>
    <definedName name="uu" localSheetId="8">#REF!</definedName>
    <definedName name="uu" localSheetId="9">#REF!</definedName>
    <definedName name="uu" localSheetId="11">#REF!</definedName>
    <definedName name="uu">#REF!</definedName>
    <definedName name="VAÄT_LIEÄU">"ATRAM"</definedName>
    <definedName name="Value0" localSheetId="0">#REF!</definedName>
    <definedName name="Value0" localSheetId="1">#REF!</definedName>
    <definedName name="Value0" localSheetId="11">#REF!</definedName>
    <definedName name="Value0">#REF!</definedName>
    <definedName name="Value1" localSheetId="0">#REF!</definedName>
    <definedName name="Value1" localSheetId="1">#REF!</definedName>
    <definedName name="Value1" localSheetId="11">#REF!</definedName>
    <definedName name="Value1">#REF!</definedName>
    <definedName name="Value10" localSheetId="0">#REF!</definedName>
    <definedName name="Value10" localSheetId="1">#REF!</definedName>
    <definedName name="Value10" localSheetId="11">#REF!</definedName>
    <definedName name="Value10">#REF!</definedName>
    <definedName name="Value11">#REF!</definedName>
    <definedName name="Value12">#REF!</definedName>
    <definedName name="Value13">#REF!</definedName>
    <definedName name="Value14">#REF!</definedName>
    <definedName name="Value15">#REF!</definedName>
    <definedName name="Value16">#REF!</definedName>
    <definedName name="Value17">#REF!</definedName>
    <definedName name="Value18">#REF!</definedName>
    <definedName name="Value19">#REF!</definedName>
    <definedName name="Value2">#REF!</definedName>
    <definedName name="Value20">#REF!</definedName>
    <definedName name="Value21">#REF!</definedName>
    <definedName name="Value22">#REF!</definedName>
    <definedName name="Value23">#REF!</definedName>
    <definedName name="Value24">#REF!</definedName>
    <definedName name="Value25">#REF!</definedName>
    <definedName name="Value26">#REF!</definedName>
    <definedName name="Value27">#REF!</definedName>
    <definedName name="Value28">#REF!</definedName>
    <definedName name="Value29">#REF!</definedName>
    <definedName name="Value3">#REF!</definedName>
    <definedName name="Value30">#REF!</definedName>
    <definedName name="Value31">#REF!</definedName>
    <definedName name="Value32">#REF!</definedName>
    <definedName name="Value33">#REF!</definedName>
    <definedName name="Value34">#REF!</definedName>
    <definedName name="Value35">#REF!</definedName>
    <definedName name="Value36">#REF!</definedName>
    <definedName name="Value37">#REF!</definedName>
    <definedName name="Value38">#REF!</definedName>
    <definedName name="Value39">#REF!</definedName>
    <definedName name="Value4">#REF!</definedName>
    <definedName name="Value40">#REF!</definedName>
    <definedName name="Value41">#REF!</definedName>
    <definedName name="Value42">#REF!</definedName>
    <definedName name="Value43">#REF!</definedName>
    <definedName name="Value44">#REF!</definedName>
    <definedName name="Value45">#REF!</definedName>
    <definedName name="Value46">#REF!</definedName>
    <definedName name="Value47">#REF!</definedName>
    <definedName name="Value48">#REF!</definedName>
    <definedName name="Value49">#REF!</definedName>
    <definedName name="Value5">#REF!</definedName>
    <definedName name="Value50">#REF!</definedName>
    <definedName name="Value51">#REF!</definedName>
    <definedName name="Value52">#REF!</definedName>
    <definedName name="Value53">#REF!</definedName>
    <definedName name="Value54">#REF!</definedName>
    <definedName name="Value55">#REF!</definedName>
    <definedName name="Value6">#REF!</definedName>
    <definedName name="Value7">#REF!</definedName>
    <definedName name="Value8">#REF!</definedName>
    <definedName name="Value9">#REF!</definedName>
    <definedName name="Values_Entered" localSheetId="8">IF(Loan_Amount*Interest_Rate*Loan_Years*Loan_Start&gt;0,1,0)</definedName>
    <definedName name="Values_Entered" localSheetId="9">IF(Loan_Amount*Interest_Rate*Loan_Years*Loan_Start&gt;0,1,0)</definedName>
    <definedName name="Values_Entered" localSheetId="11">IF(Loan_Amount*Interest_Rate*Loan_Years*Loan_Start&gt;0,1,0)</definedName>
    <definedName name="Values_Entered">IF(Loan_Amount*Interest_Rate*Loan_Years*Loan_Start&gt;0,1,0)</definedName>
    <definedName name="VAN_CHUYEN_DUONG_DAI_DZ0.4KV" localSheetId="0">#REF!</definedName>
    <definedName name="VAN_CHUYEN_DUONG_DAI_DZ0.4KV" localSheetId="1">#REF!</definedName>
    <definedName name="VAN_CHUYEN_DUONG_DAI_DZ0.4KV" localSheetId="11">#REF!</definedName>
    <definedName name="VAN_CHUYEN_DUONG_DAI_DZ0.4KV">#REF!</definedName>
    <definedName name="VAN_CHUYEN_DUONG_DAI_DZ22KV" localSheetId="0">#REF!</definedName>
    <definedName name="VAN_CHUYEN_DUONG_DAI_DZ22KV" localSheetId="1">#REF!</definedName>
    <definedName name="VAN_CHUYEN_DUONG_DAI_DZ22KV" localSheetId="11">#REF!</definedName>
    <definedName name="VAN_CHUYEN_DUONG_DAI_DZ22KV">#REF!</definedName>
    <definedName name="VAN_CHUYEN_VAT_TU_CHUNG" localSheetId="0">#REF!</definedName>
    <definedName name="VAN_CHUYEN_VAT_TU_CHUNG" localSheetId="1">#REF!</definedName>
    <definedName name="VAN_CHUYEN_VAT_TU_CHUNG" localSheetId="11">#REF!</definedName>
    <definedName name="VAN_CHUYEN_VAT_TU_CHUNG">#REF!</definedName>
    <definedName name="VAN_TRUNG_CHUYEN_VAT_TU_CHUNG">#REF!</definedName>
    <definedName name="vanchuyen">#REF!</definedName>
    <definedName name="VARIINST">#REF!</definedName>
    <definedName name="VARIPURC">#REF!</definedName>
    <definedName name="vat">#REF!</definedName>
    <definedName name="VAT_LIEU_DEN_CHAN_CONG_TRINH">#REF!</definedName>
    <definedName name="vat_lieu_KVIII">#REF!</definedName>
    <definedName name="VATM" localSheetId="6" hidden="1">{"'Sheet1'!$L$16"}</definedName>
    <definedName name="VATM" localSheetId="8" hidden="1">{"'Sheet1'!$L$16"}</definedName>
    <definedName name="VATM" localSheetId="9" hidden="1">{"'Sheet1'!$L$16"}</definedName>
    <definedName name="VATM" localSheetId="0" hidden="1">{"'Sheet1'!$L$16"}</definedName>
    <definedName name="VATM" localSheetId="1" hidden="1">{"'Sheet1'!$L$16"}</definedName>
    <definedName name="VATM" localSheetId="11" hidden="1">{"'Sheet1'!$L$16"}</definedName>
    <definedName name="VATM" hidden="1">{"'Sheet1'!$L$16"}</definedName>
    <definedName name="Vattu">#REF!</definedName>
    <definedName name="vbtchongnuocm300">#REF!</definedName>
    <definedName name="vbtm150">#REF!</definedName>
    <definedName name="vbtm300">#REF!</definedName>
    <definedName name="vbtm400">#REF!</definedName>
    <definedName name="VC">#REF!</definedName>
    <definedName name="vccot">#REF!</definedName>
    <definedName name="vcdc">#REF!</definedName>
    <definedName name="VCHT">#REF!</definedName>
    <definedName name="vclcat">[6]!vclcat</definedName>
    <definedName name="vcoto" localSheetId="8" hidden="1">{"'Sheet1'!$L$16"}</definedName>
    <definedName name="vcoto" localSheetId="9" hidden="1">{"'Sheet1'!$L$16"}</definedName>
    <definedName name="vcoto" localSheetId="11" hidden="1">{"'Sheet1'!$L$16"}</definedName>
    <definedName name="vcoto" hidden="1">{"'Sheet1'!$L$16"}</definedName>
    <definedName name="vct">#REF!</definedName>
    <definedName name="vctb">#REF!</definedName>
    <definedName name="VCVBT1">#REF!</definedName>
    <definedName name="VCVBT2">#REF!</definedName>
    <definedName name="vd3p">#REF!</definedName>
    <definedName name="vgk">#REF!</definedName>
    <definedName name="vgt">#REF!</definedName>
    <definedName name="VH" localSheetId="8" hidden="1">{"'Sheet1'!$L$16"}</definedName>
    <definedName name="VH" localSheetId="9" hidden="1">{"'Sheet1'!$L$16"}</definedName>
    <definedName name="VH" localSheetId="11" hidden="1">{"'Sheet1'!$L$16"}</definedName>
    <definedName name="VH" hidden="1">{"'Sheet1'!$L$16"}</definedName>
    <definedName name="Viet" localSheetId="8" hidden="1">{"'Sheet1'!$L$16"}</definedName>
    <definedName name="Viet" localSheetId="9" hidden="1">{"'Sheet1'!$L$16"}</definedName>
    <definedName name="Viet" localSheetId="11" hidden="1">{"'Sheet1'!$L$16"}</definedName>
    <definedName name="Viet" hidden="1">{"'Sheet1'!$L$16"}</definedName>
    <definedName name="vkcauthang">#REF!</definedName>
    <definedName name="vksan">#REF!</definedName>
    <definedName name="vl">#REF!</definedName>
    <definedName name="vl3p">#REF!</definedName>
    <definedName name="Vlcap0.7">#REF!</definedName>
    <definedName name="VLcap1">#REF!</definedName>
    <definedName name="vlct" localSheetId="8" hidden="1">{"'Sheet1'!$L$16"}</definedName>
    <definedName name="vlct" localSheetId="9" hidden="1">{"'Sheet1'!$L$16"}</definedName>
    <definedName name="vlct" localSheetId="11" hidden="1">{"'Sheet1'!$L$16"}</definedName>
    <definedName name="vlct" hidden="1">{"'Sheet1'!$L$16"}</definedName>
    <definedName name="VLCT3p">#REF!</definedName>
    <definedName name="vldg">#REF!</definedName>
    <definedName name="vldn400">#REF!</definedName>
    <definedName name="vldn600">#REF!</definedName>
    <definedName name="VLIEU">#REF!</definedName>
    <definedName name="VLM">#REF!</definedName>
    <definedName name="vltram">#REF!</definedName>
    <definedName name="vr3p">#REF!</definedName>
    <definedName name="Vua">#REF!</definedName>
    <definedName name="W">#REF!</definedName>
    <definedName name="Winpoints">3</definedName>
    <definedName name="WIRE1">5</definedName>
    <definedName name="wrn.chi._.tiÆt." localSheetId="6" hidden="1">{#N/A,#N/A,FALSE,"Chi tiÆt"}</definedName>
    <definedName name="wrn.chi._.tiÆt." localSheetId="8" hidden="1">{#N/A,#N/A,FALSE,"Chi tiÆt"}</definedName>
    <definedName name="wrn.chi._.tiÆt." localSheetId="9" hidden="1">{#N/A,#N/A,FALSE,"Chi tiÆt"}</definedName>
    <definedName name="wrn.chi._.tiÆt." localSheetId="0" hidden="1">{#N/A,#N/A,FALSE,"Chi tiÆt"}</definedName>
    <definedName name="wrn.chi._.tiÆt." localSheetId="1" hidden="1">{#N/A,#N/A,FALSE,"Chi tiÆt"}</definedName>
    <definedName name="wrn.chi._.tiÆt." localSheetId="11" hidden="1">{#N/A,#N/A,FALSE,"Chi tiÆt"}</definedName>
    <definedName name="wrn.chi._.tiÆt." hidden="1">{#N/A,#N/A,FALSE,"Chi tiÆt"}</definedName>
    <definedName name="wrn.vd." localSheetId="6" hidden="1">{#N/A,#N/A,TRUE,"BT M200 da 10x20"}</definedName>
    <definedName name="wrn.vd." localSheetId="8" hidden="1">{#N/A,#N/A,TRUE,"BT M200 da 10x20"}</definedName>
    <definedName name="wrn.vd." localSheetId="9" hidden="1">{#N/A,#N/A,TRUE,"BT M200 da 10x20"}</definedName>
    <definedName name="wrn.vd." localSheetId="0" hidden="1">{#N/A,#N/A,TRUE,"BT M200 da 10x20"}</definedName>
    <definedName name="wrn.vd." localSheetId="1" hidden="1">{#N/A,#N/A,TRUE,"BT M200 da 10x20"}</definedName>
    <definedName name="wrn.vd." localSheetId="11" hidden="1">{#N/A,#N/A,TRUE,"BT M200 da 10x20"}</definedName>
    <definedName name="wrn.vd." hidden="1">{#N/A,#N/A,TRUE,"BT M200 da 10x20"}</definedName>
    <definedName name="X" localSheetId="0">#REF!</definedName>
    <definedName name="X" localSheetId="1">#REF!</definedName>
    <definedName name="X" localSheetId="11">#REF!</definedName>
    <definedName name="X">#REF!</definedName>
    <definedName name="x1pind" localSheetId="0">#REF!</definedName>
    <definedName name="x1pind" localSheetId="1">#REF!</definedName>
    <definedName name="x1pind" localSheetId="11">#REF!</definedName>
    <definedName name="x1pind">#REF!</definedName>
    <definedName name="X1pINDnc" localSheetId="0">#REF!</definedName>
    <definedName name="X1pINDnc" localSheetId="1">#REF!</definedName>
    <definedName name="X1pINDnc" localSheetId="11">#REF!</definedName>
    <definedName name="X1pINDnc">#REF!</definedName>
    <definedName name="X1pINDvc">#REF!</definedName>
    <definedName name="X1pINDvl">#REF!</definedName>
    <definedName name="x1ping">#REF!</definedName>
    <definedName name="X1pINGnc">#REF!</definedName>
    <definedName name="X1pINGvc">#REF!</definedName>
    <definedName name="X1pINGvl">#REF!</definedName>
    <definedName name="x1pint">#REF!</definedName>
    <definedName name="XBCNCKT">5600</definedName>
    <definedName name="XCCT">0.5</definedName>
    <definedName name="xd0.6">#REF!</definedName>
    <definedName name="xd1.3">#REF!</definedName>
    <definedName name="xd1.5">#REF!</definedName>
    <definedName name="xfco">#REF!</definedName>
    <definedName name="xfco3p">#REF!</definedName>
    <definedName name="XFCOnc">#REF!</definedName>
    <definedName name="xfcotnc">#REF!</definedName>
    <definedName name="xfcotvl">#REF!</definedName>
    <definedName name="XFCOvl">#REF!</definedName>
    <definedName name="xgc100">#REF!</definedName>
    <definedName name="xgc150">#REF!</definedName>
    <definedName name="xgc200">#REF!</definedName>
    <definedName name="xh">#REF!</definedName>
    <definedName name="xhn">#REF!</definedName>
    <definedName name="xig">#REF!</definedName>
    <definedName name="xig1">#REF!</definedName>
    <definedName name="xig1p">#REF!</definedName>
    <definedName name="xig3p">#REF!</definedName>
    <definedName name="XIGnc">#REF!</definedName>
    <definedName name="XIGvc">#REF!</definedName>
    <definedName name="XIGvl">#REF!</definedName>
    <definedName name="ximang">#REF!</definedName>
    <definedName name="xin">#REF!</definedName>
    <definedName name="xin190">#REF!</definedName>
    <definedName name="xin1903p">#REF!</definedName>
    <definedName name="xin3p">#REF!</definedName>
    <definedName name="xind">#REF!</definedName>
    <definedName name="xind1p">#REF!</definedName>
    <definedName name="xind3p">#REF!</definedName>
    <definedName name="xindnc1p">#REF!</definedName>
    <definedName name="xindvl1p">#REF!</definedName>
    <definedName name="xing1p">#REF!</definedName>
    <definedName name="xingnc1p">#REF!</definedName>
    <definedName name="xingvl1p">#REF!</definedName>
    <definedName name="XINnc">#REF!</definedName>
    <definedName name="xint1p">#REF!</definedName>
    <definedName name="XINvc">#REF!</definedName>
    <definedName name="XINvl">#REF!</definedName>
    <definedName name="xit">#REF!</definedName>
    <definedName name="xit1">#REF!</definedName>
    <definedName name="xit1p">#REF!</definedName>
    <definedName name="xit23p">#REF!</definedName>
    <definedName name="xit3p">#REF!</definedName>
    <definedName name="XITnc">#REF!</definedName>
    <definedName name="XITvc">#REF!</definedName>
    <definedName name="XITvl">#REF!</definedName>
    <definedName name="xk0.6">#REF!</definedName>
    <definedName name="xk1.3">#REF!</definedName>
    <definedName name="xk1.5">#REF!</definedName>
    <definedName name="xld1.4">#REF!</definedName>
    <definedName name="xlk1.4">#REF!</definedName>
    <definedName name="xls" localSheetId="8" hidden="1">{"'Sheet1'!$L$16"}</definedName>
    <definedName name="xls" localSheetId="9" hidden="1">{"'Sheet1'!$L$16"}</definedName>
    <definedName name="xls" localSheetId="11" hidden="1">{"'Sheet1'!$L$16"}</definedName>
    <definedName name="xls" hidden="1">{"'Sheet1'!$L$16"}</definedName>
    <definedName name="xlttbninh" localSheetId="8" hidden="1">{"'Sheet1'!$L$16"}</definedName>
    <definedName name="xlttbninh" localSheetId="9" hidden="1">{"'Sheet1'!$L$16"}</definedName>
    <definedName name="xlttbninh" localSheetId="11" hidden="1">{"'Sheet1'!$L$16"}</definedName>
    <definedName name="xlttbninh" hidden="1">{"'Sheet1'!$L$16"}</definedName>
    <definedName name="xm">[2]gvl!$N$16</definedName>
    <definedName name="xm..">[2]gvl!$N$16</definedName>
    <definedName name="xm.1">[2]gvl!$N$16</definedName>
    <definedName name="xmcax" localSheetId="0">#REF!</definedName>
    <definedName name="xmcax" localSheetId="1">#REF!</definedName>
    <definedName name="xmcax" localSheetId="11">#REF!</definedName>
    <definedName name="xmcax">#REF!</definedName>
    <definedName name="xn" localSheetId="0">#REF!</definedName>
    <definedName name="xn" localSheetId="1">#REF!</definedName>
    <definedName name="xn" localSheetId="11">#REF!</definedName>
    <definedName name="xn">#REF!</definedName>
    <definedName name="XTKKTTC">7500</definedName>
    <definedName name="xx" localSheetId="0">#REF!</definedName>
    <definedName name="xx" localSheetId="1">#REF!</definedName>
    <definedName name="xx" localSheetId="11">#REF!</definedName>
    <definedName name="xx">#REF!</definedName>
    <definedName name="y" localSheetId="0">#REF!</definedName>
    <definedName name="y" localSheetId="1">#REF!</definedName>
    <definedName name="y" localSheetId="11">#REF!</definedName>
    <definedName name="y">#REF!</definedName>
    <definedName name="yuyuyu" localSheetId="6" hidden="1">{"'Sheet1'!$L$16"}</definedName>
    <definedName name="yuyuyu" localSheetId="8" hidden="1">{"'Sheet1'!$L$16"}</definedName>
    <definedName name="yuyuyu" localSheetId="9" hidden="1">{"'Sheet1'!$L$16"}</definedName>
    <definedName name="yuyuyu" localSheetId="0" hidden="1">{"'Sheet1'!$L$16"}</definedName>
    <definedName name="yuyuyu" localSheetId="1" hidden="1">{"'Sheet1'!$L$16"}</definedName>
    <definedName name="yuyuyu" localSheetId="11" hidden="1">{"'Sheet1'!$L$16"}</definedName>
    <definedName name="yuyuyu" hidden="1">{"'Sheet1'!$L$16"}</definedName>
    <definedName name="z">#REF!</definedName>
    <definedName name="ZXD">#REF!</definedName>
    <definedName name="ZYX">#REF!</definedName>
    <definedName name="ZZZ">#REF!</definedName>
    <definedName name="템플리트모듈1" localSheetId="8">BlankMacro1</definedName>
    <definedName name="템플리트모듈1" localSheetId="9">BlankMacro1</definedName>
    <definedName name="템플리트모듈1" localSheetId="11">BlankMacro1</definedName>
    <definedName name="템플리트모듈1">BlankMacro1</definedName>
    <definedName name="템플리트모듈2" localSheetId="8">BlankMacro1</definedName>
    <definedName name="템플리트모듈2" localSheetId="9">BlankMacro1</definedName>
    <definedName name="템플리트모듈2" localSheetId="11">BlankMacro1</definedName>
    <definedName name="템플리트모듈2">BlankMacro1</definedName>
    <definedName name="템플리트모듈3" localSheetId="8">BlankMacro1</definedName>
    <definedName name="템플리트모듈3" localSheetId="9">BlankMacro1</definedName>
    <definedName name="템플리트모듈3" localSheetId="11">BlankMacro1</definedName>
    <definedName name="템플리트모듈3">BlankMacro1</definedName>
    <definedName name="템플리트모듈4" localSheetId="8">BlankMacro1</definedName>
    <definedName name="템플리트모듈4" localSheetId="9">BlankMacro1</definedName>
    <definedName name="템플리트모듈4" localSheetId="11">BlankMacro1</definedName>
    <definedName name="템플리트모듈4">BlankMacro1</definedName>
    <definedName name="템플리트모듈5" localSheetId="8">BlankMacro1</definedName>
    <definedName name="템플리트모듈5" localSheetId="9">BlankMacro1</definedName>
    <definedName name="템플리트모듈5" localSheetId="11">BlankMacro1</definedName>
    <definedName name="템플리트모듈5">BlankMacro1</definedName>
    <definedName name="템플리트모듈6" localSheetId="8">BlankMacro1</definedName>
    <definedName name="템플리트모듈6" localSheetId="9">BlankMacro1</definedName>
    <definedName name="템플리트모듈6" localSheetId="11">BlankMacro1</definedName>
    <definedName name="템플리트모듈6">BlankMacro1</definedName>
    <definedName name="피팅" localSheetId="8">BlankMacro1</definedName>
    <definedName name="피팅" localSheetId="9">BlankMacro1</definedName>
    <definedName name="피팅" localSheetId="11">BlankMacro1</definedName>
    <definedName name="피팅">BlankMacro1</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A93" i="58" l="1"/>
  <c r="Y93" i="58"/>
  <c r="W93" i="58"/>
  <c r="U93" i="58"/>
  <c r="R93" i="58"/>
  <c r="P93" i="58"/>
  <c r="N93" i="58"/>
  <c r="L93" i="58"/>
  <c r="J93" i="58"/>
  <c r="H93" i="58"/>
  <c r="F93" i="58"/>
  <c r="D93" i="58"/>
  <c r="C93" i="58" s="1"/>
  <c r="AA92" i="58"/>
  <c r="Y92" i="58"/>
  <c r="W92" i="58"/>
  <c r="U92" i="58"/>
  <c r="R92" i="58"/>
  <c r="P92" i="58"/>
  <c r="N92" i="58"/>
  <c r="L92" i="58"/>
  <c r="J92" i="58"/>
  <c r="H92" i="58"/>
  <c r="F92" i="58"/>
  <c r="E92" i="58"/>
  <c r="D92" i="58"/>
  <c r="C92" i="58"/>
  <c r="AA91" i="58"/>
  <c r="Y91" i="58"/>
  <c r="W91" i="58"/>
  <c r="U91" i="58"/>
  <c r="U89" i="58" s="1"/>
  <c r="R91" i="58"/>
  <c r="P91" i="58"/>
  <c r="N91" i="58"/>
  <c r="L91" i="58"/>
  <c r="J91" i="58"/>
  <c r="H91" i="58"/>
  <c r="F91" i="58"/>
  <c r="E91" i="58"/>
  <c r="E89" i="58" s="1"/>
  <c r="D91" i="58"/>
  <c r="C91" i="58" s="1"/>
  <c r="AB90" i="58"/>
  <c r="AA90" i="58"/>
  <c r="Z90" i="58"/>
  <c r="X90" i="58"/>
  <c r="W90" i="58"/>
  <c r="W89" i="58" s="1"/>
  <c r="U90" i="58"/>
  <c r="S90" i="58"/>
  <c r="R90" i="58" s="1"/>
  <c r="Q90" i="58"/>
  <c r="P90" i="58" s="1"/>
  <c r="P89" i="58" s="1"/>
  <c r="O90" i="58"/>
  <c r="M90" i="58"/>
  <c r="L90" i="58" s="1"/>
  <c r="J90" i="58"/>
  <c r="I90" i="58"/>
  <c r="H90" i="58"/>
  <c r="H89" i="58" s="1"/>
  <c r="G90" i="58"/>
  <c r="E90" i="58"/>
  <c r="AB89" i="58"/>
  <c r="X89" i="58"/>
  <c r="V89" i="58"/>
  <c r="T89" i="58"/>
  <c r="K89" i="58"/>
  <c r="I89" i="58"/>
  <c r="AA87" i="58"/>
  <c r="Y87" i="58"/>
  <c r="W87" i="58"/>
  <c r="U87" i="58"/>
  <c r="R87" i="58"/>
  <c r="P87" i="58"/>
  <c r="N87" i="58"/>
  <c r="L87" i="58"/>
  <c r="J87" i="58"/>
  <c r="H87" i="58"/>
  <c r="F87" i="58"/>
  <c r="E87" i="58"/>
  <c r="D87" i="58"/>
  <c r="C87" i="58" s="1"/>
  <c r="AA86" i="58"/>
  <c r="Z86" i="58"/>
  <c r="Y86" i="58"/>
  <c r="W86" i="58"/>
  <c r="U86" i="58"/>
  <c r="R86" i="58"/>
  <c r="P86" i="58"/>
  <c r="N86" i="58"/>
  <c r="L86" i="58"/>
  <c r="J86" i="58"/>
  <c r="H86" i="58"/>
  <c r="F86" i="58"/>
  <c r="E86" i="58"/>
  <c r="D86" i="58"/>
  <c r="C86" i="58"/>
  <c r="AA85" i="58"/>
  <c r="Y85" i="58"/>
  <c r="W85" i="58"/>
  <c r="U85" i="58"/>
  <c r="R85" i="58"/>
  <c r="P85" i="58"/>
  <c r="N85" i="58"/>
  <c r="L85" i="58"/>
  <c r="J85" i="58"/>
  <c r="J80" i="58" s="1"/>
  <c r="H85" i="58"/>
  <c r="F85" i="58"/>
  <c r="E85" i="58"/>
  <c r="D85" i="58"/>
  <c r="AA84" i="58"/>
  <c r="Y84" i="58"/>
  <c r="X84" i="58"/>
  <c r="X80" i="58" s="1"/>
  <c r="W84" i="58"/>
  <c r="U84" i="58"/>
  <c r="S84" i="58"/>
  <c r="R84" i="58" s="1"/>
  <c r="P84" i="58"/>
  <c r="N84" i="58"/>
  <c r="L84" i="58"/>
  <c r="J84" i="58"/>
  <c r="H84" i="58"/>
  <c r="F84" i="58"/>
  <c r="E84" i="58"/>
  <c r="AA83" i="58"/>
  <c r="Z83" i="58"/>
  <c r="W83" i="58"/>
  <c r="U83" i="58"/>
  <c r="R83" i="58"/>
  <c r="P83" i="58"/>
  <c r="N83" i="58"/>
  <c r="N80" i="58" s="1"/>
  <c r="L83" i="58"/>
  <c r="J83" i="58"/>
  <c r="H83" i="58"/>
  <c r="F83" i="58"/>
  <c r="F80" i="58" s="1"/>
  <c r="E83" i="58"/>
  <c r="AA82" i="58"/>
  <c r="Z82" i="58"/>
  <c r="Y82" i="58" s="1"/>
  <c r="W82" i="58"/>
  <c r="U82" i="58"/>
  <c r="R82" i="58"/>
  <c r="P82" i="58"/>
  <c r="N82" i="58"/>
  <c r="L82" i="58"/>
  <c r="J82" i="58"/>
  <c r="H82" i="58"/>
  <c r="F82" i="58"/>
  <c r="E82" i="58"/>
  <c r="AA81" i="58"/>
  <c r="Z81" i="58"/>
  <c r="W81" i="58"/>
  <c r="U81" i="58"/>
  <c r="R81" i="58"/>
  <c r="P81" i="58"/>
  <c r="P80" i="58" s="1"/>
  <c r="N81" i="58"/>
  <c r="L81" i="58"/>
  <c r="J81" i="58"/>
  <c r="H81" i="58"/>
  <c r="H80" i="58" s="1"/>
  <c r="H75" i="58" s="1"/>
  <c r="F81" i="58"/>
  <c r="E81" i="58"/>
  <c r="AB80" i="58"/>
  <c r="Z80" i="58"/>
  <c r="V80" i="58"/>
  <c r="T80" i="58"/>
  <c r="T75" i="58" s="1"/>
  <c r="Q80" i="58"/>
  <c r="O80" i="58"/>
  <c r="M80" i="58"/>
  <c r="K80" i="58"/>
  <c r="I80" i="58"/>
  <c r="G80" i="58"/>
  <c r="AA79" i="58"/>
  <c r="Y79" i="58"/>
  <c r="W79" i="58"/>
  <c r="U79" i="58"/>
  <c r="R79" i="58"/>
  <c r="R76" i="58" s="1"/>
  <c r="P79" i="58"/>
  <c r="N79" i="58"/>
  <c r="L79" i="58"/>
  <c r="J79" i="58"/>
  <c r="J76" i="58" s="1"/>
  <c r="J75" i="58" s="1"/>
  <c r="H79" i="58"/>
  <c r="F79" i="58"/>
  <c r="E79" i="58"/>
  <c r="D79" i="58"/>
  <c r="AA78" i="58"/>
  <c r="Y78" i="58"/>
  <c r="W78" i="58"/>
  <c r="U78" i="58"/>
  <c r="U76" i="58" s="1"/>
  <c r="R78" i="58"/>
  <c r="P78" i="58"/>
  <c r="N78" i="58"/>
  <c r="L78" i="58"/>
  <c r="L76" i="58" s="1"/>
  <c r="J78" i="58"/>
  <c r="H78" i="58"/>
  <c r="F78" i="58"/>
  <c r="E78" i="58"/>
  <c r="E76" i="58" s="1"/>
  <c r="D78" i="58"/>
  <c r="AA77" i="58"/>
  <c r="Y77" i="58"/>
  <c r="Y76" i="58" s="1"/>
  <c r="W77" i="58"/>
  <c r="W76" i="58" s="1"/>
  <c r="U77" i="58"/>
  <c r="R77" i="58"/>
  <c r="P77" i="58"/>
  <c r="P76" i="58" s="1"/>
  <c r="P75" i="58" s="1"/>
  <c r="N77" i="58"/>
  <c r="N76" i="58" s="1"/>
  <c r="L77" i="58"/>
  <c r="J77" i="58"/>
  <c r="H77" i="58"/>
  <c r="H76" i="58" s="1"/>
  <c r="F77" i="58"/>
  <c r="F76" i="58" s="1"/>
  <c r="F75" i="58" s="1"/>
  <c r="E77" i="58"/>
  <c r="D77" i="58"/>
  <c r="AB76" i="58"/>
  <c r="Z76" i="58"/>
  <c r="X76" i="58"/>
  <c r="V76" i="58"/>
  <c r="V75" i="58" s="1"/>
  <c r="T76" i="58"/>
  <c r="S76" i="58"/>
  <c r="Q76" i="58"/>
  <c r="O76" i="58"/>
  <c r="M76" i="58"/>
  <c r="M75" i="58" s="1"/>
  <c r="K76" i="58"/>
  <c r="I76" i="58"/>
  <c r="G76" i="58"/>
  <c r="X75" i="58"/>
  <c r="Q75" i="58"/>
  <c r="O75" i="58"/>
  <c r="K75" i="58"/>
  <c r="I75" i="58"/>
  <c r="G75" i="58"/>
  <c r="AA74" i="58"/>
  <c r="Y74" i="58"/>
  <c r="W74" i="58"/>
  <c r="U74" i="58"/>
  <c r="R74" i="58"/>
  <c r="P74" i="58"/>
  <c r="N74" i="58"/>
  <c r="L74" i="58"/>
  <c r="J74" i="58"/>
  <c r="H74" i="58"/>
  <c r="F74" i="58"/>
  <c r="E74" i="58"/>
  <c r="D74" i="58"/>
  <c r="C74" i="58" s="1"/>
  <c r="AA73" i="58"/>
  <c r="Y73" i="58"/>
  <c r="W73" i="58"/>
  <c r="U73" i="58"/>
  <c r="R73" i="58"/>
  <c r="P73" i="58"/>
  <c r="N73" i="58"/>
  <c r="L73" i="58"/>
  <c r="J73" i="58"/>
  <c r="H73" i="58"/>
  <c r="F73" i="58"/>
  <c r="E73" i="58"/>
  <c r="D73" i="58"/>
  <c r="AA72" i="58"/>
  <c r="Y72" i="58"/>
  <c r="W72" i="58"/>
  <c r="U72" i="58"/>
  <c r="R72" i="58"/>
  <c r="P72" i="58"/>
  <c r="N72" i="58"/>
  <c r="L72" i="58"/>
  <c r="J72" i="58"/>
  <c r="H72" i="58"/>
  <c r="F72" i="58"/>
  <c r="E72" i="58"/>
  <c r="D72" i="58"/>
  <c r="AA71" i="58"/>
  <c r="Y71" i="58"/>
  <c r="W71" i="58"/>
  <c r="U71" i="58"/>
  <c r="R71" i="58"/>
  <c r="P71" i="58"/>
  <c r="N71" i="58"/>
  <c r="L71" i="58"/>
  <c r="J71" i="58"/>
  <c r="H71" i="58"/>
  <c r="F71" i="58"/>
  <c r="E71" i="58"/>
  <c r="D71" i="58"/>
  <c r="AA70" i="58"/>
  <c r="Z70" i="58"/>
  <c r="X70" i="58"/>
  <c r="W70" i="58"/>
  <c r="V70" i="58"/>
  <c r="R70" i="58"/>
  <c r="P70" i="58"/>
  <c r="N70" i="58"/>
  <c r="L70" i="58"/>
  <c r="J70" i="58"/>
  <c r="H70" i="58"/>
  <c r="F70" i="58"/>
  <c r="E70" i="58"/>
  <c r="AA69" i="58"/>
  <c r="Y69" i="58"/>
  <c r="W69" i="58"/>
  <c r="U69" i="58"/>
  <c r="R69" i="58"/>
  <c r="P69" i="58"/>
  <c r="N69" i="58"/>
  <c r="L69" i="58"/>
  <c r="J69" i="58"/>
  <c r="H69" i="58"/>
  <c r="F69" i="58"/>
  <c r="E69" i="58"/>
  <c r="D69" i="58"/>
  <c r="C69" i="58"/>
  <c r="AA68" i="58"/>
  <c r="Y68" i="58"/>
  <c r="X68" i="58"/>
  <c r="X45" i="58" s="1"/>
  <c r="W45" i="58" s="1"/>
  <c r="W68" i="58"/>
  <c r="U68" i="58"/>
  <c r="R68" i="58"/>
  <c r="Q68" i="58"/>
  <c r="Q45" i="58" s="1"/>
  <c r="P45" i="58" s="1"/>
  <c r="P68" i="58"/>
  <c r="N68" i="58"/>
  <c r="L68" i="58"/>
  <c r="J68" i="58"/>
  <c r="H68" i="58"/>
  <c r="F68" i="58"/>
  <c r="E68" i="58"/>
  <c r="D68" i="58"/>
  <c r="C68" i="58"/>
  <c r="AA67" i="58"/>
  <c r="Y67" i="58"/>
  <c r="W67" i="58"/>
  <c r="U67" i="58"/>
  <c r="R67" i="58"/>
  <c r="P67" i="58"/>
  <c r="N67" i="58"/>
  <c r="L67" i="58"/>
  <c r="J67" i="58"/>
  <c r="H67" i="58"/>
  <c r="F67" i="58"/>
  <c r="E67" i="58"/>
  <c r="C67" i="58" s="1"/>
  <c r="D67" i="58"/>
  <c r="AA66" i="58"/>
  <c r="Y66" i="58"/>
  <c r="W66" i="58"/>
  <c r="U66" i="58"/>
  <c r="R66" i="58"/>
  <c r="P66" i="58"/>
  <c r="N66" i="58"/>
  <c r="L66" i="58"/>
  <c r="J66" i="58"/>
  <c r="H66" i="58"/>
  <c r="F66" i="58"/>
  <c r="E66" i="58"/>
  <c r="D66" i="58"/>
  <c r="C66" i="58"/>
  <c r="AA65" i="58"/>
  <c r="Y65" i="58"/>
  <c r="W65" i="58"/>
  <c r="U65" i="58"/>
  <c r="R65" i="58"/>
  <c r="P65" i="58"/>
  <c r="N65" i="58"/>
  <c r="L65" i="58"/>
  <c r="J65" i="58"/>
  <c r="H65" i="58"/>
  <c r="F65" i="58"/>
  <c r="E65" i="58"/>
  <c r="D65" i="58"/>
  <c r="C65" i="58" s="1"/>
  <c r="AA64" i="58"/>
  <c r="Y64" i="58"/>
  <c r="W64" i="58"/>
  <c r="U64" i="58"/>
  <c r="R64" i="58"/>
  <c r="P64" i="58"/>
  <c r="N64" i="58"/>
  <c r="L64" i="58"/>
  <c r="J64" i="58"/>
  <c r="H64" i="58"/>
  <c r="F64" i="58"/>
  <c r="E64" i="58"/>
  <c r="D64" i="58"/>
  <c r="C64" i="58"/>
  <c r="AB63" i="58"/>
  <c r="AA63" i="58" s="1"/>
  <c r="Z63" i="58"/>
  <c r="Y63" i="58"/>
  <c r="X63" i="58"/>
  <c r="W63" i="58" s="1"/>
  <c r="V63" i="58"/>
  <c r="U63" i="58"/>
  <c r="S63" i="58"/>
  <c r="R63" i="58" s="1"/>
  <c r="Q63" i="58"/>
  <c r="P63" i="58"/>
  <c r="N63" i="58"/>
  <c r="L63" i="58"/>
  <c r="J63" i="58"/>
  <c r="I63" i="58"/>
  <c r="F63" i="58"/>
  <c r="E63" i="58"/>
  <c r="AA62" i="58"/>
  <c r="Y62" i="58"/>
  <c r="W62" i="58"/>
  <c r="U62" i="58"/>
  <c r="R62" i="58"/>
  <c r="P62" i="58"/>
  <c r="N62" i="58"/>
  <c r="L62" i="58"/>
  <c r="J62" i="58"/>
  <c r="H62" i="58"/>
  <c r="F62" i="58"/>
  <c r="E62" i="58"/>
  <c r="D62" i="58"/>
  <c r="C62" i="58" s="1"/>
  <c r="AA61" i="58"/>
  <c r="Y61" i="58"/>
  <c r="W61" i="58"/>
  <c r="U61" i="58"/>
  <c r="R61" i="58"/>
  <c r="P61" i="58"/>
  <c r="N61" i="58"/>
  <c r="L61" i="58"/>
  <c r="J61" i="58"/>
  <c r="H61" i="58"/>
  <c r="F61" i="58"/>
  <c r="E61" i="58"/>
  <c r="D61" i="58"/>
  <c r="AB60" i="58"/>
  <c r="AA60" i="58" s="1"/>
  <c r="Z60" i="58"/>
  <c r="Y60" i="58" s="1"/>
  <c r="X60" i="58"/>
  <c r="W60" i="58" s="1"/>
  <c r="V60" i="58"/>
  <c r="U60" i="58" s="1"/>
  <c r="S60" i="58"/>
  <c r="R60" i="58" s="1"/>
  <c r="Q60" i="58"/>
  <c r="P60" i="58" s="1"/>
  <c r="O60" i="58"/>
  <c r="N60" i="58" s="1"/>
  <c r="M60" i="58"/>
  <c r="L60" i="58" s="1"/>
  <c r="K60" i="58"/>
  <c r="J60" i="58" s="1"/>
  <c r="I60" i="58"/>
  <c r="H60" i="58" s="1"/>
  <c r="G60" i="58"/>
  <c r="F60" i="58" s="1"/>
  <c r="E60" i="58"/>
  <c r="AA59" i="58"/>
  <c r="Y59" i="58"/>
  <c r="W59" i="58"/>
  <c r="U59" i="58"/>
  <c r="R59" i="58"/>
  <c r="P59" i="58"/>
  <c r="N59" i="58"/>
  <c r="L59" i="58"/>
  <c r="J59" i="58"/>
  <c r="H59" i="58"/>
  <c r="F59" i="58"/>
  <c r="E59" i="58"/>
  <c r="D59" i="58"/>
  <c r="C59" i="58" s="1"/>
  <c r="AB58" i="58"/>
  <c r="AA58" i="58" s="1"/>
  <c r="Z58" i="58"/>
  <c r="Y58" i="58" s="1"/>
  <c r="X58" i="58"/>
  <c r="W58" i="58"/>
  <c r="V58" i="58"/>
  <c r="U58" i="58" s="1"/>
  <c r="S58" i="58"/>
  <c r="R58" i="58"/>
  <c r="Q58" i="58"/>
  <c r="P58" i="58" s="1"/>
  <c r="O58" i="58"/>
  <c r="N58" i="58" s="1"/>
  <c r="M58" i="58"/>
  <c r="L58" i="58" s="1"/>
  <c r="K58" i="58"/>
  <c r="J58" i="58"/>
  <c r="I58" i="58"/>
  <c r="H58" i="58" s="1"/>
  <c r="G58" i="58"/>
  <c r="F58" i="58"/>
  <c r="E58" i="58"/>
  <c r="AA57" i="58"/>
  <c r="Y57" i="58"/>
  <c r="W57" i="58"/>
  <c r="U57" i="58"/>
  <c r="R57" i="58"/>
  <c r="P57" i="58"/>
  <c r="N57" i="58"/>
  <c r="L57" i="58"/>
  <c r="J57" i="58"/>
  <c r="H57" i="58"/>
  <c r="F57" i="58"/>
  <c r="E57" i="58"/>
  <c r="D57" i="58"/>
  <c r="C57" i="58" s="1"/>
  <c r="AA56" i="58"/>
  <c r="Y56" i="58"/>
  <c r="W56" i="58"/>
  <c r="U56" i="58"/>
  <c r="R56" i="58"/>
  <c r="P56" i="58"/>
  <c r="N56" i="58"/>
  <c r="L56" i="58"/>
  <c r="J56" i="58"/>
  <c r="H56" i="58"/>
  <c r="F56" i="58"/>
  <c r="E56" i="58"/>
  <c r="D56" i="58"/>
  <c r="C56" i="58" s="1"/>
  <c r="AA55" i="58"/>
  <c r="Y55" i="58"/>
  <c r="W55" i="58"/>
  <c r="U55" i="58"/>
  <c r="R55" i="58"/>
  <c r="Q55" i="58"/>
  <c r="P55" i="58"/>
  <c r="N55" i="58"/>
  <c r="L55" i="58"/>
  <c r="J55" i="58"/>
  <c r="H55" i="58"/>
  <c r="F55" i="58"/>
  <c r="E55" i="58"/>
  <c r="D55" i="58"/>
  <c r="C55" i="58"/>
  <c r="AA54" i="58"/>
  <c r="Z54" i="58"/>
  <c r="Y54" i="58" s="1"/>
  <c r="X54" i="58"/>
  <c r="U54" i="58"/>
  <c r="R54" i="58"/>
  <c r="P54" i="58"/>
  <c r="N54" i="58"/>
  <c r="L54" i="58"/>
  <c r="J54" i="58"/>
  <c r="H54" i="58"/>
  <c r="F54" i="58"/>
  <c r="E54" i="58"/>
  <c r="AA53" i="58"/>
  <c r="Y53" i="58"/>
  <c r="W53" i="58"/>
  <c r="U53" i="58"/>
  <c r="R53" i="58"/>
  <c r="P53" i="58"/>
  <c r="N53" i="58"/>
  <c r="L53" i="58"/>
  <c r="J53" i="58"/>
  <c r="H53" i="58"/>
  <c r="F53" i="58"/>
  <c r="E53" i="58"/>
  <c r="D53" i="58"/>
  <c r="AA52" i="58"/>
  <c r="Y52" i="58"/>
  <c r="W52" i="58"/>
  <c r="U52" i="58"/>
  <c r="R52" i="58"/>
  <c r="P52" i="58"/>
  <c r="N52" i="58"/>
  <c r="L52" i="58"/>
  <c r="J52" i="58"/>
  <c r="H52" i="58"/>
  <c r="F52" i="58"/>
  <c r="E52" i="58"/>
  <c r="D52" i="58"/>
  <c r="C52" i="58" s="1"/>
  <c r="AA51" i="58"/>
  <c r="Y51" i="58"/>
  <c r="W51" i="58"/>
  <c r="U51" i="58"/>
  <c r="R51" i="58"/>
  <c r="P51" i="58"/>
  <c r="N51" i="58"/>
  <c r="L51" i="58"/>
  <c r="J51" i="58"/>
  <c r="H51" i="58"/>
  <c r="F51" i="58"/>
  <c r="E51" i="58"/>
  <c r="D51" i="58"/>
  <c r="AB50" i="58"/>
  <c r="AA50" i="58" s="1"/>
  <c r="Z50" i="58"/>
  <c r="Y50" i="58"/>
  <c r="X50" i="58"/>
  <c r="W50" i="58" s="1"/>
  <c r="V50" i="58"/>
  <c r="U50" i="58"/>
  <c r="S50" i="58"/>
  <c r="R50" i="58" s="1"/>
  <c r="Q50" i="58"/>
  <c r="P50" i="58"/>
  <c r="O50" i="58"/>
  <c r="N50" i="58" s="1"/>
  <c r="M50" i="58"/>
  <c r="L50" i="58"/>
  <c r="K50" i="58"/>
  <c r="J50" i="58" s="1"/>
  <c r="I50" i="58"/>
  <c r="H50" i="58"/>
  <c r="G50" i="58"/>
  <c r="E50" i="58"/>
  <c r="AA49" i="58"/>
  <c r="Y49" i="58"/>
  <c r="W49" i="58"/>
  <c r="U49" i="58"/>
  <c r="R49" i="58"/>
  <c r="P49" i="58"/>
  <c r="N49" i="58"/>
  <c r="L49" i="58"/>
  <c r="J49" i="58"/>
  <c r="H49" i="58"/>
  <c r="F49" i="58"/>
  <c r="E49" i="58"/>
  <c r="D49" i="58"/>
  <c r="C49" i="58" s="1"/>
  <c r="AA48" i="58"/>
  <c r="Y48" i="58"/>
  <c r="W48" i="58"/>
  <c r="U48" i="58"/>
  <c r="R48" i="58"/>
  <c r="P48" i="58"/>
  <c r="N48" i="58"/>
  <c r="L48" i="58"/>
  <c r="J48" i="58"/>
  <c r="H48" i="58"/>
  <c r="F48" i="58"/>
  <c r="E48" i="58"/>
  <c r="D48" i="58"/>
  <c r="AA47" i="58"/>
  <c r="Y47" i="58"/>
  <c r="W47" i="58"/>
  <c r="U47" i="58"/>
  <c r="R47" i="58"/>
  <c r="P47" i="58"/>
  <c r="N47" i="58"/>
  <c r="L47" i="58"/>
  <c r="J47" i="58"/>
  <c r="H47" i="58"/>
  <c r="F47" i="58"/>
  <c r="E47" i="58"/>
  <c r="D47" i="58"/>
  <c r="AA46" i="58"/>
  <c r="Y46" i="58"/>
  <c r="W46" i="58"/>
  <c r="U46" i="58"/>
  <c r="R46" i="58"/>
  <c r="P46" i="58"/>
  <c r="N46" i="58"/>
  <c r="L46" i="58"/>
  <c r="J46" i="58"/>
  <c r="H46" i="58"/>
  <c r="F46" i="58"/>
  <c r="E46" i="58"/>
  <c r="D46" i="58"/>
  <c r="C46" i="58" s="1"/>
  <c r="AB45" i="58"/>
  <c r="AA45" i="58" s="1"/>
  <c r="V45" i="58"/>
  <c r="U45" i="58" s="1"/>
  <c r="S45" i="58"/>
  <c r="R45" i="58" s="1"/>
  <c r="O45" i="58"/>
  <c r="N45" i="58" s="1"/>
  <c r="M45" i="58"/>
  <c r="L45" i="58" s="1"/>
  <c r="K45" i="58"/>
  <c r="J45" i="58" s="1"/>
  <c r="I45" i="58"/>
  <c r="H45" i="58" s="1"/>
  <c r="G45" i="58"/>
  <c r="E45" i="58"/>
  <c r="AA44" i="58"/>
  <c r="Y44" i="58"/>
  <c r="W44" i="58"/>
  <c r="U44" i="58"/>
  <c r="R44" i="58"/>
  <c r="P44" i="58"/>
  <c r="N44" i="58"/>
  <c r="L44" i="58"/>
  <c r="J44" i="58"/>
  <c r="H44" i="58"/>
  <c r="F44" i="58"/>
  <c r="E44" i="58"/>
  <c r="D44" i="58"/>
  <c r="C44" i="58" s="1"/>
  <c r="AA43" i="58"/>
  <c r="Y43" i="58"/>
  <c r="Y39" i="58" s="1"/>
  <c r="W43" i="58"/>
  <c r="U43" i="58"/>
  <c r="R43" i="58"/>
  <c r="P43" i="58"/>
  <c r="N43" i="58"/>
  <c r="L43" i="58"/>
  <c r="J43" i="58"/>
  <c r="H43" i="58"/>
  <c r="F43" i="58"/>
  <c r="E43" i="58"/>
  <c r="D43" i="58"/>
  <c r="C43" i="58"/>
  <c r="AA42" i="58"/>
  <c r="Y42" i="58"/>
  <c r="W42" i="58"/>
  <c r="U42" i="58"/>
  <c r="R42" i="58"/>
  <c r="P42" i="58"/>
  <c r="N42" i="58"/>
  <c r="L42" i="58"/>
  <c r="J42" i="58"/>
  <c r="H42" i="58"/>
  <c r="F42" i="58"/>
  <c r="E42" i="58"/>
  <c r="D42" i="58"/>
  <c r="C42" i="58" s="1"/>
  <c r="AA41" i="58"/>
  <c r="Y41" i="58"/>
  <c r="W41" i="58"/>
  <c r="U41" i="58"/>
  <c r="R41" i="58"/>
  <c r="P41" i="58"/>
  <c r="N41" i="58"/>
  <c r="L41" i="58"/>
  <c r="J41" i="58"/>
  <c r="H41" i="58"/>
  <c r="F41" i="58"/>
  <c r="E41" i="58"/>
  <c r="D41" i="58"/>
  <c r="C41" i="58"/>
  <c r="AA40" i="58"/>
  <c r="Y40" i="58"/>
  <c r="W40" i="58"/>
  <c r="U40" i="58"/>
  <c r="R40" i="58"/>
  <c r="P40" i="58"/>
  <c r="N40" i="58"/>
  <c r="L40" i="58"/>
  <c r="J40" i="58"/>
  <c r="H40" i="58"/>
  <c r="F40" i="58"/>
  <c r="E40" i="58"/>
  <c r="D40" i="58"/>
  <c r="AB39" i="58"/>
  <c r="Z39" i="58"/>
  <c r="X39" i="58"/>
  <c r="V39" i="58"/>
  <c r="T39" i="58"/>
  <c r="S39" i="58"/>
  <c r="Q39" i="58"/>
  <c r="O39" i="58"/>
  <c r="M39" i="58"/>
  <c r="K39" i="58"/>
  <c r="I39" i="58"/>
  <c r="G39" i="58"/>
  <c r="AA36" i="58"/>
  <c r="Y36" i="58"/>
  <c r="W36" i="58"/>
  <c r="U36" i="58"/>
  <c r="U32" i="58" s="1"/>
  <c r="R36" i="58"/>
  <c r="P36" i="58"/>
  <c r="N36" i="58"/>
  <c r="L36" i="58"/>
  <c r="J36" i="58"/>
  <c r="H36" i="58"/>
  <c r="F36" i="58"/>
  <c r="E36" i="58"/>
  <c r="C36" i="58" s="1"/>
  <c r="D36" i="58"/>
  <c r="AA35" i="58"/>
  <c r="Y35" i="58"/>
  <c r="W35" i="58"/>
  <c r="U35" i="58"/>
  <c r="R35" i="58"/>
  <c r="P35" i="58"/>
  <c r="N35" i="58"/>
  <c r="L35" i="58"/>
  <c r="J35" i="58"/>
  <c r="H35" i="58"/>
  <c r="F35" i="58"/>
  <c r="E35" i="58"/>
  <c r="D35" i="58"/>
  <c r="C35" i="58"/>
  <c r="R34" i="58"/>
  <c r="E34" i="58"/>
  <c r="C34" i="58" s="1"/>
  <c r="AA33" i="58"/>
  <c r="Y33" i="58"/>
  <c r="W33" i="58"/>
  <c r="W32" i="58" s="1"/>
  <c r="U33" i="58"/>
  <c r="S33" i="58"/>
  <c r="R33" i="58" s="1"/>
  <c r="P33" i="58"/>
  <c r="P32" i="58" s="1"/>
  <c r="N33" i="58"/>
  <c r="N32" i="58" s="1"/>
  <c r="L33" i="58"/>
  <c r="J33" i="58"/>
  <c r="H33" i="58"/>
  <c r="H32" i="58" s="1"/>
  <c r="F33" i="58"/>
  <c r="F32" i="58" s="1"/>
  <c r="E33" i="58"/>
  <c r="AB32" i="58"/>
  <c r="AA32" i="58"/>
  <c r="Z32" i="58"/>
  <c r="X32" i="58"/>
  <c r="V32" i="58"/>
  <c r="T32" i="58"/>
  <c r="S32" i="58"/>
  <c r="Q32" i="58"/>
  <c r="O32" i="58"/>
  <c r="M32" i="58"/>
  <c r="K32" i="58"/>
  <c r="J32" i="58"/>
  <c r="I32" i="58"/>
  <c r="G32" i="58"/>
  <c r="AA31" i="58"/>
  <c r="AA29" i="58" s="1"/>
  <c r="Y31" i="58"/>
  <c r="Y29" i="58" s="1"/>
  <c r="W31" i="58"/>
  <c r="U31" i="58"/>
  <c r="R31" i="58"/>
  <c r="P31" i="58"/>
  <c r="N31" i="58"/>
  <c r="L31" i="58"/>
  <c r="J31" i="58"/>
  <c r="H31" i="58"/>
  <c r="F31" i="58"/>
  <c r="E31" i="58"/>
  <c r="D31" i="58"/>
  <c r="D29" i="58" s="1"/>
  <c r="AA30" i="58"/>
  <c r="Y30" i="58"/>
  <c r="W30" i="58"/>
  <c r="U30" i="58"/>
  <c r="U29" i="58" s="1"/>
  <c r="R30" i="58"/>
  <c r="P30" i="58"/>
  <c r="N30" i="58"/>
  <c r="L30" i="58"/>
  <c r="L29" i="58" s="1"/>
  <c r="J30" i="58"/>
  <c r="H30" i="58"/>
  <c r="F30" i="58"/>
  <c r="E30" i="58"/>
  <c r="E29" i="58" s="1"/>
  <c r="D30" i="58"/>
  <c r="AB29" i="58"/>
  <c r="Z29" i="58"/>
  <c r="X29" i="58"/>
  <c r="W29" i="58"/>
  <c r="V29" i="58"/>
  <c r="T29" i="58"/>
  <c r="S29" i="58"/>
  <c r="Q29" i="58"/>
  <c r="O29" i="58"/>
  <c r="N29" i="58"/>
  <c r="M29" i="58"/>
  <c r="K29" i="58"/>
  <c r="I29" i="58"/>
  <c r="G29" i="58"/>
  <c r="F29" i="58"/>
  <c r="AA28" i="58"/>
  <c r="Y28" i="58"/>
  <c r="W28" i="58"/>
  <c r="U28" i="58"/>
  <c r="R28" i="58"/>
  <c r="P28" i="58"/>
  <c r="N28" i="58"/>
  <c r="L28" i="58"/>
  <c r="J28" i="58"/>
  <c r="H28" i="58"/>
  <c r="F28" i="58"/>
  <c r="E28" i="58"/>
  <c r="D28" i="58"/>
  <c r="C28" i="58" s="1"/>
  <c r="AA27" i="58"/>
  <c r="Y27" i="58"/>
  <c r="W27" i="58"/>
  <c r="U27" i="58"/>
  <c r="R27" i="58"/>
  <c r="P27" i="58"/>
  <c r="N27" i="58"/>
  <c r="L27" i="58"/>
  <c r="J27" i="58"/>
  <c r="H27" i="58"/>
  <c r="F27" i="58"/>
  <c r="E27" i="58"/>
  <c r="C27" i="58" s="1"/>
  <c r="D27" i="58"/>
  <c r="AA26" i="58"/>
  <c r="Y26" i="58"/>
  <c r="W26" i="58"/>
  <c r="U26" i="58"/>
  <c r="R26" i="58"/>
  <c r="P26" i="58"/>
  <c r="N26" i="58"/>
  <c r="L26" i="58"/>
  <c r="J26" i="58"/>
  <c r="H26" i="58"/>
  <c r="F26" i="58"/>
  <c r="E26" i="58"/>
  <c r="D26" i="58"/>
  <c r="C26" i="58"/>
  <c r="AA25" i="58"/>
  <c r="Y25" i="58"/>
  <c r="W25" i="58"/>
  <c r="U25" i="58"/>
  <c r="R25" i="58"/>
  <c r="P25" i="58"/>
  <c r="N25" i="58"/>
  <c r="L25" i="58"/>
  <c r="J25" i="58"/>
  <c r="H25" i="58"/>
  <c r="F25" i="58"/>
  <c r="E25" i="58"/>
  <c r="C25" i="58" s="1"/>
  <c r="D25" i="58"/>
  <c r="AA24" i="58"/>
  <c r="Y24" i="58"/>
  <c r="W24" i="58"/>
  <c r="U24" i="58"/>
  <c r="R24" i="58"/>
  <c r="P24" i="58"/>
  <c r="N24" i="58"/>
  <c r="L24" i="58"/>
  <c r="J24" i="58"/>
  <c r="H24" i="58"/>
  <c r="F24" i="58"/>
  <c r="E24" i="58"/>
  <c r="D24" i="58"/>
  <c r="C24" i="58"/>
  <c r="AB23" i="58"/>
  <c r="AA23" i="58" s="1"/>
  <c r="Z23" i="58"/>
  <c r="Y23" i="58"/>
  <c r="X23" i="58"/>
  <c r="W23" i="58" s="1"/>
  <c r="V23" i="58"/>
  <c r="U23" i="58"/>
  <c r="S23" i="58"/>
  <c r="Q23" i="58"/>
  <c r="P23" i="58"/>
  <c r="O23" i="58"/>
  <c r="N23" i="58" s="1"/>
  <c r="M23" i="58"/>
  <c r="L23" i="58"/>
  <c r="K23" i="58"/>
  <c r="J23" i="58" s="1"/>
  <c r="I23" i="58"/>
  <c r="H23" i="58"/>
  <c r="G23" i="58"/>
  <c r="F23" i="58" s="1"/>
  <c r="E23" i="58"/>
  <c r="AA22" i="58"/>
  <c r="Y22" i="58"/>
  <c r="W22" i="58"/>
  <c r="U22" i="58"/>
  <c r="R22" i="58"/>
  <c r="P22" i="58"/>
  <c r="N22" i="58"/>
  <c r="L22" i="58"/>
  <c r="J22" i="58"/>
  <c r="H22" i="58"/>
  <c r="F22" i="58"/>
  <c r="E22" i="58"/>
  <c r="D22" i="58"/>
  <c r="C22" i="58" s="1"/>
  <c r="R21" i="58"/>
  <c r="E21" i="58"/>
  <c r="D21" i="58"/>
  <c r="C21" i="58" s="1"/>
  <c r="AA20" i="58"/>
  <c r="AA19" i="58" s="1"/>
  <c r="Y20" i="58"/>
  <c r="W20" i="58"/>
  <c r="W19" i="58" s="1"/>
  <c r="U20" i="58"/>
  <c r="U19" i="58" s="1"/>
  <c r="R20" i="58"/>
  <c r="R19" i="58" s="1"/>
  <c r="P20" i="58"/>
  <c r="N20" i="58"/>
  <c r="L20" i="58"/>
  <c r="L19" i="58" s="1"/>
  <c r="J20" i="58"/>
  <c r="J19" i="58" s="1"/>
  <c r="H20" i="58"/>
  <c r="F20" i="58"/>
  <c r="E20" i="58"/>
  <c r="E19" i="58" s="1"/>
  <c r="D20" i="58"/>
  <c r="D19" i="58" s="1"/>
  <c r="AB19" i="58"/>
  <c r="Z19" i="58"/>
  <c r="Y19" i="58"/>
  <c r="X19" i="58"/>
  <c r="X15" i="58" s="1"/>
  <c r="X12" i="58" s="1"/>
  <c r="X11" i="58" s="1"/>
  <c r="V19" i="58"/>
  <c r="T19" i="58"/>
  <c r="T15" i="58" s="1"/>
  <c r="S19" i="58"/>
  <c r="Q19" i="58"/>
  <c r="P19" i="58"/>
  <c r="O19" i="58"/>
  <c r="N19" i="58"/>
  <c r="M19" i="58"/>
  <c r="K19" i="58"/>
  <c r="I19" i="58"/>
  <c r="H19" i="58"/>
  <c r="G19" i="58"/>
  <c r="F19" i="58"/>
  <c r="AA18" i="58"/>
  <c r="Y18" i="58"/>
  <c r="W18" i="58"/>
  <c r="U18" i="58"/>
  <c r="R18" i="58"/>
  <c r="P18" i="58"/>
  <c r="N18" i="58"/>
  <c r="L18" i="58"/>
  <c r="J18" i="58"/>
  <c r="H18" i="58"/>
  <c r="F18" i="58"/>
  <c r="E18" i="58"/>
  <c r="C18" i="58"/>
  <c r="AA17" i="58"/>
  <c r="Y17" i="58"/>
  <c r="W17" i="58"/>
  <c r="U17" i="58"/>
  <c r="R17" i="58"/>
  <c r="P17" i="58"/>
  <c r="N17" i="58"/>
  <c r="L17" i="58"/>
  <c r="J17" i="58"/>
  <c r="H17" i="58"/>
  <c r="E17" i="58"/>
  <c r="D17" i="58"/>
  <c r="C17" i="58" s="1"/>
  <c r="AB16" i="58"/>
  <c r="Z16" i="58"/>
  <c r="Y16" i="58" s="1"/>
  <c r="W16" i="58"/>
  <c r="V16" i="58"/>
  <c r="U16" i="58"/>
  <c r="U15" i="58" s="1"/>
  <c r="S16" i="58"/>
  <c r="R16" i="58" s="1"/>
  <c r="Q16" i="58"/>
  <c r="P16" i="58"/>
  <c r="P15" i="58" s="1"/>
  <c r="O16" i="58"/>
  <c r="N16" i="58" s="1"/>
  <c r="N15" i="58" s="1"/>
  <c r="M16" i="58"/>
  <c r="L16" i="58"/>
  <c r="K16" i="58"/>
  <c r="J16" i="58" s="1"/>
  <c r="I16" i="58"/>
  <c r="G16" i="58"/>
  <c r="F16" i="58" s="1"/>
  <c r="F15" i="58" s="1"/>
  <c r="E16" i="58"/>
  <c r="V15" i="58"/>
  <c r="Q15" i="58"/>
  <c r="M15" i="58"/>
  <c r="K15" i="58"/>
  <c r="G15" i="58"/>
  <c r="AA14" i="58"/>
  <c r="AA13" i="58" s="1"/>
  <c r="Y14" i="58"/>
  <c r="W14" i="58"/>
  <c r="W13" i="58" s="1"/>
  <c r="U14" i="58"/>
  <c r="R14" i="58"/>
  <c r="R13" i="58" s="1"/>
  <c r="P14" i="58"/>
  <c r="N14" i="58"/>
  <c r="N13" i="58" s="1"/>
  <c r="L14" i="58"/>
  <c r="J14" i="58"/>
  <c r="J13" i="58" s="1"/>
  <c r="H14" i="58"/>
  <c r="F14" i="58"/>
  <c r="F13" i="58" s="1"/>
  <c r="E14" i="58"/>
  <c r="D14" i="58"/>
  <c r="D13" i="58" s="1"/>
  <c r="AB13" i="58"/>
  <c r="Z13" i="58"/>
  <c r="Y13" i="58"/>
  <c r="X13" i="58"/>
  <c r="V13" i="58"/>
  <c r="U13" i="58"/>
  <c r="T13" i="58"/>
  <c r="S13" i="58"/>
  <c r="Q13" i="58"/>
  <c r="P13" i="58"/>
  <c r="O13" i="58"/>
  <c r="M13" i="58"/>
  <c r="L13" i="58"/>
  <c r="K13" i="58"/>
  <c r="I13" i="58"/>
  <c r="H13" i="58"/>
  <c r="G13" i="58"/>
  <c r="E13" i="58"/>
  <c r="AA10" i="58"/>
  <c r="AA9" i="58" s="1"/>
  <c r="Y10" i="58"/>
  <c r="W10" i="58"/>
  <c r="W9" i="58" s="1"/>
  <c r="V10" i="58"/>
  <c r="R10" i="58"/>
  <c r="P10" i="58"/>
  <c r="P9" i="58" s="1"/>
  <c r="N10" i="58"/>
  <c r="N9" i="58" s="1"/>
  <c r="L10" i="58"/>
  <c r="J10" i="58"/>
  <c r="I10" i="58"/>
  <c r="F10" i="58"/>
  <c r="F9" i="58" s="1"/>
  <c r="E10" i="58"/>
  <c r="AB9" i="58"/>
  <c r="Z9" i="58"/>
  <c r="Y9" i="58"/>
  <c r="X9" i="58"/>
  <c r="T9" i="58"/>
  <c r="S9" i="58"/>
  <c r="R9" i="58"/>
  <c r="Q9" i="58"/>
  <c r="O9" i="58"/>
  <c r="M9" i="58"/>
  <c r="L9" i="58"/>
  <c r="K9" i="58"/>
  <c r="J9" i="58"/>
  <c r="G9" i="58"/>
  <c r="E9" i="58"/>
  <c r="M450" i="57"/>
  <c r="K450" i="57" s="1"/>
  <c r="H450" i="57"/>
  <c r="F450" i="57" s="1"/>
  <c r="E450" i="57" s="1"/>
  <c r="D450" i="57" s="1"/>
  <c r="W450" i="57" s="1"/>
  <c r="R449" i="57"/>
  <c r="R446" i="57" s="1"/>
  <c r="K449" i="57"/>
  <c r="H449" i="57"/>
  <c r="K448" i="57"/>
  <c r="H448" i="57"/>
  <c r="F448" i="57" s="1"/>
  <c r="E448" i="57" s="1"/>
  <c r="D448" i="57" s="1"/>
  <c r="W448" i="57" s="1"/>
  <c r="K447" i="57"/>
  <c r="H447" i="57"/>
  <c r="H446" i="57" s="1"/>
  <c r="V446" i="57"/>
  <c r="U446" i="57"/>
  <c r="T446" i="57"/>
  <c r="S446" i="57"/>
  <c r="Q446" i="57"/>
  <c r="P446" i="57"/>
  <c r="O446" i="57"/>
  <c r="N446" i="57"/>
  <c r="M446" i="57"/>
  <c r="L446" i="57"/>
  <c r="J446" i="57"/>
  <c r="I446" i="57"/>
  <c r="G446" i="57"/>
  <c r="C446" i="57"/>
  <c r="K445" i="57"/>
  <c r="H445" i="57"/>
  <c r="K444" i="57"/>
  <c r="H444" i="57"/>
  <c r="F444" i="57" s="1"/>
  <c r="E444" i="57" s="1"/>
  <c r="D444" i="57" s="1"/>
  <c r="W444" i="57" s="1"/>
  <c r="K443" i="57"/>
  <c r="H443" i="57"/>
  <c r="K442" i="57"/>
  <c r="H442" i="57"/>
  <c r="F442" i="57" s="1"/>
  <c r="E442" i="57" s="1"/>
  <c r="D442" i="57" s="1"/>
  <c r="W442" i="57" s="1"/>
  <c r="K441" i="57"/>
  <c r="H441" i="57"/>
  <c r="K440" i="57"/>
  <c r="H440" i="57"/>
  <c r="F440" i="57"/>
  <c r="E440" i="57" s="1"/>
  <c r="D440" i="57" s="1"/>
  <c r="K439" i="57"/>
  <c r="F439" i="57" s="1"/>
  <c r="E439" i="57" s="1"/>
  <c r="D439" i="57" s="1"/>
  <c r="W439" i="57" s="1"/>
  <c r="H439" i="57"/>
  <c r="K438" i="57"/>
  <c r="H438" i="57"/>
  <c r="F438" i="57" s="1"/>
  <c r="E438" i="57" s="1"/>
  <c r="D438" i="57" s="1"/>
  <c r="W438" i="57" s="1"/>
  <c r="K437" i="57"/>
  <c r="H437" i="57"/>
  <c r="K436" i="57"/>
  <c r="H436" i="57"/>
  <c r="F436" i="57" s="1"/>
  <c r="E436" i="57" s="1"/>
  <c r="D436" i="57" s="1"/>
  <c r="W436" i="57" s="1"/>
  <c r="K435" i="57"/>
  <c r="H435" i="57"/>
  <c r="H433" i="57" s="1"/>
  <c r="V434" i="57"/>
  <c r="U434" i="57"/>
  <c r="T434" i="57"/>
  <c r="S434" i="57"/>
  <c r="R434" i="57"/>
  <c r="Q434" i="57"/>
  <c r="P434" i="57"/>
  <c r="O434" i="57"/>
  <c r="N434" i="57"/>
  <c r="M434" i="57"/>
  <c r="L434" i="57"/>
  <c r="I434" i="57"/>
  <c r="H434" i="57" s="1"/>
  <c r="G434" i="57"/>
  <c r="V433" i="57"/>
  <c r="U433" i="57"/>
  <c r="T433" i="57"/>
  <c r="S433" i="57"/>
  <c r="Q433" i="57"/>
  <c r="P433" i="57"/>
  <c r="O433" i="57"/>
  <c r="N433" i="57"/>
  <c r="M433" i="57"/>
  <c r="L433" i="57"/>
  <c r="K433" i="57"/>
  <c r="I433" i="57"/>
  <c r="G433" i="57"/>
  <c r="K432" i="57"/>
  <c r="H432" i="57"/>
  <c r="K431" i="57"/>
  <c r="H431" i="57"/>
  <c r="F431" i="57" s="1"/>
  <c r="E431" i="57" s="1"/>
  <c r="D431" i="57" s="1"/>
  <c r="K430" i="57"/>
  <c r="F430" i="57" s="1"/>
  <c r="H430" i="57"/>
  <c r="V429" i="57"/>
  <c r="U429" i="57"/>
  <c r="T429" i="57"/>
  <c r="S429" i="57"/>
  <c r="Q429" i="57"/>
  <c r="P429" i="57"/>
  <c r="O429" i="57"/>
  <c r="N429" i="57"/>
  <c r="M429" i="57"/>
  <c r="L429" i="57"/>
  <c r="L421" i="57" s="1"/>
  <c r="I429" i="57"/>
  <c r="G429" i="57"/>
  <c r="F428" i="57"/>
  <c r="E428" i="57" s="1"/>
  <c r="D428" i="57" s="1"/>
  <c r="W428" i="57" s="1"/>
  <c r="F427" i="57"/>
  <c r="E427" i="57" s="1"/>
  <c r="D427" i="57" s="1"/>
  <c r="W427" i="57" s="1"/>
  <c r="K426" i="57"/>
  <c r="H426" i="57"/>
  <c r="K425" i="57"/>
  <c r="H425" i="57"/>
  <c r="M424" i="57"/>
  <c r="M422" i="57" s="1"/>
  <c r="M421" i="57" s="1"/>
  <c r="K424" i="57"/>
  <c r="F424" i="57" s="1"/>
  <c r="E424" i="57" s="1"/>
  <c r="D424" i="57" s="1"/>
  <c r="W424" i="57" s="1"/>
  <c r="H424" i="57"/>
  <c r="M423" i="57"/>
  <c r="K423" i="57" s="1"/>
  <c r="H423" i="57"/>
  <c r="F423" i="57" s="1"/>
  <c r="V422" i="57"/>
  <c r="V421" i="57" s="1"/>
  <c r="U422" i="57"/>
  <c r="T422" i="57"/>
  <c r="S422" i="57"/>
  <c r="S421" i="57" s="1"/>
  <c r="R422" i="57"/>
  <c r="Q422" i="57"/>
  <c r="P422" i="57"/>
  <c r="O422" i="57"/>
  <c r="O421" i="57" s="1"/>
  <c r="N422" i="57"/>
  <c r="N421" i="57" s="1"/>
  <c r="L422" i="57"/>
  <c r="I422" i="57"/>
  <c r="G422" i="57"/>
  <c r="T421" i="57"/>
  <c r="P421" i="57"/>
  <c r="I421" i="57"/>
  <c r="G421" i="57"/>
  <c r="K420" i="57"/>
  <c r="H420" i="57"/>
  <c r="K419" i="57"/>
  <c r="H419" i="57"/>
  <c r="F419" i="57" s="1"/>
  <c r="E419" i="57" s="1"/>
  <c r="D419" i="57" s="1"/>
  <c r="W419" i="57" s="1"/>
  <c r="K418" i="57"/>
  <c r="F418" i="57" s="1"/>
  <c r="E418" i="57" s="1"/>
  <c r="D418" i="57" s="1"/>
  <c r="W418" i="57" s="1"/>
  <c r="K417" i="57"/>
  <c r="H417" i="57"/>
  <c r="F417" i="57" s="1"/>
  <c r="E417" i="57" s="1"/>
  <c r="D417" i="57" s="1"/>
  <c r="K416" i="57"/>
  <c r="F416" i="57" s="1"/>
  <c r="E416" i="57" s="1"/>
  <c r="D416" i="57" s="1"/>
  <c r="H416" i="57"/>
  <c r="K415" i="57"/>
  <c r="H415" i="57"/>
  <c r="F415" i="57" s="1"/>
  <c r="E415" i="57" s="1"/>
  <c r="D415" i="57" s="1"/>
  <c r="K414" i="57"/>
  <c r="H414" i="57"/>
  <c r="K413" i="57"/>
  <c r="F413" i="57"/>
  <c r="E413" i="57" s="1"/>
  <c r="D413" i="57" s="1"/>
  <c r="W413" i="57" s="1"/>
  <c r="L412" i="57"/>
  <c r="K412" i="57" s="1"/>
  <c r="H412" i="57"/>
  <c r="K411" i="57"/>
  <c r="H411" i="57"/>
  <c r="F411" i="57" s="1"/>
  <c r="V410" i="57"/>
  <c r="U410" i="57"/>
  <c r="T410" i="57"/>
  <c r="S410" i="57"/>
  <c r="Q410" i="57"/>
  <c r="P410" i="57"/>
  <c r="O410" i="57"/>
  <c r="N410" i="57"/>
  <c r="M410" i="57"/>
  <c r="J410" i="57"/>
  <c r="I410" i="57"/>
  <c r="G410" i="57"/>
  <c r="K409" i="57"/>
  <c r="F409" i="57" s="1"/>
  <c r="E409" i="57" s="1"/>
  <c r="D409" i="57" s="1"/>
  <c r="W409" i="57" s="1"/>
  <c r="K408" i="57"/>
  <c r="F408" i="57" s="1"/>
  <c r="E408" i="57" s="1"/>
  <c r="D408" i="57" s="1"/>
  <c r="W408" i="57" s="1"/>
  <c r="K407" i="57"/>
  <c r="H407" i="57"/>
  <c r="F407" i="57" s="1"/>
  <c r="E407" i="57" s="1"/>
  <c r="D407" i="57" s="1"/>
  <c r="K406" i="57"/>
  <c r="F406" i="57" s="1"/>
  <c r="E406" i="57" s="1"/>
  <c r="D406" i="57" s="1"/>
  <c r="W406" i="57" s="1"/>
  <c r="H406" i="57"/>
  <c r="K405" i="57"/>
  <c r="F405" i="57" s="1"/>
  <c r="E405" i="57" s="1"/>
  <c r="D405" i="57" s="1"/>
  <c r="W405" i="57" s="1"/>
  <c r="L404" i="57"/>
  <c r="K404" i="57"/>
  <c r="F404" i="57" s="1"/>
  <c r="H404" i="57"/>
  <c r="K403" i="57"/>
  <c r="H403" i="57"/>
  <c r="F403" i="57"/>
  <c r="E403" i="57" s="1"/>
  <c r="V402" i="57"/>
  <c r="U402" i="57"/>
  <c r="T402" i="57"/>
  <c r="S402" i="57"/>
  <c r="Q402" i="57"/>
  <c r="P402" i="57"/>
  <c r="O402" i="57"/>
  <c r="N402" i="57"/>
  <c r="M402" i="57"/>
  <c r="L402" i="57"/>
  <c r="J402" i="57"/>
  <c r="I402" i="57"/>
  <c r="H402" i="57"/>
  <c r="G402" i="57"/>
  <c r="C402" i="57"/>
  <c r="K401" i="57"/>
  <c r="H401" i="57"/>
  <c r="K400" i="57"/>
  <c r="F400" i="57" s="1"/>
  <c r="E400" i="57" s="1"/>
  <c r="D400" i="57" s="1"/>
  <c r="H400" i="57"/>
  <c r="K399" i="57"/>
  <c r="H399" i="57"/>
  <c r="K398" i="57"/>
  <c r="F398" i="57" s="1"/>
  <c r="E398" i="57" s="1"/>
  <c r="D398" i="57" s="1"/>
  <c r="W398" i="57" s="1"/>
  <c r="L397" i="57"/>
  <c r="L395" i="57" s="1"/>
  <c r="K397" i="57"/>
  <c r="H397" i="57"/>
  <c r="K396" i="57"/>
  <c r="H396" i="57"/>
  <c r="H395" i="57" s="1"/>
  <c r="V395" i="57"/>
  <c r="U395" i="57"/>
  <c r="T395" i="57"/>
  <c r="S395" i="57"/>
  <c r="Q395" i="57"/>
  <c r="P395" i="57"/>
  <c r="O395" i="57"/>
  <c r="N395" i="57"/>
  <c r="M395" i="57"/>
  <c r="J395" i="57"/>
  <c r="I395" i="57"/>
  <c r="G395" i="57"/>
  <c r="K394" i="57"/>
  <c r="H394" i="57"/>
  <c r="K393" i="57"/>
  <c r="H393" i="57"/>
  <c r="F393" i="57" s="1"/>
  <c r="E393" i="57" s="1"/>
  <c r="D393" i="57" s="1"/>
  <c r="K392" i="57"/>
  <c r="F392" i="57" s="1"/>
  <c r="E392" i="57" s="1"/>
  <c r="D392" i="57" s="1"/>
  <c r="H392" i="57"/>
  <c r="K391" i="57"/>
  <c r="H391" i="57"/>
  <c r="F391" i="57" s="1"/>
  <c r="E391" i="57" s="1"/>
  <c r="D391" i="57" s="1"/>
  <c r="K390" i="57"/>
  <c r="H390" i="57"/>
  <c r="K389" i="57"/>
  <c r="F389" i="57"/>
  <c r="E389" i="57" s="1"/>
  <c r="D389" i="57" s="1"/>
  <c r="W389" i="57" s="1"/>
  <c r="L388" i="57"/>
  <c r="H388" i="57"/>
  <c r="K387" i="57"/>
  <c r="F387" i="57"/>
  <c r="E387" i="57" s="1"/>
  <c r="V386" i="57"/>
  <c r="U386" i="57"/>
  <c r="T386" i="57"/>
  <c r="S386" i="57"/>
  <c r="Q386" i="57"/>
  <c r="P386" i="57"/>
  <c r="O386" i="57"/>
  <c r="N386" i="57"/>
  <c r="M386" i="57"/>
  <c r="J386" i="57"/>
  <c r="I386" i="57"/>
  <c r="H386" i="57"/>
  <c r="G386" i="57"/>
  <c r="K385" i="57"/>
  <c r="F385" i="57" s="1"/>
  <c r="E385" i="57" s="1"/>
  <c r="D385" i="57" s="1"/>
  <c r="W385" i="57" s="1"/>
  <c r="K384" i="57"/>
  <c r="H384" i="57"/>
  <c r="H379" i="57" s="1"/>
  <c r="K383" i="57"/>
  <c r="H383" i="57"/>
  <c r="K382" i="57"/>
  <c r="F382" i="57" s="1"/>
  <c r="E382" i="57" s="1"/>
  <c r="D382" i="57" s="1"/>
  <c r="W382" i="57" s="1"/>
  <c r="L381" i="57"/>
  <c r="H381" i="57"/>
  <c r="K380" i="57"/>
  <c r="F380" i="57"/>
  <c r="E380" i="57" s="1"/>
  <c r="V379" i="57"/>
  <c r="U379" i="57"/>
  <c r="T379" i="57"/>
  <c r="S379" i="57"/>
  <c r="Q379" i="57"/>
  <c r="P379" i="57"/>
  <c r="O379" i="57"/>
  <c r="N379" i="57"/>
  <c r="M379" i="57"/>
  <c r="J379" i="57"/>
  <c r="I379" i="57"/>
  <c r="G379" i="57"/>
  <c r="K378" i="57"/>
  <c r="H378" i="57"/>
  <c r="K377" i="57"/>
  <c r="H377" i="57"/>
  <c r="F377" i="57"/>
  <c r="E377" i="57" s="1"/>
  <c r="V376" i="57"/>
  <c r="V369" i="57" s="1"/>
  <c r="U376" i="57"/>
  <c r="T376" i="57"/>
  <c r="S376" i="57"/>
  <c r="S369" i="57" s="1"/>
  <c r="Q376" i="57"/>
  <c r="P376" i="57"/>
  <c r="O376" i="57"/>
  <c r="N376" i="57"/>
  <c r="N369" i="57" s="1"/>
  <c r="M376" i="57"/>
  <c r="L376" i="57"/>
  <c r="I376" i="57"/>
  <c r="G376" i="57"/>
  <c r="G369" i="57" s="1"/>
  <c r="W375" i="57"/>
  <c r="K374" i="57"/>
  <c r="H374" i="57"/>
  <c r="F374" i="57"/>
  <c r="E374" i="57" s="1"/>
  <c r="D374" i="57" s="1"/>
  <c r="W374" i="57" s="1"/>
  <c r="K373" i="57"/>
  <c r="F373" i="57" s="1"/>
  <c r="E373" i="57" s="1"/>
  <c r="D373" i="57" s="1"/>
  <c r="W373" i="57" s="1"/>
  <c r="L372" i="57"/>
  <c r="K372" i="57" s="1"/>
  <c r="K370" i="57" s="1"/>
  <c r="H372" i="57"/>
  <c r="F372" i="57"/>
  <c r="E372" i="57" s="1"/>
  <c r="D372" i="57" s="1"/>
  <c r="W372" i="57" s="1"/>
  <c r="K371" i="57"/>
  <c r="F371" i="57" s="1"/>
  <c r="V370" i="57"/>
  <c r="U370" i="57"/>
  <c r="U369" i="57" s="1"/>
  <c r="T370" i="57"/>
  <c r="T369" i="57" s="1"/>
  <c r="S370" i="57"/>
  <c r="R370" i="57"/>
  <c r="Q370" i="57"/>
  <c r="P370" i="57"/>
  <c r="P369" i="57" s="1"/>
  <c r="O370" i="57"/>
  <c r="N370" i="57"/>
  <c r="M370" i="57"/>
  <c r="M369" i="57" s="1"/>
  <c r="L370" i="57"/>
  <c r="L369" i="57" s="1"/>
  <c r="J370" i="57"/>
  <c r="I370" i="57"/>
  <c r="I369" i="57" s="1"/>
  <c r="H370" i="57"/>
  <c r="G370" i="57"/>
  <c r="Q369" i="57"/>
  <c r="O369" i="57"/>
  <c r="J369" i="57"/>
  <c r="K368" i="57"/>
  <c r="F368" i="57" s="1"/>
  <c r="E368" i="57" s="1"/>
  <c r="D368" i="57" s="1"/>
  <c r="H368" i="57"/>
  <c r="K367" i="57"/>
  <c r="H367" i="57"/>
  <c r="F367" i="57" s="1"/>
  <c r="E367" i="57" s="1"/>
  <c r="D367" i="57" s="1"/>
  <c r="K366" i="57"/>
  <c r="H366" i="57"/>
  <c r="F366" i="57"/>
  <c r="E366" i="57" s="1"/>
  <c r="D366" i="57" s="1"/>
  <c r="R365" i="57"/>
  <c r="W365" i="57" s="1"/>
  <c r="R364" i="57"/>
  <c r="W364" i="57" s="1"/>
  <c r="K363" i="57"/>
  <c r="H363" i="57"/>
  <c r="F363" i="57" s="1"/>
  <c r="E363" i="57" s="1"/>
  <c r="D363" i="57" s="1"/>
  <c r="K362" i="57"/>
  <c r="K361" i="57" s="1"/>
  <c r="H362" i="57"/>
  <c r="V361" i="57"/>
  <c r="U361" i="57"/>
  <c r="T361" i="57"/>
  <c r="S361" i="57"/>
  <c r="Q361" i="57"/>
  <c r="P361" i="57"/>
  <c r="O361" i="57"/>
  <c r="N361" i="57"/>
  <c r="M361" i="57"/>
  <c r="M355" i="57" s="1"/>
  <c r="L361" i="57"/>
  <c r="I361" i="57"/>
  <c r="G361" i="57"/>
  <c r="L360" i="57"/>
  <c r="K360" i="57"/>
  <c r="F360" i="57" s="1"/>
  <c r="E360" i="57" s="1"/>
  <c r="D360" i="57" s="1"/>
  <c r="W360" i="57" s="1"/>
  <c r="H360" i="57"/>
  <c r="K359" i="57"/>
  <c r="F359" i="57" s="1"/>
  <c r="E359" i="57" s="1"/>
  <c r="D359" i="57" s="1"/>
  <c r="W359" i="57" s="1"/>
  <c r="L358" i="57"/>
  <c r="K358" i="57"/>
  <c r="F358" i="57" s="1"/>
  <c r="H358" i="57"/>
  <c r="K357" i="57"/>
  <c r="H357" i="57"/>
  <c r="H356" i="57" s="1"/>
  <c r="F357" i="57"/>
  <c r="E357" i="57" s="1"/>
  <c r="V356" i="57"/>
  <c r="U356" i="57"/>
  <c r="T356" i="57"/>
  <c r="S356" i="57"/>
  <c r="S355" i="57" s="1"/>
  <c r="R356" i="57"/>
  <c r="Q356" i="57"/>
  <c r="P356" i="57"/>
  <c r="O356" i="57"/>
  <c r="N356" i="57"/>
  <c r="M356" i="57"/>
  <c r="L356" i="57"/>
  <c r="J356" i="57"/>
  <c r="J355" i="57" s="1"/>
  <c r="I356" i="57"/>
  <c r="G356" i="57"/>
  <c r="V355" i="57"/>
  <c r="T355" i="57"/>
  <c r="Q355" i="57"/>
  <c r="O355" i="57"/>
  <c r="N355" i="57"/>
  <c r="G355" i="57"/>
  <c r="K354" i="57"/>
  <c r="H354" i="57"/>
  <c r="K353" i="57"/>
  <c r="F353" i="57"/>
  <c r="E353" i="57" s="1"/>
  <c r="D353" i="57" s="1"/>
  <c r="W353" i="57" s="1"/>
  <c r="K352" i="57"/>
  <c r="F352" i="57" s="1"/>
  <c r="E352" i="57" s="1"/>
  <c r="D352" i="57" s="1"/>
  <c r="W352" i="57" s="1"/>
  <c r="K351" i="57"/>
  <c r="H351" i="57"/>
  <c r="F351" i="57" s="1"/>
  <c r="E351" i="57" s="1"/>
  <c r="D351" i="57" s="1"/>
  <c r="W351" i="57" s="1"/>
  <c r="K350" i="57"/>
  <c r="H350" i="57"/>
  <c r="K349" i="57"/>
  <c r="H349" i="57"/>
  <c r="F349" i="57"/>
  <c r="E349" i="57" s="1"/>
  <c r="D349" i="57" s="1"/>
  <c r="W349" i="57" s="1"/>
  <c r="K348" i="57"/>
  <c r="F348" i="57" s="1"/>
  <c r="E348" i="57" s="1"/>
  <c r="D348" i="57" s="1"/>
  <c r="W348" i="57" s="1"/>
  <c r="L347" i="57"/>
  <c r="K347" i="57"/>
  <c r="H347" i="57"/>
  <c r="F347" i="57"/>
  <c r="E347" i="57" s="1"/>
  <c r="D347" i="57" s="1"/>
  <c r="W347" i="57" s="1"/>
  <c r="K346" i="57"/>
  <c r="F346" i="57" s="1"/>
  <c r="V345" i="57"/>
  <c r="U345" i="57"/>
  <c r="T345" i="57"/>
  <c r="S345" i="57"/>
  <c r="Q345" i="57"/>
  <c r="P345" i="57"/>
  <c r="O345" i="57"/>
  <c r="N345" i="57"/>
  <c r="M345" i="57"/>
  <c r="L345" i="57"/>
  <c r="K345" i="57"/>
  <c r="J345" i="57"/>
  <c r="I345" i="57"/>
  <c r="G345" i="57"/>
  <c r="C345" i="57"/>
  <c r="C283" i="57" s="1"/>
  <c r="K344" i="57"/>
  <c r="F344" i="57" s="1"/>
  <c r="E344" i="57" s="1"/>
  <c r="D344" i="57" s="1"/>
  <c r="W344" i="57" s="1"/>
  <c r="K343" i="57"/>
  <c r="H343" i="57"/>
  <c r="F343" i="57" s="1"/>
  <c r="E343" i="57" s="1"/>
  <c r="D343" i="57" s="1"/>
  <c r="W343" i="57" s="1"/>
  <c r="K342" i="57"/>
  <c r="H342" i="57"/>
  <c r="K341" i="57"/>
  <c r="H341" i="57"/>
  <c r="V340" i="57"/>
  <c r="U340" i="57"/>
  <c r="T340" i="57"/>
  <c r="T333" i="57" s="1"/>
  <c r="T283" i="57" s="1"/>
  <c r="S340" i="57"/>
  <c r="S333" i="57" s="1"/>
  <c r="Q340" i="57"/>
  <c r="P340" i="57"/>
  <c r="O340" i="57"/>
  <c r="N340" i="57"/>
  <c r="N333" i="57" s="1"/>
  <c r="M340" i="57"/>
  <c r="L340" i="57"/>
  <c r="I340" i="57"/>
  <c r="G340" i="57"/>
  <c r="K339" i="57"/>
  <c r="H339" i="57"/>
  <c r="F339" i="57" s="1"/>
  <c r="E339" i="57" s="1"/>
  <c r="D339" i="57" s="1"/>
  <c r="W339" i="57" s="1"/>
  <c r="K338" i="57"/>
  <c r="F338" i="57" s="1"/>
  <c r="E338" i="57" s="1"/>
  <c r="D338" i="57" s="1"/>
  <c r="W338" i="57" s="1"/>
  <c r="H338" i="57"/>
  <c r="K337" i="57"/>
  <c r="F337" i="57" s="1"/>
  <c r="E337" i="57" s="1"/>
  <c r="D337" i="57" s="1"/>
  <c r="W337" i="57" s="1"/>
  <c r="L336" i="57"/>
  <c r="K336" i="57"/>
  <c r="H336" i="57"/>
  <c r="K335" i="57"/>
  <c r="F335" i="57" s="1"/>
  <c r="V334" i="57"/>
  <c r="U334" i="57"/>
  <c r="U333" i="57" s="1"/>
  <c r="T334" i="57"/>
  <c r="S334" i="57"/>
  <c r="R334" i="57"/>
  <c r="Q334" i="57"/>
  <c r="Q333" i="57" s="1"/>
  <c r="P334" i="57"/>
  <c r="O334" i="57"/>
  <c r="N334" i="57"/>
  <c r="M334" i="57"/>
  <c r="M333" i="57" s="1"/>
  <c r="L334" i="57"/>
  <c r="J334" i="57"/>
  <c r="I334" i="57"/>
  <c r="G334" i="57"/>
  <c r="V333" i="57"/>
  <c r="P333" i="57"/>
  <c r="O333" i="57"/>
  <c r="L333" i="57"/>
  <c r="J333" i="57"/>
  <c r="G333" i="57"/>
  <c r="K332" i="57"/>
  <c r="H332" i="57"/>
  <c r="K331" i="57"/>
  <c r="H331" i="57"/>
  <c r="K330" i="57"/>
  <c r="K328" i="57" s="1"/>
  <c r="H330" i="57"/>
  <c r="K329" i="57"/>
  <c r="H329" i="57"/>
  <c r="F329" i="57" s="1"/>
  <c r="V328" i="57"/>
  <c r="U328" i="57"/>
  <c r="T328" i="57"/>
  <c r="S328" i="57"/>
  <c r="Q328" i="57"/>
  <c r="Q322" i="57" s="1"/>
  <c r="P328" i="57"/>
  <c r="O328" i="57"/>
  <c r="O322" i="57" s="1"/>
  <c r="N328" i="57"/>
  <c r="M328" i="57"/>
  <c r="L328" i="57"/>
  <c r="I328" i="57"/>
  <c r="H328" i="57"/>
  <c r="G328" i="57"/>
  <c r="K327" i="57"/>
  <c r="H327" i="57"/>
  <c r="K326" i="57"/>
  <c r="F326" i="57" s="1"/>
  <c r="E326" i="57" s="1"/>
  <c r="D326" i="57" s="1"/>
  <c r="W326" i="57" s="1"/>
  <c r="L325" i="57"/>
  <c r="K325" i="57"/>
  <c r="H325" i="57"/>
  <c r="S324" i="57"/>
  <c r="S323" i="57" s="1"/>
  <c r="S322" i="57" s="1"/>
  <c r="K324" i="57"/>
  <c r="F324" i="57"/>
  <c r="E324" i="57" s="1"/>
  <c r="V323" i="57"/>
  <c r="U323" i="57"/>
  <c r="T323" i="57"/>
  <c r="R323" i="57"/>
  <c r="Q323" i="57"/>
  <c r="P323" i="57"/>
  <c r="P322" i="57" s="1"/>
  <c r="O323" i="57"/>
  <c r="N323" i="57"/>
  <c r="M323" i="57"/>
  <c r="L323" i="57"/>
  <c r="L322" i="57" s="1"/>
  <c r="J323" i="57"/>
  <c r="I323" i="57"/>
  <c r="H323" i="57"/>
  <c r="G323" i="57"/>
  <c r="G322" i="57" s="1"/>
  <c r="U322" i="57"/>
  <c r="T322" i="57"/>
  <c r="N322" i="57"/>
  <c r="M322" i="57"/>
  <c r="J322" i="57"/>
  <c r="I322" i="57"/>
  <c r="H322" i="57"/>
  <c r="K321" i="57"/>
  <c r="H321" i="57"/>
  <c r="L320" i="57"/>
  <c r="K320" i="57" s="1"/>
  <c r="K316" i="57" s="1"/>
  <c r="H320" i="57"/>
  <c r="K319" i="57"/>
  <c r="H319" i="57"/>
  <c r="F319" i="57" s="1"/>
  <c r="E319" i="57" s="1"/>
  <c r="D319" i="57" s="1"/>
  <c r="W319" i="57" s="1"/>
  <c r="L318" i="57"/>
  <c r="K318" i="57" s="1"/>
  <c r="F318" i="57" s="1"/>
  <c r="E318" i="57" s="1"/>
  <c r="D318" i="57" s="1"/>
  <c r="W318" i="57" s="1"/>
  <c r="H318" i="57"/>
  <c r="K317" i="57"/>
  <c r="F317" i="57" s="1"/>
  <c r="V316" i="57"/>
  <c r="U316" i="57"/>
  <c r="T316" i="57"/>
  <c r="S316" i="57"/>
  <c r="R316" i="57"/>
  <c r="Q316" i="57"/>
  <c r="P316" i="57"/>
  <c r="O316" i="57"/>
  <c r="N316" i="57"/>
  <c r="M316" i="57"/>
  <c r="J316" i="57"/>
  <c r="I316" i="57"/>
  <c r="G316" i="57"/>
  <c r="K315" i="57"/>
  <c r="H315" i="57"/>
  <c r="F315" i="57"/>
  <c r="E315" i="57" s="1"/>
  <c r="D315" i="57" s="1"/>
  <c r="K314" i="57"/>
  <c r="H314" i="57"/>
  <c r="K313" i="57"/>
  <c r="H313" i="57"/>
  <c r="K312" i="57"/>
  <c r="H312" i="57"/>
  <c r="K311" i="57"/>
  <c r="H311" i="57"/>
  <c r="F311" i="57"/>
  <c r="E311" i="57" s="1"/>
  <c r="D311" i="57" s="1"/>
  <c r="L310" i="57"/>
  <c r="K310" i="57" s="1"/>
  <c r="H310" i="57"/>
  <c r="L309" i="57"/>
  <c r="L307" i="57" s="1"/>
  <c r="K309" i="57"/>
  <c r="H309" i="57"/>
  <c r="K308" i="57"/>
  <c r="H308" i="57"/>
  <c r="V307" i="57"/>
  <c r="U307" i="57"/>
  <c r="T307" i="57"/>
  <c r="S307" i="57"/>
  <c r="Q307" i="57"/>
  <c r="P307" i="57"/>
  <c r="O307" i="57"/>
  <c r="N307" i="57"/>
  <c r="M307" i="57"/>
  <c r="J307" i="57"/>
  <c r="I307" i="57"/>
  <c r="H307" i="57"/>
  <c r="G307" i="57"/>
  <c r="K306" i="57"/>
  <c r="H306" i="57"/>
  <c r="F306" i="57" s="1"/>
  <c r="E306" i="57" s="1"/>
  <c r="D306" i="57" s="1"/>
  <c r="K305" i="57"/>
  <c r="K304" i="57"/>
  <c r="H304" i="57"/>
  <c r="F304" i="57" s="1"/>
  <c r="V303" i="57"/>
  <c r="U303" i="57"/>
  <c r="T303" i="57"/>
  <c r="S303" i="57"/>
  <c r="Q303" i="57"/>
  <c r="P303" i="57"/>
  <c r="O303" i="57"/>
  <c r="N303" i="57"/>
  <c r="M303" i="57"/>
  <c r="L303" i="57"/>
  <c r="I303" i="57"/>
  <c r="G303" i="57"/>
  <c r="K302" i="57"/>
  <c r="H302" i="57"/>
  <c r="F302" i="57" s="1"/>
  <c r="E302" i="57" s="1"/>
  <c r="D302" i="57" s="1"/>
  <c r="W302" i="57" s="1"/>
  <c r="K301" i="57"/>
  <c r="F301" i="57" s="1"/>
  <c r="E301" i="57" s="1"/>
  <c r="D301" i="57" s="1"/>
  <c r="W301" i="57" s="1"/>
  <c r="H301" i="57"/>
  <c r="K300" i="57"/>
  <c r="F300" i="57" s="1"/>
  <c r="E300" i="57" s="1"/>
  <c r="D300" i="57" s="1"/>
  <c r="W300" i="57" s="1"/>
  <c r="H300" i="57"/>
  <c r="K299" i="57"/>
  <c r="H299" i="57"/>
  <c r="F299" i="57" s="1"/>
  <c r="E299" i="57" s="1"/>
  <c r="D299" i="57" s="1"/>
  <c r="K298" i="57"/>
  <c r="H298" i="57"/>
  <c r="K297" i="57"/>
  <c r="H297" i="57"/>
  <c r="F297" i="57" s="1"/>
  <c r="E297" i="57" s="1"/>
  <c r="D297" i="57" s="1"/>
  <c r="K296" i="57"/>
  <c r="H296" i="57"/>
  <c r="F296" i="57" s="1"/>
  <c r="E296" i="57" s="1"/>
  <c r="D296" i="57" s="1"/>
  <c r="K295" i="57"/>
  <c r="H295" i="57"/>
  <c r="F295" i="57" s="1"/>
  <c r="E295" i="57" s="1"/>
  <c r="D295" i="57" s="1"/>
  <c r="K294" i="57"/>
  <c r="F294" i="57" s="1"/>
  <c r="H294" i="57"/>
  <c r="V293" i="57"/>
  <c r="U293" i="57"/>
  <c r="T293" i="57"/>
  <c r="T284" i="57" s="1"/>
  <c r="S293" i="57"/>
  <c r="Q293" i="57"/>
  <c r="P293" i="57"/>
  <c r="O293" i="57"/>
  <c r="N293" i="57"/>
  <c r="M293" i="57"/>
  <c r="L293" i="57"/>
  <c r="I293" i="57"/>
  <c r="G293" i="57"/>
  <c r="K292" i="57"/>
  <c r="H292" i="57"/>
  <c r="F292" i="57" s="1"/>
  <c r="E292" i="57" s="1"/>
  <c r="D292" i="57" s="1"/>
  <c r="W292" i="57" s="1"/>
  <c r="K291" i="57"/>
  <c r="H291" i="57"/>
  <c r="F291" i="57"/>
  <c r="E291" i="57" s="1"/>
  <c r="D291" i="57" s="1"/>
  <c r="K290" i="57"/>
  <c r="F290" i="57" s="1"/>
  <c r="E290" i="57" s="1"/>
  <c r="D290" i="57" s="1"/>
  <c r="W290" i="57" s="1"/>
  <c r="K289" i="57"/>
  <c r="H289" i="57"/>
  <c r="K288" i="57"/>
  <c r="F288" i="57"/>
  <c r="E288" i="57" s="1"/>
  <c r="D288" i="57" s="1"/>
  <c r="W288" i="57" s="1"/>
  <c r="L287" i="57"/>
  <c r="K287" i="57" s="1"/>
  <c r="H287" i="57"/>
  <c r="F287" i="57"/>
  <c r="E287" i="57" s="1"/>
  <c r="D287" i="57" s="1"/>
  <c r="W287" i="57" s="1"/>
  <c r="X287" i="57" s="1"/>
  <c r="S286" i="57"/>
  <c r="S285" i="57" s="1"/>
  <c r="S284" i="57" s="1"/>
  <c r="S283" i="57" s="1"/>
  <c r="K286" i="57"/>
  <c r="H286" i="57"/>
  <c r="F286" i="57" s="1"/>
  <c r="V285" i="57"/>
  <c r="U285" i="57"/>
  <c r="U284" i="57" s="1"/>
  <c r="T285" i="57"/>
  <c r="Q285" i="57"/>
  <c r="Q284" i="57" s="1"/>
  <c r="P285" i="57"/>
  <c r="P284" i="57" s="1"/>
  <c r="O285" i="57"/>
  <c r="N285" i="57"/>
  <c r="N284" i="57" s="1"/>
  <c r="M285" i="57"/>
  <c r="M284" i="57" s="1"/>
  <c r="L285" i="57"/>
  <c r="J285" i="57"/>
  <c r="J284" i="57" s="1"/>
  <c r="I285" i="57"/>
  <c r="V284" i="57"/>
  <c r="G284" i="57"/>
  <c r="G283" i="57" s="1"/>
  <c r="W282" i="57"/>
  <c r="K281" i="57"/>
  <c r="H281" i="57"/>
  <c r="F281" i="57" s="1"/>
  <c r="E281" i="57" s="1"/>
  <c r="D281" i="57" s="1"/>
  <c r="L280" i="57"/>
  <c r="L278" i="57" s="1"/>
  <c r="K280" i="57"/>
  <c r="F280" i="57" s="1"/>
  <c r="E280" i="57" s="1"/>
  <c r="D280" i="57" s="1"/>
  <c r="W280" i="57" s="1"/>
  <c r="H280" i="57"/>
  <c r="K279" i="57"/>
  <c r="H279" i="57"/>
  <c r="V278" i="57"/>
  <c r="U278" i="57"/>
  <c r="T278" i="57"/>
  <c r="S278" i="57"/>
  <c r="Q278" i="57"/>
  <c r="P278" i="57"/>
  <c r="O278" i="57"/>
  <c r="N278" i="57"/>
  <c r="M278" i="57"/>
  <c r="J278" i="57"/>
  <c r="I278" i="57"/>
  <c r="G278" i="57"/>
  <c r="K277" i="57"/>
  <c r="F277" i="57" s="1"/>
  <c r="E277" i="57" s="1"/>
  <c r="D277" i="57" s="1"/>
  <c r="W277" i="57" s="1"/>
  <c r="K276" i="57"/>
  <c r="H276" i="57"/>
  <c r="K275" i="57"/>
  <c r="H275" i="57"/>
  <c r="F275" i="57" s="1"/>
  <c r="E275" i="57" s="1"/>
  <c r="D275" i="57" s="1"/>
  <c r="W275" i="57" s="1"/>
  <c r="K274" i="57"/>
  <c r="F274" i="57" s="1"/>
  <c r="E274" i="57" s="1"/>
  <c r="D274" i="57" s="1"/>
  <c r="H274" i="57"/>
  <c r="K273" i="57"/>
  <c r="H273" i="57"/>
  <c r="F273" i="57" s="1"/>
  <c r="E273" i="57" s="1"/>
  <c r="D273" i="57" s="1"/>
  <c r="K272" i="57"/>
  <c r="F272" i="57" s="1"/>
  <c r="E272" i="57" s="1"/>
  <c r="D272" i="57" s="1"/>
  <c r="H272" i="57"/>
  <c r="L271" i="57"/>
  <c r="K271" i="57" s="1"/>
  <c r="H271" i="57"/>
  <c r="F271" i="57" s="1"/>
  <c r="K270" i="57"/>
  <c r="F270" i="57" s="1"/>
  <c r="E270" i="57" s="1"/>
  <c r="V269" i="57"/>
  <c r="U269" i="57"/>
  <c r="T269" i="57"/>
  <c r="S269" i="57"/>
  <c r="Q269" i="57"/>
  <c r="P269" i="57"/>
  <c r="O269" i="57"/>
  <c r="N269" i="57"/>
  <c r="M269" i="57"/>
  <c r="L269" i="57"/>
  <c r="J269" i="57"/>
  <c r="I269" i="57"/>
  <c r="H269" i="57"/>
  <c r="G269" i="57"/>
  <c r="K268" i="57"/>
  <c r="F268" i="57" s="1"/>
  <c r="E268" i="57" s="1"/>
  <c r="D268" i="57" s="1"/>
  <c r="W268" i="57" s="1"/>
  <c r="H268" i="57"/>
  <c r="K267" i="57"/>
  <c r="F267" i="57" s="1"/>
  <c r="E267" i="57" s="1"/>
  <c r="D267" i="57" s="1"/>
  <c r="W267" i="57" s="1"/>
  <c r="H267" i="57"/>
  <c r="K266" i="57"/>
  <c r="H266" i="57"/>
  <c r="K265" i="57"/>
  <c r="F265" i="57" s="1"/>
  <c r="E265" i="57" s="1"/>
  <c r="D265" i="57" s="1"/>
  <c r="W265" i="57" s="1"/>
  <c r="K264" i="57"/>
  <c r="F264" i="57" s="1"/>
  <c r="E264" i="57" s="1"/>
  <c r="D264" i="57"/>
  <c r="W264" i="57" s="1"/>
  <c r="K263" i="57"/>
  <c r="H263" i="57"/>
  <c r="K262" i="57"/>
  <c r="H262" i="57"/>
  <c r="F262" i="57" s="1"/>
  <c r="E262" i="57"/>
  <c r="D262" i="57" s="1"/>
  <c r="W262" i="57" s="1"/>
  <c r="K261" i="57"/>
  <c r="F261" i="57"/>
  <c r="E261" i="57" s="1"/>
  <c r="D261" i="57"/>
  <c r="W261" i="57" s="1"/>
  <c r="L260" i="57"/>
  <c r="H260" i="57"/>
  <c r="K259" i="57"/>
  <c r="F259" i="57"/>
  <c r="E259" i="57" s="1"/>
  <c r="D259" i="57" s="1"/>
  <c r="V258" i="57"/>
  <c r="U258" i="57"/>
  <c r="T258" i="57"/>
  <c r="S258" i="57"/>
  <c r="Q258" i="57"/>
  <c r="P258" i="57"/>
  <c r="O258" i="57"/>
  <c r="N258" i="57"/>
  <c r="M258" i="57"/>
  <c r="J258" i="57"/>
  <c r="I258" i="57"/>
  <c r="G258" i="57"/>
  <c r="K257" i="57"/>
  <c r="F257" i="57"/>
  <c r="E257" i="57" s="1"/>
  <c r="D257" i="57"/>
  <c r="K256" i="57"/>
  <c r="F256" i="57" s="1"/>
  <c r="E256" i="57" s="1"/>
  <c r="D256" i="57"/>
  <c r="K255" i="57"/>
  <c r="F255" i="57" s="1"/>
  <c r="E255" i="57"/>
  <c r="D255" i="57" s="1"/>
  <c r="W255" i="57" s="1"/>
  <c r="K254" i="57"/>
  <c r="F254" i="57" s="1"/>
  <c r="E254" i="57" s="1"/>
  <c r="D254" i="57" s="1"/>
  <c r="K253" i="57"/>
  <c r="F253" i="57" s="1"/>
  <c r="E253" i="57" s="1"/>
  <c r="D253" i="57" s="1"/>
  <c r="R253" i="57" s="1"/>
  <c r="K252" i="57"/>
  <c r="H252" i="57"/>
  <c r="F252" i="57"/>
  <c r="E252" i="57" s="1"/>
  <c r="D252" i="57" s="1"/>
  <c r="K251" i="57"/>
  <c r="F251" i="57" s="1"/>
  <c r="E251" i="57" s="1"/>
  <c r="D251" i="57" s="1"/>
  <c r="W251" i="57" s="1"/>
  <c r="L250" i="57"/>
  <c r="K249" i="57"/>
  <c r="F249" i="57"/>
  <c r="E249" i="57" s="1"/>
  <c r="D249" i="57" s="1"/>
  <c r="V248" i="57"/>
  <c r="U248" i="57"/>
  <c r="T248" i="57"/>
  <c r="T217" i="57" s="1"/>
  <c r="S248" i="57"/>
  <c r="Q248" i="57"/>
  <c r="P248" i="57"/>
  <c r="O248" i="57"/>
  <c r="O217" i="57" s="1"/>
  <c r="N248" i="57"/>
  <c r="M248" i="57"/>
  <c r="J248" i="57"/>
  <c r="I248" i="57"/>
  <c r="H248" i="57"/>
  <c r="G248" i="57"/>
  <c r="K247" i="57"/>
  <c r="F247" i="57" s="1"/>
  <c r="E247" i="57" s="1"/>
  <c r="D247" i="57" s="1"/>
  <c r="K246" i="57"/>
  <c r="F246" i="57" s="1"/>
  <c r="E246" i="57" s="1"/>
  <c r="D246" i="57" s="1"/>
  <c r="K245" i="57"/>
  <c r="F245" i="57" s="1"/>
  <c r="E245" i="57" s="1"/>
  <c r="D245" i="57" s="1"/>
  <c r="K244" i="57"/>
  <c r="H244" i="57"/>
  <c r="K243" i="57"/>
  <c r="H243" i="57"/>
  <c r="K242" i="57"/>
  <c r="H242" i="57"/>
  <c r="F242" i="57"/>
  <c r="E242" i="57" s="1"/>
  <c r="D242" i="57" s="1"/>
  <c r="K241" i="57"/>
  <c r="H241" i="57"/>
  <c r="L240" i="57"/>
  <c r="K240" i="57" s="1"/>
  <c r="H240" i="57"/>
  <c r="H238" i="57" s="1"/>
  <c r="K239" i="57"/>
  <c r="F239" i="57"/>
  <c r="E239" i="57" s="1"/>
  <c r="V238" i="57"/>
  <c r="U238" i="57"/>
  <c r="T238" i="57"/>
  <c r="S238" i="57"/>
  <c r="Q238" i="57"/>
  <c r="P238" i="57"/>
  <c r="O238" i="57"/>
  <c r="N238" i="57"/>
  <c r="M238" i="57"/>
  <c r="L238" i="57"/>
  <c r="J238" i="57"/>
  <c r="I238" i="57"/>
  <c r="G238" i="57"/>
  <c r="C238" i="57"/>
  <c r="K237" i="57"/>
  <c r="H237" i="57"/>
  <c r="F237" i="57" s="1"/>
  <c r="E237" i="57" s="1"/>
  <c r="D237" i="57" s="1"/>
  <c r="W237" i="57" s="1"/>
  <c r="K236" i="57"/>
  <c r="H236" i="57"/>
  <c r="K235" i="57"/>
  <c r="H235" i="57"/>
  <c r="F235" i="57" s="1"/>
  <c r="E235" i="57" s="1"/>
  <c r="D235" i="57" s="1"/>
  <c r="W235" i="57" s="1"/>
  <c r="K234" i="57"/>
  <c r="H234" i="57"/>
  <c r="K233" i="57"/>
  <c r="H233" i="57"/>
  <c r="K232" i="57"/>
  <c r="H232" i="57"/>
  <c r="K231" i="57"/>
  <c r="H231" i="57"/>
  <c r="F231" i="57"/>
  <c r="E231" i="57" s="1"/>
  <c r="D231" i="57" s="1"/>
  <c r="K230" i="57"/>
  <c r="H230" i="57"/>
  <c r="F230" i="57" s="1"/>
  <c r="E230" i="57" s="1"/>
  <c r="D230" i="57" s="1"/>
  <c r="K229" i="57"/>
  <c r="H229" i="57"/>
  <c r="K228" i="57"/>
  <c r="H228" i="57"/>
  <c r="F228" i="57" s="1"/>
  <c r="E228" i="57" s="1"/>
  <c r="D228" i="57" s="1"/>
  <c r="K227" i="57"/>
  <c r="H227" i="57"/>
  <c r="K226" i="57"/>
  <c r="H226" i="57"/>
  <c r="F226" i="57" s="1"/>
  <c r="E226" i="57" s="1"/>
  <c r="D226" i="57" s="1"/>
  <c r="K225" i="57"/>
  <c r="H225" i="57"/>
  <c r="K224" i="57"/>
  <c r="H224" i="57"/>
  <c r="F224" i="57"/>
  <c r="E224" i="57" s="1"/>
  <c r="D224" i="57" s="1"/>
  <c r="K223" i="57"/>
  <c r="F223" i="57" s="1"/>
  <c r="E223" i="57" s="1"/>
  <c r="D223" i="57" s="1"/>
  <c r="W223" i="57" s="1"/>
  <c r="K222" i="57"/>
  <c r="H222" i="57"/>
  <c r="F222" i="57" s="1"/>
  <c r="E222" i="57" s="1"/>
  <c r="D222" i="57" s="1"/>
  <c r="W222" i="57" s="1"/>
  <c r="K221" i="57"/>
  <c r="F221" i="57" s="1"/>
  <c r="E221" i="57" s="1"/>
  <c r="D221" i="57" s="1"/>
  <c r="W221" i="57" s="1"/>
  <c r="L220" i="57"/>
  <c r="K220" i="57" s="1"/>
  <c r="K218" i="57" s="1"/>
  <c r="H220" i="57"/>
  <c r="K219" i="57"/>
  <c r="F219" i="57" s="1"/>
  <c r="E219" i="57" s="1"/>
  <c r="V218" i="57"/>
  <c r="U218" i="57"/>
  <c r="U217" i="57" s="1"/>
  <c r="T218" i="57"/>
  <c r="S218" i="57"/>
  <c r="Q218" i="57"/>
  <c r="P218" i="57"/>
  <c r="P217" i="57" s="1"/>
  <c r="O218" i="57"/>
  <c r="N218" i="57"/>
  <c r="M218" i="57"/>
  <c r="L218" i="57"/>
  <c r="J218" i="57"/>
  <c r="I218" i="57"/>
  <c r="G218" i="57"/>
  <c r="Q217" i="57"/>
  <c r="J217" i="57"/>
  <c r="M216" i="57"/>
  <c r="M214" i="57" s="1"/>
  <c r="H216" i="57"/>
  <c r="K215" i="57"/>
  <c r="H215" i="57"/>
  <c r="F215" i="57" s="1"/>
  <c r="V214" i="57"/>
  <c r="U214" i="57"/>
  <c r="T214" i="57"/>
  <c r="S214" i="57"/>
  <c r="R214" i="57"/>
  <c r="Q214" i="57"/>
  <c r="P214" i="57"/>
  <c r="O214" i="57"/>
  <c r="N214" i="57"/>
  <c r="L214" i="57"/>
  <c r="J214" i="57"/>
  <c r="I214" i="57"/>
  <c r="G214" i="57"/>
  <c r="K213" i="57"/>
  <c r="F213" i="57" s="1"/>
  <c r="E213" i="57" s="1"/>
  <c r="D213" i="57" s="1"/>
  <c r="K212" i="57"/>
  <c r="F212" i="57" s="1"/>
  <c r="E212" i="57" s="1"/>
  <c r="D212" i="57" s="1"/>
  <c r="K211" i="57"/>
  <c r="H211" i="57"/>
  <c r="F211" i="57"/>
  <c r="E211" i="57" s="1"/>
  <c r="D211" i="57" s="1"/>
  <c r="K210" i="57"/>
  <c r="H210" i="57"/>
  <c r="F210" i="57" s="1"/>
  <c r="E210" i="57" s="1"/>
  <c r="D210" i="57" s="1"/>
  <c r="K209" i="57"/>
  <c r="H209" i="57"/>
  <c r="K208" i="57"/>
  <c r="H208" i="57"/>
  <c r="F208" i="57" s="1"/>
  <c r="E208" i="57" s="1"/>
  <c r="D208" i="57" s="1"/>
  <c r="K207" i="57"/>
  <c r="H207" i="57"/>
  <c r="K206" i="57"/>
  <c r="H206" i="57"/>
  <c r="K205" i="57"/>
  <c r="F205" i="57" s="1"/>
  <c r="E205" i="57" s="1"/>
  <c r="D205" i="57" s="1"/>
  <c r="H205" i="57"/>
  <c r="K204" i="57"/>
  <c r="H204" i="57"/>
  <c r="X203" i="57"/>
  <c r="V203" i="57"/>
  <c r="U203" i="57"/>
  <c r="T203" i="57"/>
  <c r="S203" i="57"/>
  <c r="S189" i="57" s="1"/>
  <c r="S188" i="57" s="1"/>
  <c r="Q203" i="57"/>
  <c r="P203" i="57"/>
  <c r="P189" i="57" s="1"/>
  <c r="P188" i="57" s="1"/>
  <c r="O203" i="57"/>
  <c r="N203" i="57"/>
  <c r="N189" i="57" s="1"/>
  <c r="M203" i="57"/>
  <c r="L203" i="57"/>
  <c r="J203" i="57"/>
  <c r="I203" i="57"/>
  <c r="I189" i="57" s="1"/>
  <c r="I188" i="57" s="1"/>
  <c r="G203" i="57"/>
  <c r="C203" i="57"/>
  <c r="K202" i="57"/>
  <c r="H202" i="57"/>
  <c r="K201" i="57"/>
  <c r="H201" i="57"/>
  <c r="K200" i="57"/>
  <c r="H200" i="57"/>
  <c r="K199" i="57"/>
  <c r="H199" i="57"/>
  <c r="L198" i="57"/>
  <c r="H198" i="57"/>
  <c r="K197" i="57"/>
  <c r="F197" i="57" s="1"/>
  <c r="E197" i="57" s="1"/>
  <c r="D197" i="57" s="1"/>
  <c r="W197" i="57" s="1"/>
  <c r="K196" i="57"/>
  <c r="F196" i="57" s="1"/>
  <c r="E196" i="57" s="1"/>
  <c r="D196" i="57" s="1"/>
  <c r="W196" i="57" s="1"/>
  <c r="K195" i="57"/>
  <c r="F195" i="57" s="1"/>
  <c r="E195" i="57" s="1"/>
  <c r="D195" i="57" s="1"/>
  <c r="W195" i="57" s="1"/>
  <c r="H195" i="57"/>
  <c r="K194" i="57"/>
  <c r="F194" i="57" s="1"/>
  <c r="K193" i="57"/>
  <c r="F193" i="57"/>
  <c r="E193" i="57" s="1"/>
  <c r="V192" i="57"/>
  <c r="U192" i="57"/>
  <c r="T192" i="57"/>
  <c r="S192" i="57"/>
  <c r="R192" i="57"/>
  <c r="Q192" i="57"/>
  <c r="P192" i="57"/>
  <c r="O192" i="57"/>
  <c r="N192" i="57"/>
  <c r="M192" i="57"/>
  <c r="L192" i="57"/>
  <c r="J192" i="57"/>
  <c r="H192" i="57"/>
  <c r="G192" i="57"/>
  <c r="G190" i="57" s="1"/>
  <c r="G189" i="57" s="1"/>
  <c r="G188" i="57" s="1"/>
  <c r="K191" i="57"/>
  <c r="F191" i="57"/>
  <c r="E191" i="57" s="1"/>
  <c r="V190" i="57"/>
  <c r="U190" i="57"/>
  <c r="U189" i="57" s="1"/>
  <c r="U188" i="57" s="1"/>
  <c r="T190" i="57"/>
  <c r="T189" i="57" s="1"/>
  <c r="S190" i="57"/>
  <c r="R190" i="57"/>
  <c r="Q190" i="57"/>
  <c r="P190" i="57"/>
  <c r="O190" i="57"/>
  <c r="O189" i="57" s="1"/>
  <c r="N190" i="57"/>
  <c r="M190" i="57"/>
  <c r="M189" i="57" s="1"/>
  <c r="M188" i="57" s="1"/>
  <c r="J190" i="57"/>
  <c r="J189" i="57" s="1"/>
  <c r="I190" i="57"/>
  <c r="H190" i="57"/>
  <c r="V189" i="57"/>
  <c r="Q189" i="57"/>
  <c r="Q188" i="57" s="1"/>
  <c r="V188" i="57"/>
  <c r="T188" i="57"/>
  <c r="O188" i="57"/>
  <c r="N188" i="57"/>
  <c r="J188" i="57"/>
  <c r="V187" i="57"/>
  <c r="U187" i="57"/>
  <c r="T187" i="57"/>
  <c r="Q187" i="57"/>
  <c r="P187" i="57"/>
  <c r="O187" i="57"/>
  <c r="N187" i="57"/>
  <c r="M187" i="57"/>
  <c r="L187" i="57"/>
  <c r="K187" i="57"/>
  <c r="J187" i="57"/>
  <c r="I187" i="57"/>
  <c r="G187" i="57"/>
  <c r="K185" i="57"/>
  <c r="H185" i="57"/>
  <c r="F185" i="57" s="1"/>
  <c r="E185" i="57" s="1"/>
  <c r="D185" i="57" s="1"/>
  <c r="W185" i="57" s="1"/>
  <c r="K184" i="57"/>
  <c r="H184" i="57"/>
  <c r="N183" i="57"/>
  <c r="N182" i="57" s="1"/>
  <c r="K183" i="57"/>
  <c r="K182" i="57" s="1"/>
  <c r="H183" i="57"/>
  <c r="V182" i="57"/>
  <c r="U182" i="57"/>
  <c r="T182" i="57"/>
  <c r="T162" i="57" s="1"/>
  <c r="S182" i="57"/>
  <c r="R182" i="57"/>
  <c r="Q182" i="57"/>
  <c r="P182" i="57"/>
  <c r="O182" i="57"/>
  <c r="M182" i="57"/>
  <c r="L182" i="57"/>
  <c r="I182" i="57"/>
  <c r="G182" i="57"/>
  <c r="K181" i="57"/>
  <c r="H181" i="57"/>
  <c r="F181" i="57" s="1"/>
  <c r="E181" i="57" s="1"/>
  <c r="D181" i="57" s="1"/>
  <c r="W181" i="57" s="1"/>
  <c r="K180" i="57"/>
  <c r="H180" i="57"/>
  <c r="F180" i="57" s="1"/>
  <c r="E180" i="57" s="1"/>
  <c r="D180" i="57" s="1"/>
  <c r="W180" i="57" s="1"/>
  <c r="K179" i="57"/>
  <c r="H179" i="57"/>
  <c r="F179" i="57" s="1"/>
  <c r="E179" i="57" s="1"/>
  <c r="D179" i="57" s="1"/>
  <c r="W179" i="57" s="1"/>
  <c r="K178" i="57"/>
  <c r="H178" i="57"/>
  <c r="F178" i="57" s="1"/>
  <c r="E178" i="57" s="1"/>
  <c r="D178" i="57" s="1"/>
  <c r="W178" i="57" s="1"/>
  <c r="K177" i="57"/>
  <c r="H177" i="57"/>
  <c r="K176" i="57"/>
  <c r="E176" i="57"/>
  <c r="D176" i="57"/>
  <c r="W176" i="57" s="1"/>
  <c r="K175" i="57"/>
  <c r="H175" i="57"/>
  <c r="K174" i="57"/>
  <c r="H174" i="57"/>
  <c r="F174" i="57"/>
  <c r="E174" i="57" s="1"/>
  <c r="D174" i="57" s="1"/>
  <c r="K173" i="57"/>
  <c r="H173" i="57"/>
  <c r="K172" i="57"/>
  <c r="H172" i="57"/>
  <c r="F172" i="57" s="1"/>
  <c r="E172" i="57" s="1"/>
  <c r="D172" i="57" s="1"/>
  <c r="K171" i="57"/>
  <c r="H171" i="57"/>
  <c r="F171" i="57" s="1"/>
  <c r="E171" i="57" s="1"/>
  <c r="D171" i="57" s="1"/>
  <c r="W171" i="57" s="1"/>
  <c r="E170" i="57"/>
  <c r="D170" i="57"/>
  <c r="W170" i="57" s="1"/>
  <c r="W169" i="57"/>
  <c r="E169" i="57"/>
  <c r="W168" i="57"/>
  <c r="E168" i="57"/>
  <c r="N167" i="57"/>
  <c r="N166" i="57" s="1"/>
  <c r="K167" i="57"/>
  <c r="H167" i="57"/>
  <c r="F167" i="57" s="1"/>
  <c r="V166" i="57"/>
  <c r="V162" i="57" s="1"/>
  <c r="U166" i="57"/>
  <c r="T166" i="57"/>
  <c r="S166" i="57"/>
  <c r="Q166" i="57"/>
  <c r="P166" i="57"/>
  <c r="O166" i="57"/>
  <c r="M166" i="57"/>
  <c r="L166" i="57"/>
  <c r="L162" i="57" s="1"/>
  <c r="J166" i="57"/>
  <c r="I166" i="57"/>
  <c r="G166" i="57"/>
  <c r="K165" i="57"/>
  <c r="H165" i="57"/>
  <c r="K164" i="57"/>
  <c r="H164" i="57"/>
  <c r="F164" i="57" s="1"/>
  <c r="E164" i="57" s="1"/>
  <c r="D164" i="57" s="1"/>
  <c r="V163" i="57"/>
  <c r="U163" i="57"/>
  <c r="T163" i="57"/>
  <c r="S163" i="57"/>
  <c r="S162" i="57" s="1"/>
  <c r="Q163" i="57"/>
  <c r="P163" i="57"/>
  <c r="O163" i="57"/>
  <c r="O162" i="57" s="1"/>
  <c r="N163" i="57"/>
  <c r="M163" i="57"/>
  <c r="L163" i="57"/>
  <c r="K163" i="57"/>
  <c r="I163" i="57"/>
  <c r="G163" i="57"/>
  <c r="G162" i="57" s="1"/>
  <c r="I162" i="57"/>
  <c r="N161" i="57"/>
  <c r="K161" i="57"/>
  <c r="H161" i="57"/>
  <c r="F161" i="57" s="1"/>
  <c r="E161" i="57" s="1"/>
  <c r="D161" i="57" s="1"/>
  <c r="W161" i="57" s="1"/>
  <c r="K160" i="57"/>
  <c r="H160" i="57"/>
  <c r="F160" i="57" s="1"/>
  <c r="E160" i="57" s="1"/>
  <c r="D160" i="57" s="1"/>
  <c r="K159" i="57"/>
  <c r="H159" i="57"/>
  <c r="K158" i="57"/>
  <c r="H158" i="57"/>
  <c r="F158" i="57" s="1"/>
  <c r="E158" i="57" s="1"/>
  <c r="D158" i="57" s="1"/>
  <c r="K157" i="57"/>
  <c r="F157" i="57" s="1"/>
  <c r="E157" i="57" s="1"/>
  <c r="D157" i="57" s="1"/>
  <c r="H157" i="57"/>
  <c r="L156" i="57"/>
  <c r="K156" i="57" s="1"/>
  <c r="H156" i="57"/>
  <c r="F156" i="57" s="1"/>
  <c r="K155" i="57"/>
  <c r="F155" i="57" s="1"/>
  <c r="E155" i="57" s="1"/>
  <c r="V154" i="57"/>
  <c r="V142" i="57" s="1"/>
  <c r="U154" i="57"/>
  <c r="T154" i="57"/>
  <c r="S154" i="57"/>
  <c r="Q154" i="57"/>
  <c r="P154" i="57"/>
  <c r="O154" i="57"/>
  <c r="N154" i="57"/>
  <c r="M154" i="57"/>
  <c r="L154" i="57"/>
  <c r="J154" i="57"/>
  <c r="J142" i="57" s="1"/>
  <c r="I154" i="57"/>
  <c r="G154" i="57"/>
  <c r="N153" i="57"/>
  <c r="N142" i="57" s="1"/>
  <c r="K153" i="57"/>
  <c r="H153" i="57"/>
  <c r="W152" i="57"/>
  <c r="W151" i="57"/>
  <c r="K150" i="57"/>
  <c r="H150" i="57"/>
  <c r="K149" i="57"/>
  <c r="H149" i="57"/>
  <c r="F149" i="57" s="1"/>
  <c r="E149" i="57" s="1"/>
  <c r="D149" i="57" s="1"/>
  <c r="W149" i="57" s="1"/>
  <c r="K148" i="57"/>
  <c r="F148" i="57" s="1"/>
  <c r="E148" i="57" s="1"/>
  <c r="D148" i="57" s="1"/>
  <c r="W148" i="57" s="1"/>
  <c r="H148" i="57"/>
  <c r="K147" i="57"/>
  <c r="H147" i="57"/>
  <c r="F147" i="57"/>
  <c r="E147" i="57" s="1"/>
  <c r="D147" i="57" s="1"/>
  <c r="W147" i="57" s="1"/>
  <c r="K146" i="57"/>
  <c r="F146" i="57" s="1"/>
  <c r="E146" i="57" s="1"/>
  <c r="D146" i="57" s="1"/>
  <c r="W146" i="57" s="1"/>
  <c r="L145" i="57"/>
  <c r="K145" i="57" s="1"/>
  <c r="H145" i="57"/>
  <c r="F145" i="57"/>
  <c r="E145" i="57" s="1"/>
  <c r="D145" i="57" s="1"/>
  <c r="W145" i="57" s="1"/>
  <c r="K144" i="57"/>
  <c r="F144" i="57" s="1"/>
  <c r="V143" i="57"/>
  <c r="U143" i="57"/>
  <c r="U142" i="57" s="1"/>
  <c r="T143" i="57"/>
  <c r="S143" i="57"/>
  <c r="S142" i="57" s="1"/>
  <c r="Q143" i="57"/>
  <c r="P143" i="57"/>
  <c r="O143" i="57"/>
  <c r="O142" i="57" s="1"/>
  <c r="N143" i="57"/>
  <c r="M143" i="57"/>
  <c r="L143" i="57"/>
  <c r="K143" i="57"/>
  <c r="J143" i="57"/>
  <c r="I143" i="57"/>
  <c r="H143" i="57"/>
  <c r="G143" i="57"/>
  <c r="G142" i="57" s="1"/>
  <c r="Q142" i="57"/>
  <c r="M142" i="57"/>
  <c r="I142" i="57"/>
  <c r="K141" i="57"/>
  <c r="H141" i="57"/>
  <c r="F141" i="57" s="1"/>
  <c r="E141" i="57" s="1"/>
  <c r="D141" i="57" s="1"/>
  <c r="W141" i="57" s="1"/>
  <c r="K140" i="57"/>
  <c r="H140" i="57"/>
  <c r="F140" i="57" s="1"/>
  <c r="E140" i="57" s="1"/>
  <c r="D140" i="57" s="1"/>
  <c r="W140" i="57" s="1"/>
  <c r="H139" i="57"/>
  <c r="F139" i="57" s="1"/>
  <c r="E139" i="57" s="1"/>
  <c r="D139" i="57" s="1"/>
  <c r="K138" i="57"/>
  <c r="H138" i="57"/>
  <c r="K137" i="57"/>
  <c r="H137" i="57"/>
  <c r="V136" i="57"/>
  <c r="U136" i="57"/>
  <c r="T136" i="57"/>
  <c r="S136" i="57"/>
  <c r="Q136" i="57"/>
  <c r="P136" i="57"/>
  <c r="O136" i="57"/>
  <c r="N136" i="57"/>
  <c r="M136" i="57"/>
  <c r="L136" i="57"/>
  <c r="I136" i="57"/>
  <c r="G136" i="57"/>
  <c r="N135" i="57"/>
  <c r="N127" i="57" s="1"/>
  <c r="K135" i="57"/>
  <c r="H135" i="57"/>
  <c r="K134" i="57"/>
  <c r="H134" i="57"/>
  <c r="F134" i="57" s="1"/>
  <c r="E134" i="57" s="1"/>
  <c r="D134" i="57" s="1"/>
  <c r="K133" i="57"/>
  <c r="H133" i="57"/>
  <c r="F133" i="57"/>
  <c r="E133" i="57" s="1"/>
  <c r="D133" i="57" s="1"/>
  <c r="K132" i="57"/>
  <c r="E132" i="57"/>
  <c r="D132" i="57"/>
  <c r="W132" i="57" s="1"/>
  <c r="K131" i="57"/>
  <c r="H131" i="57"/>
  <c r="F131" i="57" s="1"/>
  <c r="E131" i="57" s="1"/>
  <c r="D131" i="57" s="1"/>
  <c r="K130" i="57"/>
  <c r="H130" i="57"/>
  <c r="K129" i="57"/>
  <c r="H129" i="57"/>
  <c r="F129" i="57" s="1"/>
  <c r="K128" i="57"/>
  <c r="H128" i="57"/>
  <c r="F128" i="57"/>
  <c r="E128" i="57" s="1"/>
  <c r="V127" i="57"/>
  <c r="U127" i="57"/>
  <c r="T127" i="57"/>
  <c r="S127" i="57"/>
  <c r="Q127" i="57"/>
  <c r="P127" i="57"/>
  <c r="O127" i="57"/>
  <c r="M127" i="57"/>
  <c r="L127" i="57"/>
  <c r="J127" i="57"/>
  <c r="I127" i="57"/>
  <c r="G127" i="57"/>
  <c r="K126" i="57"/>
  <c r="H126" i="57"/>
  <c r="K125" i="57"/>
  <c r="H125" i="57"/>
  <c r="K124" i="57"/>
  <c r="H124" i="57"/>
  <c r="F124" i="57"/>
  <c r="E124" i="57" s="1"/>
  <c r="D124" i="57" s="1"/>
  <c r="K123" i="57"/>
  <c r="H123" i="57"/>
  <c r="K122" i="57"/>
  <c r="H122" i="57"/>
  <c r="F122" i="57" s="1"/>
  <c r="E122" i="57" s="1"/>
  <c r="D122" i="57" s="1"/>
  <c r="K121" i="57"/>
  <c r="H121" i="57"/>
  <c r="F121" i="57"/>
  <c r="E121" i="57" s="1"/>
  <c r="D121" i="57" s="1"/>
  <c r="K120" i="57"/>
  <c r="H120" i="57"/>
  <c r="K119" i="57"/>
  <c r="H119" i="57"/>
  <c r="V118" i="57"/>
  <c r="U118" i="57"/>
  <c r="T118" i="57"/>
  <c r="S118" i="57"/>
  <c r="Q118" i="57"/>
  <c r="P118" i="57"/>
  <c r="O118" i="57"/>
  <c r="N118" i="57"/>
  <c r="M118" i="57"/>
  <c r="L118" i="57"/>
  <c r="I118" i="57"/>
  <c r="G118" i="57"/>
  <c r="U117" i="57"/>
  <c r="K117" i="57"/>
  <c r="H117" i="57"/>
  <c r="K116" i="57"/>
  <c r="H116" i="57"/>
  <c r="F116" i="57" s="1"/>
  <c r="E116" i="57" s="1"/>
  <c r="D116" i="57" s="1"/>
  <c r="K115" i="57"/>
  <c r="H115" i="57"/>
  <c r="F115" i="57"/>
  <c r="E115" i="57" s="1"/>
  <c r="D115" i="57" s="1"/>
  <c r="K114" i="57"/>
  <c r="H114" i="57"/>
  <c r="K113" i="57"/>
  <c r="H113" i="57"/>
  <c r="K112" i="57"/>
  <c r="H112" i="57"/>
  <c r="K111" i="57"/>
  <c r="H111" i="57"/>
  <c r="K110" i="57"/>
  <c r="H110" i="57"/>
  <c r="K109" i="57"/>
  <c r="H109" i="57"/>
  <c r="K108" i="57"/>
  <c r="H108" i="57"/>
  <c r="K107" i="57"/>
  <c r="H107" i="57"/>
  <c r="F107" i="57"/>
  <c r="E107" i="57" s="1"/>
  <c r="D107" i="57" s="1"/>
  <c r="K106" i="57"/>
  <c r="H106" i="57"/>
  <c r="K105" i="57"/>
  <c r="H105" i="57"/>
  <c r="F105" i="57" s="1"/>
  <c r="E105" i="57" s="1"/>
  <c r="D105" i="57" s="1"/>
  <c r="K104" i="57"/>
  <c r="H104" i="57"/>
  <c r="F104" i="57"/>
  <c r="E104" i="57" s="1"/>
  <c r="D104" i="57" s="1"/>
  <c r="K103" i="57"/>
  <c r="H103" i="57"/>
  <c r="L102" i="57"/>
  <c r="K102" i="57" s="1"/>
  <c r="H102" i="57"/>
  <c r="F102" i="57" s="1"/>
  <c r="E102" i="57" s="1"/>
  <c r="D102" i="57" s="1"/>
  <c r="K101" i="57"/>
  <c r="H101" i="57"/>
  <c r="K100" i="57"/>
  <c r="H100" i="57"/>
  <c r="F100" i="57" s="1"/>
  <c r="E100" i="57" s="1"/>
  <c r="D100" i="57" s="1"/>
  <c r="W100" i="57" s="1"/>
  <c r="K99" i="57"/>
  <c r="F99" i="57" s="1"/>
  <c r="E99" i="57" s="1"/>
  <c r="D99" i="57" s="1"/>
  <c r="W99" i="57" s="1"/>
  <c r="K98" i="57"/>
  <c r="F98" i="57" s="1"/>
  <c r="V97" i="57"/>
  <c r="U97" i="57"/>
  <c r="T97" i="57"/>
  <c r="S97" i="57"/>
  <c r="S96" i="57" s="1"/>
  <c r="Q97" i="57"/>
  <c r="Q96" i="57" s="1"/>
  <c r="P97" i="57"/>
  <c r="P96" i="57" s="1"/>
  <c r="P95" i="57" s="1"/>
  <c r="O97" i="57"/>
  <c r="O96" i="57" s="1"/>
  <c r="N97" i="57"/>
  <c r="M97" i="57"/>
  <c r="M96" i="57" s="1"/>
  <c r="J97" i="57"/>
  <c r="I97" i="57"/>
  <c r="I96" i="57" s="1"/>
  <c r="G97" i="57"/>
  <c r="G96" i="57" s="1"/>
  <c r="C97" i="57"/>
  <c r="C96" i="57" s="1"/>
  <c r="V96" i="57"/>
  <c r="T96" i="57"/>
  <c r="N96" i="57"/>
  <c r="J96" i="57"/>
  <c r="J95" i="57" s="1"/>
  <c r="K94" i="57"/>
  <c r="H94" i="57"/>
  <c r="F94" i="57" s="1"/>
  <c r="E94" i="57" s="1"/>
  <c r="D94" i="57" s="1"/>
  <c r="W94" i="57" s="1"/>
  <c r="K93" i="57"/>
  <c r="H93" i="57"/>
  <c r="H92" i="57" s="1"/>
  <c r="V92" i="57"/>
  <c r="U92" i="57"/>
  <c r="T92" i="57"/>
  <c r="S92" i="57"/>
  <c r="R92" i="57"/>
  <c r="Q92" i="57"/>
  <c r="P92" i="57"/>
  <c r="O92" i="57"/>
  <c r="N92" i="57"/>
  <c r="M92" i="57"/>
  <c r="L92" i="57"/>
  <c r="K92" i="57"/>
  <c r="J92" i="57"/>
  <c r="I92" i="57"/>
  <c r="G92" i="57"/>
  <c r="K90" i="57"/>
  <c r="H90" i="57"/>
  <c r="F89" i="57"/>
  <c r="E89" i="57"/>
  <c r="D89" i="57" s="1"/>
  <c r="W89" i="57" s="1"/>
  <c r="K88" i="57"/>
  <c r="F88" i="57" s="1"/>
  <c r="E88" i="57" s="1"/>
  <c r="D88" i="57" s="1"/>
  <c r="H88" i="57"/>
  <c r="K87" i="57"/>
  <c r="H87" i="57"/>
  <c r="F87" i="57" s="1"/>
  <c r="E87" i="57" s="1"/>
  <c r="D87" i="57" s="1"/>
  <c r="F86" i="57"/>
  <c r="E86" i="57" s="1"/>
  <c r="D86" i="57" s="1"/>
  <c r="W86" i="57" s="1"/>
  <c r="K85" i="57"/>
  <c r="F85" i="57" s="1"/>
  <c r="E85" i="57" s="1"/>
  <c r="D85" i="57" s="1"/>
  <c r="R85" i="57" s="1"/>
  <c r="H85" i="57"/>
  <c r="K84" i="57"/>
  <c r="H84" i="57"/>
  <c r="V83" i="57"/>
  <c r="U83" i="57"/>
  <c r="T83" i="57"/>
  <c r="T77" i="57" s="1"/>
  <c r="S83" i="57"/>
  <c r="Q83" i="57"/>
  <c r="P83" i="57"/>
  <c r="O83" i="57"/>
  <c r="O77" i="57" s="1"/>
  <c r="N83" i="57"/>
  <c r="M83" i="57"/>
  <c r="L83" i="57"/>
  <c r="L77" i="57" s="1"/>
  <c r="K83" i="57"/>
  <c r="I83" i="57"/>
  <c r="G83" i="57"/>
  <c r="K82" i="57"/>
  <c r="F82" i="57" s="1"/>
  <c r="E82" i="57" s="1"/>
  <c r="D82" i="57" s="1"/>
  <c r="W82" i="57" s="1"/>
  <c r="H82" i="57"/>
  <c r="K81" i="57"/>
  <c r="H81" i="57"/>
  <c r="H80" i="57"/>
  <c r="F80" i="57" s="1"/>
  <c r="E80" i="57" s="1"/>
  <c r="D80" i="57" s="1"/>
  <c r="W80" i="57" s="1"/>
  <c r="K79" i="57"/>
  <c r="F79" i="57"/>
  <c r="E79" i="57" s="1"/>
  <c r="D79" i="57" s="1"/>
  <c r="V78" i="57"/>
  <c r="V76" i="57" s="1"/>
  <c r="U78" i="57"/>
  <c r="U76" i="57" s="1"/>
  <c r="T78" i="57"/>
  <c r="S78" i="57"/>
  <c r="R78" i="57"/>
  <c r="Q78" i="57"/>
  <c r="P78" i="57"/>
  <c r="O78" i="57"/>
  <c r="N78" i="57"/>
  <c r="N76" i="57" s="1"/>
  <c r="M78" i="57"/>
  <c r="L78" i="57"/>
  <c r="J78" i="57"/>
  <c r="J76" i="57" s="1"/>
  <c r="I78" i="57"/>
  <c r="G78" i="57"/>
  <c r="I77" i="57"/>
  <c r="C77" i="57"/>
  <c r="S76" i="57"/>
  <c r="I76" i="57"/>
  <c r="C76" i="57"/>
  <c r="K75" i="57"/>
  <c r="H75" i="57"/>
  <c r="F75" i="57" s="1"/>
  <c r="E75" i="57" s="1"/>
  <c r="D75" i="57" s="1"/>
  <c r="W75" i="57" s="1"/>
  <c r="K74" i="57"/>
  <c r="H74" i="57"/>
  <c r="F74" i="57"/>
  <c r="V73" i="57"/>
  <c r="U73" i="57"/>
  <c r="T73" i="57"/>
  <c r="S73" i="57"/>
  <c r="R73" i="57"/>
  <c r="Q73" i="57"/>
  <c r="P73" i="57"/>
  <c r="O73" i="57"/>
  <c r="N73" i="57"/>
  <c r="M73" i="57"/>
  <c r="L73" i="57"/>
  <c r="I73" i="57"/>
  <c r="G73" i="57"/>
  <c r="E72" i="57"/>
  <c r="D72" i="57"/>
  <c r="W72" i="57" s="1"/>
  <c r="E71" i="57"/>
  <c r="D71" i="57" s="1"/>
  <c r="W71" i="57" s="1"/>
  <c r="E70" i="57"/>
  <c r="D70" i="57"/>
  <c r="W70" i="57" s="1"/>
  <c r="E69" i="57"/>
  <c r="D69" i="57" s="1"/>
  <c r="W69" i="57" s="1"/>
  <c r="E68" i="57"/>
  <c r="D68" i="57"/>
  <c r="W68" i="57" s="1"/>
  <c r="N67" i="57"/>
  <c r="K66" i="57"/>
  <c r="F66" i="57" s="1"/>
  <c r="E66" i="57"/>
  <c r="D66" i="57" s="1"/>
  <c r="W66" i="57" s="1"/>
  <c r="K65" i="57"/>
  <c r="F65" i="57"/>
  <c r="E65" i="57" s="1"/>
  <c r="D65" i="57" s="1"/>
  <c r="W65" i="57" s="1"/>
  <c r="K64" i="57"/>
  <c r="F64" i="57" s="1"/>
  <c r="E64" i="57" s="1"/>
  <c r="D64" i="57" s="1"/>
  <c r="W64" i="57" s="1"/>
  <c r="L63" i="57"/>
  <c r="K63" i="57" s="1"/>
  <c r="H63" i="57"/>
  <c r="K62" i="57"/>
  <c r="F62" i="57" s="1"/>
  <c r="E62" i="57" s="1"/>
  <c r="D62" i="57" s="1"/>
  <c r="V61" i="57"/>
  <c r="U61" i="57"/>
  <c r="U50" i="57" s="1"/>
  <c r="T61" i="57"/>
  <c r="S61" i="57"/>
  <c r="R61" i="57"/>
  <c r="Q61" i="57"/>
  <c r="Q50" i="57" s="1"/>
  <c r="P61" i="57"/>
  <c r="O61" i="57"/>
  <c r="M61" i="57"/>
  <c r="M50" i="57" s="1"/>
  <c r="L61" i="57"/>
  <c r="J61" i="57"/>
  <c r="I61" i="57"/>
  <c r="I50" i="57" s="1"/>
  <c r="H61" i="57"/>
  <c r="G61" i="57"/>
  <c r="G50" i="57" s="1"/>
  <c r="C61" i="57"/>
  <c r="F60" i="57"/>
  <c r="E60" i="57" s="1"/>
  <c r="D60" i="57" s="1"/>
  <c r="W60" i="57" s="1"/>
  <c r="F59" i="57"/>
  <c r="E59" i="57" s="1"/>
  <c r="D59" i="57" s="1"/>
  <c r="W59" i="57" s="1"/>
  <c r="K58" i="57"/>
  <c r="F58" i="57" s="1"/>
  <c r="E58" i="57" s="1"/>
  <c r="D58" i="57" s="1"/>
  <c r="W58" i="57" s="1"/>
  <c r="H58" i="57"/>
  <c r="K57" i="57"/>
  <c r="H57" i="57"/>
  <c r="H51" i="57" s="1"/>
  <c r="H50" i="57" s="1"/>
  <c r="K56" i="57"/>
  <c r="F56" i="57" s="1"/>
  <c r="E56" i="57" s="1"/>
  <c r="D56" i="57" s="1"/>
  <c r="W56" i="57" s="1"/>
  <c r="L55" i="57"/>
  <c r="K55" i="57"/>
  <c r="F55" i="57" s="1"/>
  <c r="E55" i="57" s="1"/>
  <c r="D55" i="57" s="1"/>
  <c r="W55" i="57" s="1"/>
  <c r="K54" i="57"/>
  <c r="F54" i="57" s="1"/>
  <c r="E54" i="57" s="1"/>
  <c r="D54" i="57" s="1"/>
  <c r="W54" i="57" s="1"/>
  <c r="K53" i="57"/>
  <c r="F53" i="57" s="1"/>
  <c r="K52" i="57"/>
  <c r="F52" i="57"/>
  <c r="E52" i="57" s="1"/>
  <c r="V51" i="57"/>
  <c r="U51" i="57"/>
  <c r="T51" i="57"/>
  <c r="S51" i="57"/>
  <c r="R51" i="57"/>
  <c r="Q51" i="57"/>
  <c r="P51" i="57"/>
  <c r="O51" i="57"/>
  <c r="N51" i="57"/>
  <c r="M51" i="57"/>
  <c r="L51" i="57"/>
  <c r="J51" i="57"/>
  <c r="I51" i="57"/>
  <c r="G51" i="57"/>
  <c r="V50" i="57"/>
  <c r="R50" i="57"/>
  <c r="J50" i="57"/>
  <c r="K49" i="57"/>
  <c r="H49" i="57"/>
  <c r="N48" i="57"/>
  <c r="K48" i="57"/>
  <c r="H48" i="57"/>
  <c r="K47" i="57"/>
  <c r="H47" i="57"/>
  <c r="F47" i="57" s="1"/>
  <c r="E47" i="57" s="1"/>
  <c r="D47" i="57" s="1"/>
  <c r="W47" i="57" s="1"/>
  <c r="N46" i="57"/>
  <c r="N45" i="57" s="1"/>
  <c r="K46" i="57"/>
  <c r="H46" i="57"/>
  <c r="V45" i="57"/>
  <c r="V40" i="57" s="1"/>
  <c r="V35" i="57" s="1"/>
  <c r="V34" i="57" s="1"/>
  <c r="V33" i="57" s="1"/>
  <c r="V32" i="57" s="1"/>
  <c r="U45" i="57"/>
  <c r="U40" i="57" s="1"/>
  <c r="U35" i="57" s="1"/>
  <c r="U34" i="57" s="1"/>
  <c r="T45" i="57"/>
  <c r="T40" i="57" s="1"/>
  <c r="T35" i="57" s="1"/>
  <c r="T34" i="57" s="1"/>
  <c r="T33" i="57" s="1"/>
  <c r="S45" i="57"/>
  <c r="R45" i="57"/>
  <c r="R40" i="57" s="1"/>
  <c r="R35" i="57" s="1"/>
  <c r="R34" i="57" s="1"/>
  <c r="R33" i="57" s="1"/>
  <c r="Q45" i="57"/>
  <c r="Q40" i="57" s="1"/>
  <c r="Q35" i="57" s="1"/>
  <c r="Q34" i="57" s="1"/>
  <c r="Q33" i="57" s="1"/>
  <c r="P45" i="57"/>
  <c r="P40" i="57" s="1"/>
  <c r="P35" i="57" s="1"/>
  <c r="P34" i="57" s="1"/>
  <c r="P33" i="57" s="1"/>
  <c r="O45" i="57"/>
  <c r="M45" i="57"/>
  <c r="M40" i="57" s="1"/>
  <c r="M35" i="57" s="1"/>
  <c r="M34" i="57" s="1"/>
  <c r="M33" i="57" s="1"/>
  <c r="L45" i="57"/>
  <c r="L40" i="57" s="1"/>
  <c r="I45" i="57"/>
  <c r="I40" i="57" s="1"/>
  <c r="I35" i="57" s="1"/>
  <c r="I34" i="57" s="1"/>
  <c r="I33" i="57" s="1"/>
  <c r="G45" i="57"/>
  <c r="G40" i="57" s="1"/>
  <c r="G35" i="57" s="1"/>
  <c r="G34" i="57" s="1"/>
  <c r="G33" i="57" s="1"/>
  <c r="C45" i="57"/>
  <c r="K44" i="57"/>
  <c r="H44" i="57"/>
  <c r="F44" i="57"/>
  <c r="E44" i="57" s="1"/>
  <c r="D44" i="57" s="1"/>
  <c r="W44" i="57" s="1"/>
  <c r="K43" i="57"/>
  <c r="F43" i="57" s="1"/>
  <c r="E43" i="57" s="1"/>
  <c r="D43" i="57" s="1"/>
  <c r="W43" i="57" s="1"/>
  <c r="H43" i="57"/>
  <c r="N42" i="57"/>
  <c r="K42" i="57"/>
  <c r="H42" i="57"/>
  <c r="F42" i="57" s="1"/>
  <c r="E42" i="57" s="1"/>
  <c r="D42" i="57" s="1"/>
  <c r="W42" i="57" s="1"/>
  <c r="K41" i="57"/>
  <c r="H41" i="57"/>
  <c r="F41" i="57" s="1"/>
  <c r="S40" i="57"/>
  <c r="S35" i="57" s="1"/>
  <c r="S34" i="57" s="1"/>
  <c r="S33" i="57" s="1"/>
  <c r="O40" i="57"/>
  <c r="J40" i="57"/>
  <c r="K39" i="57"/>
  <c r="H39" i="57"/>
  <c r="F39" i="57" s="1"/>
  <c r="E39" i="57" s="1"/>
  <c r="D39" i="57" s="1"/>
  <c r="W39" i="57" s="1"/>
  <c r="K38" i="57"/>
  <c r="H38" i="57"/>
  <c r="F38" i="57" s="1"/>
  <c r="E38" i="57" s="1"/>
  <c r="D38" i="57" s="1"/>
  <c r="W38" i="57" s="1"/>
  <c r="K37" i="57"/>
  <c r="H37" i="57"/>
  <c r="F37" i="57" s="1"/>
  <c r="E37" i="57" s="1"/>
  <c r="D37" i="57" s="1"/>
  <c r="W37" i="57" s="1"/>
  <c r="L36" i="57"/>
  <c r="K36" i="57"/>
  <c r="F36" i="57" s="1"/>
  <c r="O35" i="57"/>
  <c r="J35" i="57"/>
  <c r="O34" i="57"/>
  <c r="J34" i="57"/>
  <c r="J33" i="57" s="1"/>
  <c r="U33" i="57"/>
  <c r="O33" i="57"/>
  <c r="K30" i="57"/>
  <c r="H30" i="57"/>
  <c r="F30" i="57" s="1"/>
  <c r="E30" i="57" s="1"/>
  <c r="D30" i="57" s="1"/>
  <c r="W30" i="57" s="1"/>
  <c r="K29" i="57"/>
  <c r="H29" i="57"/>
  <c r="F29" i="57" s="1"/>
  <c r="E29" i="57" s="1"/>
  <c r="D29" i="57" s="1"/>
  <c r="W29" i="57" s="1"/>
  <c r="K28" i="57"/>
  <c r="H28" i="57"/>
  <c r="F28" i="57" s="1"/>
  <c r="E28" i="57" s="1"/>
  <c r="D28" i="57" s="1"/>
  <c r="W28" i="57" s="1"/>
  <c r="K27" i="57"/>
  <c r="H27" i="57"/>
  <c r="F27" i="57" s="1"/>
  <c r="E27" i="57" s="1"/>
  <c r="D27" i="57" s="1"/>
  <c r="W27" i="57" s="1"/>
  <c r="K26" i="57"/>
  <c r="H26" i="57"/>
  <c r="F26" i="57" s="1"/>
  <c r="E26" i="57" s="1"/>
  <c r="D26" i="57" s="1"/>
  <c r="W26" i="57" s="1"/>
  <c r="K25" i="57"/>
  <c r="H25" i="57"/>
  <c r="F25" i="57" s="1"/>
  <c r="E25" i="57" s="1"/>
  <c r="D25" i="57" s="1"/>
  <c r="W25" i="57" s="1"/>
  <c r="K24" i="57"/>
  <c r="H24" i="57"/>
  <c r="F24" i="57" s="1"/>
  <c r="E24" i="57" s="1"/>
  <c r="D24" i="57" s="1"/>
  <c r="W24" i="57" s="1"/>
  <c r="K23" i="57"/>
  <c r="H23" i="57"/>
  <c r="F23" i="57" s="1"/>
  <c r="E23" i="57" s="1"/>
  <c r="D23" i="57" s="1"/>
  <c r="W23" i="57" s="1"/>
  <c r="K22" i="57"/>
  <c r="H22" i="57"/>
  <c r="F22" i="57" s="1"/>
  <c r="E22" i="57" s="1"/>
  <c r="D22" i="57" s="1"/>
  <c r="W22" i="57" s="1"/>
  <c r="U21" i="57"/>
  <c r="K21" i="57"/>
  <c r="H21" i="57"/>
  <c r="H15" i="57" s="1"/>
  <c r="W20" i="57"/>
  <c r="K19" i="57"/>
  <c r="F19" i="57"/>
  <c r="E19" i="57" s="1"/>
  <c r="D19" i="57" s="1"/>
  <c r="W19" i="57" s="1"/>
  <c r="O18" i="57"/>
  <c r="K18" i="57"/>
  <c r="H18" i="57"/>
  <c r="E17" i="57"/>
  <c r="D17" i="57"/>
  <c r="W17" i="57" s="1"/>
  <c r="E16" i="57"/>
  <c r="V15" i="57"/>
  <c r="U15" i="57"/>
  <c r="T15" i="57"/>
  <c r="T13" i="57" s="1"/>
  <c r="T11" i="57" s="1"/>
  <c r="S15" i="57"/>
  <c r="S13" i="57" s="1"/>
  <c r="R15" i="57"/>
  <c r="Q15" i="57"/>
  <c r="P15" i="57"/>
  <c r="P13" i="57" s="1"/>
  <c r="P11" i="57" s="1"/>
  <c r="O15" i="57"/>
  <c r="O13" i="57" s="1"/>
  <c r="O11" i="57" s="1"/>
  <c r="N15" i="57"/>
  <c r="M15" i="57"/>
  <c r="L15" i="57"/>
  <c r="L13" i="57" s="1"/>
  <c r="L11" i="57" s="1"/>
  <c r="K15" i="57"/>
  <c r="K13" i="57" s="1"/>
  <c r="I15" i="57"/>
  <c r="G15" i="57"/>
  <c r="G13" i="57" s="1"/>
  <c r="G11" i="57" s="1"/>
  <c r="U14" i="57"/>
  <c r="K14" i="57"/>
  <c r="H14" i="57"/>
  <c r="V13" i="57"/>
  <c r="U13" i="57"/>
  <c r="U11" i="57" s="1"/>
  <c r="R13" i="57"/>
  <c r="R11" i="57" s="1"/>
  <c r="Q13" i="57"/>
  <c r="Q11" i="57" s="1"/>
  <c r="N13" i="57"/>
  <c r="M13" i="57"/>
  <c r="M11" i="57" s="1"/>
  <c r="J13" i="57"/>
  <c r="J11" i="57" s="1"/>
  <c r="I13" i="57"/>
  <c r="I11" i="57" s="1"/>
  <c r="K12" i="57"/>
  <c r="H12" i="57"/>
  <c r="F12" i="57" s="1"/>
  <c r="V11" i="57"/>
  <c r="S11" i="57"/>
  <c r="N11" i="57"/>
  <c r="K11" i="57"/>
  <c r="L217" i="57" l="1"/>
  <c r="F227" i="57"/>
  <c r="E227" i="57" s="1"/>
  <c r="D227" i="57" s="1"/>
  <c r="H218" i="57"/>
  <c r="F341" i="57"/>
  <c r="H340" i="57"/>
  <c r="T186" i="57"/>
  <c r="V217" i="57"/>
  <c r="F336" i="57"/>
  <c r="E336" i="57" s="1"/>
  <c r="D336" i="57" s="1"/>
  <c r="W336" i="57" s="1"/>
  <c r="K334" i="57"/>
  <c r="K388" i="57"/>
  <c r="K386" i="57" s="1"/>
  <c r="L386" i="57"/>
  <c r="U10" i="58"/>
  <c r="U9" i="58" s="1"/>
  <c r="U8" i="58" s="1"/>
  <c r="U7" i="58" s="1"/>
  <c r="V9" i="58"/>
  <c r="D39" i="58"/>
  <c r="Q186" i="57"/>
  <c r="F207" i="57"/>
  <c r="E207" i="57" s="1"/>
  <c r="D207" i="57" s="1"/>
  <c r="H203" i="57"/>
  <c r="I217" i="57"/>
  <c r="M217" i="57"/>
  <c r="P50" i="57"/>
  <c r="G77" i="57"/>
  <c r="G76" i="57"/>
  <c r="H127" i="57"/>
  <c r="H189" i="57"/>
  <c r="H188" i="57" s="1"/>
  <c r="S186" i="57"/>
  <c r="N217" i="57"/>
  <c r="S217" i="57"/>
  <c r="I333" i="57"/>
  <c r="N283" i="57"/>
  <c r="N186" i="57" s="1"/>
  <c r="J39" i="58"/>
  <c r="J12" i="58" s="1"/>
  <c r="J11" i="58" s="1"/>
  <c r="J8" i="58" s="1"/>
  <c r="J7" i="58" s="1"/>
  <c r="F84" i="57"/>
  <c r="H83" i="57"/>
  <c r="F426" i="57"/>
  <c r="E426" i="57" s="1"/>
  <c r="D426" i="57" s="1"/>
  <c r="W426" i="57" s="1"/>
  <c r="H422" i="57"/>
  <c r="Y81" i="58"/>
  <c r="D81" i="58"/>
  <c r="C81" i="58" s="1"/>
  <c r="N90" i="58"/>
  <c r="N89" i="58" s="1"/>
  <c r="D90" i="58"/>
  <c r="S187" i="57"/>
  <c r="G217" i="57"/>
  <c r="G186" i="57" s="1"/>
  <c r="K260" i="57"/>
  <c r="K258" i="57" s="1"/>
  <c r="L258" i="57"/>
  <c r="L284" i="57"/>
  <c r="G32" i="57"/>
  <c r="K61" i="57"/>
  <c r="K198" i="57"/>
  <c r="F198" i="57" s="1"/>
  <c r="L190" i="57"/>
  <c r="L189" i="57" s="1"/>
  <c r="L188" i="57" s="1"/>
  <c r="J186" i="57"/>
  <c r="H278" i="57"/>
  <c r="H187" i="57"/>
  <c r="F342" i="57"/>
  <c r="E342" i="57" s="1"/>
  <c r="D342" i="57" s="1"/>
  <c r="K340" i="57"/>
  <c r="R23" i="58"/>
  <c r="R15" i="58" s="1"/>
  <c r="R12" i="58" s="1"/>
  <c r="R11" i="58" s="1"/>
  <c r="R8" i="58" s="1"/>
  <c r="R7" i="58" s="1"/>
  <c r="D23" i="58"/>
  <c r="C23" i="58" s="1"/>
  <c r="F50" i="58"/>
  <c r="D50" i="58"/>
  <c r="C50" i="58" s="1"/>
  <c r="R32" i="57"/>
  <c r="J32" i="57"/>
  <c r="F57" i="57"/>
  <c r="E57" i="57" s="1"/>
  <c r="D57" i="57" s="1"/>
  <c r="W57" i="57" s="1"/>
  <c r="U77" i="57"/>
  <c r="T142" i="57"/>
  <c r="M283" i="57"/>
  <c r="Q283" i="57"/>
  <c r="F305" i="57"/>
  <c r="E305" i="57" s="1"/>
  <c r="D305" i="57" s="1"/>
  <c r="K303" i="57"/>
  <c r="F350" i="57"/>
  <c r="E350" i="57" s="1"/>
  <c r="D350" i="57" s="1"/>
  <c r="K381" i="57"/>
  <c r="K379" i="57" s="1"/>
  <c r="L379" i="57"/>
  <c r="K12" i="58"/>
  <c r="K11" i="58" s="1"/>
  <c r="I15" i="58"/>
  <c r="I12" i="58" s="1"/>
  <c r="I11" i="58" s="1"/>
  <c r="H16" i="58"/>
  <c r="H15" i="58" s="1"/>
  <c r="U12" i="58"/>
  <c r="U11" i="58" s="1"/>
  <c r="AA16" i="58"/>
  <c r="AA15" i="58" s="1"/>
  <c r="AB15" i="58"/>
  <c r="Z75" i="58"/>
  <c r="N75" i="58"/>
  <c r="C79" i="58"/>
  <c r="D76" i="58"/>
  <c r="Y83" i="58"/>
  <c r="D83" i="58"/>
  <c r="C83" i="58" s="1"/>
  <c r="C85" i="58"/>
  <c r="U32" i="57"/>
  <c r="V95" i="57"/>
  <c r="U96" i="57"/>
  <c r="U95" i="57" s="1"/>
  <c r="F229" i="57"/>
  <c r="E229" i="57" s="1"/>
  <c r="D229" i="57" s="1"/>
  <c r="H13" i="57"/>
  <c r="N40" i="57"/>
  <c r="N35" i="57" s="1"/>
  <c r="N34" i="57" s="1"/>
  <c r="N33" i="57" s="1"/>
  <c r="N32" i="57" s="1"/>
  <c r="M32" i="57"/>
  <c r="K73" i="57"/>
  <c r="K78" i="57"/>
  <c r="N95" i="57"/>
  <c r="M95" i="57"/>
  <c r="Q95" i="57"/>
  <c r="K97" i="57"/>
  <c r="K96" i="57" s="1"/>
  <c r="F109" i="57"/>
  <c r="E109" i="57" s="1"/>
  <c r="D109" i="57" s="1"/>
  <c r="F111" i="57"/>
  <c r="E111" i="57" s="1"/>
  <c r="D111" i="57" s="1"/>
  <c r="F113" i="57"/>
  <c r="E113" i="57" s="1"/>
  <c r="D113" i="57" s="1"/>
  <c r="F119" i="57"/>
  <c r="F126" i="57"/>
  <c r="E126" i="57" s="1"/>
  <c r="D126" i="57" s="1"/>
  <c r="W126" i="57" s="1"/>
  <c r="F137" i="57"/>
  <c r="P142" i="57"/>
  <c r="K166" i="57"/>
  <c r="F233" i="57"/>
  <c r="E233" i="57" s="1"/>
  <c r="D233" i="57" s="1"/>
  <c r="W233" i="57" s="1"/>
  <c r="K250" i="57"/>
  <c r="F250" i="57" s="1"/>
  <c r="E250" i="57" s="1"/>
  <c r="L248" i="57"/>
  <c r="I284" i="57"/>
  <c r="F308" i="57"/>
  <c r="E308" i="57" s="1"/>
  <c r="V322" i="57"/>
  <c r="L355" i="57"/>
  <c r="P355" i="57"/>
  <c r="P283" i="57" s="1"/>
  <c r="P186" i="57" s="1"/>
  <c r="P91" i="57" s="1"/>
  <c r="P31" i="57" s="1"/>
  <c r="P10" i="57" s="1"/>
  <c r="P451" i="57" s="1"/>
  <c r="K376" i="57"/>
  <c r="K369" i="57" s="1"/>
  <c r="F384" i="57"/>
  <c r="E384" i="57" s="1"/>
  <c r="D384" i="57" s="1"/>
  <c r="F396" i="57"/>
  <c r="H10" i="58"/>
  <c r="H9" i="58" s="1"/>
  <c r="D10" i="58"/>
  <c r="D16" i="58"/>
  <c r="D15" i="58" s="1"/>
  <c r="J15" i="58"/>
  <c r="O15" i="58"/>
  <c r="R39" i="58"/>
  <c r="AA39" i="58"/>
  <c r="F39" i="58"/>
  <c r="N39" i="58"/>
  <c r="N12" i="58" s="1"/>
  <c r="N11" i="58" s="1"/>
  <c r="N8" i="58" s="1"/>
  <c r="N7" i="58" s="1"/>
  <c r="W39" i="58"/>
  <c r="D58" i="58"/>
  <c r="C58" i="58" s="1"/>
  <c r="AB75" i="58"/>
  <c r="D82" i="58"/>
  <c r="C82" i="58" s="1"/>
  <c r="AA80" i="58"/>
  <c r="J89" i="58"/>
  <c r="Y90" i="58"/>
  <c r="Y89" i="58" s="1"/>
  <c r="Z89" i="58"/>
  <c r="Q32" i="57"/>
  <c r="H73" i="57"/>
  <c r="J91" i="57"/>
  <c r="F177" i="57"/>
  <c r="E177" i="57" s="1"/>
  <c r="D177" i="57" s="1"/>
  <c r="K238" i="57"/>
  <c r="F279" i="57"/>
  <c r="F21" i="57"/>
  <c r="E21" i="57" s="1"/>
  <c r="D21" i="57" s="1"/>
  <c r="W21" i="57" s="1"/>
  <c r="H45" i="57"/>
  <c r="L50" i="57"/>
  <c r="T50" i="57"/>
  <c r="I32" i="57"/>
  <c r="F63" i="57"/>
  <c r="E67" i="57"/>
  <c r="D67" i="57" s="1"/>
  <c r="W67" i="57" s="1"/>
  <c r="N61" i="57"/>
  <c r="N50" i="57" s="1"/>
  <c r="J77" i="57"/>
  <c r="O76" i="57"/>
  <c r="L142" i="57"/>
  <c r="K154" i="57"/>
  <c r="K142" i="57" s="1"/>
  <c r="K162" i="57"/>
  <c r="F244" i="57"/>
  <c r="E244" i="57" s="1"/>
  <c r="D244" i="57" s="1"/>
  <c r="F18" i="57"/>
  <c r="L35" i="57"/>
  <c r="L34" i="57" s="1"/>
  <c r="L33" i="57" s="1"/>
  <c r="L32" i="57" s="1"/>
  <c r="P32" i="57"/>
  <c r="T32" i="57"/>
  <c r="F46" i="57"/>
  <c r="F48" i="57"/>
  <c r="E48" i="57" s="1"/>
  <c r="D48" i="57" s="1"/>
  <c r="W48" i="57" s="1"/>
  <c r="F49" i="57"/>
  <c r="E49" i="57" s="1"/>
  <c r="D49" i="57" s="1"/>
  <c r="W49" i="57" s="1"/>
  <c r="O50" i="57"/>
  <c r="O32" i="57" s="1"/>
  <c r="S50" i="57"/>
  <c r="S32" i="57" s="1"/>
  <c r="S77" i="57"/>
  <c r="G95" i="57"/>
  <c r="S95" i="57"/>
  <c r="H142" i="57"/>
  <c r="H154" i="57"/>
  <c r="F159" i="57"/>
  <c r="E159" i="57" s="1"/>
  <c r="D159" i="57" s="1"/>
  <c r="W159" i="57" s="1"/>
  <c r="P162" i="57"/>
  <c r="U162" i="57"/>
  <c r="H163" i="57"/>
  <c r="F183" i="57"/>
  <c r="E183" i="57" s="1"/>
  <c r="E182" i="57" s="1"/>
  <c r="F200" i="57"/>
  <c r="F202" i="57"/>
  <c r="F220" i="57"/>
  <c r="F263" i="57"/>
  <c r="E263" i="57" s="1"/>
  <c r="D263" i="57" s="1"/>
  <c r="R263" i="57" s="1"/>
  <c r="R258" i="57" s="1"/>
  <c r="K269" i="57"/>
  <c r="J283" i="57"/>
  <c r="K285" i="57"/>
  <c r="F298" i="57"/>
  <c r="E298" i="57" s="1"/>
  <c r="D298" i="57" s="1"/>
  <c r="R298" i="57" s="1"/>
  <c r="W298" i="57" s="1"/>
  <c r="H303" i="57"/>
  <c r="F309" i="57"/>
  <c r="E309" i="57" s="1"/>
  <c r="D309" i="57" s="1"/>
  <c r="W309" i="57" s="1"/>
  <c r="F312" i="57"/>
  <c r="E312" i="57" s="1"/>
  <c r="D312" i="57" s="1"/>
  <c r="F314" i="57"/>
  <c r="E314" i="57" s="1"/>
  <c r="D314" i="57" s="1"/>
  <c r="W314" i="57" s="1"/>
  <c r="K323" i="57"/>
  <c r="K322" i="57" s="1"/>
  <c r="F327" i="57"/>
  <c r="E327" i="57" s="1"/>
  <c r="D327" i="57" s="1"/>
  <c r="W327" i="57" s="1"/>
  <c r="F331" i="57"/>
  <c r="E331" i="57" s="1"/>
  <c r="D331" i="57" s="1"/>
  <c r="H334" i="57"/>
  <c r="H333" i="57" s="1"/>
  <c r="U355" i="57"/>
  <c r="U283" i="57" s="1"/>
  <c r="U186" i="57" s="1"/>
  <c r="K356" i="57"/>
  <c r="K355" i="57" s="1"/>
  <c r="F362" i="57"/>
  <c r="V283" i="57"/>
  <c r="F378" i="57"/>
  <c r="E378" i="57" s="1"/>
  <c r="D378" i="57" s="1"/>
  <c r="K8" i="58"/>
  <c r="K7" i="58" s="1"/>
  <c r="T12" i="58"/>
  <c r="T11" i="58" s="1"/>
  <c r="T8" i="58" s="1"/>
  <c r="T7" i="58" s="1"/>
  <c r="L15" i="58"/>
  <c r="C30" i="58"/>
  <c r="J29" i="58"/>
  <c r="R29" i="58"/>
  <c r="U70" i="58"/>
  <c r="D70" i="58"/>
  <c r="L76" i="57"/>
  <c r="P76" i="57"/>
  <c r="T76" i="57"/>
  <c r="M77" i="57"/>
  <c r="Q77" i="57"/>
  <c r="F90" i="57"/>
  <c r="E90" i="57" s="1"/>
  <c r="D90" i="57" s="1"/>
  <c r="W90" i="57" s="1"/>
  <c r="T95" i="57"/>
  <c r="I95" i="57"/>
  <c r="O95" i="57"/>
  <c r="F101" i="57"/>
  <c r="E101" i="57" s="1"/>
  <c r="D101" i="57" s="1"/>
  <c r="W101" i="57" s="1"/>
  <c r="F103" i="57"/>
  <c r="E103" i="57" s="1"/>
  <c r="D103" i="57" s="1"/>
  <c r="F106" i="57"/>
  <c r="E106" i="57" s="1"/>
  <c r="D106" i="57" s="1"/>
  <c r="W106" i="57" s="1"/>
  <c r="F108" i="57"/>
  <c r="E108" i="57" s="1"/>
  <c r="D108" i="57" s="1"/>
  <c r="F110" i="57"/>
  <c r="E110" i="57" s="1"/>
  <c r="D110" i="57" s="1"/>
  <c r="R110" i="57" s="1"/>
  <c r="W110" i="57" s="1"/>
  <c r="F112" i="57"/>
  <c r="E112" i="57" s="1"/>
  <c r="D112" i="57" s="1"/>
  <c r="F114" i="57"/>
  <c r="E114" i="57" s="1"/>
  <c r="D114" i="57" s="1"/>
  <c r="F117" i="57"/>
  <c r="E117" i="57" s="1"/>
  <c r="D117" i="57" s="1"/>
  <c r="W117" i="57" s="1"/>
  <c r="F120" i="57"/>
  <c r="E120" i="57" s="1"/>
  <c r="D120" i="57" s="1"/>
  <c r="R120" i="57" s="1"/>
  <c r="W120" i="57" s="1"/>
  <c r="F123" i="57"/>
  <c r="E123" i="57" s="1"/>
  <c r="D123" i="57" s="1"/>
  <c r="W123" i="57" s="1"/>
  <c r="F125" i="57"/>
  <c r="E125" i="57" s="1"/>
  <c r="D125" i="57" s="1"/>
  <c r="K127" i="57"/>
  <c r="F130" i="57"/>
  <c r="E130" i="57" s="1"/>
  <c r="D130" i="57" s="1"/>
  <c r="R130" i="57" s="1"/>
  <c r="W130" i="57" s="1"/>
  <c r="F135" i="57"/>
  <c r="E135" i="57" s="1"/>
  <c r="D135" i="57" s="1"/>
  <c r="W135" i="57" s="1"/>
  <c r="F138" i="57"/>
  <c r="E138" i="57" s="1"/>
  <c r="D138" i="57" s="1"/>
  <c r="W138" i="57" s="1"/>
  <c r="F150" i="57"/>
  <c r="E150" i="57" s="1"/>
  <c r="D150" i="57" s="1"/>
  <c r="M162" i="57"/>
  <c r="Q162" i="57"/>
  <c r="F165" i="57"/>
  <c r="N162" i="57"/>
  <c r="F173" i="57"/>
  <c r="E173" i="57" s="1"/>
  <c r="D173" i="57" s="1"/>
  <c r="W173" i="57" s="1"/>
  <c r="F175" i="57"/>
  <c r="E175" i="57" s="1"/>
  <c r="D175" i="57" s="1"/>
  <c r="F184" i="57"/>
  <c r="E184" i="57" s="1"/>
  <c r="D184" i="57" s="1"/>
  <c r="W184" i="57" s="1"/>
  <c r="F199" i="57"/>
  <c r="F201" i="57"/>
  <c r="E201" i="57" s="1"/>
  <c r="F204" i="57"/>
  <c r="F206" i="57"/>
  <c r="E206" i="57" s="1"/>
  <c r="D206" i="57" s="1"/>
  <c r="F209" i="57"/>
  <c r="E209" i="57" s="1"/>
  <c r="D209" i="57" s="1"/>
  <c r="M186" i="57"/>
  <c r="F225" i="57"/>
  <c r="E225" i="57" s="1"/>
  <c r="D225" i="57" s="1"/>
  <c r="W225" i="57" s="1"/>
  <c r="F232" i="57"/>
  <c r="E232" i="57" s="1"/>
  <c r="D232" i="57" s="1"/>
  <c r="F234" i="57"/>
  <c r="E234" i="57" s="1"/>
  <c r="D234" i="57" s="1"/>
  <c r="W234" i="57" s="1"/>
  <c r="F236" i="57"/>
  <c r="E236" i="57" s="1"/>
  <c r="D236" i="57" s="1"/>
  <c r="W236" i="57" s="1"/>
  <c r="F241" i="57"/>
  <c r="E241" i="57" s="1"/>
  <c r="D241" i="57" s="1"/>
  <c r="W241" i="57" s="1"/>
  <c r="F243" i="57"/>
  <c r="E243" i="57" s="1"/>
  <c r="D243" i="57" s="1"/>
  <c r="F266" i="57"/>
  <c r="E266" i="57" s="1"/>
  <c r="D266" i="57" s="1"/>
  <c r="W266" i="57" s="1"/>
  <c r="F276" i="57"/>
  <c r="E276" i="57" s="1"/>
  <c r="D276" i="57" s="1"/>
  <c r="W276" i="57" s="1"/>
  <c r="O284" i="57"/>
  <c r="O283" i="57" s="1"/>
  <c r="O186" i="57" s="1"/>
  <c r="F289" i="57"/>
  <c r="E289" i="57" s="1"/>
  <c r="D289" i="57" s="1"/>
  <c r="W289" i="57" s="1"/>
  <c r="F310" i="57"/>
  <c r="E310" i="57" s="1"/>
  <c r="D310" i="57" s="1"/>
  <c r="W310" i="57" s="1"/>
  <c r="F313" i="57"/>
  <c r="E313" i="57" s="1"/>
  <c r="D313" i="57" s="1"/>
  <c r="F321" i="57"/>
  <c r="E321" i="57" s="1"/>
  <c r="D321" i="57" s="1"/>
  <c r="W321" i="57" s="1"/>
  <c r="F330" i="57"/>
  <c r="E330" i="57" s="1"/>
  <c r="D330" i="57" s="1"/>
  <c r="F332" i="57"/>
  <c r="E332" i="57" s="1"/>
  <c r="D332" i="57" s="1"/>
  <c r="W332" i="57" s="1"/>
  <c r="F354" i="57"/>
  <c r="E354" i="57" s="1"/>
  <c r="D354" i="57" s="1"/>
  <c r="I355" i="57"/>
  <c r="F381" i="57"/>
  <c r="F383" i="57"/>
  <c r="E383" i="57" s="1"/>
  <c r="D383" i="57" s="1"/>
  <c r="W383" i="57" s="1"/>
  <c r="F388" i="57"/>
  <c r="F390" i="57"/>
  <c r="E390" i="57" s="1"/>
  <c r="D390" i="57" s="1"/>
  <c r="W390" i="57" s="1"/>
  <c r="F394" i="57"/>
  <c r="E394" i="57" s="1"/>
  <c r="D394" i="57" s="1"/>
  <c r="W394" i="57" s="1"/>
  <c r="F397" i="57"/>
  <c r="E397" i="57" s="1"/>
  <c r="D397" i="57" s="1"/>
  <c r="W397" i="57" s="1"/>
  <c r="F399" i="57"/>
  <c r="E399" i="57" s="1"/>
  <c r="D399" i="57" s="1"/>
  <c r="W399" i="57" s="1"/>
  <c r="F401" i="57"/>
  <c r="E401" i="57" s="1"/>
  <c r="D401" i="57" s="1"/>
  <c r="W401" i="57" s="1"/>
  <c r="F435" i="57"/>
  <c r="Y32" i="58"/>
  <c r="C40" i="58"/>
  <c r="C39" i="58" s="1"/>
  <c r="L39" i="58"/>
  <c r="U39" i="58"/>
  <c r="C53" i="58"/>
  <c r="C61" i="58"/>
  <c r="H63" i="58"/>
  <c r="D63" i="58"/>
  <c r="C63" i="58" s="1"/>
  <c r="Y70" i="58"/>
  <c r="Z45" i="58"/>
  <c r="Y45" i="58" s="1"/>
  <c r="C73" i="58"/>
  <c r="W80" i="58"/>
  <c r="W75" i="58" s="1"/>
  <c r="E80" i="58"/>
  <c r="E75" i="58" s="1"/>
  <c r="L80" i="58"/>
  <c r="L75" i="58" s="1"/>
  <c r="U80" i="58"/>
  <c r="U75" i="58" s="1"/>
  <c r="F90" i="58"/>
  <c r="F89" i="58" s="1"/>
  <c r="G89" i="58"/>
  <c r="G12" i="58" s="1"/>
  <c r="G11" i="58" s="1"/>
  <c r="G8" i="58" s="1"/>
  <c r="G7" i="58" s="1"/>
  <c r="L89" i="58"/>
  <c r="AA89" i="58"/>
  <c r="F414" i="57"/>
  <c r="E414" i="57" s="1"/>
  <c r="D414" i="57" s="1"/>
  <c r="W414" i="57" s="1"/>
  <c r="F420" i="57"/>
  <c r="E420" i="57" s="1"/>
  <c r="D420" i="57" s="1"/>
  <c r="W420" i="57" s="1"/>
  <c r="K422" i="57"/>
  <c r="F425" i="57"/>
  <c r="E425" i="57" s="1"/>
  <c r="D425" i="57" s="1"/>
  <c r="W425" i="57" s="1"/>
  <c r="F437" i="57"/>
  <c r="E437" i="57" s="1"/>
  <c r="D437" i="57" s="1"/>
  <c r="W437" i="57" s="1"/>
  <c r="F447" i="57"/>
  <c r="F446" i="57" s="1"/>
  <c r="X8" i="58"/>
  <c r="X7" i="58" s="1"/>
  <c r="V12" i="58"/>
  <c r="V11" i="58" s="1"/>
  <c r="V8" i="58" s="1"/>
  <c r="V7" i="58" s="1"/>
  <c r="S15" i="58"/>
  <c r="Z15" i="58"/>
  <c r="Z12" i="58" s="1"/>
  <c r="Z11" i="58" s="1"/>
  <c r="Z8" i="58" s="1"/>
  <c r="Z7" i="58" s="1"/>
  <c r="W15" i="58"/>
  <c r="W12" i="58" s="1"/>
  <c r="W11" i="58" s="1"/>
  <c r="W8" i="58" s="1"/>
  <c r="W7" i="58" s="1"/>
  <c r="C31" i="58"/>
  <c r="C29" i="58" s="1"/>
  <c r="R32" i="58"/>
  <c r="D45" i="58"/>
  <c r="C45" i="58" s="1"/>
  <c r="C47" i="58"/>
  <c r="C51" i="58"/>
  <c r="D54" i="58"/>
  <c r="C54" i="58" s="1"/>
  <c r="C71" i="58"/>
  <c r="C77" i="58"/>
  <c r="AA76" i="58"/>
  <c r="R80" i="58"/>
  <c r="R75" i="58" s="1"/>
  <c r="K402" i="57"/>
  <c r="K410" i="57"/>
  <c r="Q421" i="57"/>
  <c r="U421" i="57"/>
  <c r="H429" i="57"/>
  <c r="F441" i="57"/>
  <c r="E441" i="57" s="1"/>
  <c r="D441" i="57" s="1"/>
  <c r="W441" i="57" s="1"/>
  <c r="F443" i="57"/>
  <c r="E443" i="57" s="1"/>
  <c r="D443" i="57" s="1"/>
  <c r="W443" i="57" s="1"/>
  <c r="F445" i="57"/>
  <c r="E445" i="57" s="1"/>
  <c r="D445" i="57" s="1"/>
  <c r="W445" i="57" s="1"/>
  <c r="F449" i="57"/>
  <c r="E449" i="57" s="1"/>
  <c r="D449" i="57" s="1"/>
  <c r="W449" i="57" s="1"/>
  <c r="Y15" i="58"/>
  <c r="H29" i="58"/>
  <c r="P29" i="58"/>
  <c r="P12" i="58" s="1"/>
  <c r="P11" i="58" s="1"/>
  <c r="P8" i="58" s="1"/>
  <c r="P7" i="58" s="1"/>
  <c r="E32" i="58"/>
  <c r="L32" i="58"/>
  <c r="H39" i="58"/>
  <c r="P39" i="58"/>
  <c r="C48" i="58"/>
  <c r="C70" i="58"/>
  <c r="C72" i="58"/>
  <c r="C78" i="58"/>
  <c r="R89" i="58"/>
  <c r="C76" i="58"/>
  <c r="AA75" i="58"/>
  <c r="AA12" i="58" s="1"/>
  <c r="AA11" i="58" s="1"/>
  <c r="AA8" i="58" s="1"/>
  <c r="AA7" i="58" s="1"/>
  <c r="C14" i="58"/>
  <c r="C13" i="58" s="1"/>
  <c r="E15" i="58"/>
  <c r="C16" i="58"/>
  <c r="C15" i="58" s="1"/>
  <c r="C20" i="58"/>
  <c r="C19" i="58" s="1"/>
  <c r="D33" i="58"/>
  <c r="F45" i="58"/>
  <c r="F12" i="58" s="1"/>
  <c r="F11" i="58" s="1"/>
  <c r="F8" i="58" s="1"/>
  <c r="F7" i="58" s="1"/>
  <c r="W54" i="58"/>
  <c r="D60" i="58"/>
  <c r="C60" i="58" s="1"/>
  <c r="O89" i="58"/>
  <c r="S89" i="58"/>
  <c r="E39" i="58"/>
  <c r="I9" i="58"/>
  <c r="I8" i="58" s="1"/>
  <c r="I7" i="58" s="1"/>
  <c r="S80" i="58"/>
  <c r="S75" i="58" s="1"/>
  <c r="D84" i="58"/>
  <c r="M89" i="58"/>
  <c r="M12" i="58" s="1"/>
  <c r="M11" i="58" s="1"/>
  <c r="M8" i="58" s="1"/>
  <c r="M7" i="58" s="1"/>
  <c r="Q89" i="58"/>
  <c r="Q12" i="58" s="1"/>
  <c r="Q11" i="58" s="1"/>
  <c r="Q8" i="58" s="1"/>
  <c r="Q7" i="58" s="1"/>
  <c r="E36" i="57"/>
  <c r="E41" i="57"/>
  <c r="E12" i="57"/>
  <c r="E53" i="57"/>
  <c r="D53" i="57" s="1"/>
  <c r="W53" i="57" s="1"/>
  <c r="F51" i="57"/>
  <c r="W79" i="57"/>
  <c r="E18" i="57"/>
  <c r="D18" i="57" s="1"/>
  <c r="W18" i="57" s="1"/>
  <c r="E46" i="57"/>
  <c r="F45" i="57"/>
  <c r="F40" i="57" s="1"/>
  <c r="F35" i="57" s="1"/>
  <c r="F34" i="57" s="1"/>
  <c r="F33" i="57" s="1"/>
  <c r="D52" i="57"/>
  <c r="E51" i="57"/>
  <c r="W62" i="57"/>
  <c r="E63" i="57"/>
  <c r="F61" i="57"/>
  <c r="E74" i="57"/>
  <c r="F73" i="57"/>
  <c r="E98" i="57"/>
  <c r="R111" i="57"/>
  <c r="W111" i="57" s="1"/>
  <c r="W113" i="57"/>
  <c r="R113" i="57"/>
  <c r="E119" i="57"/>
  <c r="F118" i="57"/>
  <c r="F136" i="57"/>
  <c r="E137" i="57"/>
  <c r="R160" i="57"/>
  <c r="W160" i="57" s="1"/>
  <c r="E194" i="57"/>
  <c r="D194" i="57" s="1"/>
  <c r="W194" i="57" s="1"/>
  <c r="W205" i="57"/>
  <c r="R205" i="57"/>
  <c r="R211" i="57"/>
  <c r="W211" i="57" s="1"/>
  <c r="R213" i="57"/>
  <c r="W213" i="57" s="1"/>
  <c r="R228" i="57"/>
  <c r="W228" i="57" s="1"/>
  <c r="R230" i="57"/>
  <c r="W230" i="57" s="1"/>
  <c r="R233" i="57"/>
  <c r="D239" i="57"/>
  <c r="W244" i="57"/>
  <c r="R244" i="57"/>
  <c r="R252" i="57"/>
  <c r="H11" i="57"/>
  <c r="F14" i="57"/>
  <c r="D16" i="57"/>
  <c r="H40" i="57"/>
  <c r="H35" i="57" s="1"/>
  <c r="H34" i="57" s="1"/>
  <c r="H33" i="57" s="1"/>
  <c r="H32" i="57" s="1"/>
  <c r="K45" i="57"/>
  <c r="K40" i="57" s="1"/>
  <c r="K35" i="57" s="1"/>
  <c r="K34" i="57" s="1"/>
  <c r="K33" i="57" s="1"/>
  <c r="M76" i="57"/>
  <c r="R87" i="57"/>
  <c r="W87" i="57" s="1"/>
  <c r="R102" i="57"/>
  <c r="W102" i="57" s="1"/>
  <c r="R104" i="57"/>
  <c r="W104" i="57" s="1"/>
  <c r="R115" i="57"/>
  <c r="W115" i="57" s="1"/>
  <c r="R121" i="57"/>
  <c r="W121" i="57" s="1"/>
  <c r="D128" i="57"/>
  <c r="W133" i="57"/>
  <c r="R133" i="57"/>
  <c r="W139" i="57"/>
  <c r="R139" i="57"/>
  <c r="E156" i="57"/>
  <c r="D156" i="57" s="1"/>
  <c r="W156" i="57" s="1"/>
  <c r="R158" i="57"/>
  <c r="W158" i="57" s="1"/>
  <c r="E167" i="57"/>
  <c r="R177" i="57"/>
  <c r="W177" i="57" s="1"/>
  <c r="D198" i="57"/>
  <c r="W198" i="57" s="1"/>
  <c r="E198" i="57"/>
  <c r="E200" i="57"/>
  <c r="D200" i="57"/>
  <c r="W200" i="57" s="1"/>
  <c r="E202" i="57"/>
  <c r="D202" i="57"/>
  <c r="W202" i="57" s="1"/>
  <c r="R207" i="57"/>
  <c r="W207" i="57" s="1"/>
  <c r="W212" i="57"/>
  <c r="R212" i="57"/>
  <c r="E220" i="57"/>
  <c r="D220" i="57" s="1"/>
  <c r="W220" i="57" s="1"/>
  <c r="R226" i="57"/>
  <c r="W226" i="57" s="1"/>
  <c r="R229" i="57"/>
  <c r="W229" i="57" s="1"/>
  <c r="R247" i="57"/>
  <c r="W247" i="57" s="1"/>
  <c r="W249" i="57"/>
  <c r="W259" i="57"/>
  <c r="P77" i="57"/>
  <c r="F81" i="57"/>
  <c r="E81" i="57" s="1"/>
  <c r="D81" i="57" s="1"/>
  <c r="W81" i="57" s="1"/>
  <c r="W85" i="57"/>
  <c r="R88" i="57"/>
  <c r="W88" i="57" s="1"/>
  <c r="R105" i="57"/>
  <c r="W105" i="57" s="1"/>
  <c r="R107" i="57"/>
  <c r="W107" i="57" s="1"/>
  <c r="R116" i="57"/>
  <c r="W116" i="57" s="1"/>
  <c r="R122" i="57"/>
  <c r="W122" i="57" s="1"/>
  <c r="R124" i="57"/>
  <c r="W124" i="57" s="1"/>
  <c r="E129" i="57"/>
  <c r="D129" i="57" s="1"/>
  <c r="R131" i="57"/>
  <c r="W131" i="57" s="1"/>
  <c r="R134" i="57"/>
  <c r="W134" i="57" s="1"/>
  <c r="E144" i="57"/>
  <c r="F143" i="57"/>
  <c r="R157" i="57"/>
  <c r="R164" i="57"/>
  <c r="W164" i="57" s="1"/>
  <c r="R172" i="57"/>
  <c r="W172" i="57" s="1"/>
  <c r="R174" i="57"/>
  <c r="W174" i="57" s="1"/>
  <c r="D191" i="57"/>
  <c r="D193" i="57"/>
  <c r="R208" i="57"/>
  <c r="W208" i="57" s="1"/>
  <c r="R210" i="57"/>
  <c r="W210" i="57" s="1"/>
  <c r="E215" i="57"/>
  <c r="R224" i="57"/>
  <c r="W224" i="57"/>
  <c r="R231" i="57"/>
  <c r="W231" i="57"/>
  <c r="R242" i="57"/>
  <c r="W242" i="57"/>
  <c r="R246" i="57"/>
  <c r="W246" i="57" s="1"/>
  <c r="K51" i="57"/>
  <c r="Q76" i="57"/>
  <c r="N77" i="57"/>
  <c r="V77" i="57"/>
  <c r="H78" i="57"/>
  <c r="F240" i="57"/>
  <c r="R103" i="57"/>
  <c r="W103" i="57" s="1"/>
  <c r="R108" i="57"/>
  <c r="W108" i="57" s="1"/>
  <c r="R112" i="57"/>
  <c r="W112" i="57" s="1"/>
  <c r="R114" i="57"/>
  <c r="W114" i="57" s="1"/>
  <c r="R125" i="57"/>
  <c r="W125" i="57" s="1"/>
  <c r="R150" i="57"/>
  <c r="R143" i="57" s="1"/>
  <c r="D155" i="57"/>
  <c r="R159" i="57"/>
  <c r="F163" i="57"/>
  <c r="E165" i="57"/>
  <c r="R175" i="57"/>
  <c r="W175" i="57" s="1"/>
  <c r="D183" i="57"/>
  <c r="D199" i="57"/>
  <c r="W199" i="57" s="1"/>
  <c r="E199" i="57"/>
  <c r="D201" i="57"/>
  <c r="W201" i="57" s="1"/>
  <c r="E204" i="57"/>
  <c r="F203" i="57"/>
  <c r="R206" i="57"/>
  <c r="W206" i="57" s="1"/>
  <c r="R209" i="57"/>
  <c r="W209" i="57" s="1"/>
  <c r="D219" i="57"/>
  <c r="E218" i="57"/>
  <c r="R227" i="57"/>
  <c r="W227" i="57" s="1"/>
  <c r="R232" i="57"/>
  <c r="W232" i="57" s="1"/>
  <c r="R243" i="57"/>
  <c r="W243" i="57" s="1"/>
  <c r="R245" i="57"/>
  <c r="W245" i="57" s="1"/>
  <c r="D250" i="57"/>
  <c r="W250" i="57" s="1"/>
  <c r="E248" i="57"/>
  <c r="R254" i="57"/>
  <c r="W254" i="57" s="1"/>
  <c r="E78" i="57"/>
  <c r="R281" i="57"/>
  <c r="R278" i="57" s="1"/>
  <c r="E286" i="57"/>
  <c r="F285" i="57"/>
  <c r="W291" i="57"/>
  <c r="R291" i="57"/>
  <c r="R285" i="57" s="1"/>
  <c r="R297" i="57"/>
  <c r="W297" i="57" s="1"/>
  <c r="R299" i="57"/>
  <c r="W299" i="57" s="1"/>
  <c r="F303" i="57"/>
  <c r="E304" i="57"/>
  <c r="R315" i="57"/>
  <c r="W315" i="57" s="1"/>
  <c r="E317" i="57"/>
  <c r="D324" i="57"/>
  <c r="R331" i="57"/>
  <c r="W331" i="57" s="1"/>
  <c r="R368" i="57"/>
  <c r="W368" i="57" s="1"/>
  <c r="D377" i="57"/>
  <c r="E376" i="57"/>
  <c r="R407" i="57"/>
  <c r="R402" i="57" s="1"/>
  <c r="F93" i="57"/>
  <c r="H97" i="57"/>
  <c r="H96" i="57" s="1"/>
  <c r="L97" i="57"/>
  <c r="L96" i="57" s="1"/>
  <c r="L95" i="57" s="1"/>
  <c r="K118" i="57"/>
  <c r="H136" i="57"/>
  <c r="F153" i="57"/>
  <c r="E153" i="57" s="1"/>
  <c r="D153" i="57" s="1"/>
  <c r="W153" i="57" s="1"/>
  <c r="H166" i="57"/>
  <c r="H162" i="57" s="1"/>
  <c r="K190" i="57"/>
  <c r="F192" i="57"/>
  <c r="K192" i="57"/>
  <c r="H214" i="57"/>
  <c r="F361" i="57"/>
  <c r="F412" i="57"/>
  <c r="E412" i="57" s="1"/>
  <c r="D412" i="57" s="1"/>
  <c r="W412" i="57" s="1"/>
  <c r="E271" i="57"/>
  <c r="D271" i="57" s="1"/>
  <c r="W271" i="57" s="1"/>
  <c r="F269" i="57"/>
  <c r="R273" i="57"/>
  <c r="W273" i="57" s="1"/>
  <c r="F278" i="57"/>
  <c r="E279" i="57"/>
  <c r="R295" i="57"/>
  <c r="W295" i="57" s="1"/>
  <c r="R306" i="57"/>
  <c r="W306" i="57" s="1"/>
  <c r="R311" i="57"/>
  <c r="W311" i="57" s="1"/>
  <c r="F328" i="57"/>
  <c r="E329" i="57"/>
  <c r="R350" i="57"/>
  <c r="W350" i="57" s="1"/>
  <c r="R363" i="57"/>
  <c r="W363" i="57" s="1"/>
  <c r="R366" i="57"/>
  <c r="W366" i="57" s="1"/>
  <c r="R378" i="57"/>
  <c r="W378" i="57" s="1"/>
  <c r="D380" i="57"/>
  <c r="R384" i="57"/>
  <c r="W384" i="57" s="1"/>
  <c r="D387" i="57"/>
  <c r="R391" i="57"/>
  <c r="W391" i="57" s="1"/>
  <c r="R393" i="57"/>
  <c r="W393" i="57"/>
  <c r="E396" i="57"/>
  <c r="D403" i="57"/>
  <c r="F402" i="57"/>
  <c r="E404" i="57"/>
  <c r="D404" i="57" s="1"/>
  <c r="W404" i="57" s="1"/>
  <c r="E423" i="57"/>
  <c r="F422" i="57"/>
  <c r="F434" i="57"/>
  <c r="F433" i="57"/>
  <c r="E435" i="57"/>
  <c r="R272" i="57"/>
  <c r="W272" i="57" s="1"/>
  <c r="R274" i="57"/>
  <c r="W274" i="57" s="1"/>
  <c r="E294" i="57"/>
  <c r="R305" i="57"/>
  <c r="R312" i="57"/>
  <c r="W312" i="57" s="1"/>
  <c r="R314" i="57"/>
  <c r="E335" i="57"/>
  <c r="E341" i="57"/>
  <c r="D357" i="57"/>
  <c r="F356" i="57"/>
  <c r="E358" i="57"/>
  <c r="D358" i="57" s="1"/>
  <c r="W358" i="57" s="1"/>
  <c r="R367" i="57"/>
  <c r="W367" i="57" s="1"/>
  <c r="E371" i="57"/>
  <c r="F370" i="57"/>
  <c r="R392" i="57"/>
  <c r="W392" i="57" s="1"/>
  <c r="E411" i="57"/>
  <c r="F410" i="57"/>
  <c r="R415" i="57"/>
  <c r="W415" i="57" s="1"/>
  <c r="R417" i="57"/>
  <c r="W417" i="57" s="1"/>
  <c r="R431" i="57"/>
  <c r="W431" i="57" s="1"/>
  <c r="R440" i="57"/>
  <c r="R433" i="57" s="1"/>
  <c r="W440" i="57"/>
  <c r="H118" i="57"/>
  <c r="K136" i="57"/>
  <c r="H182" i="57"/>
  <c r="K203" i="57"/>
  <c r="K216" i="57"/>
  <c r="K214" i="57" s="1"/>
  <c r="F248" i="57"/>
  <c r="R256" i="57"/>
  <c r="W256" i="57" s="1"/>
  <c r="R257" i="57"/>
  <c r="W257" i="57" s="1"/>
  <c r="H258" i="57"/>
  <c r="H217" i="57" s="1"/>
  <c r="F320" i="57"/>
  <c r="E320" i="57" s="1"/>
  <c r="D320" i="57" s="1"/>
  <c r="W320" i="57" s="1"/>
  <c r="H421" i="57"/>
  <c r="D270" i="57"/>
  <c r="E269" i="57"/>
  <c r="R296" i="57"/>
  <c r="W296" i="57"/>
  <c r="R313" i="57"/>
  <c r="W313" i="57" s="1"/>
  <c r="R330" i="57"/>
  <c r="W330" i="57" s="1"/>
  <c r="E346" i="57"/>
  <c r="F345" i="57"/>
  <c r="R354" i="57"/>
  <c r="W354" i="57" s="1"/>
  <c r="E381" i="57"/>
  <c r="D381" i="57" s="1"/>
  <c r="E388" i="57"/>
  <c r="D388" i="57" s="1"/>
  <c r="W388" i="57" s="1"/>
  <c r="F386" i="57"/>
  <c r="R400" i="57"/>
  <c r="R395" i="57" s="1"/>
  <c r="R416" i="57"/>
  <c r="W416" i="57" s="1"/>
  <c r="E430" i="57"/>
  <c r="W253" i="57"/>
  <c r="H285" i="57"/>
  <c r="H284" i="57" s="1"/>
  <c r="H293" i="57"/>
  <c r="K307" i="57"/>
  <c r="H316" i="57"/>
  <c r="L316" i="57"/>
  <c r="H361" i="57"/>
  <c r="H355" i="57" s="1"/>
  <c r="E362" i="57"/>
  <c r="F376" i="57"/>
  <c r="K395" i="57"/>
  <c r="H410" i="57"/>
  <c r="L410" i="57"/>
  <c r="K429" i="57"/>
  <c r="K421" i="57" s="1"/>
  <c r="F432" i="57"/>
  <c r="E432" i="57" s="1"/>
  <c r="D432" i="57" s="1"/>
  <c r="F325" i="57"/>
  <c r="K278" i="57"/>
  <c r="K293" i="57"/>
  <c r="H345" i="57"/>
  <c r="H376" i="57"/>
  <c r="H369" i="57" s="1"/>
  <c r="K434" i="57"/>
  <c r="K446" i="57"/>
  <c r="H37" i="29"/>
  <c r="H35" i="29"/>
  <c r="C10" i="58" l="1"/>
  <c r="C9" i="58" s="1"/>
  <c r="D9" i="58"/>
  <c r="N91" i="57"/>
  <c r="N31" i="57"/>
  <c r="N10" i="57" s="1"/>
  <c r="N451" i="57" s="1"/>
  <c r="C90" i="58"/>
  <c r="C89" i="58" s="1"/>
  <c r="D89" i="58"/>
  <c r="E356" i="57"/>
  <c r="E355" i="57" s="1"/>
  <c r="F334" i="57"/>
  <c r="F293" i="57"/>
  <c r="F187" i="57"/>
  <c r="W407" i="57"/>
  <c r="F307" i="57"/>
  <c r="R154" i="57"/>
  <c r="F218" i="57"/>
  <c r="F154" i="57"/>
  <c r="R109" i="57"/>
  <c r="W109" i="57" s="1"/>
  <c r="E15" i="57"/>
  <c r="F32" i="57"/>
  <c r="F260" i="57"/>
  <c r="O91" i="57"/>
  <c r="I283" i="57"/>
  <c r="I186" i="57" s="1"/>
  <c r="I91" i="57" s="1"/>
  <c r="I31" i="57" s="1"/>
  <c r="I10" i="57" s="1"/>
  <c r="I451" i="57" s="1"/>
  <c r="K77" i="57"/>
  <c r="K76" i="57"/>
  <c r="H12" i="58"/>
  <c r="H11" i="58" s="1"/>
  <c r="H8" i="58" s="1"/>
  <c r="H7" i="58" s="1"/>
  <c r="V186" i="57"/>
  <c r="V91" i="57" s="1"/>
  <c r="V31" i="57" s="1"/>
  <c r="V10" i="57" s="1"/>
  <c r="V451" i="57" s="1"/>
  <c r="R142" i="57"/>
  <c r="G91" i="57"/>
  <c r="G31" i="57" s="1"/>
  <c r="G10" i="57" s="1"/>
  <c r="G451" i="57" s="1"/>
  <c r="L283" i="57"/>
  <c r="L186" i="57" s="1"/>
  <c r="R328" i="57"/>
  <c r="R322" i="57" s="1"/>
  <c r="F395" i="57"/>
  <c r="F182" i="57"/>
  <c r="K95" i="57"/>
  <c r="E447" i="57"/>
  <c r="E446" i="57" s="1"/>
  <c r="R342" i="57"/>
  <c r="W342" i="57" s="1"/>
  <c r="E154" i="57"/>
  <c r="K50" i="57"/>
  <c r="F166" i="57"/>
  <c r="F162" i="57" s="1"/>
  <c r="F50" i="57"/>
  <c r="O12" i="58"/>
  <c r="O11" i="58" s="1"/>
  <c r="O8" i="58" s="1"/>
  <c r="O7" i="58" s="1"/>
  <c r="Q91" i="57"/>
  <c r="Q31" i="57" s="1"/>
  <c r="Q10" i="57" s="1"/>
  <c r="Q451" i="57" s="1"/>
  <c r="AB12" i="58"/>
  <c r="AB11" i="58" s="1"/>
  <c r="AB8" i="58" s="1"/>
  <c r="AB7" i="58" s="1"/>
  <c r="K284" i="57"/>
  <c r="K283" i="57" s="1"/>
  <c r="W400" i="57"/>
  <c r="F379" i="57"/>
  <c r="F369" i="57"/>
  <c r="F340" i="57"/>
  <c r="F333" i="57" s="1"/>
  <c r="R303" i="57"/>
  <c r="F190" i="57"/>
  <c r="F189" i="57" s="1"/>
  <c r="F188" i="57" s="1"/>
  <c r="E192" i="57"/>
  <c r="E190" i="57" s="1"/>
  <c r="F127" i="57"/>
  <c r="F97" i="57"/>
  <c r="F96" i="57" s="1"/>
  <c r="F15" i="57"/>
  <c r="T91" i="57"/>
  <c r="L12" i="58"/>
  <c r="L11" i="58" s="1"/>
  <c r="L8" i="58" s="1"/>
  <c r="L7" i="58" s="1"/>
  <c r="S91" i="57"/>
  <c r="S31" i="57" s="1"/>
  <c r="S10" i="57" s="1"/>
  <c r="S451" i="57" s="1"/>
  <c r="O31" i="57"/>
  <c r="O10" i="57" s="1"/>
  <c r="O451" i="57" s="1"/>
  <c r="T31" i="57"/>
  <c r="T10" i="57" s="1"/>
  <c r="T451" i="57" s="1"/>
  <c r="M91" i="57"/>
  <c r="M31" i="57" s="1"/>
  <c r="M10" i="57" s="1"/>
  <c r="M451" i="57" s="1"/>
  <c r="U91" i="57"/>
  <c r="U31" i="57" s="1"/>
  <c r="U10" i="57" s="1"/>
  <c r="U451" i="57" s="1"/>
  <c r="J31" i="57"/>
  <c r="J10" i="57" s="1"/>
  <c r="J451" i="57" s="1"/>
  <c r="K248" i="57"/>
  <c r="K217" i="57" s="1"/>
  <c r="Y80" i="58"/>
  <c r="Y75" i="58" s="1"/>
  <c r="Y12" i="58" s="1"/>
  <c r="Y11" i="58" s="1"/>
  <c r="Y8" i="58" s="1"/>
  <c r="Y7" i="58" s="1"/>
  <c r="E84" i="57"/>
  <c r="F83" i="57"/>
  <c r="K333" i="57"/>
  <c r="D32" i="58"/>
  <c r="C33" i="58"/>
  <c r="C32" i="58" s="1"/>
  <c r="S12" i="58"/>
  <c r="S11" i="58" s="1"/>
  <c r="S8" i="58" s="1"/>
  <c r="S7" i="58" s="1"/>
  <c r="D80" i="58"/>
  <c r="D75" i="58" s="1"/>
  <c r="C84" i="58"/>
  <c r="C80" i="58" s="1"/>
  <c r="C75" i="58" s="1"/>
  <c r="E12" i="58"/>
  <c r="E11" i="58" s="1"/>
  <c r="E8" i="58" s="1"/>
  <c r="E7" i="58" s="1"/>
  <c r="R432" i="57"/>
  <c r="W432" i="57" s="1"/>
  <c r="E361" i="57"/>
  <c r="D362" i="57"/>
  <c r="D430" i="57"/>
  <c r="E429" i="57"/>
  <c r="R381" i="57"/>
  <c r="R379" i="57" s="1"/>
  <c r="D346" i="57"/>
  <c r="E345" i="57"/>
  <c r="W270" i="57"/>
  <c r="W269" i="57" s="1"/>
  <c r="D269" i="57"/>
  <c r="D356" i="57"/>
  <c r="W357" i="57"/>
  <c r="W356" i="57" s="1"/>
  <c r="E334" i="57"/>
  <c r="D335" i="57"/>
  <c r="E434" i="57"/>
  <c r="E433" i="57"/>
  <c r="D435" i="57"/>
  <c r="E422" i="57"/>
  <c r="E421" i="57" s="1"/>
  <c r="D423" i="57"/>
  <c r="D402" i="57"/>
  <c r="W403" i="57"/>
  <c r="W387" i="57"/>
  <c r="W386" i="57" s="1"/>
  <c r="D386" i="57"/>
  <c r="W380" i="57"/>
  <c r="D379" i="57"/>
  <c r="D165" i="57"/>
  <c r="E163" i="57"/>
  <c r="E240" i="57"/>
  <c r="F238" i="57"/>
  <c r="D215" i="57"/>
  <c r="R129" i="57"/>
  <c r="W129" i="57" s="1"/>
  <c r="E14" i="57"/>
  <c r="F13" i="57"/>
  <c r="F11" i="57" s="1"/>
  <c r="E136" i="57"/>
  <c r="D137" i="57"/>
  <c r="D46" i="57"/>
  <c r="W46" i="57" s="1"/>
  <c r="W45" i="57" s="1"/>
  <c r="E45" i="57"/>
  <c r="D45" i="57" s="1"/>
  <c r="R410" i="57"/>
  <c r="R269" i="57"/>
  <c r="R345" i="57"/>
  <c r="R307" i="57"/>
  <c r="K189" i="57"/>
  <c r="K188" i="57" s="1"/>
  <c r="H95" i="57"/>
  <c r="F316" i="57"/>
  <c r="W281" i="57"/>
  <c r="E187" i="57"/>
  <c r="W157" i="57"/>
  <c r="D248" i="57"/>
  <c r="E127" i="57"/>
  <c r="R97" i="57"/>
  <c r="R96" i="57" s="1"/>
  <c r="K32" i="57"/>
  <c r="W78" i="57"/>
  <c r="E293" i="57"/>
  <c r="D294" i="57"/>
  <c r="D279" i="57"/>
  <c r="E278" i="57"/>
  <c r="R377" i="57"/>
  <c r="R376" i="57" s="1"/>
  <c r="R369" i="57" s="1"/>
  <c r="D376" i="57"/>
  <c r="W324" i="57"/>
  <c r="E285" i="57"/>
  <c r="D286" i="57"/>
  <c r="D204" i="57"/>
  <c r="E203" i="57"/>
  <c r="E189" i="57" s="1"/>
  <c r="E188" i="57" s="1"/>
  <c r="W193" i="57"/>
  <c r="D192" i="57"/>
  <c r="D190" i="57" s="1"/>
  <c r="D144" i="57"/>
  <c r="E143" i="57"/>
  <c r="E142" i="57" s="1"/>
  <c r="E166" i="57"/>
  <c r="D167" i="57"/>
  <c r="D15" i="57"/>
  <c r="W16" i="57"/>
  <c r="W15" i="57" s="1"/>
  <c r="W239" i="57"/>
  <c r="D119" i="57"/>
  <c r="E118" i="57"/>
  <c r="E97" i="57"/>
  <c r="E96" i="57" s="1"/>
  <c r="D98" i="57"/>
  <c r="D63" i="57"/>
  <c r="E61" i="57"/>
  <c r="E50" i="57" s="1"/>
  <c r="D12" i="57"/>
  <c r="D36" i="57"/>
  <c r="F429" i="57"/>
  <c r="R429" i="57"/>
  <c r="R421" i="57" s="1"/>
  <c r="F421" i="57"/>
  <c r="E402" i="57"/>
  <c r="E386" i="57"/>
  <c r="E379" i="57"/>
  <c r="L91" i="57"/>
  <c r="L31" i="57" s="1"/>
  <c r="L10" i="57" s="1"/>
  <c r="L451" i="57" s="1"/>
  <c r="F216" i="57"/>
  <c r="R248" i="57"/>
  <c r="D78" i="57"/>
  <c r="F323" i="57"/>
  <c r="F322" i="57" s="1"/>
  <c r="E325" i="57"/>
  <c r="E410" i="57"/>
  <c r="D411" i="57"/>
  <c r="D371" i="57"/>
  <c r="E370" i="57"/>
  <c r="E369" i="57" s="1"/>
  <c r="E340" i="57"/>
  <c r="D341" i="57"/>
  <c r="D396" i="57"/>
  <c r="E395" i="57"/>
  <c r="D447" i="57"/>
  <c r="D304" i="57"/>
  <c r="E303" i="57"/>
  <c r="H76" i="57"/>
  <c r="H77" i="57"/>
  <c r="W52" i="57"/>
  <c r="W51" i="57" s="1"/>
  <c r="D51" i="57"/>
  <c r="H283" i="57"/>
  <c r="F355" i="57"/>
  <c r="W305" i="57"/>
  <c r="R386" i="57"/>
  <c r="F284" i="57"/>
  <c r="W150" i="57"/>
  <c r="R238" i="57"/>
  <c r="R218" i="57"/>
  <c r="F142" i="57"/>
  <c r="F78" i="57"/>
  <c r="W252" i="57"/>
  <c r="W248" i="57" s="1"/>
  <c r="F95" i="57"/>
  <c r="D329" i="57"/>
  <c r="E328" i="57"/>
  <c r="E93" i="57"/>
  <c r="F92" i="57"/>
  <c r="E316" i="57"/>
  <c r="D317" i="57"/>
  <c r="D308" i="57"/>
  <c r="E307" i="57"/>
  <c r="W219" i="57"/>
  <c r="W218" i="57" s="1"/>
  <c r="D218" i="57"/>
  <c r="D182" i="57"/>
  <c r="W183" i="57"/>
  <c r="W182" i="57" s="1"/>
  <c r="W155" i="57"/>
  <c r="W154" i="57" s="1"/>
  <c r="D154" i="57"/>
  <c r="W191" i="57"/>
  <c r="W128" i="57"/>
  <c r="D127" i="57"/>
  <c r="R128" i="57"/>
  <c r="D74" i="57"/>
  <c r="E73" i="57"/>
  <c r="D41" i="57"/>
  <c r="E40" i="57"/>
  <c r="E35" i="57" s="1"/>
  <c r="E34" i="57" s="1"/>
  <c r="E33" i="57" s="1"/>
  <c r="W263" i="57"/>
  <c r="H186" i="57"/>
  <c r="R166" i="57"/>
  <c r="N307" i="56"/>
  <c r="I307" i="56"/>
  <c r="I305" i="56" s="1"/>
  <c r="N306" i="56"/>
  <c r="I306" i="56"/>
  <c r="L305" i="56"/>
  <c r="K305" i="56"/>
  <c r="K303" i="56" s="1"/>
  <c r="J305" i="56"/>
  <c r="H305" i="56"/>
  <c r="G305" i="56"/>
  <c r="G303" i="56" s="1"/>
  <c r="F305" i="56"/>
  <c r="E305" i="56"/>
  <c r="E303" i="56" s="1"/>
  <c r="D305" i="56"/>
  <c r="N304" i="56"/>
  <c r="I304" i="56"/>
  <c r="M303" i="56"/>
  <c r="L303" i="56"/>
  <c r="J303" i="56"/>
  <c r="H303" i="56"/>
  <c r="F303" i="56"/>
  <c r="D303" i="56"/>
  <c r="N302" i="56"/>
  <c r="I302" i="56"/>
  <c r="N301" i="56"/>
  <c r="I301" i="56"/>
  <c r="L300" i="56"/>
  <c r="L295" i="56" s="1"/>
  <c r="K300" i="56"/>
  <c r="J300" i="56"/>
  <c r="H300" i="56"/>
  <c r="G300" i="56"/>
  <c r="G295" i="56" s="1"/>
  <c r="E300" i="56"/>
  <c r="D300" i="56"/>
  <c r="N299" i="56"/>
  <c r="I299" i="56"/>
  <c r="N298" i="56"/>
  <c r="I298" i="56"/>
  <c r="AA297" i="56"/>
  <c r="O297" i="56"/>
  <c r="N297" i="56"/>
  <c r="I297" i="56"/>
  <c r="N296" i="56"/>
  <c r="I296" i="56"/>
  <c r="M295" i="56"/>
  <c r="K295" i="56"/>
  <c r="J295" i="56"/>
  <c r="H295" i="56"/>
  <c r="F295" i="56"/>
  <c r="D295" i="56"/>
  <c r="N294" i="56"/>
  <c r="N293" i="56"/>
  <c r="K293" i="56"/>
  <c r="N292" i="56"/>
  <c r="K292" i="56"/>
  <c r="K290" i="56" s="1"/>
  <c r="K283" i="56" s="1"/>
  <c r="K274" i="56" s="1"/>
  <c r="N291" i="56"/>
  <c r="M290" i="56"/>
  <c r="N289" i="56"/>
  <c r="I289" i="56"/>
  <c r="N288" i="56"/>
  <c r="H288" i="56"/>
  <c r="I288" i="56" s="1"/>
  <c r="N287" i="56"/>
  <c r="H287" i="56"/>
  <c r="I287" i="56" s="1"/>
  <c r="N286" i="56"/>
  <c r="H286" i="56"/>
  <c r="I286" i="56" s="1"/>
  <c r="N285" i="56"/>
  <c r="I285" i="56"/>
  <c r="H285" i="56"/>
  <c r="N284" i="56"/>
  <c r="H284" i="56"/>
  <c r="I284" i="56" s="1"/>
  <c r="M283" i="56"/>
  <c r="M274" i="56" s="1"/>
  <c r="M273" i="56" s="1"/>
  <c r="L283" i="56"/>
  <c r="J283" i="56"/>
  <c r="G283" i="56"/>
  <c r="G274" i="56" s="1"/>
  <c r="E283" i="56"/>
  <c r="D283" i="56"/>
  <c r="N282" i="56"/>
  <c r="N281" i="56"/>
  <c r="N280" i="56"/>
  <c r="H280" i="56"/>
  <c r="I280" i="56" s="1"/>
  <c r="N279" i="56"/>
  <c r="H279" i="56"/>
  <c r="I279" i="56" s="1"/>
  <c r="N278" i="56"/>
  <c r="I278" i="56"/>
  <c r="H278" i="56"/>
  <c r="N277" i="56"/>
  <c r="H277" i="56"/>
  <c r="I277" i="56" s="1"/>
  <c r="N276" i="56"/>
  <c r="H276" i="56"/>
  <c r="I276" i="56" s="1"/>
  <c r="L275" i="56"/>
  <c r="N275" i="56" s="1"/>
  <c r="H275" i="56"/>
  <c r="I275" i="56" s="1"/>
  <c r="J274" i="56"/>
  <c r="F274" i="56"/>
  <c r="F273" i="56" s="1"/>
  <c r="E274" i="56"/>
  <c r="D274" i="56"/>
  <c r="N272" i="56"/>
  <c r="H272" i="56"/>
  <c r="I272" i="56" s="1"/>
  <c r="N271" i="56"/>
  <c r="H271" i="56"/>
  <c r="I271" i="56" s="1"/>
  <c r="N270" i="56"/>
  <c r="H270" i="56"/>
  <c r="I270" i="56" s="1"/>
  <c r="N269" i="56"/>
  <c r="I269" i="56"/>
  <c r="H269" i="56"/>
  <c r="N268" i="56"/>
  <c r="H268" i="56"/>
  <c r="I268" i="56" s="1"/>
  <c r="M267" i="56"/>
  <c r="M266" i="56" s="1"/>
  <c r="L267" i="56"/>
  <c r="K267" i="56"/>
  <c r="K266" i="56" s="1"/>
  <c r="J267" i="56"/>
  <c r="J266" i="56" s="1"/>
  <c r="G267" i="56"/>
  <c r="G266" i="56" s="1"/>
  <c r="E267" i="56"/>
  <c r="D267" i="56"/>
  <c r="D266" i="56" s="1"/>
  <c r="L266" i="56"/>
  <c r="E266" i="56"/>
  <c r="N265" i="56"/>
  <c r="I265" i="56"/>
  <c r="N264" i="56"/>
  <c r="H264" i="56"/>
  <c r="I264" i="56" s="1"/>
  <c r="N263" i="56"/>
  <c r="N262" i="56"/>
  <c r="I262" i="56"/>
  <c r="L261" i="56"/>
  <c r="N261" i="56" s="1"/>
  <c r="N260" i="56" s="1"/>
  <c r="I261" i="56"/>
  <c r="I260" i="56" s="1"/>
  <c r="M260" i="56"/>
  <c r="K260" i="56"/>
  <c r="J260" i="56"/>
  <c r="H260" i="56"/>
  <c r="G260" i="56"/>
  <c r="E260" i="56"/>
  <c r="C260" i="56"/>
  <c r="D262" i="56" s="1"/>
  <c r="D260" i="56" s="1"/>
  <c r="N259" i="56"/>
  <c r="I259" i="56"/>
  <c r="N258" i="56"/>
  <c r="N257" i="56"/>
  <c r="N256" i="56"/>
  <c r="L255" i="56"/>
  <c r="N255" i="56" s="1"/>
  <c r="I255" i="56"/>
  <c r="M254" i="56"/>
  <c r="K254" i="56"/>
  <c r="J254" i="56"/>
  <c r="G254" i="56"/>
  <c r="E254" i="56"/>
  <c r="C254" i="56"/>
  <c r="D256" i="56" s="1"/>
  <c r="N253" i="56"/>
  <c r="I253" i="56"/>
  <c r="N252" i="56"/>
  <c r="H252" i="56"/>
  <c r="I252" i="56" s="1"/>
  <c r="N251" i="56"/>
  <c r="H251" i="56"/>
  <c r="I251" i="56" s="1"/>
  <c r="N250" i="56"/>
  <c r="K249" i="56"/>
  <c r="N249" i="56" s="1"/>
  <c r="N248" i="56"/>
  <c r="I248" i="56"/>
  <c r="N247" i="56"/>
  <c r="L247" i="56"/>
  <c r="I247" i="56"/>
  <c r="M246" i="56"/>
  <c r="L246" i="56"/>
  <c r="K246" i="56"/>
  <c r="J246" i="56"/>
  <c r="G246" i="56"/>
  <c r="E246" i="56"/>
  <c r="C246" i="56"/>
  <c r="D248" i="56" s="1"/>
  <c r="D246" i="56" s="1"/>
  <c r="N245" i="56"/>
  <c r="I245" i="56"/>
  <c r="N244" i="56"/>
  <c r="N243" i="56"/>
  <c r="N242" i="56"/>
  <c r="N241" i="56"/>
  <c r="L240" i="56"/>
  <c r="N240" i="56" s="1"/>
  <c r="I240" i="56"/>
  <c r="M239" i="56"/>
  <c r="K239" i="56"/>
  <c r="J239" i="56"/>
  <c r="G239" i="56"/>
  <c r="E239" i="56"/>
  <c r="C239" i="56"/>
  <c r="D241" i="56" s="1"/>
  <c r="N238" i="56"/>
  <c r="I238" i="56"/>
  <c r="N237" i="56"/>
  <c r="I237" i="56"/>
  <c r="H237" i="56"/>
  <c r="N236" i="56"/>
  <c r="I236" i="56"/>
  <c r="N235" i="56"/>
  <c r="K235" i="56"/>
  <c r="N234" i="56"/>
  <c r="N233" i="56"/>
  <c r="N232" i="56"/>
  <c r="L231" i="56"/>
  <c r="N231" i="56" s="1"/>
  <c r="I231" i="56"/>
  <c r="M230" i="56"/>
  <c r="K230" i="56"/>
  <c r="J230" i="56"/>
  <c r="G230" i="56"/>
  <c r="E230" i="56"/>
  <c r="C230" i="56"/>
  <c r="D232" i="56" s="1"/>
  <c r="N229" i="56"/>
  <c r="I229" i="56"/>
  <c r="N228" i="56"/>
  <c r="H228" i="56"/>
  <c r="I228" i="56" s="1"/>
  <c r="K227" i="56"/>
  <c r="N227" i="56" s="1"/>
  <c r="N226" i="56"/>
  <c r="L225" i="56"/>
  <c r="L224" i="56" s="1"/>
  <c r="K225" i="56"/>
  <c r="N225" i="56" s="1"/>
  <c r="N224" i="56" s="1"/>
  <c r="I225" i="56"/>
  <c r="M224" i="56"/>
  <c r="J224" i="56"/>
  <c r="G224" i="56"/>
  <c r="E224" i="56"/>
  <c r="C224" i="56"/>
  <c r="D226" i="56" s="1"/>
  <c r="H226" i="56" s="1"/>
  <c r="N223" i="56"/>
  <c r="I223" i="56"/>
  <c r="N222" i="56"/>
  <c r="H222" i="56"/>
  <c r="I222" i="56" s="1"/>
  <c r="N221" i="56"/>
  <c r="H221" i="56"/>
  <c r="I221" i="56" s="1"/>
  <c r="N220" i="56"/>
  <c r="K219" i="56"/>
  <c r="N219" i="56" s="1"/>
  <c r="N218" i="56"/>
  <c r="N217" i="56"/>
  <c r="N216" i="56"/>
  <c r="I216" i="56"/>
  <c r="K215" i="56"/>
  <c r="N215" i="56" s="1"/>
  <c r="I215" i="56"/>
  <c r="M214" i="56"/>
  <c r="L214" i="56"/>
  <c r="K214" i="56"/>
  <c r="J214" i="56"/>
  <c r="G214" i="56"/>
  <c r="E214" i="56"/>
  <c r="C214" i="56"/>
  <c r="D216" i="56" s="1"/>
  <c r="D214" i="56" s="1"/>
  <c r="N213" i="56"/>
  <c r="I213" i="56"/>
  <c r="N212" i="56"/>
  <c r="N211" i="56"/>
  <c r="N210" i="56"/>
  <c r="N209" i="56"/>
  <c r="I209" i="56"/>
  <c r="N208" i="56"/>
  <c r="N207" i="56" s="1"/>
  <c r="I208" i="56"/>
  <c r="M207" i="56"/>
  <c r="L207" i="56"/>
  <c r="K207" i="56"/>
  <c r="J207" i="56"/>
  <c r="H207" i="56"/>
  <c r="G207" i="56"/>
  <c r="E207" i="56"/>
  <c r="C207" i="56"/>
  <c r="D209" i="56" s="1"/>
  <c r="D207" i="56" s="1"/>
  <c r="N206" i="56"/>
  <c r="I206" i="56"/>
  <c r="N205" i="56"/>
  <c r="I205" i="56"/>
  <c r="H205" i="56"/>
  <c r="N204" i="56"/>
  <c r="N203" i="56"/>
  <c r="N202" i="56"/>
  <c r="N201" i="56"/>
  <c r="I201" i="56"/>
  <c r="K200" i="56"/>
  <c r="N200" i="56" s="1"/>
  <c r="N199" i="56" s="1"/>
  <c r="I200" i="56"/>
  <c r="I199" i="56" s="1"/>
  <c r="M199" i="56"/>
  <c r="L199" i="56"/>
  <c r="J199" i="56"/>
  <c r="H199" i="56"/>
  <c r="G199" i="56"/>
  <c r="G154" i="56" s="1"/>
  <c r="E199" i="56"/>
  <c r="C199" i="56"/>
  <c r="D201" i="56" s="1"/>
  <c r="D199" i="56" s="1"/>
  <c r="N198" i="56"/>
  <c r="I198" i="56"/>
  <c r="N197" i="56"/>
  <c r="N196" i="56"/>
  <c r="L195" i="56"/>
  <c r="N195" i="56" s="1"/>
  <c r="I195" i="56"/>
  <c r="M194" i="56"/>
  <c r="L194" i="56"/>
  <c r="K194" i="56"/>
  <c r="J194" i="56"/>
  <c r="G194" i="56"/>
  <c r="E194" i="56"/>
  <c r="C194" i="56"/>
  <c r="D196" i="56" s="1"/>
  <c r="N193" i="56"/>
  <c r="I193" i="56"/>
  <c r="N192" i="56"/>
  <c r="H192" i="56"/>
  <c r="I192" i="56" s="1"/>
  <c r="K191" i="56"/>
  <c r="N191" i="56" s="1"/>
  <c r="N190" i="56"/>
  <c r="N189" i="56"/>
  <c r="N188" i="56"/>
  <c r="N187" i="56"/>
  <c r="K187" i="56"/>
  <c r="I187" i="56"/>
  <c r="M186" i="56"/>
  <c r="L186" i="56"/>
  <c r="J186" i="56"/>
  <c r="G186" i="56"/>
  <c r="E186" i="56"/>
  <c r="C186" i="56"/>
  <c r="D188" i="56" s="1"/>
  <c r="N185" i="56"/>
  <c r="I185" i="56"/>
  <c r="K184" i="56"/>
  <c r="N184" i="56" s="1"/>
  <c r="N183" i="56"/>
  <c r="K182" i="56"/>
  <c r="N182" i="56" s="1"/>
  <c r="N181" i="56"/>
  <c r="N180" i="56"/>
  <c r="I180" i="56"/>
  <c r="M179" i="56"/>
  <c r="L179" i="56"/>
  <c r="K179" i="56"/>
  <c r="J179" i="56"/>
  <c r="G179" i="56"/>
  <c r="E179" i="56"/>
  <c r="C179" i="56"/>
  <c r="D181" i="56" s="1"/>
  <c r="N178" i="56"/>
  <c r="I178" i="56"/>
  <c r="N177" i="56"/>
  <c r="H177" i="56"/>
  <c r="I177" i="56" s="1"/>
  <c r="K176" i="56"/>
  <c r="N176" i="56" s="1"/>
  <c r="N175" i="56"/>
  <c r="K174" i="56"/>
  <c r="K171" i="56" s="1"/>
  <c r="N173" i="56"/>
  <c r="L172" i="56"/>
  <c r="N172" i="56" s="1"/>
  <c r="I172" i="56"/>
  <c r="M171" i="56"/>
  <c r="M154" i="56" s="1"/>
  <c r="J171" i="56"/>
  <c r="G171" i="56"/>
  <c r="E171" i="56"/>
  <c r="C171" i="56"/>
  <c r="D173" i="56" s="1"/>
  <c r="N170" i="56"/>
  <c r="I170" i="56"/>
  <c r="N169" i="56"/>
  <c r="H169" i="56"/>
  <c r="I169" i="56" s="1"/>
  <c r="K168" i="56"/>
  <c r="N168" i="56" s="1"/>
  <c r="N167" i="56"/>
  <c r="N166" i="56"/>
  <c r="N165" i="56"/>
  <c r="N164" i="56"/>
  <c r="L163" i="56"/>
  <c r="N163" i="56" s="1"/>
  <c r="I163" i="56"/>
  <c r="M162" i="56"/>
  <c r="K162" i="56"/>
  <c r="J162" i="56"/>
  <c r="G162" i="56"/>
  <c r="E162" i="56"/>
  <c r="C162" i="56"/>
  <c r="D164" i="56" s="1"/>
  <c r="N161" i="56"/>
  <c r="H161" i="56"/>
  <c r="I161" i="56" s="1"/>
  <c r="N160" i="56"/>
  <c r="I160" i="56"/>
  <c r="N159" i="56"/>
  <c r="H159" i="56"/>
  <c r="I159" i="56" s="1"/>
  <c r="N158" i="56"/>
  <c r="N157" i="56"/>
  <c r="K156" i="56"/>
  <c r="K155" i="56" s="1"/>
  <c r="I156" i="56"/>
  <c r="M155" i="56"/>
  <c r="L155" i="56"/>
  <c r="J155" i="56"/>
  <c r="G155" i="56"/>
  <c r="E155" i="56"/>
  <c r="C155" i="56"/>
  <c r="C154" i="56" s="1"/>
  <c r="N153" i="56"/>
  <c r="I153" i="56"/>
  <c r="N152" i="56"/>
  <c r="H152" i="56"/>
  <c r="I152" i="56" s="1"/>
  <c r="N151" i="56"/>
  <c r="N150" i="56"/>
  <c r="N149" i="56"/>
  <c r="L148" i="56"/>
  <c r="N148" i="56" s="1"/>
  <c r="I148" i="56"/>
  <c r="M147" i="56"/>
  <c r="K147" i="56"/>
  <c r="J147" i="56"/>
  <c r="G147" i="56"/>
  <c r="E147" i="56"/>
  <c r="C147" i="56"/>
  <c r="D149" i="56" s="1"/>
  <c r="N146" i="56"/>
  <c r="I146" i="56"/>
  <c r="N145" i="56"/>
  <c r="I145" i="56"/>
  <c r="H145" i="56"/>
  <c r="N144" i="56"/>
  <c r="N143" i="56"/>
  <c r="N142" i="56"/>
  <c r="N141" i="56"/>
  <c r="I141" i="56"/>
  <c r="L140" i="56"/>
  <c r="N140" i="56" s="1"/>
  <c r="I140" i="56"/>
  <c r="I139" i="56" s="1"/>
  <c r="M139" i="56"/>
  <c r="K139" i="56"/>
  <c r="J139" i="56"/>
  <c r="H139" i="56"/>
  <c r="G139" i="56"/>
  <c r="E139" i="56"/>
  <c r="C139" i="56"/>
  <c r="D141" i="56" s="1"/>
  <c r="D139" i="56" s="1"/>
  <c r="N138" i="56"/>
  <c r="I138" i="56"/>
  <c r="N137" i="56"/>
  <c r="H137" i="56"/>
  <c r="I137" i="56" s="1"/>
  <c r="N136" i="56"/>
  <c r="N135" i="56"/>
  <c r="N134" i="56"/>
  <c r="N133" i="56"/>
  <c r="L132" i="56"/>
  <c r="N132" i="56" s="1"/>
  <c r="I132" i="56"/>
  <c r="M131" i="56"/>
  <c r="K131" i="56"/>
  <c r="J131" i="56"/>
  <c r="G131" i="56"/>
  <c r="E131" i="56"/>
  <c r="C131" i="56"/>
  <c r="D133" i="56" s="1"/>
  <c r="N130" i="56"/>
  <c r="I130" i="56"/>
  <c r="N129" i="56"/>
  <c r="N128" i="56"/>
  <c r="N127" i="56"/>
  <c r="N126" i="56"/>
  <c r="L125" i="56"/>
  <c r="N125" i="56" s="1"/>
  <c r="I125" i="56"/>
  <c r="M124" i="56"/>
  <c r="L124" i="56"/>
  <c r="K124" i="56"/>
  <c r="J124" i="56"/>
  <c r="G124" i="56"/>
  <c r="E124" i="56"/>
  <c r="C124" i="56"/>
  <c r="D126" i="56" s="1"/>
  <c r="N123" i="56"/>
  <c r="I123" i="56"/>
  <c r="N122" i="56"/>
  <c r="H122" i="56"/>
  <c r="I122" i="56" s="1"/>
  <c r="N121" i="56"/>
  <c r="N120" i="56"/>
  <c r="N119" i="56"/>
  <c r="N118" i="56"/>
  <c r="L117" i="56"/>
  <c r="N117" i="56" s="1"/>
  <c r="I117" i="56"/>
  <c r="M116" i="56"/>
  <c r="K116" i="56"/>
  <c r="J116" i="56"/>
  <c r="G116" i="56"/>
  <c r="E116" i="56"/>
  <c r="C116" i="56"/>
  <c r="D118" i="56" s="1"/>
  <c r="N115" i="56"/>
  <c r="I115" i="56"/>
  <c r="N114" i="56"/>
  <c r="I114" i="56"/>
  <c r="N113" i="56"/>
  <c r="H113" i="56"/>
  <c r="I113" i="56" s="1"/>
  <c r="N112" i="56"/>
  <c r="N111" i="56"/>
  <c r="N110" i="56"/>
  <c r="N109" i="56"/>
  <c r="L108" i="56"/>
  <c r="N108" i="56" s="1"/>
  <c r="I108" i="56"/>
  <c r="M107" i="56"/>
  <c r="L107" i="56"/>
  <c r="K107" i="56"/>
  <c r="J107" i="56"/>
  <c r="G107" i="56"/>
  <c r="E107" i="56"/>
  <c r="C107" i="56"/>
  <c r="D109" i="56" s="1"/>
  <c r="N106" i="56"/>
  <c r="I106" i="56"/>
  <c r="N105" i="56"/>
  <c r="H105" i="56"/>
  <c r="I105" i="56" s="1"/>
  <c r="N104" i="56"/>
  <c r="H104" i="56"/>
  <c r="I104" i="56" s="1"/>
  <c r="N103" i="56"/>
  <c r="N102" i="56"/>
  <c r="N101" i="56"/>
  <c r="I101" i="56"/>
  <c r="N100" i="56"/>
  <c r="I100" i="56"/>
  <c r="M99" i="56"/>
  <c r="L99" i="56"/>
  <c r="K99" i="56"/>
  <c r="J99" i="56"/>
  <c r="G99" i="56"/>
  <c r="E99" i="56"/>
  <c r="C99" i="56"/>
  <c r="D101" i="56" s="1"/>
  <c r="D99" i="56" s="1"/>
  <c r="N98" i="56"/>
  <c r="I98" i="56"/>
  <c r="N97" i="56"/>
  <c r="N96" i="56"/>
  <c r="I96" i="56"/>
  <c r="L95" i="56"/>
  <c r="I95" i="56"/>
  <c r="M94" i="56"/>
  <c r="K94" i="56"/>
  <c r="J94" i="56"/>
  <c r="H94" i="56"/>
  <c r="G94" i="56"/>
  <c r="G93" i="56" s="1"/>
  <c r="E94" i="56"/>
  <c r="E93" i="56" s="1"/>
  <c r="C94" i="56"/>
  <c r="N92" i="56"/>
  <c r="I92" i="56"/>
  <c r="K91" i="56"/>
  <c r="N91" i="56" s="1"/>
  <c r="K90" i="56"/>
  <c r="N90" i="56" s="1"/>
  <c r="N89" i="56"/>
  <c r="N88" i="56"/>
  <c r="H88" i="56"/>
  <c r="I88" i="56" s="1"/>
  <c r="L87" i="56"/>
  <c r="I87" i="56"/>
  <c r="M86" i="56"/>
  <c r="J86" i="56"/>
  <c r="G86" i="56"/>
  <c r="F86" i="56"/>
  <c r="E86" i="56"/>
  <c r="D86" i="56"/>
  <c r="N85" i="56"/>
  <c r="I85" i="56"/>
  <c r="N84" i="56"/>
  <c r="G84" i="56"/>
  <c r="N83" i="56"/>
  <c r="N82" i="56" s="1"/>
  <c r="G83" i="56"/>
  <c r="I83" i="56" s="1"/>
  <c r="M82" i="56"/>
  <c r="L82" i="56"/>
  <c r="K82" i="56"/>
  <c r="J82" i="56"/>
  <c r="E82" i="56"/>
  <c r="C82" i="56"/>
  <c r="D84" i="56" s="1"/>
  <c r="N81" i="56"/>
  <c r="I81" i="56"/>
  <c r="N80" i="56"/>
  <c r="N79" i="56"/>
  <c r="N78" i="56"/>
  <c r="N77" i="56"/>
  <c r="I77" i="56"/>
  <c r="L76" i="56"/>
  <c r="N76" i="56" s="1"/>
  <c r="I76" i="56"/>
  <c r="M75" i="56"/>
  <c r="L75" i="56"/>
  <c r="K75" i="56"/>
  <c r="J75" i="56"/>
  <c r="H75" i="56"/>
  <c r="G75" i="56"/>
  <c r="E75" i="56"/>
  <c r="C75" i="56"/>
  <c r="D77" i="56" s="1"/>
  <c r="D75" i="56" s="1"/>
  <c r="N74" i="56"/>
  <c r="I74" i="56"/>
  <c r="N73" i="56"/>
  <c r="I73" i="56"/>
  <c r="N72" i="56"/>
  <c r="L71" i="56"/>
  <c r="I71" i="56"/>
  <c r="M70" i="56"/>
  <c r="K70" i="56"/>
  <c r="J70" i="56"/>
  <c r="G70" i="56"/>
  <c r="E70" i="56"/>
  <c r="C70" i="56"/>
  <c r="D72" i="56" s="1"/>
  <c r="N69" i="56"/>
  <c r="I69" i="56"/>
  <c r="N68" i="56"/>
  <c r="N67" i="56"/>
  <c r="L66" i="56"/>
  <c r="I66" i="56"/>
  <c r="M65" i="56"/>
  <c r="K65" i="56"/>
  <c r="J65" i="56"/>
  <c r="G65" i="56"/>
  <c r="E65" i="56"/>
  <c r="C65" i="56"/>
  <c r="D67" i="56" s="1"/>
  <c r="N64" i="56"/>
  <c r="I64" i="56"/>
  <c r="N63" i="56"/>
  <c r="K62" i="56"/>
  <c r="N62" i="56" s="1"/>
  <c r="N61" i="56" s="1"/>
  <c r="I62" i="56"/>
  <c r="M61" i="56"/>
  <c r="L61" i="56"/>
  <c r="K61" i="56"/>
  <c r="J61" i="56"/>
  <c r="G61" i="56"/>
  <c r="E61" i="56"/>
  <c r="C61" i="56"/>
  <c r="D63" i="56" s="1"/>
  <c r="N60" i="56"/>
  <c r="I60" i="56"/>
  <c r="K59" i="56"/>
  <c r="N59" i="56" s="1"/>
  <c r="N58" i="56"/>
  <c r="I58" i="56"/>
  <c r="L57" i="56"/>
  <c r="I57" i="56"/>
  <c r="M56" i="56"/>
  <c r="K56" i="56"/>
  <c r="J56" i="56"/>
  <c r="H56" i="56"/>
  <c r="G56" i="56"/>
  <c r="E56" i="56"/>
  <c r="C56" i="56"/>
  <c r="D58" i="56" s="1"/>
  <c r="D56" i="56" s="1"/>
  <c r="N55" i="56"/>
  <c r="I55" i="56"/>
  <c r="N54" i="56"/>
  <c r="G54" i="56"/>
  <c r="N53" i="56"/>
  <c r="G53" i="56"/>
  <c r="I53" i="56" s="1"/>
  <c r="M52" i="56"/>
  <c r="L52" i="56"/>
  <c r="K52" i="56"/>
  <c r="J52" i="56"/>
  <c r="G52" i="56"/>
  <c r="E52" i="56"/>
  <c r="C52" i="56"/>
  <c r="D54" i="56" s="1"/>
  <c r="N51" i="56"/>
  <c r="I51" i="56"/>
  <c r="N50" i="56"/>
  <c r="I50" i="56"/>
  <c r="K49" i="56"/>
  <c r="N48" i="56"/>
  <c r="L47" i="56"/>
  <c r="N47" i="56" s="1"/>
  <c r="I47" i="56"/>
  <c r="M46" i="56"/>
  <c r="J46" i="56"/>
  <c r="G46" i="56"/>
  <c r="E46" i="56"/>
  <c r="C46" i="56"/>
  <c r="D48" i="56" s="1"/>
  <c r="N45" i="56"/>
  <c r="I45" i="56"/>
  <c r="N44" i="56"/>
  <c r="I44" i="56"/>
  <c r="N43" i="56"/>
  <c r="N42" i="56"/>
  <c r="N41" i="56"/>
  <c r="I41" i="56"/>
  <c r="L40" i="56"/>
  <c r="I40" i="56"/>
  <c r="M39" i="56"/>
  <c r="K39" i="56"/>
  <c r="J39" i="56"/>
  <c r="I39" i="56"/>
  <c r="H39" i="56"/>
  <c r="G39" i="56"/>
  <c r="E39" i="56"/>
  <c r="C39" i="56"/>
  <c r="D41" i="56" s="1"/>
  <c r="D39" i="56" s="1"/>
  <c r="N38" i="56"/>
  <c r="I38" i="56"/>
  <c r="N37" i="56"/>
  <c r="K36" i="56"/>
  <c r="K35" i="56" s="1"/>
  <c r="I36" i="56"/>
  <c r="M35" i="56"/>
  <c r="L35" i="56"/>
  <c r="J35" i="56"/>
  <c r="G35" i="56"/>
  <c r="E35" i="56"/>
  <c r="C35" i="56"/>
  <c r="D37" i="56" s="1"/>
  <c r="N34" i="56"/>
  <c r="I34" i="56"/>
  <c r="N33" i="56"/>
  <c r="N32" i="56"/>
  <c r="N31" i="56"/>
  <c r="I31" i="56"/>
  <c r="L30" i="56"/>
  <c r="N30" i="56" s="1"/>
  <c r="N29" i="56" s="1"/>
  <c r="I30" i="56"/>
  <c r="M29" i="56"/>
  <c r="K29" i="56"/>
  <c r="J29" i="56"/>
  <c r="H29" i="56"/>
  <c r="G29" i="56"/>
  <c r="E29" i="56"/>
  <c r="C29" i="56"/>
  <c r="D31" i="56" s="1"/>
  <c r="D29" i="56" s="1"/>
  <c r="N28" i="56"/>
  <c r="H28" i="56"/>
  <c r="I28" i="56" s="1"/>
  <c r="N27" i="56"/>
  <c r="I27" i="56"/>
  <c r="N26" i="56"/>
  <c r="L25" i="56"/>
  <c r="N25" i="56" s="1"/>
  <c r="I25" i="56"/>
  <c r="M24" i="56"/>
  <c r="L24" i="56"/>
  <c r="K24" i="56"/>
  <c r="J24" i="56"/>
  <c r="G24" i="56"/>
  <c r="E24" i="56"/>
  <c r="C24" i="56"/>
  <c r="D26" i="56" s="1"/>
  <c r="N23" i="56"/>
  <c r="I23" i="56"/>
  <c r="N22" i="56"/>
  <c r="N21" i="56"/>
  <c r="L20" i="56"/>
  <c r="N20" i="56" s="1"/>
  <c r="I20" i="56"/>
  <c r="M19" i="56"/>
  <c r="K19" i="56"/>
  <c r="J19" i="56"/>
  <c r="G19" i="56"/>
  <c r="E19" i="56"/>
  <c r="C19" i="56"/>
  <c r="D21" i="56" s="1"/>
  <c r="N18" i="56"/>
  <c r="I18" i="56"/>
  <c r="N17" i="56"/>
  <c r="N16" i="56"/>
  <c r="I16" i="56"/>
  <c r="H16" i="56"/>
  <c r="N15" i="56"/>
  <c r="AA14" i="56"/>
  <c r="AA16" i="56" s="1"/>
  <c r="AA18" i="56" s="1"/>
  <c r="L14" i="56"/>
  <c r="I14" i="56"/>
  <c r="M13" i="56"/>
  <c r="M12" i="56" s="1"/>
  <c r="K13" i="56"/>
  <c r="J13" i="56"/>
  <c r="G13" i="56"/>
  <c r="F13" i="56"/>
  <c r="E13" i="56"/>
  <c r="C13" i="56"/>
  <c r="D15" i="56" s="1"/>
  <c r="AA11" i="56"/>
  <c r="AA12" i="56" s="1"/>
  <c r="AA10" i="56"/>
  <c r="I29" i="56" l="1"/>
  <c r="K93" i="56"/>
  <c r="L116" i="56"/>
  <c r="N139" i="56"/>
  <c r="L162" i="56"/>
  <c r="N174" i="56"/>
  <c r="N267" i="56"/>
  <c r="N266" i="56" s="1"/>
  <c r="W127" i="57"/>
  <c r="N19" i="56"/>
  <c r="N52" i="56"/>
  <c r="I56" i="56"/>
  <c r="M93" i="56"/>
  <c r="N171" i="56"/>
  <c r="N254" i="56"/>
  <c r="L260" i="56"/>
  <c r="J273" i="56"/>
  <c r="N300" i="56"/>
  <c r="E32" i="57"/>
  <c r="R127" i="57"/>
  <c r="K186" i="57"/>
  <c r="K91" i="57" s="1"/>
  <c r="W402" i="57"/>
  <c r="K199" i="56"/>
  <c r="L29" i="56"/>
  <c r="L46" i="56"/>
  <c r="G82" i="56"/>
  <c r="G12" i="56" s="1"/>
  <c r="H86" i="56"/>
  <c r="N131" i="56"/>
  <c r="N147" i="56"/>
  <c r="N230" i="56"/>
  <c r="N239" i="56"/>
  <c r="N246" i="56"/>
  <c r="K273" i="56"/>
  <c r="F283" i="57"/>
  <c r="C12" i="58"/>
  <c r="C11" i="58" s="1"/>
  <c r="C8" i="58" s="1"/>
  <c r="C7" i="58" s="1"/>
  <c r="D84" i="57"/>
  <c r="E83" i="57"/>
  <c r="E260" i="57"/>
  <c r="F258" i="57"/>
  <c r="F217" i="57" s="1"/>
  <c r="D12" i="58"/>
  <c r="D11" i="58" s="1"/>
  <c r="D8" i="58" s="1"/>
  <c r="D7" i="58" s="1"/>
  <c r="D40" i="57"/>
  <c r="W41" i="57"/>
  <c r="W40" i="57" s="1"/>
  <c r="W317" i="57"/>
  <c r="W316" i="57" s="1"/>
  <c r="D316" i="57"/>
  <c r="F76" i="57"/>
  <c r="F77" i="57"/>
  <c r="W304" i="57"/>
  <c r="W303" i="57" s="1"/>
  <c r="D303" i="57"/>
  <c r="D395" i="57"/>
  <c r="W396" i="57"/>
  <c r="W395" i="57" s="1"/>
  <c r="W371" i="57"/>
  <c r="W370" i="57" s="1"/>
  <c r="D370" i="57"/>
  <c r="D369" i="57" s="1"/>
  <c r="W12" i="57"/>
  <c r="R165" i="57"/>
  <c r="R163" i="57" s="1"/>
  <c r="R162" i="57" s="1"/>
  <c r="D163" i="57"/>
  <c r="W335" i="57"/>
  <c r="W334" i="57" s="1"/>
  <c r="D334" i="57"/>
  <c r="W362" i="57"/>
  <c r="W361" i="57" s="1"/>
  <c r="R362" i="57"/>
  <c r="R361" i="57" s="1"/>
  <c r="R355" i="57" s="1"/>
  <c r="D361" i="57"/>
  <c r="D355" i="57" s="1"/>
  <c r="E95" i="57"/>
  <c r="W381" i="57"/>
  <c r="D307" i="57"/>
  <c r="W308" i="57"/>
  <c r="W307" i="57" s="1"/>
  <c r="D93" i="57"/>
  <c r="E92" i="57"/>
  <c r="D325" i="57"/>
  <c r="E323" i="57"/>
  <c r="E322" i="57" s="1"/>
  <c r="E216" i="57"/>
  <c r="F214" i="57"/>
  <c r="W98" i="57"/>
  <c r="W97" i="57" s="1"/>
  <c r="W96" i="57" s="1"/>
  <c r="D97" i="57"/>
  <c r="D96" i="57" s="1"/>
  <c r="W167" i="57"/>
  <c r="W166" i="57" s="1"/>
  <c r="D166" i="57"/>
  <c r="R204" i="57"/>
  <c r="R203" i="57" s="1"/>
  <c r="R189" i="57" s="1"/>
  <c r="R188" i="57" s="1"/>
  <c r="D203" i="57"/>
  <c r="D189" i="57" s="1"/>
  <c r="D188" i="57" s="1"/>
  <c r="R294" i="57"/>
  <c r="R293" i="57" s="1"/>
  <c r="R284" i="57" s="1"/>
  <c r="D293" i="57"/>
  <c r="W215" i="57"/>
  <c r="D422" i="57"/>
  <c r="W423" i="57"/>
  <c r="W422" i="57" s="1"/>
  <c r="W346" i="57"/>
  <c r="W345" i="57" s="1"/>
  <c r="D345" i="57"/>
  <c r="W430" i="57"/>
  <c r="W429" i="57" s="1"/>
  <c r="D429" i="57"/>
  <c r="E284" i="57"/>
  <c r="K31" i="57"/>
  <c r="K10" i="57" s="1"/>
  <c r="K451" i="57" s="1"/>
  <c r="E162" i="57"/>
  <c r="W74" i="57"/>
  <c r="W73" i="57" s="1"/>
  <c r="D73" i="57"/>
  <c r="D446" i="57"/>
  <c r="W447" i="57"/>
  <c r="W446" i="57" s="1"/>
  <c r="W36" i="57"/>
  <c r="D35" i="57"/>
  <c r="D34" i="57" s="1"/>
  <c r="D33" i="57" s="1"/>
  <c r="W63" i="57"/>
  <c r="W61" i="57" s="1"/>
  <c r="W50" i="57" s="1"/>
  <c r="D61" i="57"/>
  <c r="D50" i="57" s="1"/>
  <c r="R119" i="57"/>
  <c r="R118" i="57" s="1"/>
  <c r="D118" i="57"/>
  <c r="W119" i="57"/>
  <c r="W118" i="57" s="1"/>
  <c r="W144" i="57"/>
  <c r="W143" i="57" s="1"/>
  <c r="W142" i="57" s="1"/>
  <c r="D143" i="57"/>
  <c r="D142" i="57" s="1"/>
  <c r="D285" i="57"/>
  <c r="W286" i="57"/>
  <c r="W285" i="57" s="1"/>
  <c r="D278" i="57"/>
  <c r="W279" i="57"/>
  <c r="W278" i="57" s="1"/>
  <c r="R137" i="57"/>
  <c r="R136" i="57" s="1"/>
  <c r="D136" i="57"/>
  <c r="D240" i="57"/>
  <c r="E238" i="57"/>
  <c r="D187" i="57"/>
  <c r="R217" i="57"/>
  <c r="W377" i="57"/>
  <c r="W376" i="57" s="1"/>
  <c r="H91" i="57"/>
  <c r="H31" i="57" s="1"/>
  <c r="H10" i="57" s="1"/>
  <c r="H451" i="57" s="1"/>
  <c r="W379" i="57"/>
  <c r="W355" i="57"/>
  <c r="W329" i="57"/>
  <c r="W328" i="57" s="1"/>
  <c r="D328" i="57"/>
  <c r="R341" i="57"/>
  <c r="R340" i="57" s="1"/>
  <c r="R333" i="57" s="1"/>
  <c r="D340" i="57"/>
  <c r="W411" i="57"/>
  <c r="W410" i="57" s="1"/>
  <c r="D410" i="57"/>
  <c r="W192" i="57"/>
  <c r="W190" i="57" s="1"/>
  <c r="D14" i="57"/>
  <c r="E13" i="57"/>
  <c r="E11" i="57" s="1"/>
  <c r="D433" i="57"/>
  <c r="W435" i="57"/>
  <c r="D434" i="57"/>
  <c r="E333" i="57"/>
  <c r="M11" i="56"/>
  <c r="M10" i="56" s="1"/>
  <c r="N40" i="56"/>
  <c r="N39" i="56" s="1"/>
  <c r="L39" i="56"/>
  <c r="N66" i="56"/>
  <c r="N65" i="56" s="1"/>
  <c r="L65" i="56"/>
  <c r="N71" i="56"/>
  <c r="N70" i="56" s="1"/>
  <c r="L70" i="56"/>
  <c r="N87" i="56"/>
  <c r="N86" i="56" s="1"/>
  <c r="L86" i="56"/>
  <c r="N95" i="56"/>
  <c r="N94" i="56" s="1"/>
  <c r="L94" i="56"/>
  <c r="N14" i="56"/>
  <c r="N13" i="56" s="1"/>
  <c r="L13" i="56"/>
  <c r="E12" i="56"/>
  <c r="N49" i="56"/>
  <c r="N46" i="56" s="1"/>
  <c r="K46" i="56"/>
  <c r="K12" i="56" s="1"/>
  <c r="N57" i="56"/>
  <c r="N56" i="56" s="1"/>
  <c r="L56" i="56"/>
  <c r="K86" i="56"/>
  <c r="I303" i="56"/>
  <c r="I99" i="56"/>
  <c r="N186" i="56"/>
  <c r="N290" i="56"/>
  <c r="O290" i="56" s="1"/>
  <c r="O291" i="56" s="1"/>
  <c r="F12" i="56"/>
  <c r="F11" i="56" s="1"/>
  <c r="F10" i="56" s="1"/>
  <c r="J12" i="56"/>
  <c r="N24" i="56"/>
  <c r="N75" i="56"/>
  <c r="I75" i="56"/>
  <c r="I86" i="56"/>
  <c r="J93" i="56"/>
  <c r="I94" i="56"/>
  <c r="H99" i="56"/>
  <c r="N99" i="56"/>
  <c r="N107" i="56"/>
  <c r="N116" i="56"/>
  <c r="N124" i="56"/>
  <c r="L131" i="56"/>
  <c r="L139" i="56"/>
  <c r="L147" i="56"/>
  <c r="E154" i="56"/>
  <c r="J154" i="56"/>
  <c r="L171" i="56"/>
  <c r="N179" i="56"/>
  <c r="K186" i="56"/>
  <c r="N194" i="56"/>
  <c r="I207" i="56"/>
  <c r="I214" i="56"/>
  <c r="K224" i="56"/>
  <c r="L230" i="56"/>
  <c r="L239" i="56"/>
  <c r="L254" i="56"/>
  <c r="D273" i="56"/>
  <c r="L274" i="56"/>
  <c r="L273" i="56" s="1"/>
  <c r="G273" i="56"/>
  <c r="I300" i="56"/>
  <c r="I295" i="56" s="1"/>
  <c r="C12" i="56"/>
  <c r="H181" i="56"/>
  <c r="H179" i="56" s="1"/>
  <c r="D179" i="56"/>
  <c r="H256" i="56"/>
  <c r="I256" i="56" s="1"/>
  <c r="I254" i="56" s="1"/>
  <c r="D254" i="56"/>
  <c r="D224" i="56"/>
  <c r="C93" i="56"/>
  <c r="H21" i="56"/>
  <c r="D19" i="56"/>
  <c r="H26" i="56"/>
  <c r="D24" i="56"/>
  <c r="H37" i="56"/>
  <c r="D35" i="56"/>
  <c r="H54" i="56"/>
  <c r="H52" i="56" s="1"/>
  <c r="D52" i="56"/>
  <c r="D70" i="56"/>
  <c r="H72" i="56"/>
  <c r="H133" i="56"/>
  <c r="D131" i="56"/>
  <c r="H149" i="56"/>
  <c r="D147" i="56"/>
  <c r="H232" i="56"/>
  <c r="D230" i="56"/>
  <c r="N162" i="56"/>
  <c r="I267" i="56"/>
  <c r="I266" i="56" s="1"/>
  <c r="N295" i="56"/>
  <c r="H15" i="56"/>
  <c r="I15" i="56" s="1"/>
  <c r="D13" i="56"/>
  <c r="D46" i="56"/>
  <c r="H48" i="56"/>
  <c r="D82" i="56"/>
  <c r="H84" i="56"/>
  <c r="H82" i="56" s="1"/>
  <c r="H109" i="56"/>
  <c r="D107" i="56"/>
  <c r="H118" i="56"/>
  <c r="D116" i="56"/>
  <c r="D162" i="56"/>
  <c r="H164" i="56"/>
  <c r="I181" i="56"/>
  <c r="I179" i="56" s="1"/>
  <c r="D186" i="56"/>
  <c r="H188" i="56"/>
  <c r="D194" i="56"/>
  <c r="H196" i="56"/>
  <c r="H67" i="56"/>
  <c r="D65" i="56"/>
  <c r="D171" i="56"/>
  <c r="H173" i="56"/>
  <c r="D239" i="56"/>
  <c r="H241" i="56"/>
  <c r="I283" i="56"/>
  <c r="I274" i="56" s="1"/>
  <c r="I273" i="56" s="1"/>
  <c r="H63" i="56"/>
  <c r="D61" i="56"/>
  <c r="D124" i="56"/>
  <c r="H126" i="56"/>
  <c r="H224" i="56"/>
  <c r="I226" i="56"/>
  <c r="I224" i="56" s="1"/>
  <c r="I54" i="56"/>
  <c r="I52" i="56" s="1"/>
  <c r="N214" i="56"/>
  <c r="C11" i="56"/>
  <c r="D157" i="56"/>
  <c r="N305" i="56"/>
  <c r="N303" i="56" s="1"/>
  <c r="L19" i="56"/>
  <c r="N36" i="56"/>
  <c r="N35" i="56" s="1"/>
  <c r="N156" i="56"/>
  <c r="N155" i="56" s="1"/>
  <c r="H214" i="56"/>
  <c r="H246" i="56"/>
  <c r="I246" i="56" s="1"/>
  <c r="H254" i="56"/>
  <c r="D96" i="56"/>
  <c r="D94" i="56" s="1"/>
  <c r="H267" i="56"/>
  <c r="H266" i="56" s="1"/>
  <c r="H283" i="56"/>
  <c r="H274" i="56" s="1"/>
  <c r="H273" i="56" s="1"/>
  <c r="E295" i="56"/>
  <c r="E273" i="56" s="1"/>
  <c r="E11" i="56" s="1"/>
  <c r="E10" i="56" s="1"/>
  <c r="N12" i="56" l="1"/>
  <c r="L154" i="56"/>
  <c r="N93" i="56"/>
  <c r="N283" i="56"/>
  <c r="N274" i="56" s="1"/>
  <c r="N273" i="56" s="1"/>
  <c r="W341" i="57"/>
  <c r="W340" i="57" s="1"/>
  <c r="R95" i="57"/>
  <c r="W35" i="57"/>
  <c r="W34" i="57" s="1"/>
  <c r="W33" i="57" s="1"/>
  <c r="W333" i="57"/>
  <c r="E77" i="57"/>
  <c r="E76" i="57"/>
  <c r="G11" i="56"/>
  <c r="G10" i="56" s="1"/>
  <c r="D260" i="57"/>
  <c r="E258" i="57"/>
  <c r="E217" i="57" s="1"/>
  <c r="K154" i="56"/>
  <c r="K11" i="56" s="1"/>
  <c r="K10" i="56" s="1"/>
  <c r="D421" i="57"/>
  <c r="F186" i="57"/>
  <c r="F91" i="57" s="1"/>
  <c r="F31" i="57" s="1"/>
  <c r="F10" i="57" s="1"/>
  <c r="F451" i="57" s="1"/>
  <c r="R84" i="57"/>
  <c r="D83" i="57"/>
  <c r="R283" i="57"/>
  <c r="W165" i="57"/>
  <c r="W163" i="57" s="1"/>
  <c r="D13" i="57"/>
  <c r="D11" i="57" s="1"/>
  <c r="W14" i="57"/>
  <c r="W13" i="57" s="1"/>
  <c r="W11" i="57" s="1"/>
  <c r="W325" i="57"/>
  <c r="W323" i="57" s="1"/>
  <c r="W322" i="57" s="1"/>
  <c r="D323" i="57"/>
  <c r="D322" i="57" s="1"/>
  <c r="W204" i="57"/>
  <c r="W203" i="57" s="1"/>
  <c r="W189" i="57" s="1"/>
  <c r="W188" i="57" s="1"/>
  <c r="D95" i="57"/>
  <c r="D162" i="57"/>
  <c r="W240" i="57"/>
  <c r="W238" i="57" s="1"/>
  <c r="D238" i="57"/>
  <c r="D216" i="57"/>
  <c r="E214" i="57"/>
  <c r="D92" i="57"/>
  <c r="W93" i="57"/>
  <c r="W92" i="57" s="1"/>
  <c r="W434" i="57"/>
  <c r="W433" i="57"/>
  <c r="W32" i="57"/>
  <c r="E283" i="57"/>
  <c r="W137" i="57"/>
  <c r="W136" i="57" s="1"/>
  <c r="W95" i="57" s="1"/>
  <c r="D284" i="57"/>
  <c r="D32" i="57"/>
  <c r="W421" i="57"/>
  <c r="W294" i="57"/>
  <c r="W293" i="57" s="1"/>
  <c r="W284" i="57" s="1"/>
  <c r="W283" i="57" s="1"/>
  <c r="D333" i="57"/>
  <c r="W369" i="57"/>
  <c r="W187" i="57"/>
  <c r="R186" i="57"/>
  <c r="R91" i="57" s="1"/>
  <c r="W162" i="57"/>
  <c r="C10" i="56"/>
  <c r="J11" i="56"/>
  <c r="J10" i="56" s="1"/>
  <c r="N154" i="56"/>
  <c r="N11" i="56" s="1"/>
  <c r="N10" i="56" s="1"/>
  <c r="L12" i="56"/>
  <c r="L93" i="56"/>
  <c r="D93" i="56"/>
  <c r="I84" i="56"/>
  <c r="I82" i="56" s="1"/>
  <c r="I126" i="56"/>
  <c r="I124" i="56" s="1"/>
  <c r="H124" i="56"/>
  <c r="I173" i="56"/>
  <c r="I171" i="56" s="1"/>
  <c r="H171" i="56"/>
  <c r="I118" i="56"/>
  <c r="I116" i="56" s="1"/>
  <c r="H116" i="56"/>
  <c r="H13" i="56"/>
  <c r="I13" i="56"/>
  <c r="I149" i="56"/>
  <c r="I147" i="56" s="1"/>
  <c r="H147" i="56"/>
  <c r="I37" i="56"/>
  <c r="I35" i="56" s="1"/>
  <c r="H35" i="56"/>
  <c r="I21" i="56"/>
  <c r="I19" i="56" s="1"/>
  <c r="H19" i="56"/>
  <c r="I63" i="56"/>
  <c r="I61" i="56" s="1"/>
  <c r="H61" i="56"/>
  <c r="I67" i="56"/>
  <c r="I65" i="56" s="1"/>
  <c r="H65" i="56"/>
  <c r="I196" i="56"/>
  <c r="I194" i="56" s="1"/>
  <c r="H194" i="56"/>
  <c r="AA19" i="56"/>
  <c r="AA20" i="56" s="1"/>
  <c r="D12" i="56"/>
  <c r="I72" i="56"/>
  <c r="I70" i="56" s="1"/>
  <c r="H70" i="56"/>
  <c r="I241" i="56"/>
  <c r="I239" i="56" s="1"/>
  <c r="H239" i="56"/>
  <c r="I109" i="56"/>
  <c r="I107" i="56" s="1"/>
  <c r="H107" i="56"/>
  <c r="I232" i="56"/>
  <c r="I230" i="56" s="1"/>
  <c r="H230" i="56"/>
  <c r="I133" i="56"/>
  <c r="I131" i="56" s="1"/>
  <c r="H131" i="56"/>
  <c r="I26" i="56"/>
  <c r="I24" i="56" s="1"/>
  <c r="H24" i="56"/>
  <c r="H157" i="56"/>
  <c r="D155" i="56"/>
  <c r="D154" i="56" s="1"/>
  <c r="I188" i="56"/>
  <c r="I186" i="56" s="1"/>
  <c r="H186" i="56"/>
  <c r="I164" i="56"/>
  <c r="I162" i="56" s="1"/>
  <c r="H162" i="56"/>
  <c r="I48" i="56"/>
  <c r="I46" i="56" s="1"/>
  <c r="H46" i="56"/>
  <c r="R83" i="57" l="1"/>
  <c r="W84" i="57"/>
  <c r="W83" i="57" s="1"/>
  <c r="D76" i="57"/>
  <c r="D77" i="57"/>
  <c r="D283" i="57"/>
  <c r="D217" i="57"/>
  <c r="W260" i="57"/>
  <c r="W258" i="57" s="1"/>
  <c r="W217" i="57" s="1"/>
  <c r="D258" i="57"/>
  <c r="W216" i="57"/>
  <c r="W214" i="57" s="1"/>
  <c r="D214" i="57"/>
  <c r="E186" i="57"/>
  <c r="E91" i="57" s="1"/>
  <c r="E31" i="57" s="1"/>
  <c r="E10" i="57" s="1"/>
  <c r="E451" i="57" s="1"/>
  <c r="L11" i="56"/>
  <c r="L10" i="56" s="1"/>
  <c r="O10" i="56" s="1"/>
  <c r="D11" i="56"/>
  <c r="D10" i="56" s="1"/>
  <c r="AA15" i="56" s="1"/>
  <c r="I157" i="56"/>
  <c r="I155" i="56" s="1"/>
  <c r="I154" i="56" s="1"/>
  <c r="H155" i="56"/>
  <c r="H154" i="56" s="1"/>
  <c r="I93" i="56"/>
  <c r="H12" i="56"/>
  <c r="H11" i="56" s="1"/>
  <c r="H10" i="56" s="1"/>
  <c r="H93" i="56"/>
  <c r="I12" i="56"/>
  <c r="W76" i="57" l="1"/>
  <c r="W77" i="57"/>
  <c r="R77" i="57"/>
  <c r="R76" i="57"/>
  <c r="R31" i="57" s="1"/>
  <c r="R10" i="57" s="1"/>
  <c r="R451" i="57" s="1"/>
  <c r="W186" i="57"/>
  <c r="W91" i="57" s="1"/>
  <c r="W31" i="57" s="1"/>
  <c r="W10" i="57" s="1"/>
  <c r="W451" i="57" s="1"/>
  <c r="D186" i="57"/>
  <c r="D91" i="57" s="1"/>
  <c r="D31" i="57" s="1"/>
  <c r="D10" i="57" s="1"/>
  <c r="D451" i="57" s="1"/>
  <c r="C186" i="57"/>
  <c r="C187" i="57"/>
  <c r="I11" i="56"/>
  <c r="I10" i="56" s="1"/>
  <c r="H32" i="29" l="1"/>
  <c r="U18" i="40" l="1"/>
  <c r="G31" i="29" l="1"/>
  <c r="H34" i="29"/>
  <c r="H40" i="29"/>
  <c r="I31" i="6"/>
  <c r="I26" i="6" s="1"/>
  <c r="H41" i="29" l="1"/>
  <c r="H31" i="29"/>
  <c r="H27" i="29" s="1"/>
  <c r="H23" i="29" s="1"/>
  <c r="H17" i="29"/>
  <c r="H14" i="29"/>
  <c r="H12" i="29" s="1"/>
  <c r="H10" i="29" s="1"/>
  <c r="H8" i="29" s="1"/>
  <c r="J54" i="7"/>
  <c r="J52" i="7" s="1"/>
  <c r="I52" i="7"/>
  <c r="J35" i="7"/>
  <c r="I35" i="7"/>
  <c r="J23" i="7"/>
  <c r="I23" i="7"/>
  <c r="I22" i="7"/>
  <c r="J22" i="7" s="1"/>
  <c r="J19" i="7"/>
  <c r="J18" i="7"/>
  <c r="J9" i="7"/>
  <c r="I9" i="7"/>
  <c r="I32" i="6"/>
  <c r="I25" i="6" s="1"/>
  <c r="I18" i="6"/>
  <c r="I15" i="6"/>
  <c r="I9" i="6"/>
  <c r="AD31" i="17"/>
  <c r="X31" i="17" s="1"/>
  <c r="X30" i="17"/>
  <c r="AD29" i="17"/>
  <c r="X29" i="17" s="1"/>
  <c r="AC28" i="17"/>
  <c r="AB28" i="17"/>
  <c r="AA28" i="17"/>
  <c r="Z28" i="17"/>
  <c r="Y28" i="17"/>
  <c r="X27" i="17"/>
  <c r="X26" i="17"/>
  <c r="AD25" i="17"/>
  <c r="X25" i="17"/>
  <c r="X24" i="17"/>
  <c r="X23" i="17"/>
  <c r="AD22" i="17"/>
  <c r="AC22" i="17"/>
  <c r="AB22" i="17"/>
  <c r="AA22" i="17"/>
  <c r="Z22" i="17"/>
  <c r="Y22" i="17"/>
  <c r="X21" i="17"/>
  <c r="X20" i="17"/>
  <c r="AD19" i="17"/>
  <c r="AC19" i="17"/>
  <c r="AB19" i="17"/>
  <c r="AA19" i="17"/>
  <c r="Z19" i="17"/>
  <c r="Y19" i="17"/>
  <c r="X19" i="17"/>
  <c r="AD18" i="17"/>
  <c r="AD16" i="17" s="1"/>
  <c r="X18" i="17"/>
  <c r="X17" i="17"/>
  <c r="AC16" i="17"/>
  <c r="AB16" i="17"/>
  <c r="AA16" i="17"/>
  <c r="Z16" i="17"/>
  <c r="Y16" i="17"/>
  <c r="AA15" i="17"/>
  <c r="Y15" i="17"/>
  <c r="X15" i="17" s="1"/>
  <c r="AD14" i="17"/>
  <c r="AD9" i="17" s="1"/>
  <c r="AA13" i="17"/>
  <c r="Y13" i="17"/>
  <c r="X12" i="17"/>
  <c r="X11" i="17"/>
  <c r="AA10" i="17"/>
  <c r="AA9" i="17" s="1"/>
  <c r="AA8" i="17" s="1"/>
  <c r="Y10" i="17"/>
  <c r="AC9" i="17"/>
  <c r="AB9" i="17"/>
  <c r="AB8" i="17" s="1"/>
  <c r="Z9" i="17"/>
  <c r="Z8" i="17" s="1"/>
  <c r="I74" i="16"/>
  <c r="I72" i="16" s="1"/>
  <c r="I70" i="16"/>
  <c r="I57" i="16"/>
  <c r="I54" i="16" s="1"/>
  <c r="I48" i="16"/>
  <c r="I47" i="16"/>
  <c r="I46" i="16"/>
  <c r="I42" i="16"/>
  <c r="I41" i="16"/>
  <c r="I38" i="16"/>
  <c r="I37" i="16"/>
  <c r="I24" i="16"/>
  <c r="I23" i="16"/>
  <c r="I20" i="16"/>
  <c r="I18" i="16" s="1"/>
  <c r="I19" i="16"/>
  <c r="I11" i="16"/>
  <c r="I10" i="16" s="1"/>
  <c r="I17" i="7" l="1"/>
  <c r="X10" i="17"/>
  <c r="AD28" i="17"/>
  <c r="X22" i="17"/>
  <c r="I9" i="16"/>
  <c r="I36" i="16"/>
  <c r="AC8" i="17"/>
  <c r="Y9" i="17"/>
  <c r="Y8" i="17" s="1"/>
  <c r="X13" i="17"/>
  <c r="X14" i="17"/>
  <c r="X16" i="17"/>
  <c r="J17" i="7"/>
  <c r="J8" i="7" s="1"/>
  <c r="J7" i="7" s="1"/>
  <c r="I8" i="7"/>
  <c r="I7" i="7" s="1"/>
  <c r="H7" i="29"/>
  <c r="AD8" i="17"/>
  <c r="X9" i="17"/>
  <c r="X28" i="17"/>
  <c r="I14" i="6"/>
  <c r="C26" i="17"/>
  <c r="J26" i="17"/>
  <c r="Q26" i="17"/>
  <c r="I8" i="16" l="1"/>
  <c r="I7" i="16" s="1"/>
  <c r="X8" i="17"/>
  <c r="G22" i="29"/>
  <c r="G27" i="29" l="1"/>
  <c r="F18" i="40" l="1"/>
  <c r="F14" i="40"/>
  <c r="F13" i="40"/>
  <c r="F12" i="40"/>
  <c r="F9" i="40"/>
  <c r="F8" i="40"/>
  <c r="T10" i="17" l="1"/>
  <c r="H37" i="16"/>
  <c r="E41" i="29" l="1"/>
  <c r="E36" i="29"/>
  <c r="E31" i="29"/>
  <c r="E20" i="29"/>
  <c r="E17" i="29" s="1"/>
  <c r="E14" i="29"/>
  <c r="E12" i="29" s="1"/>
  <c r="E10" i="29" s="1"/>
  <c r="F67" i="7"/>
  <c r="F66" i="7"/>
  <c r="F54" i="7"/>
  <c r="F52" i="7" s="1"/>
  <c r="E52" i="7"/>
  <c r="F50" i="7"/>
  <c r="F48" i="7" s="1"/>
  <c r="E48" i="7"/>
  <c r="F43" i="7"/>
  <c r="E36" i="7"/>
  <c r="E35" i="7" s="1"/>
  <c r="F35" i="7"/>
  <c r="F24" i="7"/>
  <c r="F23" i="7" s="1"/>
  <c r="E23" i="7"/>
  <c r="F18" i="7"/>
  <c r="F17" i="7" s="1"/>
  <c r="E17" i="7"/>
  <c r="E15" i="7"/>
  <c r="E9" i="7" s="1"/>
  <c r="F9" i="7"/>
  <c r="F32" i="6"/>
  <c r="F26" i="6"/>
  <c r="F20" i="6"/>
  <c r="F18" i="6" s="1"/>
  <c r="F15" i="6"/>
  <c r="F9" i="6"/>
  <c r="J31" i="17"/>
  <c r="J30" i="17"/>
  <c r="J29" i="17"/>
  <c r="P28" i="17"/>
  <c r="O28" i="17"/>
  <c r="N28" i="17"/>
  <c r="M28" i="17"/>
  <c r="L28" i="17"/>
  <c r="K28" i="17"/>
  <c r="J27" i="17"/>
  <c r="J25" i="17"/>
  <c r="J24" i="17"/>
  <c r="J23" i="17"/>
  <c r="P22" i="17"/>
  <c r="O22" i="17"/>
  <c r="N22" i="17"/>
  <c r="M22" i="17"/>
  <c r="L22" i="17"/>
  <c r="K22" i="17"/>
  <c r="J21" i="17"/>
  <c r="J20" i="17"/>
  <c r="P19" i="17"/>
  <c r="O19" i="17"/>
  <c r="N19" i="17"/>
  <c r="M19" i="17"/>
  <c r="L19" i="17"/>
  <c r="K19" i="17"/>
  <c r="J18" i="17"/>
  <c r="J17" i="17"/>
  <c r="P16" i="17"/>
  <c r="O16" i="17"/>
  <c r="N16" i="17"/>
  <c r="M16" i="17"/>
  <c r="L16" i="17"/>
  <c r="K16" i="17"/>
  <c r="K15" i="17"/>
  <c r="J15" i="17" s="1"/>
  <c r="J14" i="17"/>
  <c r="K13" i="17"/>
  <c r="J13" i="17" s="1"/>
  <c r="J12" i="17"/>
  <c r="J11" i="17"/>
  <c r="M10" i="17"/>
  <c r="M9" i="17" s="1"/>
  <c r="L10" i="17"/>
  <c r="L9" i="17" s="1"/>
  <c r="K10" i="17"/>
  <c r="P9" i="17"/>
  <c r="O9" i="17"/>
  <c r="N9" i="17"/>
  <c r="F76" i="16"/>
  <c r="F72" i="16"/>
  <c r="F71" i="16"/>
  <c r="F54" i="16"/>
  <c r="F50" i="16"/>
  <c r="F47" i="16" s="1"/>
  <c r="F36" i="16"/>
  <c r="F24" i="16"/>
  <c r="F18" i="16"/>
  <c r="F10" i="16"/>
  <c r="N8" i="17" l="1"/>
  <c r="P8" i="17"/>
  <c r="O8" i="17"/>
  <c r="J19" i="17"/>
  <c r="J22" i="17"/>
  <c r="J10" i="17"/>
  <c r="J9" i="17" s="1"/>
  <c r="L8" i="17"/>
  <c r="E8" i="7"/>
  <c r="E7" i="7" s="1"/>
  <c r="F14" i="6"/>
  <c r="E27" i="29"/>
  <c r="E23" i="29" s="1"/>
  <c r="E8" i="29" s="1"/>
  <c r="E7" i="29" s="1"/>
  <c r="F8" i="7"/>
  <c r="F7" i="7" s="1"/>
  <c r="F25" i="6"/>
  <c r="F9" i="16"/>
  <c r="F8" i="16" s="1"/>
  <c r="F7" i="16" s="1"/>
  <c r="K9" i="17"/>
  <c r="K8" i="17" s="1"/>
  <c r="M8" i="17"/>
  <c r="J16" i="17"/>
  <c r="J28" i="17"/>
  <c r="J8" i="17" l="1"/>
  <c r="G27" i="6" l="1"/>
  <c r="G17" i="6"/>
  <c r="D76" i="16"/>
  <c r="D71" i="16"/>
  <c r="D54" i="16"/>
  <c r="D36" i="16"/>
  <c r="D24" i="16"/>
  <c r="D18" i="16"/>
  <c r="D10" i="16"/>
  <c r="G74" i="16"/>
  <c r="G70" i="16"/>
  <c r="G57" i="16"/>
  <c r="G48" i="16"/>
  <c r="G47" i="16"/>
  <c r="G46" i="16"/>
  <c r="G42" i="16"/>
  <c r="G41" i="16"/>
  <c r="G38" i="16"/>
  <c r="G37" i="16"/>
  <c r="G24" i="16"/>
  <c r="G23" i="16"/>
  <c r="G20" i="16"/>
  <c r="G19" i="16"/>
  <c r="G11" i="16"/>
  <c r="G54" i="16" l="1"/>
  <c r="G72" i="16"/>
  <c r="D9" i="16"/>
  <c r="D8" i="16" s="1"/>
  <c r="D7" i="16" s="1"/>
  <c r="G36" i="16"/>
  <c r="G10" i="16"/>
  <c r="G18" i="16"/>
  <c r="F41" i="29"/>
  <c r="F40" i="29"/>
  <c r="F31" i="29"/>
  <c r="F27" i="29" s="1"/>
  <c r="F23" i="29" s="1"/>
  <c r="F17" i="29"/>
  <c r="F14" i="29"/>
  <c r="G10" i="6"/>
  <c r="G9" i="6" s="1"/>
  <c r="G32" i="6"/>
  <c r="G26" i="6"/>
  <c r="G18" i="6"/>
  <c r="G15" i="6"/>
  <c r="D27" i="6"/>
  <c r="D32" i="6"/>
  <c r="D18" i="6"/>
  <c r="D15" i="6"/>
  <c r="D9" i="6"/>
  <c r="F12" i="29" l="1"/>
  <c r="F10" i="29" s="1"/>
  <c r="F8" i="29" s="1"/>
  <c r="F7" i="29" s="1"/>
  <c r="D14" i="6"/>
  <c r="D26" i="6"/>
  <c r="D25" i="6" s="1"/>
  <c r="G25" i="6"/>
  <c r="G14" i="6"/>
  <c r="G9" i="16"/>
  <c r="G8" i="16" l="1"/>
  <c r="G7" i="16" l="1"/>
  <c r="AD19" i="40" l="1"/>
  <c r="AB19" i="40"/>
  <c r="AA19" i="40"/>
  <c r="Z19" i="40"/>
  <c r="Y19" i="40"/>
  <c r="X19" i="40"/>
  <c r="R19" i="40"/>
  <c r="N19" i="40"/>
  <c r="M19" i="40"/>
  <c r="K19" i="40"/>
  <c r="J19" i="40"/>
  <c r="I19" i="40"/>
  <c r="G19" i="40"/>
  <c r="S18" i="40"/>
  <c r="P18" i="40"/>
  <c r="O18" i="40"/>
  <c r="L18" i="40"/>
  <c r="AE17" i="40"/>
  <c r="U17" i="40"/>
  <c r="S17" i="40"/>
  <c r="O17" i="40"/>
  <c r="C17" i="40"/>
  <c r="E17" i="40"/>
  <c r="AE16" i="40"/>
  <c r="V16" i="40"/>
  <c r="U16" i="40"/>
  <c r="S16" i="40"/>
  <c r="O16" i="40"/>
  <c r="C16" i="40"/>
  <c r="AE15" i="40"/>
  <c r="U15" i="40"/>
  <c r="E15" i="40" s="1"/>
  <c r="S15" i="40"/>
  <c r="Q15" i="40"/>
  <c r="Q19" i="40" s="1"/>
  <c r="O15" i="40"/>
  <c r="C15" i="40"/>
  <c r="AE14" i="40"/>
  <c r="U14" i="40"/>
  <c r="S14" i="40"/>
  <c r="O14" i="40"/>
  <c r="C14" i="40"/>
  <c r="E14" i="40"/>
  <c r="AE13" i="40"/>
  <c r="U13" i="40"/>
  <c r="S13" i="40"/>
  <c r="O13" i="40"/>
  <c r="C13" i="40"/>
  <c r="E13" i="40"/>
  <c r="AE12" i="40"/>
  <c r="V12" i="40"/>
  <c r="U12" i="40"/>
  <c r="S12" i="40"/>
  <c r="O12" i="40"/>
  <c r="C12" i="40"/>
  <c r="E12" i="40"/>
  <c r="AE11" i="40"/>
  <c r="W11" i="40"/>
  <c r="U11" i="40"/>
  <c r="S11" i="40"/>
  <c r="O11" i="40"/>
  <c r="L11" i="40"/>
  <c r="AE10" i="40"/>
  <c r="U10" i="40"/>
  <c r="E10" i="40" s="1"/>
  <c r="S10" i="40"/>
  <c r="O10" i="40"/>
  <c r="C10" i="40"/>
  <c r="V9" i="40"/>
  <c r="U9" i="40"/>
  <c r="S9" i="40"/>
  <c r="W8" i="40"/>
  <c r="V8" i="40"/>
  <c r="U8" i="40"/>
  <c r="E8" i="40" s="1"/>
  <c r="S8" i="40"/>
  <c r="P8" i="40"/>
  <c r="O8" i="40"/>
  <c r="L8" i="40"/>
  <c r="H8" i="40"/>
  <c r="H19" i="40" s="1"/>
  <c r="C11" i="40" l="1"/>
  <c r="AE19" i="40"/>
  <c r="D12" i="40"/>
  <c r="W19" i="40"/>
  <c r="C9" i="40"/>
  <c r="O19" i="40"/>
  <c r="D17" i="40"/>
  <c r="S19" i="40"/>
  <c r="C8" i="40"/>
  <c r="E16" i="40"/>
  <c r="D16" i="40"/>
  <c r="C18" i="40"/>
  <c r="D9" i="40"/>
  <c r="E11" i="40"/>
  <c r="D11" i="40"/>
  <c r="D14" i="40"/>
  <c r="E9" i="40"/>
  <c r="V19" i="40"/>
  <c r="L19" i="40"/>
  <c r="D13" i="40"/>
  <c r="D15" i="40"/>
  <c r="P19" i="40"/>
  <c r="D10" i="40"/>
  <c r="U19" i="40"/>
  <c r="E19" i="40" s="1"/>
  <c r="D18" i="40"/>
  <c r="E18" i="40"/>
  <c r="F19" i="40"/>
  <c r="T19" i="40"/>
  <c r="D8" i="40"/>
  <c r="C19" i="40" l="1"/>
  <c r="D19" i="40"/>
  <c r="G22" i="7" l="1"/>
  <c r="H22" i="7" s="1"/>
  <c r="H18" i="7"/>
  <c r="H19" i="7"/>
  <c r="H57" i="16" l="1"/>
  <c r="H70" i="16"/>
  <c r="H74" i="16"/>
  <c r="H72" i="16" s="1"/>
  <c r="H47" i="16"/>
  <c r="H46" i="16"/>
  <c r="H42" i="16"/>
  <c r="H41" i="16"/>
  <c r="H38" i="16"/>
  <c r="H23" i="16"/>
  <c r="H20" i="16"/>
  <c r="H19" i="16"/>
  <c r="H48" i="16"/>
  <c r="H11" i="16"/>
  <c r="W25" i="17"/>
  <c r="W31" i="17"/>
  <c r="W29" i="17"/>
  <c r="W18" i="17"/>
  <c r="W14" i="17"/>
  <c r="T13" i="17"/>
  <c r="T15" i="17"/>
  <c r="R15" i="17"/>
  <c r="R13" i="17"/>
  <c r="R10" i="17"/>
  <c r="E24" i="16"/>
  <c r="H24" i="16"/>
  <c r="C24" i="16"/>
  <c r="H54" i="7" l="1"/>
  <c r="G14" i="29"/>
  <c r="G41" i="29"/>
  <c r="D41" i="29"/>
  <c r="C41" i="29"/>
  <c r="D40" i="29"/>
  <c r="D31" i="29"/>
  <c r="D29" i="29"/>
  <c r="G17" i="29"/>
  <c r="D17" i="29"/>
  <c r="C17" i="29"/>
  <c r="D14" i="29"/>
  <c r="D12" i="29" s="1"/>
  <c r="D10" i="29" s="1"/>
  <c r="C14" i="29"/>
  <c r="H26" i="6"/>
  <c r="G9" i="7"/>
  <c r="G52" i="7"/>
  <c r="C18" i="16"/>
  <c r="C47" i="16"/>
  <c r="Q31" i="17"/>
  <c r="C31" i="17"/>
  <c r="Q30" i="17"/>
  <c r="C30" i="17"/>
  <c r="Q29" i="17"/>
  <c r="C29" i="17"/>
  <c r="W28" i="17"/>
  <c r="V28" i="17"/>
  <c r="U28" i="17"/>
  <c r="T28" i="17"/>
  <c r="S28" i="17"/>
  <c r="R28" i="17"/>
  <c r="I28" i="17"/>
  <c r="H28" i="17"/>
  <c r="G28" i="17"/>
  <c r="F28" i="17"/>
  <c r="E28" i="17"/>
  <c r="D28" i="17"/>
  <c r="Q27" i="17"/>
  <c r="C27" i="17"/>
  <c r="Q25" i="17"/>
  <c r="C25" i="17"/>
  <c r="Q24" i="17"/>
  <c r="C24" i="17"/>
  <c r="Q23" i="17"/>
  <c r="C23" i="17"/>
  <c r="W22" i="17"/>
  <c r="V22" i="17"/>
  <c r="U22" i="17"/>
  <c r="T22" i="17"/>
  <c r="S22" i="17"/>
  <c r="R22" i="17"/>
  <c r="I22" i="17"/>
  <c r="H22" i="17"/>
  <c r="G22" i="17"/>
  <c r="F22" i="17"/>
  <c r="E22" i="17"/>
  <c r="D22" i="17"/>
  <c r="Q21" i="17"/>
  <c r="C21" i="17"/>
  <c r="Q20" i="17"/>
  <c r="C20" i="17"/>
  <c r="W19" i="17"/>
  <c r="V19" i="17"/>
  <c r="U19" i="17"/>
  <c r="T19" i="17"/>
  <c r="S19" i="17"/>
  <c r="R19" i="17"/>
  <c r="I19" i="17"/>
  <c r="H19" i="17"/>
  <c r="G19" i="17"/>
  <c r="F19" i="17"/>
  <c r="E19" i="17"/>
  <c r="D19" i="17"/>
  <c r="Q18" i="17"/>
  <c r="C18" i="17"/>
  <c r="Q17" i="17"/>
  <c r="C17" i="17"/>
  <c r="W16" i="17"/>
  <c r="V16" i="17"/>
  <c r="U16" i="17"/>
  <c r="T16" i="17"/>
  <c r="S16" i="17"/>
  <c r="R16" i="17"/>
  <c r="I16" i="17"/>
  <c r="H16" i="17"/>
  <c r="G16" i="17"/>
  <c r="F16" i="17"/>
  <c r="E16" i="17"/>
  <c r="D16" i="17"/>
  <c r="Q15" i="17"/>
  <c r="F15" i="17"/>
  <c r="D15" i="17"/>
  <c r="Q14" i="17"/>
  <c r="C14" i="17"/>
  <c r="Q13" i="17"/>
  <c r="F13" i="17"/>
  <c r="D13" i="17"/>
  <c r="Q12" i="17"/>
  <c r="F12" i="17"/>
  <c r="D12" i="17"/>
  <c r="Q11" i="17"/>
  <c r="F11" i="17"/>
  <c r="D11" i="17"/>
  <c r="Q10" i="17"/>
  <c r="F10" i="17"/>
  <c r="E10" i="17"/>
  <c r="E9" i="17" s="1"/>
  <c r="D10" i="17"/>
  <c r="W9" i="17"/>
  <c r="V9" i="17"/>
  <c r="U9" i="17"/>
  <c r="T9" i="17"/>
  <c r="S9" i="17"/>
  <c r="R9" i="17"/>
  <c r="I9" i="17"/>
  <c r="H9" i="17"/>
  <c r="G9" i="17"/>
  <c r="E76" i="16"/>
  <c r="C76" i="16"/>
  <c r="C74" i="16"/>
  <c r="E71" i="16"/>
  <c r="H54" i="16"/>
  <c r="E54" i="16"/>
  <c r="C54" i="16"/>
  <c r="H36" i="16"/>
  <c r="E36" i="16"/>
  <c r="C36" i="16"/>
  <c r="H18" i="16"/>
  <c r="E18" i="16"/>
  <c r="H10" i="16"/>
  <c r="E10" i="16"/>
  <c r="C10" i="16"/>
  <c r="J18" i="15"/>
  <c r="K18" i="15" s="1"/>
  <c r="H35" i="7"/>
  <c r="G35" i="7"/>
  <c r="D35" i="7"/>
  <c r="C35" i="7"/>
  <c r="H23" i="7"/>
  <c r="G23" i="7"/>
  <c r="D23" i="7"/>
  <c r="C23" i="7"/>
  <c r="H17" i="7"/>
  <c r="G17" i="7"/>
  <c r="D17" i="7"/>
  <c r="C17" i="7"/>
  <c r="H9" i="7"/>
  <c r="D9" i="7"/>
  <c r="C9" i="7"/>
  <c r="E32" i="6"/>
  <c r="H32" i="6"/>
  <c r="C32" i="6"/>
  <c r="C26" i="6"/>
  <c r="H18" i="6"/>
  <c r="E18" i="6"/>
  <c r="C18" i="6"/>
  <c r="H15" i="6"/>
  <c r="E15" i="6"/>
  <c r="C15" i="6"/>
  <c r="E9" i="6"/>
  <c r="C9" i="6"/>
  <c r="Q32" i="2"/>
  <c r="J32" i="2"/>
  <c r="C32" i="2"/>
  <c r="Q31" i="2"/>
  <c r="J31" i="2"/>
  <c r="C31" i="2"/>
  <c r="Q30" i="2"/>
  <c r="J30" i="2"/>
  <c r="C30" i="2"/>
  <c r="W29" i="2"/>
  <c r="V29" i="2"/>
  <c r="U29" i="2"/>
  <c r="T29" i="2"/>
  <c r="S29" i="2"/>
  <c r="R29" i="2"/>
  <c r="P29" i="2"/>
  <c r="O29" i="2"/>
  <c r="N29" i="2"/>
  <c r="M29" i="2"/>
  <c r="L29" i="2"/>
  <c r="K29" i="2"/>
  <c r="I29" i="2"/>
  <c r="H29" i="2"/>
  <c r="G29" i="2"/>
  <c r="F29" i="2"/>
  <c r="E29" i="2"/>
  <c r="D29" i="2"/>
  <c r="Q28" i="2"/>
  <c r="J28" i="2"/>
  <c r="C28" i="2"/>
  <c r="Q27" i="2"/>
  <c r="J27" i="2"/>
  <c r="C27" i="2"/>
  <c r="Q26" i="2"/>
  <c r="J26" i="2"/>
  <c r="C26" i="2"/>
  <c r="Q25" i="2"/>
  <c r="J25" i="2"/>
  <c r="C25" i="2"/>
  <c r="Q24" i="2"/>
  <c r="J24" i="2"/>
  <c r="C24" i="2"/>
  <c r="W23" i="2"/>
  <c r="V23" i="2"/>
  <c r="U23" i="2"/>
  <c r="T23" i="2"/>
  <c r="S23" i="2"/>
  <c r="R23" i="2"/>
  <c r="P23" i="2"/>
  <c r="O23" i="2"/>
  <c r="N23" i="2"/>
  <c r="M23" i="2"/>
  <c r="L23" i="2"/>
  <c r="K23" i="2"/>
  <c r="I23" i="2"/>
  <c r="H23" i="2"/>
  <c r="G23" i="2"/>
  <c r="F23" i="2"/>
  <c r="E23" i="2"/>
  <c r="D23" i="2"/>
  <c r="Q22" i="2"/>
  <c r="J22" i="2"/>
  <c r="C22" i="2"/>
  <c r="Q21" i="2"/>
  <c r="J21" i="2"/>
  <c r="C21" i="2"/>
  <c r="W20" i="2"/>
  <c r="V20" i="2"/>
  <c r="U20" i="2"/>
  <c r="T20" i="2"/>
  <c r="S20" i="2"/>
  <c r="R20" i="2"/>
  <c r="P20" i="2"/>
  <c r="O20" i="2"/>
  <c r="N20" i="2"/>
  <c r="M20" i="2"/>
  <c r="L20" i="2"/>
  <c r="K20" i="2"/>
  <c r="I20" i="2"/>
  <c r="H20" i="2"/>
  <c r="G20" i="2"/>
  <c r="F20" i="2"/>
  <c r="E20" i="2"/>
  <c r="D20" i="2"/>
  <c r="Q19" i="2"/>
  <c r="J19" i="2"/>
  <c r="C19" i="2"/>
  <c r="Q18" i="2"/>
  <c r="J18" i="2"/>
  <c r="C18" i="2"/>
  <c r="W17" i="2"/>
  <c r="V17" i="2"/>
  <c r="U17" i="2"/>
  <c r="T17" i="2"/>
  <c r="S17" i="2"/>
  <c r="R17" i="2"/>
  <c r="P17" i="2"/>
  <c r="O17" i="2"/>
  <c r="N17" i="2"/>
  <c r="M17" i="2"/>
  <c r="L17" i="2"/>
  <c r="K17" i="2"/>
  <c r="I17" i="2"/>
  <c r="H17" i="2"/>
  <c r="G17" i="2"/>
  <c r="F17" i="2"/>
  <c r="E17" i="2"/>
  <c r="D17" i="2"/>
  <c r="Q16" i="2"/>
  <c r="M16" i="2"/>
  <c r="K16" i="2"/>
  <c r="F16" i="2"/>
  <c r="D16" i="2"/>
  <c r="Q15" i="2"/>
  <c r="J15" i="2"/>
  <c r="C15" i="2"/>
  <c r="Q14" i="2"/>
  <c r="J14" i="2"/>
  <c r="F14" i="2"/>
  <c r="D14" i="2"/>
  <c r="Q13" i="2"/>
  <c r="J13" i="2"/>
  <c r="F13" i="2"/>
  <c r="D13" i="2"/>
  <c r="Q12" i="2"/>
  <c r="J12" i="2"/>
  <c r="F12" i="2"/>
  <c r="D12" i="2"/>
  <c r="Q11" i="2"/>
  <c r="M11" i="2"/>
  <c r="M10" i="2" s="1"/>
  <c r="L11" i="2"/>
  <c r="L10" i="2" s="1"/>
  <c r="K11" i="2"/>
  <c r="F11" i="2"/>
  <c r="E11" i="2"/>
  <c r="E10" i="2" s="1"/>
  <c r="D11" i="2"/>
  <c r="W10" i="2"/>
  <c r="V10" i="2"/>
  <c r="U10" i="2"/>
  <c r="T10" i="2"/>
  <c r="S10" i="2"/>
  <c r="R10" i="2"/>
  <c r="P10" i="2"/>
  <c r="O10" i="2"/>
  <c r="N10" i="2"/>
  <c r="I10" i="2"/>
  <c r="H10" i="2"/>
  <c r="G10" i="2"/>
  <c r="F77" i="1"/>
  <c r="E77" i="1"/>
  <c r="D77" i="1"/>
  <c r="C77" i="1"/>
  <c r="C75" i="1"/>
  <c r="E72" i="1"/>
  <c r="D72" i="1"/>
  <c r="C62" i="1"/>
  <c r="F55" i="1"/>
  <c r="E55" i="1"/>
  <c r="D55" i="1"/>
  <c r="C55" i="1"/>
  <c r="F49" i="1"/>
  <c r="F38" i="1"/>
  <c r="E38" i="1"/>
  <c r="D38" i="1"/>
  <c r="C38" i="1"/>
  <c r="F20" i="1"/>
  <c r="E20" i="1"/>
  <c r="D20" i="1"/>
  <c r="C20" i="1"/>
  <c r="F12" i="1"/>
  <c r="E12" i="1"/>
  <c r="D12" i="1"/>
  <c r="D11" i="1" s="1"/>
  <c r="C12" i="1"/>
  <c r="C11" i="1" s="1"/>
  <c r="E26" i="6"/>
  <c r="Q10" i="2" l="1"/>
  <c r="S9" i="2"/>
  <c r="D10" i="2"/>
  <c r="Q17" i="2"/>
  <c r="E8" i="17"/>
  <c r="Q9" i="17"/>
  <c r="G9" i="2"/>
  <c r="W9" i="2"/>
  <c r="E11" i="1"/>
  <c r="F11" i="1"/>
  <c r="F10" i="1" s="1"/>
  <c r="F9" i="1" s="1"/>
  <c r="J11" i="2"/>
  <c r="D10" i="1"/>
  <c r="D9" i="1" s="1"/>
  <c r="L9" i="2"/>
  <c r="C12" i="2"/>
  <c r="C13" i="2"/>
  <c r="C14" i="2"/>
  <c r="C11" i="17"/>
  <c r="M9" i="2"/>
  <c r="C17" i="2"/>
  <c r="J17" i="2"/>
  <c r="F10" i="2"/>
  <c r="F9" i="2" s="1"/>
  <c r="C16" i="2"/>
  <c r="U9" i="2"/>
  <c r="C12" i="17"/>
  <c r="Q16" i="17"/>
  <c r="Q22" i="17"/>
  <c r="C15" i="17"/>
  <c r="C28" i="17"/>
  <c r="K10" i="2"/>
  <c r="J20" i="2"/>
  <c r="P9" i="2"/>
  <c r="J29" i="2"/>
  <c r="H8" i="17"/>
  <c r="F9" i="17"/>
  <c r="F8" i="17" s="1"/>
  <c r="C16" i="17"/>
  <c r="C10" i="1"/>
  <c r="C9" i="1" s="1"/>
  <c r="I9" i="2"/>
  <c r="J23" i="2"/>
  <c r="V9" i="2"/>
  <c r="C11" i="2"/>
  <c r="C10" i="2" s="1"/>
  <c r="O9" i="2"/>
  <c r="T9" i="2"/>
  <c r="C20" i="2"/>
  <c r="K9" i="2"/>
  <c r="C29" i="2"/>
  <c r="C19" i="17"/>
  <c r="D9" i="2"/>
  <c r="E10" i="1"/>
  <c r="E9" i="1" s="1"/>
  <c r="J16" i="2"/>
  <c r="J10" i="2" s="1"/>
  <c r="N9" i="2"/>
  <c r="H9" i="2"/>
  <c r="R9" i="2"/>
  <c r="C23" i="2"/>
  <c r="C13" i="17"/>
  <c r="S8" i="17"/>
  <c r="I8" i="17"/>
  <c r="H52" i="7"/>
  <c r="K54" i="7"/>
  <c r="T8" i="17"/>
  <c r="G12" i="29"/>
  <c r="G10" i="29" s="1"/>
  <c r="H8" i="7"/>
  <c r="H7" i="7" s="1"/>
  <c r="C25" i="6"/>
  <c r="C14" i="6"/>
  <c r="E25" i="6"/>
  <c r="C9" i="16"/>
  <c r="C8" i="16" s="1"/>
  <c r="C7" i="16" s="1"/>
  <c r="E9" i="2"/>
  <c r="H14" i="6"/>
  <c r="C8" i="7"/>
  <c r="C7" i="7" s="1"/>
  <c r="C22" i="17"/>
  <c r="Q28" i="17"/>
  <c r="C10" i="17"/>
  <c r="Q20" i="2"/>
  <c r="Q23" i="2"/>
  <c r="Q29" i="2"/>
  <c r="E14" i="6"/>
  <c r="D9" i="17"/>
  <c r="D8" i="17" s="1"/>
  <c r="V8" i="17"/>
  <c r="D8" i="7"/>
  <c r="D7" i="7" s="1"/>
  <c r="E9" i="16"/>
  <c r="E8" i="16" s="1"/>
  <c r="E7" i="16" s="1"/>
  <c r="G8" i="17"/>
  <c r="R8" i="17"/>
  <c r="U8" i="17"/>
  <c r="Q19" i="17"/>
  <c r="C12" i="29"/>
  <c r="G23" i="29"/>
  <c r="D27" i="29"/>
  <c r="D23" i="29" s="1"/>
  <c r="D8" i="29" s="1"/>
  <c r="D7" i="29" s="1"/>
  <c r="H25" i="6"/>
  <c r="G8" i="7"/>
  <c r="G7" i="7" s="1"/>
  <c r="H9" i="16"/>
  <c r="W8" i="17"/>
  <c r="J20" i="15"/>
  <c r="C9" i="2" l="1"/>
  <c r="Q8" i="17"/>
  <c r="J9" i="2"/>
  <c r="K53" i="7"/>
  <c r="C9" i="17"/>
  <c r="C8" i="17" s="1"/>
  <c r="Q9" i="2"/>
  <c r="G8" i="29"/>
  <c r="G7" i="29" s="1"/>
  <c r="C10" i="29"/>
  <c r="H8" i="16"/>
  <c r="C8" i="29" l="1"/>
  <c r="H7" i="16"/>
  <c r="H9" i="6" l="1"/>
  <c r="C7" i="29"/>
</calcChain>
</file>

<file path=xl/sharedStrings.xml><?xml version="1.0" encoding="utf-8"?>
<sst xmlns="http://schemas.openxmlformats.org/spreadsheetml/2006/main" count="2184" uniqueCount="1037">
  <si>
    <t>UBND HUYỆN SA THẦY</t>
  </si>
  <si>
    <t>Mẫu biểu số 01/TT342</t>
  </si>
  <si>
    <t>TỔNG HỢP DỰ TOÁN THU NGÂN SÁCH NHÀ NƯỚC NĂM 2022</t>
  </si>
  <si>
    <t>Đơn vị: Triệu đồng</t>
  </si>
  <si>
    <t>STT</t>
  </si>
  <si>
    <t>Nội dung</t>
  </si>
  <si>
    <t>Thực hiện năm 2020</t>
  </si>
  <si>
    <t>Năm 2021</t>
  </si>
  <si>
    <t>Dự toán năm 2022</t>
  </si>
  <si>
    <t>Dự toán</t>
  </si>
  <si>
    <t>Ước thực hiện</t>
  </si>
  <si>
    <t>A</t>
  </si>
  <si>
    <t>B</t>
  </si>
  <si>
    <t>TỔNG THU NSNN</t>
  </si>
  <si>
    <t>I</t>
  </si>
  <si>
    <t>Thu nội địa</t>
  </si>
  <si>
    <t>Thu từ khu vực doanh nghiệp nhà nước</t>
  </si>
  <si>
    <t>1.1</t>
  </si>
  <si>
    <t>Thu từ khu vực doanh nghiệp nhà nước do Trung ương quản lý</t>
  </si>
  <si>
    <t>- Thuế giá trị gia tăng</t>
  </si>
  <si>
    <t>Trong đó: Thu từ hoạt động thăm dò, khai thác dầu, khí</t>
  </si>
  <si>
    <t>- Thuế thu nhập doanh nghiệp</t>
  </si>
  <si>
    <t>- Thuế tiêu thụ đặc biệt hàng hóa, dịch vụ trong nước</t>
  </si>
  <si>
    <t>Trong đó: Thu từ hàng hóa nhập khẩu do cơ sở kinh doanh nhập khẩu tiếp tục bán ra trong nước</t>
  </si>
  <si>
    <t>- Thuế tài nguyên</t>
  </si>
  <si>
    <t>Trong đó: Thuế tài nguyên dầu, khí</t>
  </si>
  <si>
    <t>1.2.</t>
  </si>
  <si>
    <t>Thu từ khu vực doanh nghiệp Nhà nước do địa phương quản lý</t>
  </si>
  <si>
    <t>Thu từ khu vực doanh nghiệp có vốn đầu từ nước ngoài</t>
  </si>
  <si>
    <t>Trong đó: Thu từ hoạt động thăm dò và khai thác dầu, khí</t>
  </si>
  <si>
    <t>- Thu từ khí thiên nhiên</t>
  </si>
  <si>
    <t>- Thuế tiêu thụ đặc biệt</t>
  </si>
  <si>
    <t>- Tiền thuê mặt đất, mặt nước, mặt biển</t>
  </si>
  <si>
    <t>Thu từ khu vực kinh tế ngoài quốc doanh</t>
  </si>
  <si>
    <t>Thuế thu nhập cá nhân</t>
  </si>
  <si>
    <t>Thuế bảo vệ môi trường</t>
  </si>
  <si>
    <t>Trong đó: - Thu từ hàng hóa nhập khẩu</t>
  </si>
  <si>
    <t>- Thu từ hàng hóa sản xuất trong nước</t>
  </si>
  <si>
    <t>Lệ phí trước bạ</t>
  </si>
  <si>
    <t>Các loại phí, lệ phí</t>
  </si>
  <si>
    <t>Phí, lệ phí Trung ương</t>
  </si>
  <si>
    <t xml:space="preserve">Phí, lệ phí tỉnh </t>
  </si>
  <si>
    <t>Phí, lệ phí huyện</t>
  </si>
  <si>
    <t>Phí, lệ phí xã</t>
  </si>
  <si>
    <t>Trong đó: - Phí bảo vệ môi trường đối với khai thác khoáng sản</t>
  </si>
  <si>
    <t>Các khoản thu về tài sản, nhà, mặt đất, mặt nước, mặt biển</t>
  </si>
  <si>
    <t>- Thuế sử dụng đất nông nghiệp</t>
  </si>
  <si>
    <t>- Thuế sử dụng đất phi nông nghiệp</t>
  </si>
  <si>
    <t>- Thu tiền cho thuê đất, thuê mặt nước</t>
  </si>
  <si>
    <t>- Thu tiền sử dụng đất</t>
  </si>
  <si>
    <t>- Thu tiền sử dụng khu vực biển</t>
  </si>
  <si>
    <t>Trong đó: + Thuộc thẩm quyền giao của trung ương</t>
  </si>
  <si>
    <t xml:space="preserve">                + Thuộc thẩm quyền giao của địa phương</t>
  </si>
  <si>
    <t>- Thu từ bán tài sản nhà nước, kể cả thu từ chuyển nhượng quyền sử dụng đất, chuyển mục đích sử dụng đất</t>
  </si>
  <si>
    <t>Trong đó: + Thu do cơ quan, đơn vị, tổ chức thuộc Trung ương quản lý</t>
  </si>
  <si>
    <t>+ Tiền do cơ quan, đơn vị, tổ chức thuộc địa phương quản lý</t>
  </si>
  <si>
    <t>- Thu từ tài sản được xác lập quyền sở hữu của nhà nước sau khi bù đi các chi phí theo quy định</t>
  </si>
  <si>
    <t>Trong đó: + Thu do các cơ quan, đơn vị, tổ chức thuộc trung ương xử lý</t>
  </si>
  <si>
    <t>+ Thu do cơ quan, đơn vị, tổ chức thuộc địa phương xử lý</t>
  </si>
  <si>
    <t>- Thu từ tiền cho thuê và tiền bán nhà ở thuộc sở hữu nhà nước</t>
  </si>
  <si>
    <t>Thu từ hoạt động xổ số kiến thiết</t>
  </si>
  <si>
    <t>Thu khác ngân sách</t>
  </si>
  <si>
    <t>Trong đó: - Thu khác ngân sách trung ương</t>
  </si>
  <si>
    <t>Thu tiền cấp quyền khai thác khoáng sản</t>
  </si>
  <si>
    <t>Trong đó: - Thu từ các mỏ do Trung ương cấp</t>
  </si>
  <si>
    <t>- Thu từ các mỏ do địa phương cấp</t>
  </si>
  <si>
    <t>Thu từ quỹ đất công ích và thu hoa lợi công sản khác</t>
  </si>
  <si>
    <t>Thu cổ tức, lợi nhuận được chia và lợi nhuận sau thuế</t>
  </si>
  <si>
    <t>- Thu từ doanh nghiệp do Trung ương quản lý</t>
  </si>
  <si>
    <t>- Thu từ doanh nghiệp do địa phương quản lý</t>
  </si>
  <si>
    <t>II</t>
  </si>
  <si>
    <t>Thu từ dầu thô</t>
  </si>
  <si>
    <t>.... ngày.... tháng... năm....</t>
  </si>
  <si>
    <t>Thủ trưởng đơn vị</t>
  </si>
  <si>
    <t>(Ký tên, đóng dấu)</t>
  </si>
  <si>
    <t>Mẫu biểu số 02/TT342</t>
  </si>
  <si>
    <t>TỔNG HỢP DỰ TOÁN THU NGÂN SÁCH NHÀ NƯỚC THEO SẮC THUẾ NĂM 2022</t>
  </si>
  <si>
    <t>Dự toán năm 2021</t>
  </si>
  <si>
    <t>Ước thực hiện năm 2021</t>
  </si>
  <si>
    <t>Tổng số</t>
  </si>
  <si>
    <t>Bao gồm</t>
  </si>
  <si>
    <t>Tổng Số</t>
  </si>
  <si>
    <t>Khu vực DNNN</t>
  </si>
  <si>
    <t>khu vực DN có vốn ĐTNN</t>
  </si>
  <si>
    <t>Khu vực kinh tế NQD</t>
  </si>
  <si>
    <t>Thu từ hoạt động XSKT</t>
  </si>
  <si>
    <t>Các khoản thu khác</t>
  </si>
  <si>
    <t>Các khoản thu từ thuế</t>
  </si>
  <si>
    <t>Thuế GTGT thu từ hàng hóa sản xuất kinh doanh trong nước</t>
  </si>
  <si>
    <t>Thuế TTĐB thu từ hàng hóa sản xuất trong nước</t>
  </si>
  <si>
    <t>Thuế BVMT thu từ hàng hóa sản xuất kinh doanh trong nước</t>
  </si>
  <si>
    <t>Thuế thu nhập doanh nghiệp</t>
  </si>
  <si>
    <t>Thuế tài nguyên</t>
  </si>
  <si>
    <t>Các khoản phí, lệ phí</t>
  </si>
  <si>
    <t>III</t>
  </si>
  <si>
    <t>Thu cổ tức, lợi nhuận được chia, lợi nhuận sau thuế, chênh lệch thu, chi của NHNN</t>
  </si>
  <si>
    <t>Thu cổ tức, lợi nhuận được chia, lợi nhuận sau thuế</t>
  </si>
  <si>
    <t>Thu chênh lệch thu, chi của NHNN</t>
  </si>
  <si>
    <t>IV</t>
  </si>
  <si>
    <t>Các khoản thu về nhà đất</t>
  </si>
  <si>
    <t>Thuế sử dụng đất phi nông nghiệp</t>
  </si>
  <si>
    <t>Thuế sử dụng đất nông nghiệp</t>
  </si>
  <si>
    <t>Thu tiền cho thuê đất, mặt nước, mặt biển</t>
  </si>
  <si>
    <t>Thu tiền sử dụng đất</t>
  </si>
  <si>
    <t>Thu tiền cho thuê và tiền bán nhà ở thuộc sở hữu nhà nước</t>
  </si>
  <si>
    <t>V</t>
  </si>
  <si>
    <t>Thu khác</t>
  </si>
  <si>
    <t>Thu cấp quyền khai thác khoáng sản</t>
  </si>
  <si>
    <t>Thu bán tài sản nhà nước</t>
  </si>
  <si>
    <t>Các khoản thu khác còn lại</t>
  </si>
  <si>
    <t>...., ngày ... tháng ... năm ....</t>
  </si>
  <si>
    <t>+</t>
  </si>
  <si>
    <t>Tổng cộng</t>
  </si>
  <si>
    <t>Mẫu biểu số 29.1/TT342</t>
  </si>
  <si>
    <t>CÂN ĐỐI NGÂN SÁCH ĐỊA PHƯƠNG NĂM 2022</t>
  </si>
  <si>
    <t xml:space="preserve">TỔNG THU NSNN TRÊN ĐỊA BÀN </t>
  </si>
  <si>
    <t>Thu từ hoạt động xuất khẩu, nhập khẩu</t>
  </si>
  <si>
    <t>Thu viện trợ không hoàn lại</t>
  </si>
  <si>
    <t xml:space="preserve">TỔNG THU NGÂN SÁCH ĐỊA PHƯƠNG </t>
  </si>
  <si>
    <t xml:space="preserve">Thu NSĐP được hưởng theo phân cấp </t>
  </si>
  <si>
    <t>Các khoản thu NSĐP hưởng 100%</t>
  </si>
  <si>
    <t>Các khoản thu phân chia NSĐP theo tỷ lệ %</t>
  </si>
  <si>
    <t>Thu bổ sung từ ngân sách cấp trên</t>
  </si>
  <si>
    <t>Thu bổ sung cân đối ngân sách</t>
  </si>
  <si>
    <t>Thu bổ sung có mục tiêu</t>
  </si>
  <si>
    <t>Thu từ quỹ dự trữ tài chính</t>
  </si>
  <si>
    <t>Thu kết dư</t>
  </si>
  <si>
    <t>Thu chuyển nguồn từ năm trước chuyển sang</t>
  </si>
  <si>
    <t>VI</t>
  </si>
  <si>
    <t>Thu cấp dưới nộp lên</t>
  </si>
  <si>
    <t>C</t>
  </si>
  <si>
    <t>TỔNG CHI NGÂN SÁCH ĐỊA PHƯƠNG</t>
  </si>
  <si>
    <t>Tổng chi cân đối ngân sách địa phương</t>
  </si>
  <si>
    <t>Chi đầu tư phát triển (1)</t>
  </si>
  <si>
    <t>Chi thường xuyên</t>
  </si>
  <si>
    <t>Chi bổ sung quỹ dự trữ tài chính</t>
  </si>
  <si>
    <t>Dự phòng ngân sách</t>
  </si>
  <si>
    <t>Chi tạo nguồn thực hiện CCTL</t>
  </si>
  <si>
    <t xml:space="preserve">Chi từ nguồn bổ sung có mục tiêu </t>
  </si>
  <si>
    <t>Chi thực hiện các chương trình mục tiêu, nhiệm vụ</t>
  </si>
  <si>
    <t>Chi thực hiện các chế độ, chính sách</t>
  </si>
  <si>
    <t>Chi thực hiện các chương trình mục tiêu quốc gia</t>
  </si>
  <si>
    <t>Chi chuyển nguồn sang năm sau</t>
  </si>
  <si>
    <t>Chi nộp ngân sách cấp trên</t>
  </si>
  <si>
    <t>Mẫu biểu số 31/TT342</t>
  </si>
  <si>
    <t>BIỂU TỔNG HỢP DỰ TOÁN THU NSNN NĂM 2022</t>
  </si>
  <si>
    <t>Thu trên địa bàn</t>
  </si>
  <si>
    <t>Trong đó: Thu do UBND huyện, thành phố trực tiếp tổ chức thực hiện (1)</t>
  </si>
  <si>
    <t>Dự toán thu trên địa bàn</t>
  </si>
  <si>
    <t xml:space="preserve">TỔNG THU NSNN TRÊN ĐỊA BÀN (I+II+III) </t>
  </si>
  <si>
    <t>THU NỘI ĐỊA</t>
  </si>
  <si>
    <t xml:space="preserve">- Thuế giá trị gia tăng </t>
  </si>
  <si>
    <t xml:space="preserve">Trong đó: Thu từ hoạt động thăm dò, khai thác dầu, khí </t>
  </si>
  <si>
    <t xml:space="preserve">- Thuế thu nhập doanh nghiệp </t>
  </si>
  <si>
    <t xml:space="preserve">Trong đó: Thu từ cơ sở kinh doanh nhập khẩu tiếp tục bán ra trong nước </t>
  </si>
  <si>
    <t xml:space="preserve">Trong đó: Thuế tài nguyên dầu, khí </t>
  </si>
  <si>
    <t>Thu từ khu vực doanh nghiệp nhà nước do địa phương quản lý</t>
  </si>
  <si>
    <t xml:space="preserve">- Thuế tiêu thụ đặc biệt </t>
  </si>
  <si>
    <t>Trong đó: Thu từ cơ sở kinh doanh nhập khẩu tiếp tục bán ra trong nước</t>
  </si>
  <si>
    <t xml:space="preserve">Thu từ khu vực doanh nghiệp có vốn đầu tư nước ngoài </t>
  </si>
  <si>
    <t xml:space="preserve">Trong đó: Thu từ hoạt động thăm dò và khai thác dầu, khí </t>
  </si>
  <si>
    <t xml:space="preserve">- Thu từ khí thiên nhiên </t>
  </si>
  <si>
    <t>Trong đó: - Thu từ cơ sở kinh doanh nhập khẩu tiếp tục bán ra trong nước</t>
  </si>
  <si>
    <t>- Tiền thuê mặt đất, mặt nước</t>
  </si>
  <si>
    <t>Phí, lệ phí</t>
  </si>
  <si>
    <t>Bao gồm: - Phí, lệ phí do cơ quan nhà nước trung ương thu</t>
  </si>
  <si>
    <t>- Phí, lệ phí do cơ quan nhà nước địa phương thu</t>
  </si>
  <si>
    <t>Trong đó: phí bảo vệ môi trường đối với khai thác khoáng sản</t>
  </si>
  <si>
    <t>Tiền sử dụng đất</t>
  </si>
  <si>
    <t>Trong đó: - Thu do cơ quan, tổ chức, đơn vị thuộc Trung ương quản lý</t>
  </si>
  <si>
    <t>- Thu do cơ quan, tổ chức, đơn vị thuộc địa phương quản lý</t>
  </si>
  <si>
    <t>12</t>
  </si>
  <si>
    <t>Thu tiền thuê đất, mặt nước</t>
  </si>
  <si>
    <t>Thu tiền sử dụng khu vực biển</t>
  </si>
  <si>
    <t>Trong đó: - Thuộc thẩm quyền giao của trung ương</t>
  </si>
  <si>
    <t>- Thuộc thẩm quyền giao của địa phương</t>
  </si>
  <si>
    <t>Thu từ bán tài sản nhà nước</t>
  </si>
  <si>
    <t>Trong đó: - Do trung ương quản lý</t>
  </si>
  <si>
    <t xml:space="preserve">                - Do địa phương quản lý</t>
  </si>
  <si>
    <t>Thu từ tài sản được xác lập quyền sở hữu của nhà nước</t>
  </si>
  <si>
    <t>Trong đó: - Do trung ương xử lý</t>
  </si>
  <si>
    <t xml:space="preserve">                - Do địa phương xử lý</t>
  </si>
  <si>
    <t>Thu tiền cho thuê và bán nhà ở thuộc sở hữu nhà nước</t>
  </si>
  <si>
    <t>Trong đó: - Giấy phép do Trung ương cấp</t>
  </si>
  <si>
    <t>- Giấy phép do Ủy ban nhân dân cấp tỉnh cấp</t>
  </si>
  <si>
    <t>Thu cổ tức và lợi nhuận sau thuế (địa phương hưởng 100%)</t>
  </si>
  <si>
    <t>Thu từ hoạt động xổ số kiến thiết (kể cả hoạt động xổ số điện toán)</t>
  </si>
  <si>
    <t>THU TỪ DẦU THÔ</t>
  </si>
  <si>
    <t>THU TỪ HOẠT ĐỘNG XUẤT, NHẬP KHẨU</t>
  </si>
  <si>
    <t>Thuế xuất khẩu</t>
  </si>
  <si>
    <t>Thuế nhập khẩu</t>
  </si>
  <si>
    <t>Thuế tiêu thụ đặc biệt</t>
  </si>
  <si>
    <t>Thuế giá trị gia tăng</t>
  </si>
  <si>
    <t>Mẫu biểu số 32/TT342</t>
  </si>
  <si>
    <t>TỔNG CHI NGÂN SÁCH ĐỊA PHƯƠNG QUẢN LÝ (I+II)</t>
  </si>
  <si>
    <t>CHI CÂN ĐỐI NGÂN SÁCH ĐỊA PHƯƠNG</t>
  </si>
  <si>
    <t>Trong đó: Chi cân đối ngân sách địa phương tính tỷ lệ điều tiết, số bổ sung cân đối từ ngân sách trung ương cho ngân sách địa phương (1)</t>
  </si>
  <si>
    <t>Chi đầu tư phát triển</t>
  </si>
  <si>
    <t>Chi đầu tư và hỗ trợ vốn cho các doanh nghiệp cung cấp sản phẩm, dịch vụ công ích do Nhà nước đặt hàng, các tổ chức kinh tế, các tổ chức tài chính của địa phương theo quy định của pháp luật</t>
  </si>
  <si>
    <t>1.2</t>
  </si>
  <si>
    <t>Chi đầu tư phát triển còn lại (1-1.1)</t>
  </si>
  <si>
    <t>Trong đó:</t>
  </si>
  <si>
    <t>1.2.1</t>
  </si>
  <si>
    <t>Chi đầu tư phát triển của các dự án phân theo nguồn vốn</t>
  </si>
  <si>
    <t>a</t>
  </si>
  <si>
    <t>Chi đầu tư XDCB vốn trong nước</t>
  </si>
  <si>
    <t>b</t>
  </si>
  <si>
    <t>Chi đầu tư từ nguồn thu tiền sử dụng đất</t>
  </si>
  <si>
    <t>c</t>
  </si>
  <si>
    <t>d</t>
  </si>
  <si>
    <t>1.2.2</t>
  </si>
  <si>
    <t>Chi đầu tư phát triển phân theo lĩnh vực</t>
  </si>
  <si>
    <t>Chi giáo dục - đào tạo và dạy nghề</t>
  </si>
  <si>
    <t>Chi khoa học và công nghệ</t>
  </si>
  <si>
    <t>Chi quốc phòng</t>
  </si>
  <si>
    <t>Chi an ninh</t>
  </si>
  <si>
    <t>e</t>
  </si>
  <si>
    <t>g</t>
  </si>
  <si>
    <t>h</t>
  </si>
  <si>
    <t>i</t>
  </si>
  <si>
    <t>k</t>
  </si>
  <si>
    <t>Chi hoạt động kinh tế</t>
  </si>
  <si>
    <t>l</t>
  </si>
  <si>
    <t>Chi hoạt động quản lý nhà nước, Đảng, đoàn thể</t>
  </si>
  <si>
    <t>m</t>
  </si>
  <si>
    <t>Chi bảo đảm xã hội</t>
  </si>
  <si>
    <t>n</t>
  </si>
  <si>
    <t>Chi khác</t>
  </si>
  <si>
    <t>Chi sự nghiệp y tế, dân số và gia đình</t>
  </si>
  <si>
    <t>Chi sự nghiệp văn hóa thông tin</t>
  </si>
  <si>
    <t>Chi sự nghiệp phát thanh, truyền hình</t>
  </si>
  <si>
    <t>Chi sự nghiệp thể dục thể thao</t>
  </si>
  <si>
    <t>Chi sự nghiệp bảo vệ môi trường</t>
  </si>
  <si>
    <t>Chi tạo nguồn cải cách tiền lương</t>
  </si>
  <si>
    <t>Chi đầu tư thực hiện các chương trình mục tiêu, nhiệm vụ khác</t>
  </si>
  <si>
    <t>Chi từ nguồn hỗ trợ thực hiện các chế độ, chính sách theo quy định</t>
  </si>
  <si>
    <t>CHI CHUYỂN NGUỒN SANG NĂM SAU CỦA NGÂN SÁCH ĐỊA PHƯƠNG</t>
  </si>
  <si>
    <t>NỘI DUNG</t>
  </si>
  <si>
    <t>Mã nhiệm vụ chi</t>
  </si>
  <si>
    <t xml:space="preserve">
Chi cân đối</t>
  </si>
  <si>
    <t>Chi bổ 
sung có mục tiêu</t>
  </si>
  <si>
    <t>Ghi chú</t>
  </si>
  <si>
    <t>Tổng chi hoạt 
động bộ máy</t>
  </si>
  <si>
    <t>Chi hoạt 
động sự nghiệp</t>
  </si>
  <si>
    <t>Dự toán 
chi đầu tư xây dựng</t>
  </si>
  <si>
    <t>Trong đó;</t>
  </si>
  <si>
    <t>Dự toán 
chi thường xuyên</t>
  </si>
  <si>
    <t>Tiền lương
 1,21 trđ</t>
  </si>
  <si>
    <t>Bổ sung thực hiện Cải cách tiền lương</t>
  </si>
  <si>
    <t>Chi hoạt động thường xuyên theo định mức</t>
  </si>
  <si>
    <t>Chi nhiệm
 vụ đặc thù, đột xuất</t>
  </si>
  <si>
    <t>TỔNG CHI CÂN ĐỐI</t>
  </si>
  <si>
    <t>CHI ĐẦU TƯ PHÁT TRIỂN</t>
  </si>
  <si>
    <t>Chi đầu tư XDCB tập trung phân cấp NS huyện</t>
  </si>
  <si>
    <t>Chi từ nguồn thu sử dụng đất</t>
  </si>
  <si>
    <t>-</t>
  </si>
  <si>
    <t>Đầu tư cơ sở hạ tầng</t>
  </si>
  <si>
    <t xml:space="preserve"> 10% Thu tiền sử dụng đất để thực hiện công tác quy hoạch, đo đạc, đăng ký QLĐĐ, cấp giấy chứng nhận</t>
  </si>
  <si>
    <t>Chi nguồn thu xổ số Kiến thiết: Ưu tiên Công trình Gíáo dục-ĐT thực hiện CTMTQG xây dựng NTM)</t>
  </si>
  <si>
    <t>Ban quản lý dự án ĐTXD</t>
  </si>
  <si>
    <t>Hỗ trợ đầu tư xây dựng NTM</t>
  </si>
  <si>
    <t>Phòng Lao động TBXH</t>
  </si>
  <si>
    <t xml:space="preserve"> CHI THƯỜNG XUYÊN</t>
  </si>
  <si>
    <t>Chi sự nghiệp Giáo dục- Đào tạo</t>
  </si>
  <si>
    <t xml:space="preserve"> Chi sự nghiệp giáo dục</t>
  </si>
  <si>
    <t>Phòng Giáo dục và Đào tạo</t>
  </si>
  <si>
    <t>a.1</t>
  </si>
  <si>
    <t xml:space="preserve"> Chi cân đối: </t>
  </si>
  <si>
    <t>Chi tiền lương, các khoản có tính chất như lương và hoạt động thường xuyên chuyên môn ngành</t>
  </si>
  <si>
    <t xml:space="preserve"> Học sinh bán trú và PTDT bán trú theo NĐ 116/2016/CP</t>
  </si>
  <si>
    <t>a.2</t>
  </si>
  <si>
    <t>Tăng cường cơ sở vật chất, trang thiết bị dạy học và sự nghiệp giáo dục khác…</t>
  </si>
  <si>
    <t>Kinh phí thực hiện chính sách quy định tại Nghị định số 105/2020/NĐ-CP chính sách phát triển giáo viên mầm non</t>
  </si>
  <si>
    <t>Hỗ trợ học sinh dân tộc rất ít người Theo NĐ 57/2017/NĐCP</t>
  </si>
  <si>
    <t>Hỗ trợ học sinh khuyết tật ( Học bổng và đồ dùng dạy học theo Thông tư Liên tịch số 42/2013/TTLT-BGDĐT-BLĐTBXH-BTC)</t>
  </si>
  <si>
    <t>++</t>
  </si>
  <si>
    <t>Cấp bù miễn giảm học phí; Hỗ trợ chi phí học tập</t>
  </si>
  <si>
    <t>Phòng Lao động TB&amp;XH</t>
  </si>
  <si>
    <t>Hỗ trợ chi phí học tập</t>
  </si>
  <si>
    <t>Hỗ trợ chi phí học tập cho  sinh viên là người đồng bào dân tộc thiểu số nghèo và cận nghèo theo QĐ 66/TTg</t>
  </si>
  <si>
    <t xml:space="preserve">  Sự nghiệp đào tạo và dạy nghề</t>
  </si>
  <si>
    <t>Trung tâm bồi dưỡng chính trị</t>
  </si>
  <si>
    <t>Phụ cấp cấp ủy viên ( 01 người UV chi bộ cơ sở)</t>
  </si>
  <si>
    <t xml:space="preserve">Hỗ trợ chi bộ cơ sở theoQĐ số 99-QĐ/TW ngày 30/5/2012/của BCH </t>
  </si>
  <si>
    <t>Chi mở  các lớp đào tạo, bồi dưỡng theo kế hoạch phê duyệt</t>
  </si>
  <si>
    <t>Trung tâm GD NN- GD TX</t>
  </si>
  <si>
    <t>Phụ cấp cấp ủy viên ( 02 người UV chi bộ cơ sở)</t>
  </si>
  <si>
    <t>Hỗ trợ chi bộ cơ sở theoQĐ số 99-QĐ/TW ngày 30/5/2012 của BCH TƯ</t>
  </si>
  <si>
    <t>Sự nghiệp Khoa học và công nghệ</t>
  </si>
  <si>
    <t>Phòng kinh tế hạ tầng</t>
  </si>
  <si>
    <t>Chi tập huấn ứng dụng, chuyển giao công nghệ; QLNN trong lĩnh vực KH-CN</t>
  </si>
  <si>
    <t>Chi thực hiện ứng dụng, chuyển giao công nghệ</t>
  </si>
  <si>
    <t>Sự nghiệp môi trường</t>
  </si>
  <si>
    <t>*</t>
  </si>
  <si>
    <t>Trung tâm Môi trường và Dịch vụ đô thị</t>
  </si>
  <si>
    <t xml:space="preserve"> Chi hoạt động bộ máy QLNN (03 B/c) </t>
  </si>
  <si>
    <t>Trung tâm môi trường dịch vụ đô thị</t>
  </si>
  <si>
    <t>Tiền lương ngạch bậc 03 biên chế CBQL</t>
  </si>
  <si>
    <t>Chi khác theo định mức 03 người x 18trđ/năm</t>
  </si>
  <si>
    <t xml:space="preserve"> Chi hoạt động SN dịch vụ công ích</t>
  </si>
  <si>
    <t>Chi công tác quản lý giám sát về tài nguyên môi trường các nhà máy chế biến nông sản và khai thác cát đá sỏi trên địa bàn</t>
  </si>
  <si>
    <t>Chi thường xuyên các lĩnh vực hành chính, sự nghiệp khác</t>
  </si>
  <si>
    <t>4.1</t>
  </si>
  <si>
    <t xml:space="preserve">Sự nghiệp Ytế </t>
  </si>
  <si>
    <t>4.2</t>
  </si>
  <si>
    <t xml:space="preserve">Sự nghiệp kinh tế </t>
  </si>
  <si>
    <t>4.2.1</t>
  </si>
  <si>
    <t xml:space="preserve">   Chi SN nông lâm nghiệp</t>
  </si>
  <si>
    <t>Trung tâm dịch vụ nông nghiệp)</t>
  </si>
  <si>
    <t>Trung tâm dịch vụ nông nghiệp</t>
  </si>
  <si>
    <t>Phụ cấp cấp ủy viên (2 người UV chi bộ cơ sở)</t>
  </si>
  <si>
    <t>Hỗ trợ Đại hội Chi bộ cơ sở</t>
  </si>
  <si>
    <t xml:space="preserve"> Kinh phí kiểm soát giết mổ động vật</t>
  </si>
  <si>
    <t>Ban chỉ đạo hợp tác xã bò sữa</t>
  </si>
  <si>
    <t>Chương trình tái cơ cấu kinh tế nông nghiệp và phòng chống giảm nhẹ thiên tai, ổn định đời sống dân cư (Hỗ trợ di dân)</t>
  </si>
  <si>
    <t>4.2.2</t>
  </si>
  <si>
    <t xml:space="preserve">  SN giao thông nông thôn, thuỷ lợi </t>
  </si>
  <si>
    <t>Khắc phục, sửa chữa hố ga, hế thống thoát nước , vỉa hè mặt đường Trần Hưng Đạo, đường trường chinh huyện Sa Thầy</t>
  </si>
  <si>
    <t>4.2.3</t>
  </si>
  <si>
    <t xml:space="preserve">  Chi SN kiến thiết thị chính </t>
  </si>
  <si>
    <t>NSNN Đặt hàng:  Dịch vụ chiếu sáng đô thị (Duy trì  trạm đèn, hệ thống điện công lộ, sửa chữa thường xuyên hệ thống điện chiếu sáng)</t>
  </si>
  <si>
    <t>Chi Tiền điện công lộ</t>
  </si>
  <si>
    <t>Chi ban ATGT: trong đó, bao gồm chi phí tiền điện, sủa chữa vận hành đèn báo ATGT</t>
  </si>
  <si>
    <t xml:space="preserve"> Sửa chữa nhà lồng chính TTTM huyện</t>
  </si>
  <si>
    <t>Điều chỉnh quy hoạch chung thị trấn, huyện Sa Thầy</t>
  </si>
  <si>
    <t>Phòng Kinh tế Hạ tầng</t>
  </si>
  <si>
    <t>4.2.4</t>
  </si>
  <si>
    <t xml:space="preserve">  Sự nghiệp kinh tế khác</t>
  </si>
  <si>
    <t>Văn phòng HĐND-UBND</t>
  </si>
  <si>
    <t>4.3</t>
  </si>
  <si>
    <t>Trung tâm văn hoá thông tin, 
thể thao,  du lịch và truyền thông</t>
  </si>
  <si>
    <t>Sự nghiệp văn hoá thông tin</t>
  </si>
  <si>
    <t xml:space="preserve"> Qũy tiền lương  08 Biên chế + 01 hợp đồng 68</t>
  </si>
  <si>
    <t>Hỗ trợ chi bộ cơ sở theoQĐ số 99-QĐ/TW ngày 30/5/2012/ BCH TƯ</t>
  </si>
  <si>
    <t xml:space="preserve">Chi hoạt động SN gia đình </t>
  </si>
  <si>
    <t>Phòng Văn hóa_TT</t>
  </si>
  <si>
    <t xml:space="preserve">Chi sự nghiệp thể thao;  </t>
  </si>
  <si>
    <t>Chi sự nghiệp du lịch và truyền  thông</t>
  </si>
  <si>
    <t>Trđó:- B/chế quỹ tiền lương, và các khoản đóng góp (08  người )</t>
  </si>
  <si>
    <t>Chi trạm phát lại truyền hình</t>
  </si>
  <si>
    <t>Tram phát lại xã vùng lõm ( phối hợp với UBND xã thực hiện)</t>
  </si>
  <si>
    <t>Kinh phí lắp đặt hệ thống truyền thanh không dây Xã Sa Bình, Ya Ly, Rờ Kơi</t>
  </si>
  <si>
    <t>Kinh phí lắp đặt hệ thống âm thanh tuyên truyền</t>
  </si>
  <si>
    <t>4.6</t>
  </si>
  <si>
    <t>Chi đảm bảo xã hội</t>
  </si>
  <si>
    <t>4.6.1</t>
  </si>
  <si>
    <t>Chương trình chăm sóc bảo vệ trẻ em</t>
  </si>
  <si>
    <t xml:space="preserve"> Sự nghiệp Chăm sóc trẻ em </t>
  </si>
  <si>
    <t>4.6.2</t>
  </si>
  <si>
    <t>Chi công tác xã hội</t>
  </si>
  <si>
    <t>Hợp đồng  bảo vệ nghĩa trang huyện 01 người x 3trđ/người/tháng x 12 tháng; Bảo vệ khu di tích, Đài tưởng niệm ChưtanKara 02 người x 03 trđ/th x12th)</t>
  </si>
  <si>
    <t xml:space="preserve">Kinh phí hoạt động tổ chức tù chính trị </t>
  </si>
  <si>
    <t>Tiền điện ,nước phục vụ Đài tưởng niệm</t>
  </si>
  <si>
    <t>Bảo hiểm y tế Cựu chiến binh trực tiếp tham gia kháng chiến BVTQ làm nhiệm vụ quốc tế Lào, CPC, TNXP</t>
  </si>
  <si>
    <t xml:space="preserve">Kinh phí mua thẻ y tế cho đối tượng bảo trợ xã hội; </t>
  </si>
  <si>
    <t>Dự án phát triển thị trường lao động và việc làm (Cơ sở dữ liệu cung cầu lao đồng; thu thâp thông tin cung cầu lao động)</t>
  </si>
  <si>
    <t>4.6.3</t>
  </si>
  <si>
    <t xml:space="preserve"> Chi thực hiện chính sách 102/TTg</t>
  </si>
  <si>
    <t>4.6.4</t>
  </si>
  <si>
    <t>Kinh phí thực hiện chính sách theo QĐ 253/TTg ; QĐ 18/2011/QĐ-TTg</t>
  </si>
  <si>
    <t>Phòng Dân tộc</t>
  </si>
  <si>
    <t xml:space="preserve">Hỗ trợ già làng theo Quyết định 253/QĐ-TTg </t>
  </si>
  <si>
    <t>Phòng Nội vụ</t>
  </si>
  <si>
    <t>4.6.5</t>
  </si>
  <si>
    <t xml:space="preserve"> Hỗ trợ  tiền điện hộ nghèo</t>
  </si>
  <si>
    <t>4.7</t>
  </si>
  <si>
    <t>Chi quản lý hành chính</t>
  </si>
  <si>
    <t>4.7.1</t>
  </si>
  <si>
    <t>Kinh phí Đảng</t>
  </si>
  <si>
    <t xml:space="preserve"> Văn phòng Huyện ủy</t>
  </si>
  <si>
    <t>Kinh phí giao tự chủ tài chính</t>
  </si>
  <si>
    <t>UV  Chi bộ cơ sở (2 người)</t>
  </si>
  <si>
    <t>Cho hỗ trợ công tác sau thanh tra</t>
  </si>
  <si>
    <t>a2</t>
  </si>
  <si>
    <t>Kinh phí không giao tự chủ</t>
  </si>
  <si>
    <t>KP đặc thù ngân sách đảng theo QĐ 946-QĐ/TU</t>
  </si>
  <si>
    <t>KP biên tập văn bản</t>
  </si>
  <si>
    <t>4.7.2</t>
  </si>
  <si>
    <t>Sinh hoạt phí đại biểu HĐND huyện( 31 vị)</t>
  </si>
  <si>
    <t>4.7.3</t>
  </si>
  <si>
    <t>Kinh phí Đoàn thể</t>
  </si>
  <si>
    <t xml:space="preserve">  Uỷ ban mặt trận</t>
  </si>
  <si>
    <t>Ủy ban mặt trận huyện</t>
  </si>
  <si>
    <t>Phụ cấp cấp ủy viên (02 người UV chi bộ cơ sở)</t>
  </si>
  <si>
    <t xml:space="preserve"> Hỗ trợ sinh hoạt phí đối với UV UBMTTQ ( theo Quyết định 33/2014/QĐ-TTg)</t>
  </si>
  <si>
    <t>Hỗ trợ đón tiếp, thăm hỏi, chúc mừng với một số đối tượng do UBMT thực hiện ( Theo QĐ 39/2014/QĐ-UBND ngày 21/7/2014)</t>
  </si>
  <si>
    <t>Hỗ trợ kinh phí về thành phần cốt cán phong trào tôn giáo</t>
  </si>
  <si>
    <t>KP thực hiện cuộc vận động ưu tiên dùng hàng Việt Nam</t>
  </si>
  <si>
    <t>Kinh phí  hoạt động quản lý quỹ vì người nghèo</t>
  </si>
  <si>
    <t xml:space="preserve">  Hội liên hiệp phụ nữ</t>
  </si>
  <si>
    <t>Chi tiền lương bộ máy  (03 người )</t>
  </si>
  <si>
    <t>Giám sát phản biện xã hội theo TT337/2016/TT-BTC</t>
  </si>
  <si>
    <t xml:space="preserve">  Huyện đoàn</t>
  </si>
  <si>
    <t xml:space="preserve">  Hội nông dân</t>
  </si>
  <si>
    <t xml:space="preserve"> Chi hoạt động bộ máy (3 người )</t>
  </si>
  <si>
    <t xml:space="preserve"> Phụ cấp cấp ủy viên (1  người UV chi bộ cơ sở)</t>
  </si>
  <si>
    <t xml:space="preserve">  Cựu chiến binh</t>
  </si>
  <si>
    <t xml:space="preserve"> Chi hoạt động bộ máy (02 người)</t>
  </si>
  <si>
    <t>Hỗ trợ chi bộ cơ sở theo QĐ số 99-QĐ/TW ngày 30/5/2012 của BCH TƯ</t>
  </si>
  <si>
    <t xml:space="preserve">Chi công tác Hội chữ thập đỏ </t>
  </si>
  <si>
    <t>Phòng Y tế</t>
  </si>
  <si>
    <t xml:space="preserve"> Chi hoạt động bộ máy (01 biên chế+ phụ cấp kiêm nhiệm)</t>
  </si>
  <si>
    <t>4.7.4</t>
  </si>
  <si>
    <t>Quản lý Nhà nước</t>
  </si>
  <si>
    <t>Văn phòng HĐND - UBND</t>
  </si>
  <si>
    <t>Kinh phí tự chủ hoạt động bộ máy</t>
  </si>
  <si>
    <t>Cập nhật phần mềm QL công sản</t>
  </si>
  <si>
    <t xml:space="preserve">  Kinh phí chi thường xuyên không tự chủ:</t>
  </si>
  <si>
    <t>Chi xăng xe, phí, lệ phí và bảo hiểm xe và sửa chữa thường xuyên  xe ô tô phục vụ công tác</t>
  </si>
  <si>
    <t>Kinh phí trực bộ phận 1 cửa</t>
  </si>
  <si>
    <t xml:space="preserve"> Kinh phí bồi dưỡng tiếp công dân, xử lý đơn thu, khiếu nại, tố cáo, kiến nghị, phản ánh tại các trụ sở tiếp công dân theo quy định tại NĐ 64/2014</t>
  </si>
  <si>
    <t>Duy trì hoạt động trang TTĐT</t>
  </si>
  <si>
    <t>a.3</t>
  </si>
  <si>
    <t>Kinh phí không thường xuyên</t>
  </si>
  <si>
    <t xml:space="preserve"> Sửa chữa xe ô tô </t>
  </si>
  <si>
    <t>Phòng Nông nghiệp và Phát triển nông thôn</t>
  </si>
  <si>
    <t>Phòng Nông nghiệp và PTNT</t>
  </si>
  <si>
    <t xml:space="preserve"> KP hoạt động Ban chỉ đạo phòng chống lụt bão</t>
  </si>
  <si>
    <t>Mua máy vi tính</t>
  </si>
  <si>
    <t>Cập nhật phần mền kế toán</t>
  </si>
  <si>
    <t>Phòng Tài nguyên môi trường</t>
  </si>
  <si>
    <t>Chi hoạt động bộ máy  ( 06 người )</t>
  </si>
  <si>
    <t>Thanh tra huyện</t>
  </si>
  <si>
    <t>d.1</t>
  </si>
  <si>
    <t xml:space="preserve">  Kinh phí tự chủ hoạt động bộ máy</t>
  </si>
  <si>
    <t>Phụ cấp cấp ủy viên (01 người UV chi bộ cơ sở)</t>
  </si>
  <si>
    <t>d.2</t>
  </si>
  <si>
    <t xml:space="preserve">  Kinh phí không giao tự chủ </t>
  </si>
  <si>
    <t>Chi công tác tiếp dân và Hỗ trợ chi  tiếp dân theo NQ 16/2018/HĐNH tỉnh; Xử đơn thư khiếu nại, tố cáo theo Nghị định 64/2014</t>
  </si>
  <si>
    <t>Mua sắm máy phô tô</t>
  </si>
  <si>
    <t>Phòng Tư pháp</t>
  </si>
  <si>
    <t>e.1</t>
  </si>
  <si>
    <t>Chi hoạt động bộ máy  (03 người )</t>
  </si>
  <si>
    <t>Phụ cấp cấp ủy viên (1 người UV chi bộ cơ sở)</t>
  </si>
  <si>
    <t>e.2</t>
  </si>
  <si>
    <t>Hội đồng tư vấn  giải quyết khiếu nại, tố cáo</t>
  </si>
  <si>
    <t>Tạm cấp kinh phí tập huấn số hóa dữ liệu hộ tịch lịch sử vào cơ sở dữ liệu hộ tịch điện tử toàn quốc  theo kế hoạch 155/KH-UBND ngày 12/11/2020</t>
  </si>
  <si>
    <t>Phòng Văn hoá thông tin</t>
  </si>
  <si>
    <t>B/chế quỹ tiền lương và các khoản đóng góp  (3 người )</t>
  </si>
  <si>
    <t>KP hỗ trợ 25 trđ BCĐ 814 và 30 trđ ban chỉ đạo XDDSVHKDC</t>
  </si>
  <si>
    <t xml:space="preserve">Phòng  Nội vụ </t>
  </si>
  <si>
    <t>h.1</t>
  </si>
  <si>
    <t xml:space="preserve"> Kinh phí giao tự chủ</t>
  </si>
  <si>
    <t>h.2</t>
  </si>
  <si>
    <t>Chỉnh lý tài liệu tồn đọng 2013 trở về trước theo CV1884/SNV ngày 24/9/2020</t>
  </si>
  <si>
    <t>Mua kệ tài liệu chỉnh lý</t>
  </si>
  <si>
    <t>Phòng Tài chính- kế hoạch</t>
  </si>
  <si>
    <t>i.1</t>
  </si>
  <si>
    <t xml:space="preserve">Phụ cấp cấp ủy viên </t>
  </si>
  <si>
    <t>i.2</t>
  </si>
  <si>
    <t>Phòng Giáo dục &amp; Đào tạo</t>
  </si>
  <si>
    <t xml:space="preserve"> Chi hoạt động bộ máy (05 người )</t>
  </si>
  <si>
    <t xml:space="preserve"> Phụ cấp cấp ủy viên (1 người UV chi bộ cơ sở)</t>
  </si>
  <si>
    <t>Mua máy phô tô</t>
  </si>
  <si>
    <t>Phòng Lao động Thương binh &amp; XH</t>
  </si>
  <si>
    <t>Phòng Lao động TB &amp; XH</t>
  </si>
  <si>
    <t xml:space="preserve"> Chi hoạt động bộ máy (6 người )</t>
  </si>
  <si>
    <t xml:space="preserve">Điều tra hộ nghèo hàng năm
</t>
  </si>
  <si>
    <t>Phòng Kinh tế và Hạ tầng</t>
  </si>
  <si>
    <t>o</t>
  </si>
  <si>
    <t>Phòng Ytế</t>
  </si>
  <si>
    <t xml:space="preserve"> Chi hoạt động bộ máy  (03 người )</t>
  </si>
  <si>
    <t xml:space="preserve"> Chi công tác kiểm tra An toàn thực phẩm và nhiệm vụ chuyên môn ngành</t>
  </si>
  <si>
    <t>p</t>
  </si>
  <si>
    <t xml:space="preserve"> B/chế quỹ tiền lương và các khoản đóng góp  (04 biên chế )</t>
  </si>
  <si>
    <t xml:space="preserve"> Phụ cấp cấp uỷ viên</t>
  </si>
  <si>
    <t>q</t>
  </si>
  <si>
    <t>Phòng nội vụ</t>
  </si>
  <si>
    <t>4.8</t>
  </si>
  <si>
    <t>Chi an ninh quốc phòng</t>
  </si>
  <si>
    <t>Chi quốc phòng ( Huyện đội)</t>
  </si>
  <si>
    <t>010</t>
  </si>
  <si>
    <t xml:space="preserve">Ban Chỉ huy Quân sự huyện </t>
  </si>
  <si>
    <t xml:space="preserve"> Hỗ trợ KP tuần tra, kiểm soát  tự quản đường biên giới</t>
  </si>
  <si>
    <t xml:space="preserve"> KP thực hiện chi trả  chế độ theo NĐ 03/2016/NĐ-CP</t>
  </si>
  <si>
    <t>Chi công tác an ninh</t>
  </si>
  <si>
    <t>040</t>
  </si>
  <si>
    <t xml:space="preserve">Công an huyện </t>
  </si>
  <si>
    <t>Văn phòng Huyện ủy</t>
  </si>
  <si>
    <t>4.9</t>
  </si>
  <si>
    <t>Chi khác ngân sách</t>
  </si>
  <si>
    <t xml:space="preserve"> Chi hỗ trợ xét xử Toà án và chi hoạt động HTND </t>
  </si>
  <si>
    <t>Tòa án huyện</t>
  </si>
  <si>
    <t>Kinh phí xét xử, vụ án điểm dự kiến 10 vụ</t>
  </si>
  <si>
    <t>KP hổ trợ VPP, tập huấn, sơ kết tổng kết Hội thẩm nhân dân</t>
  </si>
  <si>
    <t>Việm Kiểm sát</t>
  </si>
  <si>
    <t>Chi cục thuế</t>
  </si>
  <si>
    <t>Trung tâm Y tế huyện</t>
  </si>
  <si>
    <t>Ngân hàng chính sách huyện</t>
  </si>
  <si>
    <t>Hỗ trợ Qũy hỗ trợ nông dân theo Quyết định 69/QĐ-UBND ngày 09/01/2020</t>
  </si>
  <si>
    <t>Hội nông dân</t>
  </si>
  <si>
    <t>Trung tân y tế huyện</t>
  </si>
  <si>
    <t>Hỗ trợ chi phí sau thanh tra</t>
  </si>
  <si>
    <t xml:space="preserve"> Dự kiến 70% tăng thu thực hiện CCTL</t>
  </si>
  <si>
    <t>Nguồn tiết kiệm chi bộ máy theo Nghị định 34/NĐ-CP; NQ 36/2020 HĐND tỉnh</t>
  </si>
  <si>
    <t>Dự phòng Ngân sách</t>
  </si>
  <si>
    <t>TỔNG CỘNG</t>
  </si>
  <si>
    <t>Lương và các khoản đóng góp theo lương ( 3 BC)</t>
  </si>
  <si>
    <t>Lương và các khoản đóng góp theo lương ( 8 BC)</t>
  </si>
  <si>
    <t xml:space="preserve"> Phụ cấp cấp ủy viên </t>
  </si>
  <si>
    <t>Chi hoạt động bộ máy  (20 BC+03 HĐ 68</t>
  </si>
  <si>
    <t>Đại hội đoàn thanh niên CS HCM nhiệm kỳ 2022-2027</t>
  </si>
  <si>
    <t>Phòng TN-MT</t>
  </si>
  <si>
    <t>Chi hoạt động bộ máy  (5 người )</t>
  </si>
  <si>
    <t>Chi hoạt động bộ máy (8 người )</t>
  </si>
  <si>
    <t>Mua sắm máy vi tính; máy in</t>
  </si>
  <si>
    <t>Chi tập huấn các hộ kinh doanh</t>
  </si>
  <si>
    <t xml:space="preserve">Hỗ trợ mai táng phí cho đối tượng người có công </t>
  </si>
  <si>
    <t>Chi thường xuyên các lĩnh vực khác</t>
  </si>
  <si>
    <t>Kinh phí tiếp xúc cử tri</t>
  </si>
  <si>
    <t>Chi cân đối</t>
  </si>
  <si>
    <t>Hỗ trợ bệnh nhân nghèo điều trị nội trú trong dịp tết nguyên đán</t>
  </si>
  <si>
    <t>Chi ủy thác vay đối với người nghèo và các đối tượng chính sách khác</t>
  </si>
  <si>
    <t>Chi trích lập quỹ khen thưởng</t>
  </si>
  <si>
    <t xml:space="preserve">Chi hỗ trợ công tác dân số- KHHGD </t>
  </si>
  <si>
    <t xml:space="preserve">Hỗ trợ công tác chống thất thu thuế </t>
  </si>
  <si>
    <t>Chi hỗ trợ công tác tuyên truyền vận động nhiệm vụ của ngành</t>
  </si>
  <si>
    <t>Sa Nhơn</t>
  </si>
  <si>
    <t>Xã Rờ Kơi</t>
  </si>
  <si>
    <t>Xã Ya Ly</t>
  </si>
  <si>
    <t>Xã Ya Xiêr</t>
  </si>
  <si>
    <t>Xã Ya Tăng</t>
  </si>
  <si>
    <t>Xã Sa Nhơn</t>
  </si>
  <si>
    <t xml:space="preserve">Chi  hoạt động phong trào Đoàn </t>
  </si>
  <si>
    <t xml:space="preserve"> Kinh phí sơ kết giữa nhiệm kỳ</t>
  </si>
  <si>
    <t>Biểu 08/PBNSX 2022</t>
  </si>
  <si>
    <t>Thị trấn</t>
  </si>
  <si>
    <t xml:space="preserve"> Sa Bình</t>
  </si>
  <si>
    <t xml:space="preserve"> Sa nghĩa</t>
  </si>
  <si>
    <t>Xã Sa Sơn</t>
  </si>
  <si>
    <t xml:space="preserve"> Ya Xiêr</t>
  </si>
  <si>
    <t xml:space="preserve"> Ya  Tăng</t>
  </si>
  <si>
    <t>Hơ Moong</t>
  </si>
  <si>
    <t xml:space="preserve"> Rờ Kơi</t>
  </si>
  <si>
    <t>Xã Mô rai</t>
  </si>
  <si>
    <t>Bổ sung mục tiêu</t>
  </si>
  <si>
    <t>NS tỉnh</t>
  </si>
  <si>
    <t>TỔNG CHI NGÂN SÁCH CẤP XÃ</t>
  </si>
  <si>
    <t>Chi thường xuyên cân đối NS</t>
  </si>
  <si>
    <t xml:space="preserve"> Phụ cấp ủy viên cấp xã</t>
  </si>
  <si>
    <t>KP HĐ TX chi bộ cơ sở theo QĐ số 99-QĐ/TW ngày 30/5/2012 của BCH TƯ</t>
  </si>
  <si>
    <t>Phụ cấp thôn đội trưởng</t>
  </si>
  <si>
    <t>KP huấn luyện dân quân TX</t>
  </si>
  <si>
    <t>II.a</t>
  </si>
  <si>
    <t>Hỗ trợ tiền ăn cho người hoạt động không chuyên trách ở cấp xã, thôn, tổ dân phố khi tham gia các lớp đào tạo, bồi dưỡng.</t>
  </si>
  <si>
    <t>Chi sự nghiệp Kinh tế</t>
  </si>
  <si>
    <t>KP cấp bù miễn thu thủy lợi phí</t>
  </si>
  <si>
    <t>Diện tích Thủy lợi xã quản lý</t>
  </si>
  <si>
    <t xml:space="preserve"> Định mức</t>
  </si>
  <si>
    <t xml:space="preserve"> Giao thông nông thôn</t>
  </si>
  <si>
    <t xml:space="preserve"> Thủy lợi</t>
  </si>
  <si>
    <t>Hỗ trợ phát triển đất trồng lúa</t>
  </si>
  <si>
    <t xml:space="preserve"> Chi sự nghiệp môi trường</t>
  </si>
  <si>
    <t xml:space="preserve"> Sự nghiệp văn hóa</t>
  </si>
  <si>
    <t xml:space="preserve"> Sự nghiệp thể thao </t>
  </si>
  <si>
    <t xml:space="preserve"> Trong đó:  Lương hưu trí</t>
  </si>
  <si>
    <t xml:space="preserve"> Chi công tác xã hội khác</t>
  </si>
  <si>
    <t xml:space="preserve"> + Số lượng</t>
  </si>
  <si>
    <t>Bồi dưỡng tiếp công dân, xử lý đơn thu, khiếu nại, tố cáo, kiến nghị, phản ánh tại các trụ sở tiếp công dân theo quy định tại NĐ 64/2014</t>
  </si>
  <si>
    <t>Kinh phí Vận hành công trình thủy lợi làng lung</t>
  </si>
  <si>
    <t>Chi công tác quản lý điểm cao 1049 xã Rờ Kơi ; 1051 xã hơ moong</t>
  </si>
  <si>
    <t xml:space="preserve">Trong đó: Lương và các khoản đóng góp theo lương </t>
  </si>
  <si>
    <t>Biên soạn lịch sử Đảng (Chỉ thị số 20-CT/TW ngày 18-01-2018 của Ban Bí Thư</t>
  </si>
  <si>
    <t>Chi hỗ trợ UBMTTQ; Ban công tác MT ở khu dân cư NQ 16_2018</t>
  </si>
  <si>
    <t xml:space="preserve"> Kinh phí hoạt động các chi hội xã ĐBKK</t>
  </si>
  <si>
    <t>Chi công tác DQTV, ANTT</t>
  </si>
  <si>
    <t>Chi an ninh trật tự</t>
  </si>
  <si>
    <t>Chi công tác quốc phòng</t>
  </si>
  <si>
    <t>Phụ cấp theo NĐ 72/2020</t>
  </si>
  <si>
    <t>Hỗ trợ thôn làng đón tết</t>
  </si>
  <si>
    <t xml:space="preserve"> Chi dự phòng ngân sách</t>
  </si>
  <si>
    <t>Dự toán huyện giao</t>
  </si>
  <si>
    <t>Tỉnh giao</t>
  </si>
  <si>
    <t>Huyện giao</t>
  </si>
  <si>
    <t>Dự toán tỉnh giao</t>
  </si>
  <si>
    <t>Qũy tiền lương</t>
  </si>
  <si>
    <t>UTH năm 2021</t>
  </si>
  <si>
    <t>Chi từ nguồn bổ sung có mục tiêu, mục tiêu quốc gia</t>
  </si>
  <si>
    <t>Lệ phí môn bài</t>
  </si>
  <si>
    <t>S
TT</t>
  </si>
  <si>
    <t>Định mức chi thường xuyên 03 người x 18trđ/người/năm</t>
  </si>
  <si>
    <t>Chi theo định mức biên chế 03 người x18trđ/năm x1,3</t>
  </si>
  <si>
    <t xml:space="preserve"> Chi theo định mức biên chế 03 người x18trđ/năm x1,3</t>
  </si>
  <si>
    <t xml:space="preserve"> Chi theo định mức biên chế 02 người x18trđ/năm x1,3</t>
  </si>
  <si>
    <t xml:space="preserve"> Chi theo định mức biên chế 01 người x18trđ/năm </t>
  </si>
  <si>
    <t>Chi theo định mức biên chế 06 người x18trđ/năm *1,3</t>
  </si>
  <si>
    <t>Chi theo định mức biên chế 05 người x18trđ/năm *1,3</t>
  </si>
  <si>
    <t>Chi theo định mức biên chế 03 người x18trđ/năm *1,3</t>
  </si>
  <si>
    <t xml:space="preserve"> Chi theo định mức biên chế 05 người x18trđ/năm *1,3</t>
  </si>
  <si>
    <t xml:space="preserve"> Chi theo định mức biên chế 04 người x18trđ/năm *1,3</t>
  </si>
  <si>
    <t xml:space="preserve"> Chi theo định mức biên chế 03 người x18trđ/năm *1,3</t>
  </si>
  <si>
    <t>Dự toán
năm 2022 ngân sách cấp huyện</t>
  </si>
  <si>
    <t>Chi phí ban đầu cho khai thác hệ thống cấp nước sinh hoạt</t>
  </si>
  <si>
    <t>NSNN đặt hàng: Chăm sóc vườn hoa, cây xanh công viên; Duy trì cây bóng mát, cây hàng rào; phát thảm cỏ, làm cỏ tạp, tưới nước thảm cỏ; trang trí hoa tết</t>
  </si>
  <si>
    <t xml:space="preserve"> Định mức chi thường xuyên 08 người x 18trđ/người/năm</t>
  </si>
  <si>
    <t xml:space="preserve"> Định mức chi thường xuyên ( 09 người* 18 trđ/người/năm)</t>
  </si>
  <si>
    <t xml:space="preserve">Chi thường xuyên  08 người *18 trđ/người/năm) </t>
  </si>
  <si>
    <t>Chi theo định mức biên chế 08 người x18trđ/năm *1,3</t>
  </si>
  <si>
    <t xml:space="preserve"> Chi theo định mức biên chế 06 người x18trđ/năm *1,3</t>
  </si>
  <si>
    <t xml:space="preserve"> Chi hoạt động phát thanh</t>
  </si>
  <si>
    <t>Hỗ trợ học sinh dân tộc thiểu số tham gia kỳ thi tốt nghiệp THPTQG ( Trường PTDTND, THPT quang trung, TTGDTX-GDNN)</t>
  </si>
  <si>
    <t>Phụ cấp thường xuyên cho đội trưởng, đội phó dân phòng theo Nghị định 136/2020/CP</t>
  </si>
  <si>
    <t>Phụ cấp công an xã bán chuyên trách theo Nghị định 42/CP và Nghị quyết HĐND tỉnh</t>
  </si>
  <si>
    <t>BIỂU TỔNG HỢP DỰ TOÁN CHI NSĐP NĂM 2022</t>
  </si>
  <si>
    <t>r</t>
  </si>
  <si>
    <t>Thống kê đất đai năm 2021, 2022</t>
  </si>
  <si>
    <t xml:space="preserve">Lập dự án quy hoạch sử dụng đất thời kỳ 2021-2030 </t>
  </si>
  <si>
    <t xml:space="preserve"> Chi hoạt động bộ máy  (04 người )</t>
  </si>
  <si>
    <t xml:space="preserve"> Chi thực hiện công tác chuyên môn ngành, lĩnh vực kế hoạch PT KTXH, đầu tư công, ngân sách hàng năm</t>
  </si>
  <si>
    <t>Chế độ thù lao đối với  người đã nghĩ hưu giữ chức danh lãnh đạo chuyên trách Hội người Cao tuổi và hỗ trợ kinh phí hoạt động hội</t>
  </si>
  <si>
    <t>Chế độ thù lao đối với  người đã nghĩ hưu giữ chức danh lãnh đạo chuyên trách Hội cựu thanh niên xung phong và hỗ trợ kinh phí hoạt động hội</t>
  </si>
  <si>
    <t>Chế độ thù lao đối với  người đã nghĩ hưu giữ chức danh lãnh đạo chuyên trách Hội nạn nhân chất độc Da cam và hỗ trợ kinh phí hoạt động hội</t>
  </si>
  <si>
    <t>Kinh phí Tổ chức tuyên truyền pháp luật tại các thôn, làng, theo đề án 021133, tại Làng Kà Đừ, làng Chốt, Làng Kleng (Thị trấn); làng Răk xã Ya Xia, Làng Tum xã Ya Ly</t>
  </si>
  <si>
    <t>Kinh phí Tổ chức thăm hỏi các đồn biên phòng theo quy chế ký kết phối hợp nhân ngay biên phòng toàn dân (ngày 03/3)</t>
  </si>
  <si>
    <t>Kinh phí Tổ chức Hội thi và đưa Hội viên nông dân tham gia Hội thi "Nhà nông đua tài" toàn tỉnh năm 2022 và tham gia hội thi "Nhà nông đua tài" toàn quốc lần thứ V</t>
  </si>
  <si>
    <t>Kinh phí đại hội Hội Cựu chiến binh nhiệm kỳ 2022-2027</t>
  </si>
  <si>
    <t>Chi hoạt động công tác hội</t>
  </si>
  <si>
    <t>Kinh phí công vụ phục vụ chung khối Ủy ban</t>
  </si>
  <si>
    <t>KP thăm và chúc tết Nguyên Đán các đồn biên phòng, các đơn vị, xã  tuyến biên giới…theo Nghị quyết 73/2020/NQ-HĐND ngày 14/12/2020</t>
  </si>
  <si>
    <t>Chi mua sắm tài sản (01 bộ máy vi tính)</t>
  </si>
  <si>
    <t xml:space="preserve"> Hỗ công tác quân sự địa phương, gồm: Hội nghị, tập huấn, xăng xe, VPP, thông tin liên lạc, Khám tuyển nghĩa vụ, các BCĐ và hội đồng GDQP  và hoạt động khác</t>
  </si>
  <si>
    <t>Phụ cấp trách nhiệm NĐ 72/2020/NĐCP</t>
  </si>
  <si>
    <t xml:space="preserve">Các khoản chi khác </t>
  </si>
  <si>
    <t>Phụ cấp lực lượng dân quân thường trực</t>
  </si>
  <si>
    <t>Hoạt động Ban chỉ đạo 35 ( Không gian mạng)</t>
  </si>
  <si>
    <t>Đại hội Đoàn thanh niên nhiệm kỳ 2022-2027</t>
  </si>
  <si>
    <t>Biểu số: 07/UB/2022</t>
  </si>
  <si>
    <t>DỰ TOÁN THU PHÂN BỔ NGÂN SÁCH CẤP XÃ, THỊ TRẤN NĂM 2022</t>
  </si>
  <si>
    <t>VÀ TỶ LỆ PHẦN TRĂM PHÂN CHIA CÁC KHOẢN THU ĐIỀU TIẾT NGÂN SÁCH TỪNG XÃ, THỊ TRẤN NĂM 2022</t>
  </si>
  <si>
    <t xml:space="preserve">Đơn vị </t>
  </si>
  <si>
    <t xml:space="preserve">Tổng thu </t>
  </si>
  <si>
    <t>Điều
 tiết</t>
  </si>
  <si>
    <t>Chi tiết các sắc thuế</t>
  </si>
  <si>
    <t xml:space="preserve">    Thuế VAT</t>
  </si>
  <si>
    <t xml:space="preserve">    Thuế thu nhập DN</t>
  </si>
  <si>
    <t xml:space="preserve">    Thuế TTĐB</t>
  </si>
  <si>
    <t>Thuế nhà đất,
 thuế phi nông nghiệp</t>
  </si>
  <si>
    <t>Thu phí, lệ phí</t>
  </si>
  <si>
    <t xml:space="preserve">   Thu sử dụng đất </t>
  </si>
  <si>
    <t xml:space="preserve">Lệ phí
  trước bạ </t>
  </si>
  <si>
    <t>Thu nhập cá nhân hộ khoán</t>
  </si>
  <si>
    <t>Thuê mặt đất, mặt nước</t>
  </si>
  <si>
    <t>Xã Sa Bình</t>
  </si>
  <si>
    <t>Xã Sa nghĩa</t>
  </si>
  <si>
    <t>Xã Hơ Moong</t>
  </si>
  <si>
    <t>Thu cấp quyền KTKS</t>
  </si>
  <si>
    <t xml:space="preserve">Kinh phí mua bàn ghế học viên (30 bàn đôi, 60 ghế); Mua sắm vật tư trang bị khu ký túc xá </t>
  </si>
  <si>
    <t>Dự toán
lương 1,49trđ</t>
  </si>
  <si>
    <t xml:space="preserve"> KP bảo vệ ANTTXH địa bàn; An ninh biên giới; Tà đạo Hà mòn</t>
  </si>
  <si>
    <t xml:space="preserve">Kinh phí thực hiện chuyên môn đào tạo </t>
  </si>
  <si>
    <t>Lập kế hoạch sử dụng đất 2022, 2023</t>
  </si>
  <si>
    <t xml:space="preserve"> Kinh phí đoàn kiểm tra theo QĐ 2499 và BCĐ theo QĐ 389/2015</t>
  </si>
  <si>
    <t xml:space="preserve"> Chi công tác huấn luyện lực lượng Dân quân tự vệ và DBĐV</t>
  </si>
  <si>
    <t xml:space="preserve"> KP Hoạt động của các chức danh thôn, tổ dân phố ( Không bao gồm: bí thư chi bộ thôn, trưởng thôn, tố trưởng dân phố và công an viên ở thôn, tổ dân phố); BHYT cán bộ thôn, làng</t>
  </si>
  <si>
    <t xml:space="preserve">Bảo hiểm y tế cán bộ KCT thôn làng </t>
  </si>
  <si>
    <t>Chi các chính sách giáo dục</t>
  </si>
  <si>
    <t>Tỉnh giao 2021</t>
  </si>
  <si>
    <t xml:space="preserve">Dự toán năm 2022 </t>
  </si>
  <si>
    <t>Công tác đo đạc, đăng ký đất đai, cấp Giấy chứng nhận, xây dựng cơ sở dữ liệu đất đai và đăng ký biến động, chỉnh
lý hồ sơ địa chính thường xuyên</t>
  </si>
  <si>
    <t>Hỗ trợ đầu tư các công trình  cấp bách</t>
  </si>
  <si>
    <t>Duy tu, bảo dưỡng hệ thống đèn chiếu sáng, trang trí đường Nguyễn trãi</t>
  </si>
  <si>
    <t>Duy tu, bảo dưỡng hệ thống điện chiếu sáng một số tuyến đường trên địa bàn huyện Sa Thầy: Đường Lê Duẩn ( Đoạn từ đường Trần Hưng Đạo đến Đường Phan Bội Châu); đường Trần Phú ( Đoạn từ đường Lê Duẩn đến đường Trần Hưng Đạo); đường Quy hoạch số 1 ( Đoạn từ đường Tô Vĩnh Diện đến đường Hoàng Hoa Thám); Đường Hàm Nghi ( Đoạn từ đường Phan Bội châu đến hội trường thôn 4)</t>
  </si>
  <si>
    <t>Sự nghiệp môi trường khác</t>
  </si>
  <si>
    <t>Cơ quan chuyên môn phân bổ khi phát sinh nhiệm vụ</t>
  </si>
  <si>
    <t>Sửa xe ô tô chuyên dùng</t>
  </si>
  <si>
    <t>Trong đó: Thu do UBND huyện thực hiện (1)</t>
  </si>
  <si>
    <t>Xây dựng đô thị tăng trưởng xanh</t>
  </si>
  <si>
    <t>Kinh phí bầu cử</t>
  </si>
  <si>
    <t>Đại hội nhiệm kỳ 2021-2025</t>
  </si>
  <si>
    <t>Đại hội cháu ngoan Bác Hồ</t>
  </si>
  <si>
    <t>Tổng kết 5 năm phong trào CCB giúp nhau xóa đói giảm nghèo làm kinh tế giỏi</t>
  </si>
  <si>
    <t>Phần mện kế toán</t>
  </si>
  <si>
    <t>Tập huấn NĐ 30/2020</t>
  </si>
  <si>
    <t>Diễn tập PT21</t>
  </si>
  <si>
    <t xml:space="preserve"> Chi công tác đối ngoại, an ninh biên giới</t>
  </si>
  <si>
    <t>Trong đó: UV BCH Huyện đảng bộ (42 người)</t>
  </si>
  <si>
    <t>Phụ cấp báo cáo viên ( 18 người*0,2)</t>
  </si>
  <si>
    <t>Phụ cấp cộng tác viên dư luận xã hội</t>
  </si>
  <si>
    <t xml:space="preserve"> Chi công tác xây dựng mạng lưới cung cấp thông tin về an ninh chính trị trên địa bàn; vấn đề nổi cộm các điểm nóng về an ninh quốc phòng, dân tộc tôn giáo</t>
  </si>
  <si>
    <t>Chi mua sắm, sửa chữa thường xuyên trụ sở, phương tiện làm việc và tài sản cố định khác</t>
  </si>
  <si>
    <t>Sự nghiệp văn hoá thông tin, thể thao, du lịch và truyền thông</t>
  </si>
  <si>
    <t>Chi thường xuyên bộ máy  (3 người )</t>
  </si>
  <si>
    <t xml:space="preserve"> Định mức chi thường xuyên 03 người 18trđ/năm x1,3</t>
  </si>
  <si>
    <t>Thực hiên chính sách theo NĐ 81/2021/NĐCP</t>
  </si>
  <si>
    <t>Kinh phí mua sắm, duy tu, bảo dưỡng tài sản;lắp đặt,
 duy trì hệ thồng mạng nội bộ</t>
  </si>
  <si>
    <t>Sửa chữa mặt đường vàhệ thống thoát nước,  vĩa hè đường quy hoạch số 1 ( Đoạn từ Đường Tô Vĩnh Diện đến Đường Trường Chinh) thị trấn Sa Thầy</t>
  </si>
  <si>
    <t>Sửa chữa mặt đường vàhệ thống thoát nước,  vĩa hè đường Bùi Thị Xuân ( Đoạn từ Đường Tô Vĩnh Diện đến Đường Trường Chinh) thị trấn Sa Thầy</t>
  </si>
  <si>
    <t>Sửa chữa mặt đường từ trung tâm xã Sa Sơn đi làng Bađgoc</t>
  </si>
  <si>
    <t>Duy tu, bảo dưỡng công trình giao thông, thủy lợi thuộc huyện quản lý</t>
  </si>
  <si>
    <t>Hỗ trợ hội  cựu giáo chức</t>
  </si>
  <si>
    <t>Chi công tác đột xuất của huyện ủy, tiếp các đoàn về làm việc với huyện theo duy định tại Quyết định số 22/2019 QĐ-UBND ngày 09/12/2019; thăm, chúc tết, dự, chúc mừng kỷ niệm ngày truyền thống các đồn biên phòng, các xã...</t>
  </si>
  <si>
    <t xml:space="preserve"> Trong đó: Hỗ trợ kinh phí trang bị các bộ
 cồng chiêng, trống cho các thôn, làng đồng bào dân tộc thiểu số không có cồng chiêng trên địa bàn tỉnh</t>
  </si>
  <si>
    <t>Kinh phí thực hiện chính sách đặc thù ĐP trợ giúp xã hội đối tượng BTXH theo NQ-HĐND tỉnh triển khai NĐ 20/2021/NĐ-CP</t>
  </si>
  <si>
    <t>Chi hoạt động của cơ quan quản lý nhà nước, đảng, đoàn thể</t>
  </si>
  <si>
    <t>PHÂN BỔ CHI TIẾT DỰ TOÁN CHI NGÂN SÁCH CÁC ĐƠN VỊ DỰ TOÁN CẤP HUYỆN NĂM 2022</t>
  </si>
  <si>
    <t>(Biểu số 46 /ĐTC 2022)</t>
  </si>
  <si>
    <t>Tr. đó gồm: - SHP đại biểu HĐ và BHYT</t>
  </si>
  <si>
    <t>Xã Mô Rai</t>
  </si>
  <si>
    <t xml:space="preserve"> NSNN đặt hàng: Dịch vụ thu gom, vận chuyển rác đến điểm tập kết và vận chuyển rác thải đến nhà máy xử lý rác Kon Tum; vận chuyển và xử lý rác tồn đọng tại bãi</t>
  </si>
  <si>
    <t>Chi theo định mức biên chế 23 người x16trđ/năm x1,8</t>
  </si>
  <si>
    <t xml:space="preserve">Dự toán điều chỉnh </t>
  </si>
  <si>
    <t>Huyện giao tại QĐ 2166/QĐ-UBND</t>
  </si>
  <si>
    <t>Dự toán năm 2022 giao tại QĐ 2116/QĐ-UBND ngày 23/12/2021</t>
  </si>
  <si>
    <t>Dự toán Điều chỉnh</t>
  </si>
  <si>
    <t>Dự toán
 điều chỉnh</t>
  </si>
  <si>
    <t>Dự toán điều chỉnh</t>
  </si>
  <si>
    <t>Dự toán huyện giao tại QĐ 2116/QĐ-UBND</t>
  </si>
  <si>
    <t>Biểu số 05/UB/2021</t>
  </si>
  <si>
    <t>Nguồn thu phí được để lại chi, nguồn thu sự nghiệp (sau khi trừ chi phí và tạo nguồn thực hiện CCTL)</t>
  </si>
  <si>
    <t>Tiết kiệm 10% thực hiện CCTL năm 2022</t>
  </si>
  <si>
    <t>Điều chỉnh lần 1</t>
  </si>
  <si>
    <t>Điều chỉnh lần 2</t>
  </si>
  <si>
    <t>Dự toán đơn vi được sử dụng</t>
  </si>
  <si>
    <t>Biên chế, 
định mức huyện giao</t>
  </si>
  <si>
    <t>Biên 
chế</t>
  </si>
  <si>
    <t>Qũy tiền
 lương, phụ cấp</t>
  </si>
  <si>
    <t>Tăng (+)</t>
  </si>
  <si>
    <t>5a</t>
  </si>
  <si>
    <t>5b</t>
  </si>
  <si>
    <t>Đo đạc đất Cty NL giấy miền Nam trả về (494,2 ha) đợt 2</t>
  </si>
  <si>
    <t>Cơ quan chuyên môn tham mưu phân bổ chi tiết nhiệm vụ chi khi có nguồn thu vào ngân sách</t>
  </si>
  <si>
    <t>Hỗ trợ đầu tư các xã biên giới</t>
  </si>
  <si>
    <t>Chi đầu tư nguồn vốn hỗ trợ khác</t>
  </si>
  <si>
    <t>Đầu tư xây dựng cụm CN,TTCN</t>
  </si>
  <si>
    <t>Đầu tư chỉnh trang đô thị</t>
  </si>
  <si>
    <t>Đầu tư cơ sở hạ tầng phục vụ giãn dân tại làng xộp xã mô rai</t>
  </si>
  <si>
    <t>Hỗ trợ người có công với cách mạng về nhà ở theo Quyết định số 22.2013/QĐ-TTg</t>
  </si>
  <si>
    <t>Chính sách cấp bù học phí,  hỗ trợ chi phí học tập cho học sinh sinh viên theo Nghị định 81/2021NĐ-CP</t>
  </si>
  <si>
    <t>Kinh phí cập nhật phần mềm QLCS</t>
  </si>
  <si>
    <t>Mua 01 bộ máy tính, máy in, bộ âm ly phục vụ chuyên môn</t>
  </si>
  <si>
    <t>Tiền điện phục vụ khu cách ly</t>
  </si>
  <si>
    <t>Phòng lao động TB&amp;XH</t>
  </si>
  <si>
    <t>Đối ứng MTQG DTMN, DA5 TDA2  Đào tạo dự bị đại học, sau đại học</t>
  </si>
  <si>
    <t>Cải tạo, trồng mới cây xanh trên địa bàn tạo cảnh quan môi trường xanh sách đẹp</t>
  </si>
  <si>
    <t xml:space="preserve"> Chi thường xuyên hoạt động bộ máy (06 biên chế)</t>
  </si>
  <si>
    <t xml:space="preserve"> Định mức chi thường xuyên 06 người x 18 trđ/năm</t>
  </si>
  <si>
    <t xml:space="preserve">Tham quan học hỏi kinh nghiệm một số mô hình nông nghiệp tiêu biểu tại tỉnh Sơn La </t>
  </si>
  <si>
    <t>Phát triển kinh tế nông, lâm nghiệp bền vững gắn với bảo vệ rừng và nâng cao thu nhập cho người dân (Đối ứng DA3, TDA1 MTQG PTKT vùng ĐBDTTS</t>
  </si>
  <si>
    <t>Phòng Nông nghiệp PTNT</t>
  </si>
  <si>
    <t>Hỗ trợ phát triển sản xuất theo chuỗi giá trị, vùng trồng dược liệu quý, thúc đẩy khởi sự kinh doanh, khởi nghiệp và thu hút đầu tư vùng đồng bào dân tộc thiểu số và miền núi (Đối ứng DA3, TDA2 MTQG PTKT vùng ĐBDTTS</t>
  </si>
  <si>
    <t>các xã</t>
  </si>
  <si>
    <t> Hỗ trợ đa dạng hóa sinh kế, xây dựng, phát triển và nhân rộng các mô hình, dự án giảm nghèo ( Đối ứng DA2 MTQG giảm nghèo)</t>
  </si>
  <si>
    <t>Phòng Lao động TBXH huyện</t>
  </si>
  <si>
    <t>Hỗ trợ phát triển sản xuất trong lĩnh vực nông nghiệp ( Đối ứng DA3 MTQG Gỉam nghèo)</t>
  </si>
  <si>
    <t>Nâng cao chất lượng môi trường, xây dựng cảnh quan nông thôn sáng, xanh, sạch, đẹp, an toàn ( Đối ứng MTQG NTM)</t>
  </si>
  <si>
    <t>Thực hiện Chương trình mỗi xã một sản phẩm ( Đối ứng MTQG NTM)</t>
  </si>
  <si>
    <t xml:space="preserve"> Thực hiện Đề án 06-ĐA/HU 25/10/2021 nuôi trồng thủy sản; </t>
  </si>
  <si>
    <t>Sửa chữa mặt đường và vĩa hè đường Trần Hưng Đạo (Đoạn từ Nguyễn Tất Thành đến làng Kà Đừ) thị trấn Sa Thầy</t>
  </si>
  <si>
    <t>Kinh phí hoạt động của BCĐ công tác QLBV&amp;PTR và Tổ công tác liên ngành QLBVR</t>
  </si>
  <si>
    <t>Chi hoạt động chuyên môn sự nghiệp ( Bao gồm, trạm phát lại truyền thanh; trạm phát lại xã vùng lõm;  tăng thời lượng phát sóng, phát thanh truyền hình tiếng dân tộc)</t>
  </si>
  <si>
    <t>Hỗ trợ phụ cấp hàng tháng cho đội ngũ cộng tác viên làm công tác giảm nghèo theo Đề án giảm nghèo đa chiều</t>
  </si>
  <si>
    <t>Kinh phí thực hiện sửa chữa nâng cấp các Nghĩa trang liệt sĩ và nhà bia tưởng niệm các Liệt sĩ trên địa bàn huyện: Bia tưởng niệm xã Ya Xiêr: 75 triệu; bia tưởng niệm xã Ya Tăng: 150 triệu; bia tưởng niệm xã Mô Rai: 135 triệu.</t>
  </si>
  <si>
    <t>Tiền lương biên chế 37 biên chế</t>
  </si>
  <si>
    <t>Định mức chi thường xuyên 33 BC *16trđ/năm *1,8</t>
  </si>
  <si>
    <t>Phụ cấp kiêm nhiệm chức danh lãnh đạo</t>
  </si>
  <si>
    <t>Kinh phí chi thường xuyên cán bộ biệt phái</t>
  </si>
  <si>
    <t>Tổ chức giám sát, phản biện xã hội đối với các chính sách, dự án, tiểu dự án của Chương trình (Đối ứng DA 10, TDA3 MTQG PTKT vùng ĐBDTTS, MN).</t>
  </si>
  <si>
    <t>Kinh phí hoạt động hội đồng nhân dân</t>
  </si>
  <si>
    <t>Kinh phí  hoạt động thường xuyên ( theo nghị quyết số  /HĐND)</t>
  </si>
  <si>
    <t>Tổ chức mở lớp tập huấn triển khai thực hiện cuộc vận động " Làm thay đổi nếp nghĩ, cách làm của đồng bào dân tộc thiểu số, làm cho đồng bào DTTS vươn lên thoát nghèo bền vững.</t>
  </si>
  <si>
    <t>Khảo sát đánh giá sự hài lòng của người dân về xây dựng nông thôn mới, nông thôn mới nâng cao</t>
  </si>
  <si>
    <t>Cuộc vận động người dân ưu tiên dùng hàng Việt Nam</t>
  </si>
  <si>
    <t>Chi hoạt động các phong trào hội LHPN;</t>
  </si>
  <si>
    <t>Kinh phí tổ chức hội thi cán bộ giỏi</t>
  </si>
  <si>
    <t>Kinh phí tổ chức Hội nghị triển khai các Nghị quyết Đại hội đầu nhiệm kỳ tại xã: 11 lớp/11 xã x 50 học viên/xã</t>
  </si>
  <si>
    <t>Hỗ trợ kinh phí trồng thông ba lá tại điểm cao 1015 và 1049 huyện Sa Thầy</t>
  </si>
  <si>
    <t>Mua sắm TSCĐ 01 bộ máy vi tính</t>
  </si>
  <si>
    <t>Kinh phí nghỉ chế độ 2022 ( Choong Xiêng Mễ,Nguyễn Viết Sỹ)</t>
  </si>
  <si>
    <t>Kinh phí  hoạt động đặc thù, đột xuất của  TT UBND huyện</t>
  </si>
  <si>
    <t>Lắp đặt camera tại Bộ phận tiếp nhận và trả kết quả huyện</t>
  </si>
  <si>
    <t>Kinh phí chuẩn bị gian hàng tham gia tại diễn đàn "Du lịch Kon Tum - Tiềm năng và triển vọng" năm 2022</t>
  </si>
  <si>
    <t xml:space="preserve">Sửa máy điều hòa hội trường 19/5 huyện; </t>
  </si>
  <si>
    <t>Sửa chữa hàng rào khuôn viên Trụ sở HĐND-UBND huyện (Đoạn trước hội trường 19/5 đến đường Nguyễn Trãi)</t>
  </si>
  <si>
    <t>Chi hoạt động bộ máy  (7 biên chế)</t>
  </si>
  <si>
    <t>Chi theo định mức biên chế 07 người x18trđ/năm *1,3</t>
  </si>
  <si>
    <t>Chi mua trang phục ngành ( 04 biên chế)</t>
  </si>
  <si>
    <t>KP tập huấn về tiếp công dân, giải quyết đơn thu khiếu nại, tố cáo</t>
  </si>
  <si>
    <t xml:space="preserve"> Hỗ trợ công tác tôn giáo;  và gặp mặt các chức sắc tôn giáo hàng năm</t>
  </si>
  <si>
    <t>Trang bị phần mền quản lý bộ máy hành chính huyện</t>
  </si>
  <si>
    <t>Kinh phí chi trả thuê kênh truyền hàng tháng (CV2035/2018/STC-QLNS)</t>
  </si>
  <si>
    <t xml:space="preserve"> Hỗ trợ KP hoạt động của Hội Khuyến học</t>
  </si>
  <si>
    <t xml:space="preserve"> Hỗ trợ đại hội Hội cựu giáo chức 54 trđ</t>
  </si>
  <si>
    <t>Chi kiểm tra hành nghề y Dược tư nhân</t>
  </si>
  <si>
    <t>Kinh phí 50 năm chiến thắng Đăk Tô - Tân Cảnh</t>
  </si>
  <si>
    <t>Tiết kiệm 10% chi thường xuyên tạo nguồn cải cách tiền lương</t>
  </si>
  <si>
    <t>(Trường THPT Quang trung  13 trđ; trường PTDT Nội trú 15 trđ; Trung tâm GDNN-GDTX 02 trđ)</t>
  </si>
  <si>
    <t>Sự nghiệp văn hoá thông tin, thể thao,
  du lịch và truyền thông</t>
  </si>
  <si>
    <t>NSNN Đặt hàng; Duy trì hệ thống thoát nước đô thị, thu gom đất bồi lắng mặt đường đô thị</t>
  </si>
  <si>
    <t xml:space="preserve"> Kinh phí phòng chống dịch bệnh trên cạn và dịch bệnh thủy sản; Mua văc xin phòng chống bệnh viêm da nổi cục ở Trâu, bò </t>
  </si>
  <si>
    <t xml:space="preserve"> Khắp phục, sửa chữa cầu treo Kram xã Rờ Kơi; Cầu treo làng Kênh; Cầu treo đội 3 thôn Ia Tri; Cầu treo làng Xộp; Cầu treo đi khi SX làng rẽ xã Mô Rai</t>
  </si>
  <si>
    <t>Chi xăng xe; bảo hiểm, phí, lệ phí xe và sửa chữa xe ô tô phục vụ công tác</t>
  </si>
  <si>
    <t>Kinh phí tổ chức hội thi Nhà nông đua tài cấp huyện năm 2022</t>
  </si>
  <si>
    <t>TT Môi trường dịch vụ đô thị</t>
  </si>
  <si>
    <t>P Tài nguyên&amp; Môi trường</t>
  </si>
  <si>
    <t>Tr. tâm dịch vụ nông nghiệp</t>
  </si>
  <si>
    <t>TT Môi trường và Dịch vụ đô thị</t>
  </si>
  <si>
    <t>TT Văn hóa TT, DL và
 truyền thông</t>
  </si>
  <si>
    <t>PHÂN BỔ DỰ TOÁN CHI NGÂN SÁCH CẤP XÃ NĂM 2022</t>
  </si>
  <si>
    <t>Chi ĐTPT từ nguồn thu sử dụng đất</t>
  </si>
  <si>
    <t>Chi sự nghiệp Giáo dục - Đào tạo</t>
  </si>
  <si>
    <t>Kinh phí phòng chống dịch bệnh động vật trên cạn gồm: ( vệ sinh khử trùng tiêu độc và đăng ký, theo dõi, quản lý chó nuôi, điều trị dự phòng bệnh dại)</t>
  </si>
  <si>
    <t>Đồ án Quy hoạch chung các xã  giai đoạn 2021-2030</t>
  </si>
  <si>
    <t xml:space="preserve"> Duy tu, sủa chữa, cải tạo các công trình phúc lợi, các công trình khác do xã quản lý; Đối ứng DA4, TDA1 MTQG PTKT vùng ĐBDTTS,MN)</t>
  </si>
  <si>
    <t xml:space="preserve"> Hỗ trợ KP chúc thọ mừng thọ (NQ 24/2019/HĐND); hoạt động theo Luật người cao tuổi</t>
  </si>
  <si>
    <t xml:space="preserve">  Phụ cấp CB không chuyên trách theo NĐ 34/2019</t>
  </si>
  <si>
    <t>Kinh phí đại hội chi bộ trực thuộc đảng ủy cơ sở nhiệm kỳ 2022-2025</t>
  </si>
  <si>
    <t>Bổ sung kinh phí chuyển vùng xã Sa Bình đạt chuẩn NTM</t>
  </si>
  <si>
    <t>Giảm phụ cấp thu hút</t>
  </si>
  <si>
    <t>Giảm phụ cấp lâu năm</t>
  </si>
  <si>
    <t>BCĐ cuộc vận động "Làm thay đổi nếp nghĩ, cách làm của ĐBDTTS")</t>
  </si>
  <si>
    <t>Trợ cấp lần đầu khi nhận công tác ở vùng có điều kiện kinh tế - xã hội đặc biệt khó khăn theo Nghị định 76/2019/NĐ-CP</t>
  </si>
  <si>
    <t>Trợ cấp một lần khi nghỉ hưu theo Nghị định 76/2019/NĐ-CP</t>
  </si>
  <si>
    <t xml:space="preserve">Trợ cấp một lần cho dân quân thường trực </t>
  </si>
  <si>
    <t xml:space="preserve">Tiết kiệm 10% chi thường xuyên </t>
  </si>
  <si>
    <t>Huyện giao QĐ 2116/QĐ-UBND</t>
  </si>
  <si>
    <t>Phòng giáo dục và Đào tạo
 phân bổ chi tiết</t>
  </si>
  <si>
    <t xml:space="preserve">Chi văn hóa thể thao du lịch- truyền thông </t>
  </si>
  <si>
    <t xml:space="preserve">Kinh phí diễn tập PT </t>
  </si>
  <si>
    <t>Mua sắm dàn micro phòng họp số 2 hội trường 19/5</t>
  </si>
  <si>
    <t>Bổ sung một số nhiệm vụ đột xuất theo Tờ trình số  87/TTr-VPHU ngày 04/11/2022</t>
  </si>
  <si>
    <t>Giảm (-)</t>
  </si>
  <si>
    <t>Chi ban chỉ đạo của BTV huyện ủy (Thực hiện cải cách tư pháp;  Ban tôn giáo; BCĐ quy chế dân chủ</t>
  </si>
  <si>
    <t>Kinh phí chỉnh lý tài liệu các cơ quan chuyên trách giúp việc huyện ủy</t>
  </si>
  <si>
    <t>BIỂU CHI TIẾT DỰ TOÁN CHI THƯỜNG XUYÊN SỰ NGHIỆP GIÁO DỤC NĂM 2022</t>
  </si>
  <si>
    <t>Nội dung/Đơn vị</t>
  </si>
  <si>
    <t>Biên chế</t>
  </si>
  <si>
    <t>Dự toán chi năm 2022 đã giao tại Quyết định số 2116/ QĐ-UBND ngày 23/12/2022</t>
  </si>
  <si>
    <t>Dự toán điều chỉnh lần 1 tại Quyết định số 1701/QĐ-UBND ngày 14/10/2022</t>
  </si>
  <si>
    <t>Dự toán điều chỉnh lần 2</t>
  </si>
  <si>
    <t>Điều chỉnh</t>
  </si>
  <si>
    <t>10% tiết kiệm chi thường xuyên</t>
  </si>
  <si>
    <t>Dự toán đơn vị được sử dụng</t>
  </si>
  <si>
    <t>NSNN cấp</t>
  </si>
  <si>
    <t>Nguồn thu 
được để lại chi, nguồn thu sự nghiệp ( sau khi trừ chi phí và tạo nguồn thực hiện CCTL)</t>
  </si>
  <si>
    <t>CHI CÂN ĐỐI</t>
  </si>
  <si>
    <t>GIÁO DỤC MẦM NON</t>
  </si>
  <si>
    <t>Trường Mầm non Hoa Hồng</t>
  </si>
  <si>
    <t xml:space="preserve"> Biên chế quỹ lương và các khoản đóng góp</t>
  </si>
  <si>
    <t xml:space="preserve"> Định mức chi khác (28 người  x 12 triệu /năm)</t>
  </si>
  <si>
    <t xml:space="preserve"> Hỗ trợ Tăng cường cơ sở vật chất, đồ chơi ngoài trời, mái vòm che năng…</t>
  </si>
  <si>
    <t>Kinh phí chế độ GV dạy học sinh khuyết tật</t>
  </si>
  <si>
    <t>-Kinh phí HĐ TX chi bộ cơ sở theo QĐ số 99-QĐ/TW ngày 30/5/2012 của BCH TƯ</t>
  </si>
  <si>
    <t>Trường Mầm non Họa Mi</t>
  </si>
  <si>
    <t>- Biên chế quỹ lương và các khoản đóng góp</t>
  </si>
  <si>
    <t>- Định mức chi khác (30 người  x 12 triệu /năm)</t>
  </si>
  <si>
    <t>Trường Mầm non Sơn Ca</t>
  </si>
  <si>
    <t xml:space="preserve"> Định mức chi khác  (26 người  x 12 triệu /năm)</t>
  </si>
  <si>
    <t>Kinh phí HĐ TX chi bộ cơ sở theo QĐ số 99-QĐ/TW ngày 30/5/2012 của BCH TƯ</t>
  </si>
  <si>
    <t>Sửa chữa mái vòm</t>
  </si>
  <si>
    <t>Trường Mầm non Mô Ray</t>
  </si>
  <si>
    <t>- Định mức chi khác (19 người  x 12 triệu /năm)</t>
  </si>
  <si>
    <t>- Kinh phí chế độ GV dạy học sinh khuyết tật</t>
  </si>
  <si>
    <t>- Hỗ trợ mua bàn ghế, thiết bị phòng họp</t>
  </si>
  <si>
    <t>Trường Mầm non Sa Nhơn</t>
  </si>
  <si>
    <t>Trường Mầm non xã Rờ Kơi</t>
  </si>
  <si>
    <t>Định mức chi khác (23 người  x 12 triệu /năm)</t>
  </si>
  <si>
    <t>Trợ cấp lần đầu</t>
  </si>
  <si>
    <t>- Chương trình sữa học đường</t>
  </si>
  <si>
    <t>Trường Mầm non xã Ya Xiêr</t>
  </si>
  <si>
    <t>- Định mức chi khác (28 người  x 12 triệu /năm)</t>
  </si>
  <si>
    <t>Trợ cấp lần đầu; trợ cấp chuyển vùng</t>
  </si>
  <si>
    <t>Trường Mầm non Ánh Dương xã Sa Bình</t>
  </si>
  <si>
    <t>- Định mức chi khác (14 người  x 12 triệu /năm)</t>
  </si>
  <si>
    <t xml:space="preserve">Trường Mầm non Chim Non </t>
  </si>
  <si>
    <t>- Định mức chi khác (16 người  x 12 triệu /năm)</t>
  </si>
  <si>
    <t>Trường Mầm non Sao Mai</t>
  </si>
  <si>
    <t>- Định mức chi khác (15 người  x 12 triệu /năm)</t>
  </si>
  <si>
    <t>Trường Mầm non Hoa Sen xã Sa Nghĩa</t>
  </si>
  <si>
    <t xml:space="preserve"> - Kinh phí chế độ GV dạy học sinh khuyết tật</t>
  </si>
  <si>
    <t>Trường Mầm non Vàng Anh</t>
  </si>
  <si>
    <t>- Hỗ trợ công tác phí cho CBGV điều động làm việc tại PGD đi công tác phục vụ chuyên môn cho toàn ngành và Sở giáo dục</t>
  </si>
  <si>
    <t>Trường Mầm non Tuổi Thơ</t>
  </si>
  <si>
    <t>Trường Mầm non Bình Minh</t>
  </si>
  <si>
    <t>Trường Mầm non  Sa Bình</t>
  </si>
  <si>
    <t>Định mức chi khác (14 người  x 12 triệu /năm)</t>
  </si>
  <si>
    <t>Truy lĩnh thu hút, lau năm 4 thôn kk</t>
  </si>
  <si>
    <t>Chuyển vùng</t>
  </si>
  <si>
    <t>TIỂU HỌC</t>
  </si>
  <si>
    <t>Trường Tiểu học Lê Hồng Phong</t>
  </si>
  <si>
    <t>- Định mức chi khác (21 người  x 12 triệu /năm)</t>
  </si>
  <si>
    <t>Mua bộ thiết bị phục vụ dạy học lồng ghép ANQP lớp 1,2,3</t>
  </si>
  <si>
    <t>Trường TH Trần Quốc Toản</t>
  </si>
  <si>
    <t>- Định mức chi khác (39 người  x 11 triệu /năm)</t>
  </si>
  <si>
    <t xml:space="preserve">- Hỗ trợ nhiệm vụ vận chuyển gạo các trường có chính sách bán trú </t>
  </si>
  <si>
    <t>- Hỗ trợ công tác phí cho CBGV điều động làm việc tại PGD đi công tác phục vụ chuyên môn cho toàn ngành.</t>
  </si>
  <si>
    <t>Trường TH Rờ Kơi</t>
  </si>
  <si>
    <t>- Định mức chi khác (36 người  x 11 triệu /năm)</t>
  </si>
  <si>
    <t>- Kinh phí HĐ TX chi bộ cơ sở theo QĐ số 99-QĐ/TW ngày 30/5/2012 của BCH TƯ</t>
  </si>
  <si>
    <t>Trường PTDTBT TH Lý Thường Kiệt</t>
  </si>
  <si>
    <t>- Định mức chi khác (30 người  x 12  triệu /năm)</t>
  </si>
  <si>
    <t>Trường Tiểu học Nguyễn Bá Ngọc</t>
  </si>
  <si>
    <t>- Định mức chi khác (20 người  x 12 triệu /năm)</t>
  </si>
  <si>
    <t>Trường TH Lê Văn Tám</t>
  </si>
  <si>
    <t>- Định mức chi khác (22 người  x 12 triệu /năm)</t>
  </si>
  <si>
    <t>Trường Tiểu học Võ Thị Sáu</t>
  </si>
  <si>
    <t>- Định mức chi khác (31 người  x 11 triệu /năm)</t>
  </si>
  <si>
    <t>Trường TH Hùng Vương</t>
  </si>
  <si>
    <t>- Hỗ trợ tiền điện hội trường phục vụ tập huấn, hội thảo của ngành</t>
  </si>
  <si>
    <t>TRUNG HỌC CƠ SỞ</t>
  </si>
  <si>
    <t>Trường THCS Nguyễn Tất Thành</t>
  </si>
  <si>
    <t>- Định mức chi khác (42 người  x 11 triệu /năm)</t>
  </si>
  <si>
    <t>Mua bộ thiết bị phục vụ dạy học lồng ghép ANQP lớp 6,7</t>
  </si>
  <si>
    <t>- Hỗ trợ mua máy photo (đảm bảo tính bảo mật đề thi)</t>
  </si>
  <si>
    <t>Trường TH - THCS xã Ya Ly</t>
  </si>
  <si>
    <t>Mua bộ thiết bị phục vụ dạy học lồng ghép ANQP lớp 1,2,3,6,7</t>
  </si>
  <si>
    <t>- Hỗ trợ mua máy photo copy</t>
  </si>
  <si>
    <t>Trợ cấp lần đầu, chuyển vùng</t>
  </si>
  <si>
    <t>Trường PTDTBT THCS Hai Bà Trưng</t>
  </si>
  <si>
    <t xml:space="preserve"> Định mức chi khác (27 người  x 12 triệu /năm)</t>
  </si>
  <si>
    <t>Mua bộ thiết bị phục vụ dạy học lồng ghép ANQP lớp  6,7</t>
  </si>
  <si>
    <t>- Hỗ trợ Hội thi hội Cồng Chiêng (Sở giáo dục tổ chức)</t>
  </si>
  <si>
    <t xml:space="preserve"> Hỗ trợ nhiệm vụ vận chuyển gạo các trường có chính sách bán trú </t>
  </si>
  <si>
    <t>Trường TH -THCS Chu Văn An</t>
  </si>
  <si>
    <t xml:space="preserve"> Định mức chi khác (22 người  x 12 triệu /năm)</t>
  </si>
  <si>
    <t>Phụ cấp lâu năm</t>
  </si>
  <si>
    <t xml:space="preserve"> Kinh phí HĐ TX chi bộ cơ sở theo QĐ số 99-QĐ/TW ngày 30/5/2012 của BCH TƯ</t>
  </si>
  <si>
    <t>Trường THCS Rờ Kơi</t>
  </si>
  <si>
    <t>- Định mức chi khác (26 người  x 12 triệu /năm)</t>
  </si>
  <si>
    <t>Trường TH - THCS xã Sa Sơn</t>
  </si>
  <si>
    <t xml:space="preserve"> Định mức chi khác (30 người  x 12triệu /năm)</t>
  </si>
  <si>
    <t>Trường PTDTBT THCS Nguyễn Huệ</t>
  </si>
  <si>
    <t xml:space="preserve">Chuyển vùng </t>
  </si>
  <si>
    <t>Trường TH - THCS xã Sa Nghĩa</t>
  </si>
  <si>
    <t>- Định mức chi khác (33 người  x 11 triệu /năm)</t>
  </si>
  <si>
    <t>Trường PTDTBT THCS Phan Đình Phùng</t>
  </si>
  <si>
    <t>- Định mức chi khác (40 người  x 11 triệu /năm)</t>
  </si>
  <si>
    <t>Trợ cấp lần đầu, Chuyển vùng</t>
  </si>
  <si>
    <t>Trường TH-THCS xã Ya Tăng</t>
  </si>
  <si>
    <t>Trường TH - THCS xã Ya Xiêr</t>
  </si>
  <si>
    <t>- Định mức chi khác (53 người  x 11 triệu /năm)</t>
  </si>
  <si>
    <t>Trường TH - THCS xã Sa Nhơn</t>
  </si>
  <si>
    <t>- Định mức chi khác (37 người  x 11 triệu /năm)</t>
  </si>
  <si>
    <t>Trường TH- THCS Võ Nguyên Giáp</t>
  </si>
  <si>
    <t>- Định mức chi khác (35 người  x 11 triệu /năm)</t>
  </si>
  <si>
    <t>- Hỗ trợ công tác phí cho CBGV,NV điều động làm việc tại PGD đi công tác phục vụ chuyên môn cho toàn ngành.</t>
  </si>
  <si>
    <t>Trường TH -THCS Nguyễn Trãi</t>
  </si>
  <si>
    <t>Trường TH -THCS Lê Qúy Đôn</t>
  </si>
  <si>
    <t>- Mua sắm đồ dùng , thiết bị phục vụ bếp ăn bán trú</t>
  </si>
  <si>
    <t>Chi khác để chi công tác chuyên môn mang tính chất chung của ngành</t>
  </si>
  <si>
    <t>- Chi trích lập quỹ khen thưởng toàn ngành, từ cấp huyện khen thưởng trở lên</t>
  </si>
  <si>
    <t>- Chi công tác chuyên môn mang tính chất chung của toàn ngành (hoạt động chuyên môn ngành, VPP, tham quan học hỏi kinh nghiệm...)</t>
  </si>
  <si>
    <t>- Chi tổ chức tập huấn, công tác phí cho cán bộ quản lý, giáo viên phổ thông tham gia tập huấn đại trà thực hiện chương trình giáo dục phổ thông năm 2018.</t>
  </si>
  <si>
    <t>- Chi mua sắm thiết bị phòng họp trực tuyến của Ngành</t>
  </si>
  <si>
    <t>CHI CÁC CHÍNH SÁCH GIÁO DỤC TRONG CÂN ĐỐI</t>
  </si>
  <si>
    <t>Nguồn chi thường xuyên cân đối</t>
  </si>
  <si>
    <t>Học sinh bán trú và Trường PTDT bán trú theo NĐ 116/2016/NĐ-CP</t>
  </si>
  <si>
    <t>Hỗ trợ học sinh Rơ Mâm theo QĐ 57/QĐ-TTg</t>
  </si>
  <si>
    <t>Tạm cấp Hỗ trợ học sinh khuyết tật (Học bổng và đồ dùng dạy học theo Thông tu liên tịch số 42/2013/TTLT-BGDĐT-BLĐTBXH-BTC)</t>
  </si>
  <si>
    <t>Đề án nâng cao chất lượng giáo dục DTTD tỉnh Kon Tum</t>
  </si>
  <si>
    <t>Kinh phí hỗ trợ Trung tâm học tập cộng đồng năm 2022</t>
  </si>
  <si>
    <t>Hỗ trợ cấp bù học phí học kỳ I năm học 2021-2022 theo Nghị quyết số 48/2021/NQ-HĐND ngày 22/10/2021 của HDND tỉnh</t>
  </si>
  <si>
    <t>Tam cấp Kinh phí hỗ trợ ăn trưa cho trẻ Mẫu giáo từ 3-5 tuổi theo NĐ 105/NĐ-TTg</t>
  </si>
  <si>
    <t>Tạm cấp Hỗ trợ học sinh Rơ Mâm theo QĐ 57/QĐ-TTg</t>
  </si>
  <si>
    <t xml:space="preserve">Mua sắm trang thiết bị dạy học, sửa chữa nhỏ </t>
  </si>
  <si>
    <t>- Sửa chữa nhà học 03 phòng, 01 nhà hiệu bộ, nhà vệ sinh trường Mầm non Ánh Dương xã Sa Bình (điểm trung tâm)</t>
  </si>
  <si>
    <t>- Sửa chữa nhà học 04 phòng trường Mầm non Sơn Ca (điểm trung tâm)</t>
  </si>
  <si>
    <t>- Sửa chữa nhà học 02 phòng, 04 phòng trường TH - THCS xã Sa Sơn (điểm trung tâm Tiểu học)</t>
  </si>
  <si>
    <t>- Sửa chữa cổng tường rào, sân bê tông trường Tiểu học Võ Thị Saú xã Hơ Moong (điểm trường thôn Đăk Yo)</t>
  </si>
  <si>
    <t>- Sửa chữa 02 dãy nhà học mỗi dãy nhà học 02 phòng (04 phòng), cổng tường rào, sân bê tông trường Mầm non Tuổi Thơ xã Hơ Moong (điểm trường thôn Đak Yo)</t>
  </si>
  <si>
    <t>- Mua sắm bàn ghế giáo viên, học sinh, bảng chống lóa năm học 2022-2023</t>
  </si>
  <si>
    <t>+ Sửa chữa Hội trường và các hạng mục phụ trợ trường Tiểu học Hùng Vương- thị trấn Sa Thầy</t>
  </si>
  <si>
    <t>+ Mua sắm 04 phòng máy vi tính dạy học trường Tiểu học Trần Quốc Toản, Trường THCS Nguyễn Tất Thành và trường THCS Phan Đình Phùng, trường Tiểu học Hùng Vương</t>
  </si>
  <si>
    <t>+ Sữa chữa nhà học và các hạng mục phụ trợ điểm trường thôn Đak Tân trường mầm non Hoa Sen xã Sa Nghĩa</t>
  </si>
  <si>
    <t>Kinh phí thực hiện chính sách</t>
  </si>
  <si>
    <t>Kinh phí hỗ trợ ăn trưa cho trẻ Mẫu giáo từ 3-5 tuổi theo NĐ 105/NĐ-TTg</t>
  </si>
  <si>
    <t>Hỗ trợ học sinh khuyết tật (Học bổng và đồ dùng dạy học theo Thông tu liên tịch số 42/2013/TTLT-BGDĐT-BLĐTBXH-BTC)</t>
  </si>
  <si>
    <t>Hỗ trợ chi phí học tập và miễm giảm học phí</t>
  </si>
  <si>
    <t>- Hỗ trợ chi phí học tập</t>
  </si>
  <si>
    <t>- Kinh phí cấp bù, miễn giảm học phí</t>
  </si>
  <si>
    <t>Đề án tỉnh ban hành</t>
  </si>
  <si>
    <t>Đề án nâng cao chất lượng giáo dục đối với  học sinh DTTS</t>
  </si>
  <si>
    <t>Tăng cường cơ sở vật chất trang thiết bị, đồ dùng dạy học, sách giáo khoa thư viện các trường học</t>
  </si>
  <si>
    <t xml:space="preserve"> Mua sắm bàn ghế giáo viên, học sinh, bảng chống lóa năm học 2022-2023</t>
  </si>
  <si>
    <t xml:space="preserve"> BCĐ cuộc vận động "Làm thay đổi nếp nghĩ, cách làm của ĐBDTTS"</t>
  </si>
  <si>
    <t>(Kèm theo Tờ trình số:     /TTr - PGD&amp;ĐT ngày   tháng    năm 2022 của Phòng Giáo dục và Đào tạo)</t>
  </si>
  <si>
    <t>Biên chế quỹ lương và các khoản đóng góp</t>
  </si>
  <si>
    <t>- Chuyển vùng (Tô Thị Thanh Thu)</t>
  </si>
  <si>
    <t>Trợ cấp chuyển vùng</t>
  </si>
  <si>
    <t>- Mua bộ thiết bị phục vụ dạy học lồng ghép ANQP lớp 1,2,3,6,7</t>
  </si>
  <si>
    <t>Hỗ trợ, bồi dưỡng học sinh giỏi, nâng cao kiến thức chuyên môn nghiệp vụ giáo viên (Đề án của huyện)</t>
  </si>
  <si>
    <t>+ Sửa chữa  02 nhà vệ sinh điểm trung tâm trường Tiểu học Trần Quốc Toản và trường Trung học cơ sở Phan Đình Phùng xã Hơ Moong.</t>
  </si>
  <si>
    <t>7=3+4-5-6</t>
  </si>
  <si>
    <t>Sa Sơn</t>
  </si>
  <si>
    <t>Ya ly</t>
  </si>
  <si>
    <t>Trung tâm Giáo dục  nghề nghiệp - Giáo dục thường xuyên</t>
  </si>
  <si>
    <t xml:space="preserve"> Thực hiện Đề án 06-ĐA/HU 25/10/2021 nuôi trồng thủy sản; Đề án 07-ĐA/HU ngày 25/10/2021 cải tạo vườn tạp trên địa bàn huyện giai đoạn 2021-2025;</t>
  </si>
  <si>
    <t xml:space="preserve">Phòng Nội vụ </t>
  </si>
  <si>
    <t>Chi hoạt động bộ máy (06 người )</t>
  </si>
  <si>
    <t>Cài đặt phần mềm kế toán</t>
  </si>
  <si>
    <t xml:space="preserve"> Chi hỗ trợ công tác giữ gìn ANTT ATXH trên địa bàn; ANBG (Bao gồm tà đạo hà mòn); Hỗ trợ kinh phí tập huấn công tác phòng cháy chữa cháy</t>
  </si>
  <si>
    <t>Hỗ trợ Quỹ hỗ trợ nông dân theo Quyết định 69/QĐ-UBND ngày 09/01/2020</t>
  </si>
  <si>
    <t>Đề  án nâng cao chất lượng HSDTTS</t>
  </si>
  <si>
    <t>Tổ chức dạy xóa mù chữ cho người dân vùng ĐBDTTS (gồm 10% Đối ứng ĐA5, TDA 1 MTQG PT)</t>
  </si>
  <si>
    <t xml:space="preserve"> Đối ứng 10% DA4 TDA1 MTQG giảm nghèo: Hỗ trợ cơ sở giáo dục nghề nghiệp</t>
  </si>
  <si>
    <t xml:space="preserve"> Đối ứng 10%  MTQG PTKT vùng ĐBDTTS, MN DA5, TDA3 tổ chức dạy nghề cho lao động vùng ĐB DTTS</t>
  </si>
  <si>
    <t>Đối ứng 10%  DA4 TDA1 MTQG giảm nghèo: Hỗ trợ đào tạo nghề</t>
  </si>
  <si>
    <t>Thực hiện mô hình khuyến nông, khuyến lâm, khuyến ngư; (Đối ứng 10% DA2, DA 3 MTQG giảm nghèo; DA3, TDA2 MTQG PTKT vùng ĐBDTTS)</t>
  </si>
  <si>
    <t xml:space="preserve"> Tăng cường khuyến nông; Hỗ trợ các xã vùng ngập lòng hồ thuỷ điện Ya Ly và PLeiKrông</t>
  </si>
  <si>
    <t>Thực hiện Đề án giữ gìn bản sắc văn hóa dân tộc; tham gia hội thi hội cồng chiêng tại tỉnh; ( gồm Đối ứng 10%  DA6 MTQG PTKT vùng ĐBDTTS, MN)</t>
  </si>
  <si>
    <t>Thực hiện chương trình hành động quốc gia vì trẻ em ; gồm Đối ứng 10%  DA8 MTQG PTKT vùng DBDTTS, MN</t>
  </si>
  <si>
    <t>Chính sách Bảo trợ  xã hội theo Nghị định 20/CP,  hỗ trợ đối tượng chính sách</t>
  </si>
  <si>
    <t>Chi đảm bảo xã hội khác,</t>
  </si>
  <si>
    <t>Dự án hỗ trợ thực hiện các mục tiêu quốc gia về bình đẳng giới ( Truyền thông nâng cao nhận thức về bình đẳng giới) gồm  Đối ứng 10% DA 8 MTQG PTKT vùng ĐBDTTS, MN.</t>
  </si>
  <si>
    <t>Hỗ trợ việc làm bền vững ( 10% Đối ứng DA4, TDA 3 MTQG giảm nghèo).</t>
  </si>
  <si>
    <t>Hỗ trợ  người có uy tín trong đồng bào DTTS
 theo QĐ số 18/2011/QĐ-TTg ( gồm 10% Đối ứng  DA 10, TDA1 MTQG PTKT vùng ĐBDTTS, MN).</t>
  </si>
  <si>
    <t>Hỗ trợ thực hiện cuộc vận động " Toàn dân đoàn kết XDDSVH đô thị văn minh"; gồm 50% Đối ứng MTQG XDNTM nội dung khác…</t>
  </si>
  <si>
    <t>Kinh phí thực hiện Đề án 02-1133 2018//TTg Tiếp tục xây dụng và đẩy mạnh công các tuyên truyền vận động chấp hành Pháp luật trong cộng đồng dân cư ; gồm Đối ứng MTQG XDNTM nội dung khác tại ĐP</t>
  </si>
  <si>
    <t>Kinh phí giám sát, phản biện xã hội TT-BTC số 337/2016 ( gồm 10% Đối ứng DA 10, TDA3 MTQG PTKT vùng ĐBDTTS, MN).</t>
  </si>
  <si>
    <t>Giám sát phản biện xã hội theo TT337/2016/TT-BTC (gồm 10% Đối ứng DA 8 MTQG PTKT vùng ĐBDTTS, MN).</t>
  </si>
  <si>
    <t>Chi tổ chức ngày phụ nữ khởi nghiệp; Tập huấn khởi nghiệp cho Hội viên, phụ nữ có ý tưởng khởi nghiệp; Tổ chức hội thi tuyên truyền An toàn cho phụ nữ và trẻ em; gồm Đối ứng MTQG XDNTM nội dung các hoạt động khác tại ĐP</t>
  </si>
  <si>
    <t>Giám sát phản biện xã hội theo TT337/2016/TT-BTC ( gồm 10% Đối ứng DA 8 MTQG PTKT vùng ĐBDTTS, MN).</t>
  </si>
  <si>
    <t>Giám sát phản biện xã hội theo TT337/2016/TT-BTC (gồm 10% Đối ứng DA 8 MTQG PTKT vùng ĐBDTTS, MN)</t>
  </si>
  <si>
    <t>Bổ sung Đối ứng MTQG XDNTM: Nâng cao nhận thức và chuyển đổi tư duy của cán bộ các cấp và người dân về phát triển kinh tế nông thôn và xây dựng nông thôn mới</t>
  </si>
  <si>
    <t>Bổ sung Đối ứng MTQG XDNTM: Truyền thông về xây dựng nông thôn mới</t>
  </si>
  <si>
    <t>Bổ sung Đối ứng MTQG XDNTM: Kinh phí hoạt động của cơ quan chỉ đạo Chương trình các cấp</t>
  </si>
  <si>
    <t>Chi công tác tuyên truyền pháp luật và kiểm tra, xử lý, rà soát, hệ thống văn bản quy phạm pháp luật trên địa bàn; gồm đối ứng DA10, TDA1 MTQG PTKT vùng ĐBDTTS, MN</t>
  </si>
  <si>
    <t>Thực hiện các hoạt động thông tin, tuyên truyền giảm nghèo cho cơ sở ( gồm 10% Đối ứng DA6,TDA1 MTQG giảm nghèo)</t>
  </si>
  <si>
    <t>Kinh phí tuyên truyền, phổ biến, giáo dục pháp luật về quản lý, hoạt động phát triển sự nghiệp ngành, lĩnh vực: Quảng bá, PT nguồn dược liệu gắn với Du lịch trên địa bàn theo Nghị quyết HĐND huyện ( gồm 10% Đối ứng DA10, TDA 2 MTQG vùng ĐBDTTS, MN)</t>
  </si>
  <si>
    <t xml:space="preserve">Ban chỉ đạo làm công tác  giảm nghèo (gồm 10% Đối ứng DA7, TDA1, TDA2 MTQG giảm nghèo)
</t>
  </si>
  <si>
    <t>KP hoạt động vì sự tiến bộ phụ nữ; gồm 10% Đối ứng DA8 MTQG PTKT vùng ĐBDTTS,MN</t>
  </si>
  <si>
    <t>Bổ sung Truyền thông về giảm nghèo đa chiều (10% Đối ứng DA6,TDA2 MTQG giảm nghèo)</t>
  </si>
  <si>
    <t xml:space="preserve"> Kinh phí hoạt động  thường trực về chính sách dân tộc; gồm 10% Đối ứng MTQG DTNM, DA10, TDA 1, TDA 3 ND số 2 phổ biến GDPL và tuyên truyền, vận động ĐBDTTS và miền núi; Kiểm tra, giám sát, đánh giá; sơ kết, tổng kết tổng thể Chương trình </t>
  </si>
  <si>
    <t>Bổ sung 10% Đối ứng DA 5, tiểu DA4 MTQG PTKT tập huấn, đào tạo nâng cao năng lực cộng đồng</t>
  </si>
  <si>
    <t xml:space="preserve"> Bổ sung 10%  Đối ứng DA9, TDA 2  MTQG PTKT: Giảm thiểu tình trạng tảo hôn và hôn nhân cận huyết thống trong vùng đồng bào dân tộc thiểu số và miền núi</t>
  </si>
  <si>
    <t>Kinh phí thực hiện Đề án 500 trí thức trẻ tình nguyện ( Phòng nội vụ)</t>
  </si>
  <si>
    <t>Bổ sung 10%  Đối ứng DA1, nội dung 4 MTQG PTKT vùng ĐBDTTS, MN:Hỗ trợ chuyển đối nghề</t>
  </si>
  <si>
    <t xml:space="preserve"> Bổ sung 10%  Đối ứng DA1, nội dung 4 MTQG PTKT vùng ĐBDTTS, MN: Hỗ trợ nước sinh hoạt phân tán </t>
  </si>
  <si>
    <t xml:space="preserve"> Duy tu, sủa chữa, cải tạo các công trình phúc lợi, các công trình khác do xã quản lý; gồm 10% Đối ứng  MTQG PTKT vùng ĐBDTTS,MNDA4, TDA1)</t>
  </si>
  <si>
    <t>Công tác quản lý, bảo vệ môi trường; gồm 50%  Đối ứng MTQG XDNTM: nâng cao chất lượng môi trường, xây dựng cảnh quan nông thôn sang, xanh, sạch, đẹp, an toàn</t>
  </si>
  <si>
    <t>Bổ sung 10% Đối ứng MTQG DTMN, DA8, TDA1, ND1 :Thực hiện bình đẳng giới và giải quyết những vấn đề cấp thiết đối với phụ nữ và trẻ em</t>
  </si>
  <si>
    <t>Bổ sung 10%  Đối ứng MTQG DTMN, DA9, TDA2: Giảm thiểu tình trạng tảo hôn và hôn nhân cận huyết thống trong vùng đồng bào dân tộc thiểu số và miền núi</t>
  </si>
  <si>
    <t>Chi Giám sát  đầu tư cộng đồng; ( gồm 10% Đối ứng DA10, TDA3 MTQG PTKT vùng ĐBDTTS,MN); Tổ hoà giải; Thanh tra nhân dân</t>
  </si>
  <si>
    <t>Bổ sung 50% Đối ứng MTQG XDNTM: Kinh phí hoạt động của cơ quan chỉ đạo Chương trình các cấp</t>
  </si>
  <si>
    <t>Bổ sung 10% Đối ứng DA7,TDA1 MTQG giảm nghèo:Tập huấn nâng cao năng lực cho đội ngũ làm công tác giảm nghèo cấp xã (Đối ứng DA7,TDA1 MTQG giảm nghèo)</t>
  </si>
  <si>
    <t xml:space="preserve">Bổ sung 10% Đối ứng DA7,TDA2 MTQG giảm nghèo: Ban chỉ đạo các Chương trình MTQG cấp xã </t>
  </si>
  <si>
    <r>
      <t>Chi  hoạt động sự nghiệp,</t>
    </r>
    <r>
      <rPr>
        <b/>
        <i/>
        <sz val="8"/>
        <color theme="1"/>
        <rFont val="Times New Roman"/>
        <family val="1"/>
      </rPr>
      <t xml:space="preserve"> gồm</t>
    </r>
    <r>
      <rPr>
        <b/>
        <sz val="8"/>
        <color theme="1"/>
        <rFont val="Times New Roman"/>
        <family val="1"/>
      </rPr>
      <t>: Thực hiện công tác tuyên truyền, vận động trong vùng đồng bào dân tộc thiểu số và miền núi( gồm Đối ứng 10% DA10, TDA1 MTQG PTKT vùng ĐBDTTS, MN)</t>
    </r>
  </si>
  <si>
    <t>Giao thông nông thôn duy tu, bảo dưỡng các công trình sau đầu tư (gồm đối ứng Chương trình MTQG XDNTM)</t>
  </si>
</sst>
</file>

<file path=xl/styles.xml><?xml version="1.0" encoding="utf-8"?>
<styleSheet xmlns="http://schemas.openxmlformats.org/spreadsheetml/2006/main" xmlns:mc="http://schemas.openxmlformats.org/markup-compatibility/2006" xmlns:x14ac="http://schemas.microsoft.com/office/spreadsheetml/2009/9/ac" mc:Ignorable="x14ac">
  <numFmts count="158">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 _₫_-;\-* #,##0\ _₫_-;_-* &quot;-&quot;\ _₫_-;_-@_-"/>
    <numFmt numFmtId="165" formatCode="_-* #,##0.00\ _₫_-;\-* #,##0.00\ _₫_-;_-* &quot;-&quot;??\ _₫_-;_-@_-"/>
    <numFmt numFmtId="166" formatCode="_(* #,##0.000_);_(* \(#,##0.000\);_(* &quot;-&quot;??_);_(@_)"/>
    <numFmt numFmtId="167" formatCode="_(* #,##0_);_(* \(#,##0\);_(* &quot;-&quot;??_);_(@_)"/>
    <numFmt numFmtId="168" formatCode="_-&quot;€&quot;* #,##0_-;\-&quot;€&quot;* #,##0_-;_-&quot;€&quot;* &quot;-&quot;_-;_-@_-"/>
    <numFmt numFmtId="169" formatCode="&quot;\&quot;#,##0.00;[Red]&quot;\&quot;&quot;\&quot;&quot;\&quot;&quot;\&quot;&quot;\&quot;&quot;\&quot;\-#,##0.00"/>
    <numFmt numFmtId="170" formatCode="&quot;\&quot;#,##0;[Red]&quot;\&quot;&quot;\&quot;\-#,##0"/>
    <numFmt numFmtId="171" formatCode="_-* #,##0_-;\-* #,##0_-;_-* &quot;-&quot;_-;_-@_-"/>
    <numFmt numFmtId="172" formatCode="_-* #,##0.00_-;\-* #,##0.00_-;_-* &quot;-&quot;??_-;_-@_-"/>
    <numFmt numFmtId="173" formatCode="_-* #,##0\ &quot;€&quot;_-;\-* #,##0\ &quot;€&quot;_-;_-* &quot;-&quot;\ &quot;€&quot;_-;_-@_-"/>
    <numFmt numFmtId="174" formatCode="_-* #,##0\ _F_-;\-* #,##0\ _F_-;_-* &quot;-&quot;\ _F_-;_-@_-"/>
    <numFmt numFmtId="175" formatCode="_ &quot;\&quot;* #,##0_ ;_ &quot;\&quot;* \-#,##0_ ;_ &quot;\&quot;* &quot;-&quot;_ ;_ @_ "/>
    <numFmt numFmtId="176" formatCode="_ &quot;\&quot;* #,##0.00_ ;_ &quot;\&quot;* \-#,##0.00_ ;_ &quot;\&quot;* &quot;-&quot;??_ ;_ @_ "/>
    <numFmt numFmtId="177" formatCode="_ * #,##0_ ;_ * \-#,##0_ ;_ * &quot;-&quot;_ ;_ @_ "/>
    <numFmt numFmtId="178" formatCode="_ * #,##0.00_ ;_ * \-#,##0.00_ ;_ * &quot;-&quot;??_ ;_ @_ "/>
    <numFmt numFmtId="179" formatCode="0.000"/>
    <numFmt numFmtId="180" formatCode="#,##0.0_);\(#,##0.0\)"/>
    <numFmt numFmtId="181" formatCode="_(* #,##0.0000_);_(* \(#,##0.0000\);_(* &quot;-&quot;??_);_(@_)"/>
    <numFmt numFmtId="182" formatCode="0.0%;[Red]\(0.0%\)"/>
    <numFmt numFmtId="183" formatCode="_ * #,##0.00_)&quot;£&quot;_ ;_ * \(#,##0.00\)&quot;£&quot;_ ;_ * &quot;-&quot;??_)&quot;£&quot;_ ;_ @_ "/>
    <numFmt numFmtId="184" formatCode="_-&quot;$&quot;* #,##0.00_-;\-&quot;$&quot;* #,##0.00_-;_-&quot;$&quot;* &quot;-&quot;??_-;_-@_-"/>
    <numFmt numFmtId="185" formatCode="0.0%;\(0.0%\)"/>
    <numFmt numFmtId="186" formatCode="0.000_)"/>
    <numFmt numFmtId="187" formatCode="_-* #,##0.0\ _₫_-;\-* #,##0.0\ _₫_-;_-* &quot;-&quot;??\ _₫_-;_-@_-"/>
    <numFmt numFmtId="188" formatCode="_-* #,##0.00\ _V_N_D_-;\-* #,##0.00\ _V_N_D_-;_-* &quot;-&quot;??\ _V_N_D_-;_-@_-"/>
    <numFmt numFmtId="189" formatCode="_(* #,##0.0_);_(* \(#,##0.0\);_(* &quot;-&quot;?_);_(@_)"/>
    <numFmt numFmtId="190" formatCode="_(* #,##0.0_);_(* \(#,##0.0\);_(* &quot;-&quot;??_);_(@_)"/>
    <numFmt numFmtId="191" formatCode="_-* #,##0\ _₫_-;\-* #,##0\ _₫_-;_-* &quot;-&quot;??\ _₫_-;_-@_-"/>
    <numFmt numFmtId="192" formatCode="_(* #,##0.000_);_(* \(#,##0.000\);_(* &quot;-&quot;???_);_(@_)"/>
    <numFmt numFmtId="193" formatCode="&quot;C&quot;#,##0.00_);\(&quot;C&quot;#,##0.00\)"/>
    <numFmt numFmtId="194" formatCode="_ &quot;\&quot;* #,##0.00_ ;_ &quot;\&quot;* &quot;\&quot;&quot;\&quot;&quot;\&quot;&quot;\&quot;&quot;\&quot;&quot;\&quot;&quot;\&quot;&quot;\&quot;&quot;\&quot;\-#,##0.00_ ;_ &quot;\&quot;* &quot;-&quot;??_ ;_ @_ "/>
    <numFmt numFmtId="195" formatCode="&quot;C&quot;#,##0_);\(&quot;C&quot;#,##0\)"/>
    <numFmt numFmtId="196" formatCode="&quot;C&quot;#,##0_);[Red]\(&quot;C&quot;#,##0\)"/>
    <numFmt numFmtId="197" formatCode="_-[$€-2]* #,##0.00_-;\-[$€-2]* #,##0.00_-;_-[$€-2]* &quot;-&quot;??_-"/>
    <numFmt numFmtId="198" formatCode="#,###;\-#,###;&quot;&quot;;_(@_)"/>
    <numFmt numFmtId="199" formatCode="#,##0_ ;[Red]\-#,##0\ "/>
    <numFmt numFmtId="200" formatCode="#,##0\ &quot;$&quot;_);[Red]\(#,##0\ &quot;$&quot;\)"/>
    <numFmt numFmtId="201" formatCode="&quot;$&quot;###,0&quot;.&quot;00_);[Red]\(&quot;$&quot;###,0&quot;.&quot;00\)"/>
    <numFmt numFmtId="202" formatCode="&quot;\&quot;#,##0;[Red]\-&quot;\&quot;#,##0"/>
    <numFmt numFmtId="203" formatCode="&quot;\&quot;#,##0.00;\-&quot;\&quot;#,##0.00"/>
    <numFmt numFmtId="204" formatCode="#,##0.000_);\(#,##0.000\)"/>
    <numFmt numFmtId="205" formatCode="#,##0.00\ &quot;F&quot;;[Red]\-#,##0.00\ &quot;F&quot;"/>
    <numFmt numFmtId="206" formatCode="#,##0\ &quot;F&quot;;\-#,##0\ &quot;F&quot;"/>
    <numFmt numFmtId="207" formatCode="#,##0\ &quot;F&quot;;[Red]\-#,##0\ &quot;F&quot;"/>
    <numFmt numFmtId="208" formatCode="_-* #,##0\ &quot;F&quot;_-;\-* #,##0\ &quot;F&quot;_-;_-* &quot;-&quot;\ &quot;F&quot;_-;_-@_-"/>
    <numFmt numFmtId="209" formatCode="0.000\ "/>
    <numFmt numFmtId="210" formatCode="#,##0\ &quot;Lt&quot;;[Red]\-#,##0\ &quot;Lt&quot;"/>
    <numFmt numFmtId="211" formatCode="#,##0.00\ &quot;F&quot;;\-#,##0.00\ &quot;F&quot;"/>
    <numFmt numFmtId="212" formatCode="_-* #,##0\ &quot;DM&quot;_-;\-* #,##0\ &quot;DM&quot;_-;_-* &quot;-&quot;\ &quot;DM&quot;_-;_-@_-"/>
    <numFmt numFmtId="213" formatCode="_-* #,##0.00\ &quot;DM&quot;_-;\-* #,##0.00\ &quot;DM&quot;_-;_-* &quot;-&quot;??\ &quot;DM&quot;_-;_-@_-"/>
    <numFmt numFmtId="214" formatCode="&quot;\&quot;#,##0.00;[Red]&quot;\&quot;\-#,##0.00"/>
    <numFmt numFmtId="215" formatCode="&quot;\&quot;#,##0;[Red]&quot;\&quot;\-#,##0"/>
    <numFmt numFmtId="216" formatCode="_-&quot;$&quot;* #,##0_-;\-&quot;$&quot;* #,##0_-;_-&quot;$&quot;* &quot;-&quot;_-;_-@_-"/>
    <numFmt numFmtId="217" formatCode="_-* #,##0.000_-;\-* #,##0.000_-;_-* &quot;-&quot;??_-;_-@_-"/>
    <numFmt numFmtId="218" formatCode="_-* #,##0.00\ _€_-;\-* #,##0.00\ _€_-;_-* &quot;-&quot;??\ _€_-;_-@_-"/>
    <numFmt numFmtId="219" formatCode="_(* #,##0_);_(* \(#,##0\);_(* \-??_);_(@_)"/>
    <numFmt numFmtId="220" formatCode="&quot;€&quot;###,0&quot;.&quot;00_);\(&quot;€&quot;###,0&quot;.&quot;00\)"/>
    <numFmt numFmtId="221" formatCode="_-&quot;£&quot;* #,##0_-;\-&quot;£&quot;* #,##0_-;_-&quot;£&quot;* &quot;-&quot;_-;_-@_-"/>
    <numFmt numFmtId="222" formatCode="_-&quot;£&quot;* #,##0.00_-;\-&quot;£&quot;* #,##0.00_-;_-&quot;£&quot;* &quot;-&quot;??_-;_-@_-"/>
    <numFmt numFmtId="223" formatCode="#.##00"/>
    <numFmt numFmtId="224" formatCode="_-* #,##0&quot;$&quot;_-;_-* #,##0&quot;$&quot;\-;_-* &quot;-&quot;&quot;$&quot;_-;_-@_-"/>
    <numFmt numFmtId="225" formatCode="_-* #,##0\ &quot;$&quot;_-;\-* #,##0\ &quot;$&quot;_-;_-* &quot;-&quot;\ &quot;$&quot;_-;_-@_-"/>
    <numFmt numFmtId="226" formatCode="_-* #,##0_-;\-* #,##0_-;_-* &quot;-&quot;??_-;_-@_-"/>
    <numFmt numFmtId="227" formatCode="_-&quot;ñ&quot;* #,##0_-;\-&quot;ñ&quot;* #,##0_-;_-&quot;ñ&quot;* &quot;-&quot;_-;_-@_-"/>
    <numFmt numFmtId="228" formatCode="0.0000"/>
    <numFmt numFmtId="229" formatCode="_-* ###,0&quot;.&quot;00_-;\-* ###,0&quot;.&quot;00_-;_-* &quot;-&quot;??_-;_-@_-"/>
    <numFmt numFmtId="230" formatCode="_-* #,##0.00\ _F_-;\-* #,##0.00\ _F_-;_-* &quot;-&quot;??\ _F_-;_-@_-"/>
    <numFmt numFmtId="231" formatCode="_-* #,##0.00\ _V_N_Ñ_-;_-* #,##0.00\ _V_N_Ñ\-;_-* &quot;-&quot;??\ _V_N_Ñ_-;_-@_-"/>
    <numFmt numFmtId="232" formatCode="_-* #,##0.00_$_-;_-* #,##0.00_$\-;_-* &quot;-&quot;??_$_-;_-@_-"/>
    <numFmt numFmtId="233" formatCode="_(* ###,0&quot;.&quot;00_);_(* \(###,0&quot;.&quot;00\);_(* &quot;-&quot;??_);_(@_)"/>
    <numFmt numFmtId="234" formatCode="&quot;£&quot;#,##0;[Red]\-&quot;£&quot;#,##0"/>
    <numFmt numFmtId="235" formatCode="_-* #,##0.00\ _ñ_-;\-* #,##0.00\ _ñ_-;_-* &quot;-&quot;??\ _ñ_-;_-@_-"/>
    <numFmt numFmtId="236" formatCode="0.00000"/>
    <numFmt numFmtId="237" formatCode="_(&quot;£&quot;\ * #,##0_);_(&quot;£&quot;\ * \(#,##0\);_(&quot;£&quot;\ * &quot;-&quot;_);_(@_)"/>
    <numFmt numFmtId="238" formatCode="&quot;$&quot;#,##0;[Red]\-&quot;$&quot;#,##0"/>
    <numFmt numFmtId="239" formatCode="_(&quot;$&quot;\ * #,##0_);_(&quot;$&quot;\ * \(#,##0\);_(&quot;$&quot;\ * &quot;-&quot;_);_(@_)"/>
    <numFmt numFmtId="240" formatCode="&quot;$&quot;#,##0.00;[Red]\-&quot;$&quot;#,##0.00"/>
    <numFmt numFmtId="241" formatCode="_-* #,##0\ &quot;ñ&quot;_-;\-* #,##0\ &quot;ñ&quot;_-;_-* &quot;-&quot;\ &quot;ñ&quot;_-;_-@_-"/>
    <numFmt numFmtId="242" formatCode="0.0000000"/>
    <numFmt numFmtId="243" formatCode="#,##0.0"/>
    <numFmt numFmtId="244" formatCode="_(&quot;€&quot;* #,##0_);_(&quot;€&quot;* \(#,##0\);_(&quot;€&quot;* &quot;-&quot;_);_(@_)"/>
    <numFmt numFmtId="245" formatCode="_-* #,##0\ _V_N_D_-;\-* #,##0\ _V_N_D_-;_-* &quot;-&quot;\ _V_N_D_-;_-@_-"/>
    <numFmt numFmtId="246" formatCode="_-* #,##0\ _V_N_Ñ_-;_-* #,##0\ _V_N_Ñ\-;_-* &quot;-&quot;\ _V_N_Ñ_-;_-@_-"/>
    <numFmt numFmtId="247" formatCode="_-* #,##0\ _€_-;\-* #,##0\ _€_-;_-* &quot;-&quot;\ _€_-;_-@_-"/>
    <numFmt numFmtId="248" formatCode="_-* #,##0_$_-;_-* #,##0_$\-;_-* &quot;-&quot;_$_-;_-@_-"/>
    <numFmt numFmtId="249" formatCode="_-* #,##0\ _$_-;\-* #,##0\ _$_-;_-* &quot;-&quot;\ _$_-;_-@_-"/>
    <numFmt numFmtId="250" formatCode="_-* #,##0\ _m_k_-;\-* #,##0\ _m_k_-;_-* &quot;-&quot;\ _m_k_-;_-@_-"/>
    <numFmt numFmtId="251" formatCode="&quot;£&quot;#,##0;\-&quot;£&quot;#,##0"/>
    <numFmt numFmtId="252" formatCode="_-* #,##0\ _ñ_-;\-* #,##0\ _ñ_-;_-* &quot;-&quot;\ _ñ_-;_-@_-"/>
    <numFmt numFmtId="253" formatCode="0.000000"/>
    <numFmt numFmtId="254" formatCode="#,##0.0_);[Red]\(#,##0.0\)"/>
    <numFmt numFmtId="255" formatCode="&quot;SFr.&quot;\ #,##0.00;[Red]&quot;SFr.&quot;\ \-#,##0.00"/>
    <numFmt numFmtId="256" formatCode="_ &quot;SFr.&quot;\ * #,##0_ ;_ &quot;SFr.&quot;\ * \-#,##0_ ;_ &quot;SFr.&quot;\ * &quot;-&quot;_ ;_ @_ "/>
    <numFmt numFmtId="257" formatCode="_-* #,##0.00\ &quot;F&quot;_-;\-* #,##0.00\ &quot;F&quot;_-;_-* &quot;-&quot;??\ &quot;F&quot;_-;_-@_-"/>
    <numFmt numFmtId="258" formatCode="_(* #,##0_);_(* \(#,##0\);_(* \-_);_(@_)"/>
    <numFmt numFmtId="259" formatCode="#,##0.00;[Red]#,##0.00"/>
    <numFmt numFmtId="260" formatCode="#,##0;\(#,##0\)"/>
    <numFmt numFmtId="261" formatCode="_ &quot;R&quot;\ * #,##0_ ;_ &quot;R&quot;\ * \-#,##0_ ;_ &quot;R&quot;\ * &quot;-&quot;_ ;_ @_ "/>
    <numFmt numFmtId="262" formatCode="\$#,##0\ ;\(\$#,##0\)"/>
    <numFmt numFmtId="263" formatCode="_-* #,##0.0000\ _F_-;\-* #,##0.0000\ _F_-;_-* &quot;-&quot;??\ _F_-;_-@_-"/>
    <numFmt numFmtId="264" formatCode="\t0.00%"/>
    <numFmt numFmtId="265" formatCode="?\,???.??__;[Red]&quot;- &quot;?\,???.??__"/>
    <numFmt numFmtId="266" formatCode="?,???.??__;[Red]\-\ ?,???.??__;"/>
    <numFmt numFmtId="267" formatCode="\U\S\$#,##0.00;\(\U\S\$#,##0.00\)"/>
    <numFmt numFmtId="268" formatCode="_(\§\g\ #,##0_);_(\§\g\ \(#,##0\);_(\§\g\ &quot;-&quot;??_);_(@_)"/>
    <numFmt numFmtId="269" formatCode="_(\§\g\ #,##0_);_(\§\g\ \(#,##0\);_(\§\g\ &quot;-&quot;_);_(@_)"/>
    <numFmt numFmtId="270" formatCode="\t#\ ??/??"/>
    <numFmt numFmtId="271" formatCode="\§\g#,##0_);\(\§\g#,##0\)"/>
    <numFmt numFmtId="272" formatCode="_-&quot;VND&quot;* #,##0_-;\-&quot;VND&quot;* #,##0_-;_-&quot;VND&quot;* &quot;-&quot;_-;_-@_-"/>
    <numFmt numFmtId="273" formatCode="_(&quot;Rp&quot;* #,##0.00_);_(&quot;Rp&quot;* \(#,##0.00\);_(&quot;Rp&quot;* &quot;-&quot;??_);_(@_)"/>
    <numFmt numFmtId="274" formatCode="#,##0.00\ &quot;FB&quot;;[Red]\-#,##0.00\ &quot;FB&quot;"/>
    <numFmt numFmtId="275" formatCode="#,##0\ &quot;$&quot;;\-#,##0\ &quot;$&quot;"/>
    <numFmt numFmtId="276" formatCode="&quot;$&quot;#,##0;\-&quot;$&quot;#,##0"/>
    <numFmt numFmtId="277" formatCode="_-* #,##0\ _F_B_-;\-* #,##0\ _F_B_-;_-* &quot;-&quot;\ _F_B_-;_-@_-"/>
    <numFmt numFmtId="278" formatCode="_-[$€]* #,##0.00_-;\-[$€]* #,##0.00_-;_-[$€]* &quot;-&quot;??_-;_-@_-"/>
    <numFmt numFmtId="279" formatCode="&quot;öS&quot;\ #,##0;[Red]\-&quot;öS&quot;\ #,##0"/>
    <numFmt numFmtId="280" formatCode="&quot;Q&quot;#,##0_);\(&quot;Q&quot;#,##0\)"/>
    <numFmt numFmtId="281" formatCode="#,##0_);\-#,##0_)"/>
    <numFmt numFmtId="282" formatCode="#,##0\ &quot;$&quot;_);\(#,##0\ &quot;$&quot;\)"/>
    <numFmt numFmtId="283" formatCode="_ * #,##0_)\ &quot;$&quot;_ ;_ * \(#,##0\)\ &quot;$&quot;_ ;_ * &quot;-&quot;_)\ &quot;$&quot;_ ;_ @_ "/>
    <numFmt numFmtId="284" formatCode="&quot;VND&quot;#,##0_);[Red]\(&quot;VND&quot;#,##0\)"/>
    <numFmt numFmtId="285" formatCode="_ * #,##0_)&quot; $&quot;_ ;_ * \(#,##0&quot;) $&quot;_ ;_ * \-_)&quot; $&quot;_ ;_ @_ "/>
    <numFmt numFmtId="286" formatCode="#,##0.00_);\-#,##0.00_)"/>
    <numFmt numFmtId="287" formatCode="#"/>
    <numFmt numFmtId="288" formatCode="#,##0.0000"/>
    <numFmt numFmtId="289" formatCode="&quot;¡Ì&quot;#,##0;[Red]\-&quot;¡Ì&quot;#,##0"/>
    <numFmt numFmtId="290" formatCode="#,##0.00&quot; F&quot;;[Red]\-#,##0.00&quot; F&quot;"/>
    <numFmt numFmtId="291" formatCode="_-* #,##0.0\ _F_-;\-* #,##0.0\ _F_-;_-* &quot;-&quot;??\ _F_-;_-@_-"/>
    <numFmt numFmtId="292" formatCode="#,##0.00\ \ "/>
    <numFmt numFmtId="293" formatCode="0.00000000"/>
    <numFmt numFmtId="294" formatCode="_ * #,##0.0_ ;_ * \-#,##0.0_ ;_ * &quot;-&quot;??_ ;_ @_ "/>
    <numFmt numFmtId="295" formatCode="#,##0.00\ \ \ \ "/>
    <numFmt numFmtId="296" formatCode="_(* #.##0.00_);_(* \(#.##0.00\);_(* &quot;-&quot;??_);_(@_)"/>
    <numFmt numFmtId="297" formatCode="###\ ###\ ##0"/>
    <numFmt numFmtId="298" formatCode="&quot;\&quot;#,##0;&quot;\&quot;\-#,##0"/>
    <numFmt numFmtId="299" formatCode="_-* ###,0&quot;.&quot;00\ _F_B_-;\-* ###,0&quot;.&quot;00\ _F_B_-;_-* &quot;-&quot;??\ _F_B_-;_-@_-"/>
    <numFmt numFmtId="300" formatCode="\\#,##0;[Red]&quot;-\&quot;#,##0"/>
    <numFmt numFmtId="301" formatCode="_ * #.##._ ;_ * \-#.##._ ;_ * &quot;-&quot;??_ ;_ @_ⴆ"/>
    <numFmt numFmtId="302" formatCode="_-* #,##0\ _F_-;\-* #,##0\ _F_-;_-* &quot;-&quot;??\ _F_-;_-@_-"/>
    <numFmt numFmtId="303" formatCode="#,###"/>
    <numFmt numFmtId="304" formatCode="#,##0.000"/>
    <numFmt numFmtId="305" formatCode="_(* #,##0.000000_);_(* \(#,##0.000000\);_(* &quot;-&quot;??_);_(@_)"/>
    <numFmt numFmtId="306" formatCode="0.0%"/>
    <numFmt numFmtId="307" formatCode="_(* #,##0.00000_);_(* \(#,##0.00000\);_(* &quot;-&quot;??_);_(@_)"/>
    <numFmt numFmtId="308" formatCode="#,##0_ ;\-#,##0\ "/>
    <numFmt numFmtId="309" formatCode="_-* #,##0.000\ _₫_-;\-* #,##0.000\ _₫_-;_-* &quot;-&quot;??\ _₫_-;_-@_-"/>
    <numFmt numFmtId="310" formatCode="_-* #,##0\ _€_-;\-* #,##0\ _€_-;_-* &quot;-&quot;??\ _€_-;_-@_-"/>
    <numFmt numFmtId="311" formatCode="_-* #,##0.000\ _€_-;\-* #,##0.000\ _€_-;_-* &quot;-&quot;??\ _€_-;_-@_-"/>
    <numFmt numFmtId="312" formatCode="0.0"/>
    <numFmt numFmtId="313" formatCode="_-* #,##0.000\ _₫_-;\-* #,##0.000\ _₫_-;_-* &quot;-&quot;???\ _₫_-;_-@_-"/>
    <numFmt numFmtId="314" formatCode="_-* #,##0.0000\ _€_-;\-* #,##0.0000\ _€_-;_-* &quot;-&quot;??\ _€_-;_-@_-"/>
    <numFmt numFmtId="315" formatCode="_-* #,##0.0\ _€_-;\-* #,##0.0\ _€_-;_-* &quot;-&quot;??\ _€_-;_-@_-"/>
  </numFmts>
  <fonts count="263">
    <font>
      <sz val="11"/>
      <color theme="1"/>
      <name val="times new roman"/>
      <family val="2"/>
      <charset val="163"/>
    </font>
    <font>
      <sz val="11"/>
      <color theme="1"/>
      <name val="Calibri"/>
      <family val="2"/>
      <scheme val="minor"/>
    </font>
    <font>
      <b/>
      <sz val="11"/>
      <name val="Times New Roman"/>
      <family val="1"/>
    </font>
    <font>
      <b/>
      <sz val="12"/>
      <name val="Times New Roman"/>
      <family val="1"/>
    </font>
    <font>
      <i/>
      <sz val="11"/>
      <name val="Times New Roman"/>
      <family val="1"/>
    </font>
    <font>
      <sz val="12"/>
      <name val="VNI-Times"/>
    </font>
    <font>
      <sz val="12"/>
      <name val=".VnTime"/>
      <family val="2"/>
    </font>
    <font>
      <sz val="12"/>
      <name val="돋움체"/>
      <family val="3"/>
      <charset val="129"/>
    </font>
    <font>
      <sz val="10"/>
      <name val="Arial"/>
      <family val="2"/>
    </font>
    <font>
      <sz val="12"/>
      <name val="????"/>
      <family val="1"/>
      <charset val="136"/>
    </font>
    <font>
      <sz val="12"/>
      <name val="Courier"/>
      <family val="3"/>
    </font>
    <font>
      <sz val="12"/>
      <name val="???"/>
      <family val="1"/>
      <charset val="129"/>
    </font>
    <font>
      <sz val="12"/>
      <name val="|??¢¥¢¬¨Ï"/>
      <family val="1"/>
      <charset val="129"/>
    </font>
    <font>
      <sz val="10"/>
      <name val="VNI-Times"/>
    </font>
    <font>
      <sz val="10"/>
      <name val="MS Sans Serif"/>
      <family val="2"/>
    </font>
    <font>
      <sz val="10"/>
      <color indexed="8"/>
      <name val="Arial"/>
      <family val="2"/>
    </font>
    <font>
      <sz val="10"/>
      <name val="Helv"/>
      <family val="2"/>
    </font>
    <font>
      <sz val="11"/>
      <name val="VNI-Aptima"/>
    </font>
    <font>
      <sz val="12"/>
      <name val="???"/>
    </font>
    <font>
      <sz val="14"/>
      <name val="VnTime"/>
    </font>
    <font>
      <b/>
      <u/>
      <sz val="14"/>
      <color indexed="8"/>
      <name val=".VnBook-AntiquaH"/>
      <family val="2"/>
    </font>
    <font>
      <i/>
      <sz val="12"/>
      <color indexed="8"/>
      <name val=".VnBook-AntiquaH"/>
      <family val="2"/>
    </font>
    <font>
      <b/>
      <sz val="12"/>
      <color indexed="8"/>
      <name val=".VnBook-Antiqua"/>
      <family val="2"/>
    </font>
    <font>
      <i/>
      <sz val="12"/>
      <color indexed="8"/>
      <name val=".VnBook-Antiqua"/>
      <family val="2"/>
    </font>
    <font>
      <sz val="10"/>
      <name val=".VnTime"/>
      <family val="2"/>
    </font>
    <font>
      <sz val="12"/>
      <name val="±¼¸²Ã¼"/>
      <family val="3"/>
      <charset val="129"/>
    </font>
    <font>
      <sz val="12"/>
      <name val="¹UAAA¼"/>
      <family val="3"/>
      <charset val="129"/>
    </font>
    <font>
      <sz val="11"/>
      <name val="±¼¸²Ã¼"/>
      <family val="3"/>
      <charset val="129"/>
    </font>
    <font>
      <sz val="8"/>
      <name val="Times New Roman"/>
      <family val="1"/>
    </font>
    <font>
      <sz val="12"/>
      <name val="Tms Rmn"/>
    </font>
    <font>
      <sz val="12"/>
      <name val="µ¸¿òÃ¼"/>
      <family val="3"/>
      <charset val="129"/>
    </font>
    <font>
      <sz val="10"/>
      <name val="±¼¸²A¼"/>
      <family val="3"/>
      <charset val="129"/>
    </font>
    <font>
      <sz val="10"/>
      <name val="Arial"/>
      <family val="2"/>
      <charset val="163"/>
    </font>
    <font>
      <sz val="10"/>
      <name val="Helv"/>
    </font>
    <font>
      <b/>
      <sz val="10"/>
      <name val="Helv"/>
    </font>
    <font>
      <sz val="10"/>
      <name val=".VnArial"/>
      <family val="2"/>
    </font>
    <font>
      <sz val="11"/>
      <name val="Tms Rmn"/>
    </font>
    <font>
      <sz val="11"/>
      <color indexed="8"/>
      <name val="Calibri"/>
      <family val="2"/>
    </font>
    <font>
      <sz val="12"/>
      <name val=".VnArial Narrow"/>
      <family val="2"/>
    </font>
    <font>
      <sz val="11"/>
      <color indexed="8"/>
      <name val="times new roman"/>
      <family val="2"/>
      <charset val="163"/>
    </font>
    <font>
      <sz val="11"/>
      <color indexed="8"/>
      <name val="Calibri"/>
      <family val="2"/>
      <charset val="163"/>
    </font>
    <font>
      <sz val="10"/>
      <name val="MS Serif"/>
      <family val="1"/>
    </font>
    <font>
      <sz val="10"/>
      <name val="Arial CE"/>
      <charset val="238"/>
    </font>
    <font>
      <sz val="10"/>
      <color indexed="16"/>
      <name val="MS Serif"/>
      <family val="1"/>
    </font>
    <font>
      <sz val="10"/>
      <color indexed="8"/>
      <name val="Arial"/>
      <family val="2"/>
      <charset val="1"/>
    </font>
    <font>
      <sz val="8"/>
      <name val="Arial"/>
      <family val="2"/>
      <charset val="163"/>
    </font>
    <font>
      <sz val="13"/>
      <name val=".VnTime"/>
      <family val="2"/>
    </font>
    <font>
      <b/>
      <sz val="12"/>
      <color indexed="9"/>
      <name val="Tms Rmn"/>
    </font>
    <font>
      <b/>
      <sz val="12"/>
      <name val="Helv"/>
    </font>
    <font>
      <b/>
      <sz val="12"/>
      <name val="Arial"/>
      <family val="2"/>
    </font>
    <font>
      <b/>
      <sz val="18"/>
      <name val="Arial"/>
      <family val="2"/>
    </font>
    <font>
      <b/>
      <sz val="8"/>
      <name val="MS Sans Serif"/>
      <family val="2"/>
    </font>
    <font>
      <b/>
      <sz val="10"/>
      <name val=".VnTime"/>
      <family val="2"/>
    </font>
    <font>
      <b/>
      <sz val="14"/>
      <name val=".VnTimeH"/>
      <family val="2"/>
    </font>
    <font>
      <sz val="12"/>
      <name val="Arial"/>
      <family val="2"/>
    </font>
    <font>
      <b/>
      <sz val="11"/>
      <name val="Helv"/>
    </font>
    <font>
      <sz val="10"/>
      <name val="Times New Roman"/>
      <family val="1"/>
    </font>
    <font>
      <sz val="7"/>
      <name val="Small Fonts"/>
      <family val="2"/>
    </font>
    <font>
      <sz val="13"/>
      <name val="Times New Roman"/>
      <family val="1"/>
    </font>
    <font>
      <sz val="14"/>
      <name val="Times New Roman"/>
      <family val="1"/>
    </font>
    <font>
      <sz val="9"/>
      <name val="Arial"/>
      <family val="2"/>
    </font>
    <font>
      <sz val="12"/>
      <color indexed="8"/>
      <name val="Times New Roman"/>
      <family val="2"/>
      <charset val="163"/>
    </font>
    <font>
      <sz val="11"/>
      <name val="–¾’©"/>
      <family val="1"/>
      <charset val="128"/>
    </font>
    <font>
      <b/>
      <sz val="11"/>
      <name val="Arial"/>
      <family val="2"/>
    </font>
    <font>
      <sz val="12"/>
      <name val="Helv"/>
    </font>
    <font>
      <b/>
      <sz val="10"/>
      <name val="MS Sans Serif"/>
      <family val="2"/>
    </font>
    <font>
      <sz val="8"/>
      <name val="Wingdings"/>
      <charset val="2"/>
    </font>
    <font>
      <sz val="8"/>
      <name val="Helv"/>
    </font>
    <font>
      <b/>
      <sz val="12"/>
      <color indexed="8"/>
      <name val="Arial"/>
      <family val="2"/>
    </font>
    <font>
      <b/>
      <i/>
      <sz val="12"/>
      <color indexed="8"/>
      <name val="Arial"/>
      <family val="2"/>
    </font>
    <font>
      <sz val="12"/>
      <color indexed="8"/>
      <name val="Arial"/>
      <family val="2"/>
    </font>
    <font>
      <i/>
      <sz val="12"/>
      <color indexed="8"/>
      <name val="Arial"/>
      <family val="2"/>
    </font>
    <font>
      <sz val="19"/>
      <color indexed="48"/>
      <name val="Arial"/>
      <family val="2"/>
    </font>
    <font>
      <sz val="12"/>
      <color indexed="14"/>
      <name val="Arial"/>
      <family val="2"/>
    </font>
    <font>
      <sz val="8"/>
      <name val="MS Sans Serif"/>
      <family val="2"/>
    </font>
    <font>
      <sz val="8"/>
      <name val="Tms Rmn"/>
    </font>
    <font>
      <b/>
      <sz val="8"/>
      <color indexed="8"/>
      <name val="Helv"/>
    </font>
    <font>
      <b/>
      <sz val="13"/>
      <color indexed="8"/>
      <name val=".VnTimeH"/>
      <family val="2"/>
    </font>
    <font>
      <sz val="10"/>
      <name val=".VnAvant"/>
      <family val="2"/>
    </font>
    <font>
      <sz val="14"/>
      <name val="VnTime"/>
      <family val="2"/>
    </font>
    <font>
      <b/>
      <sz val="8"/>
      <name val="VN Helvetica"/>
    </font>
    <font>
      <b/>
      <sz val="12"/>
      <name val=".VnTime"/>
      <family val="2"/>
    </font>
    <font>
      <b/>
      <sz val="10"/>
      <name val="VN AvantGBook"/>
    </font>
    <font>
      <b/>
      <sz val="16"/>
      <name val=".VnTime"/>
      <family val="2"/>
    </font>
    <font>
      <sz val="9"/>
      <name val=".VnTime"/>
      <family val="2"/>
    </font>
    <font>
      <sz val="14"/>
      <name val=".VnArial"/>
      <family val="2"/>
    </font>
    <font>
      <sz val="10"/>
      <name val=" "/>
      <family val="1"/>
      <charset val="136"/>
    </font>
    <font>
      <sz val="12"/>
      <name val="Times New Roman"/>
      <family val="1"/>
    </font>
    <font>
      <sz val="14"/>
      <name val="뼻뮝"/>
      <family val="3"/>
      <charset val="129"/>
    </font>
    <font>
      <sz val="12"/>
      <name val="뼻뮝"/>
      <family val="1"/>
      <charset val="129"/>
    </font>
    <font>
      <sz val="10"/>
      <name val="명조"/>
      <family val="3"/>
      <charset val="129"/>
    </font>
    <font>
      <sz val="12"/>
      <name val="바탕체"/>
      <family val="1"/>
      <charset val="129"/>
    </font>
    <font>
      <sz val="11"/>
      <color indexed="8"/>
      <name val="Arial"/>
      <family val="2"/>
      <charset val="163"/>
    </font>
    <font>
      <sz val="14"/>
      <name val=".VnTime"/>
      <family val="2"/>
    </font>
    <font>
      <sz val="12"/>
      <name val="VNtimes new roman"/>
      <family val="2"/>
    </font>
    <font>
      <sz val="12"/>
      <name val="Arial Narrow"/>
      <family val="2"/>
    </font>
    <font>
      <sz val="12"/>
      <name val=".VnArial"/>
      <family val="2"/>
    </font>
    <font>
      <sz val="10"/>
      <name val="??"/>
      <family val="3"/>
      <charset val="129"/>
    </font>
    <font>
      <sz val="16"/>
      <name val="AngsanaUPC"/>
      <family val="3"/>
    </font>
    <font>
      <sz val="10"/>
      <name val="AngsanaUPC"/>
      <family val="1"/>
    </font>
    <font>
      <sz val="10"/>
      <name val="VNtimes new roman"/>
      <family val="2"/>
    </font>
    <font>
      <sz val="10"/>
      <name val="VNI-Helve"/>
    </font>
    <font>
      <sz val="11"/>
      <name val="‚l‚r ‚oƒSƒVƒbƒN"/>
      <family val="3"/>
      <charset val="128"/>
    </font>
    <font>
      <sz val="14"/>
      <name val="Terminal"/>
      <family val="3"/>
      <charset val="128"/>
    </font>
    <font>
      <b/>
      <sz val="10"/>
      <name val=".VnTimeH"/>
      <family val="2"/>
    </font>
    <font>
      <sz val="11"/>
      <name val=".VnTime"/>
      <family val="2"/>
    </font>
    <font>
      <b/>
      <u/>
      <sz val="10"/>
      <name val="VNI-Times"/>
    </font>
    <font>
      <b/>
      <sz val="10"/>
      <name val=".VnArial"/>
      <family val="2"/>
    </font>
    <font>
      <sz val="10"/>
      <name val="VnTimes"/>
    </font>
    <font>
      <sz val="12"/>
      <color indexed="10"/>
      <name val=".VnArial Narrow"/>
      <family val="2"/>
    </font>
    <font>
      <sz val="12"/>
      <color indexed="8"/>
      <name val="¹ÙÅÁÃ¼"/>
      <family val="1"/>
      <charset val="129"/>
    </font>
    <font>
      <sz val="12"/>
      <color indexed="8"/>
      <name val="Arial Narrow"/>
      <family val="2"/>
    </font>
    <font>
      <sz val="12"/>
      <color indexed="9"/>
      <name val="Arial Narrow"/>
      <family val="2"/>
    </font>
    <font>
      <sz val="11"/>
      <color indexed="9"/>
      <name val="Calibri"/>
      <family val="2"/>
    </font>
    <font>
      <b/>
      <sz val="12"/>
      <color indexed="63"/>
      <name val="VNI-Times"/>
    </font>
    <font>
      <sz val="12"/>
      <name val="¹ÙÅÁÃ¼"/>
      <charset val="129"/>
    </font>
    <font>
      <sz val="12"/>
      <color indexed="20"/>
      <name val="Arial Narrow"/>
      <family val="2"/>
    </font>
    <font>
      <b/>
      <sz val="12"/>
      <color indexed="52"/>
      <name val="Arial Narrow"/>
      <family val="2"/>
    </font>
    <font>
      <b/>
      <sz val="12"/>
      <color indexed="9"/>
      <name val="Arial Narrow"/>
      <family val="2"/>
    </font>
    <font>
      <sz val="11"/>
      <name val="VNbook-Antiqua"/>
      <family val="2"/>
    </font>
    <font>
      <sz val="10"/>
      <name val="VNI-Aptima"/>
    </font>
    <font>
      <sz val="11"/>
      <name val="VNtimes new roman"/>
      <family val="2"/>
    </font>
    <font>
      <sz val="10"/>
      <name val="BERNHARD"/>
    </font>
    <font>
      <b/>
      <sz val="12"/>
      <name val="VNTime"/>
      <family val="2"/>
    </font>
    <font>
      <b/>
      <sz val="11"/>
      <color indexed="63"/>
      <name val="Calibri"/>
      <family val="2"/>
    </font>
    <font>
      <sz val="11"/>
      <color indexed="62"/>
      <name val="Calibri"/>
      <family val="2"/>
    </font>
    <font>
      <b/>
      <sz val="12"/>
      <name val="VNTimeH"/>
      <family val="2"/>
    </font>
    <font>
      <b/>
      <sz val="15"/>
      <color indexed="56"/>
      <name val="Calibri"/>
      <family val="2"/>
    </font>
    <font>
      <b/>
      <sz val="13"/>
      <color indexed="56"/>
      <name val="Calibri"/>
      <family val="2"/>
    </font>
    <font>
      <b/>
      <sz val="11"/>
      <color indexed="56"/>
      <name val="Calibri"/>
      <family val="2"/>
    </font>
    <font>
      <sz val="1"/>
      <color indexed="8"/>
      <name val="Courier"/>
      <family val="1"/>
    </font>
    <font>
      <b/>
      <sz val="1"/>
      <color indexed="8"/>
      <name val="Courier"/>
      <family val="1"/>
    </font>
    <font>
      <sz val="14"/>
      <name val="VNtimes new roman"/>
      <family val="2"/>
    </font>
    <font>
      <i/>
      <sz val="12"/>
      <color indexed="23"/>
      <name val="Arial Narrow"/>
      <family val="2"/>
    </font>
    <font>
      <b/>
      <sz val="16"/>
      <color indexed="16"/>
      <name val="VNbritannic"/>
      <family val="2"/>
    </font>
    <font>
      <b/>
      <sz val="18"/>
      <color indexed="12"/>
      <name val="VNbritannic"/>
      <family val="2"/>
    </font>
    <font>
      <b/>
      <sz val="18"/>
      <name val="VNnew Century Cond"/>
      <family val="2"/>
    </font>
    <font>
      <b/>
      <sz val="20"/>
      <color indexed="12"/>
      <name val="VNnew Century Cond"/>
      <family val="2"/>
    </font>
    <font>
      <b/>
      <sz val="16"/>
      <name val="VNlucida sans"/>
      <family val="2"/>
    </font>
    <font>
      <b/>
      <sz val="18"/>
      <color indexed="10"/>
      <name val="VNnew Century Cond"/>
      <family val="2"/>
    </font>
    <font>
      <b/>
      <sz val="16"/>
      <color indexed="14"/>
      <name val="VNottawa"/>
      <family val="2"/>
    </font>
    <font>
      <sz val="8"/>
      <color indexed="8"/>
      <name val="Helvetica"/>
      <family val="2"/>
    </font>
    <font>
      <sz val="12"/>
      <name val="VNTime"/>
      <family val="2"/>
    </font>
    <font>
      <sz val="12"/>
      <color indexed="17"/>
      <name val="Arial Narrow"/>
      <family val="2"/>
    </font>
    <font>
      <sz val="10"/>
      <name val=".VnArialH"/>
      <family val="2"/>
    </font>
    <font>
      <b/>
      <sz val="12"/>
      <name val=".VnBook-AntiquaH"/>
      <family val="2"/>
    </font>
    <font>
      <b/>
      <sz val="11"/>
      <color indexed="56"/>
      <name val="Arial Narrow"/>
      <family val="2"/>
    </font>
    <font>
      <sz val="10"/>
      <name val="vnTimesRoman"/>
    </font>
    <font>
      <sz val="12"/>
      <color indexed="62"/>
      <name val="Arial Narrow"/>
      <family val="2"/>
    </font>
    <font>
      <u/>
      <sz val="10"/>
      <color indexed="12"/>
      <name val=".VnTime"/>
      <family val="2"/>
    </font>
    <font>
      <u/>
      <sz val="12"/>
      <color indexed="12"/>
      <name val=".VnTime"/>
      <family val="2"/>
    </font>
    <font>
      <u/>
      <sz val="12"/>
      <color indexed="12"/>
      <name val="Arial"/>
      <family val="2"/>
    </font>
    <font>
      <sz val="10"/>
      <name val="VNI-Avo"/>
    </font>
    <font>
      <b/>
      <sz val="11"/>
      <color indexed="9"/>
      <name val="Calibri"/>
      <family val="2"/>
    </font>
    <font>
      <b/>
      <sz val="14"/>
      <name val=".VnArialH"/>
      <family val="2"/>
    </font>
    <font>
      <sz val="12"/>
      <color indexed="52"/>
      <name val="Arial Narrow"/>
      <family val="2"/>
    </font>
    <font>
      <sz val="8"/>
      <name val="VNarial"/>
      <family val="2"/>
    </font>
    <font>
      <sz val="12"/>
      <color indexed="60"/>
      <name val="Arial Narrow"/>
      <family val="2"/>
    </font>
    <font>
      <b/>
      <sz val="12"/>
      <name val="VN-NTime"/>
    </font>
    <font>
      <sz val="11"/>
      <color indexed="8"/>
      <name val="Helvetica Neue"/>
    </font>
    <font>
      <sz val="10"/>
      <name val="VNlucida sans"/>
      <family val="2"/>
    </font>
    <font>
      <sz val="11"/>
      <color indexed="52"/>
      <name val="Calibri"/>
      <family val="2"/>
    </font>
    <font>
      <b/>
      <sz val="12"/>
      <color indexed="63"/>
      <name val="Arial Narrow"/>
      <family val="2"/>
    </font>
    <font>
      <sz val="14"/>
      <name val=".VnArial Narrow"/>
      <family val="2"/>
    </font>
    <font>
      <sz val="12"/>
      <color indexed="8"/>
      <name val="Times New Roman"/>
      <family val="1"/>
    </font>
    <font>
      <sz val="11"/>
      <name val="3C_Times_T"/>
    </font>
    <font>
      <b/>
      <sz val="10.5"/>
      <name val=".VnAvantH"/>
      <family val="2"/>
    </font>
    <font>
      <sz val="10"/>
      <name val="VNbook-Antiqua"/>
    </font>
    <font>
      <sz val="11"/>
      <color indexed="32"/>
      <name val="VNI-Times"/>
    </font>
    <font>
      <sz val="10"/>
      <name val="Symbol"/>
      <family val="1"/>
      <charset val="2"/>
    </font>
    <font>
      <sz val="13"/>
      <name val=".VnArial"/>
      <family val="2"/>
    </font>
    <font>
      <b/>
      <sz val="10"/>
      <name val="VNI-Univer"/>
    </font>
    <font>
      <sz val="10"/>
      <name val=".VnBook-Antiqua"/>
      <family val="2"/>
    </font>
    <font>
      <b/>
      <sz val="12"/>
      <name val="VNI-Times"/>
    </font>
    <font>
      <sz val="12"/>
      <color indexed="8"/>
      <name val=".VnTime"/>
      <family val="2"/>
    </font>
    <font>
      <sz val="11"/>
      <name val=".VnAvant"/>
      <family val="2"/>
    </font>
    <font>
      <b/>
      <u val="double"/>
      <sz val="12"/>
      <color indexed="12"/>
      <name val=".VnBahamasB"/>
      <family val="2"/>
    </font>
    <font>
      <b/>
      <sz val="18"/>
      <color indexed="56"/>
      <name val="Cambria"/>
      <family val="2"/>
    </font>
    <font>
      <b/>
      <sz val="11"/>
      <color indexed="52"/>
      <name val="Calibri"/>
      <family val="2"/>
    </font>
    <font>
      <sz val="9.5"/>
      <name val=".VnBlackH"/>
      <family val="2"/>
    </font>
    <font>
      <b/>
      <sz val="10"/>
      <name val=".VnBahamasBH"/>
      <family val="2"/>
    </font>
    <font>
      <b/>
      <sz val="11"/>
      <name val=".VnArialH"/>
      <family val="2"/>
    </font>
    <font>
      <b/>
      <sz val="11"/>
      <color indexed="8"/>
      <name val="Calibri"/>
      <family val="2"/>
    </font>
    <font>
      <b/>
      <sz val="10"/>
      <name val=".VnArialH"/>
      <family val="2"/>
    </font>
    <font>
      <sz val="11"/>
      <color indexed="17"/>
      <name val="Calibri"/>
      <family val="2"/>
    </font>
    <font>
      <sz val="11"/>
      <color indexed="60"/>
      <name val="Calibri"/>
      <family val="2"/>
    </font>
    <font>
      <sz val="10"/>
      <name val=".VnArial Narrow"/>
      <family val="2"/>
    </font>
    <font>
      <sz val="9"/>
      <name val="VNswitzerlandCondensed"/>
      <family val="2"/>
    </font>
    <font>
      <sz val="11"/>
      <name val="VNI-Times"/>
    </font>
    <font>
      <sz val="11"/>
      <color indexed="10"/>
      <name val="Calibri"/>
      <family val="2"/>
    </font>
    <font>
      <i/>
      <sz val="11"/>
      <color indexed="23"/>
      <name val="Calibri"/>
      <family val="2"/>
    </font>
    <font>
      <sz val="8"/>
      <name val="VNI-Helve"/>
    </font>
    <font>
      <sz val="10"/>
      <color indexed="8"/>
      <name val="MS Sans Serif"/>
      <family val="2"/>
    </font>
    <font>
      <sz val="8"/>
      <name val=".VnTime"/>
      <family val="2"/>
    </font>
    <font>
      <sz val="12"/>
      <color indexed="10"/>
      <name val="Arial Narrow"/>
      <family val="2"/>
    </font>
    <font>
      <sz val="10"/>
      <name val="Geneva"/>
      <family val="2"/>
    </font>
    <font>
      <sz val="11"/>
      <color indexed="20"/>
      <name val="Calibri"/>
      <family val="2"/>
    </font>
    <font>
      <sz val="12"/>
      <color indexed="8"/>
      <name val="바탕체"/>
      <family val="3"/>
    </font>
    <font>
      <sz val="10"/>
      <name val="돋움체"/>
      <family val="3"/>
      <charset val="129"/>
    </font>
    <font>
      <sz val="11"/>
      <color indexed="8"/>
      <name val="times new roman"/>
      <family val="2"/>
      <charset val="163"/>
    </font>
    <font>
      <sz val="11"/>
      <color indexed="8"/>
      <name val="Calibri"/>
      <family val="2"/>
    </font>
    <font>
      <sz val="12"/>
      <color indexed="8"/>
      <name val="Times New Roman"/>
      <family val="2"/>
    </font>
    <font>
      <sz val="10"/>
      <color indexed="8"/>
      <name val="Times New Roman"/>
      <family val="2"/>
      <charset val="163"/>
    </font>
    <font>
      <sz val="12"/>
      <color indexed="8"/>
      <name val="Times New Roman"/>
      <family val="1"/>
    </font>
    <font>
      <b/>
      <sz val="11"/>
      <color indexed="8"/>
      <name val="Times New Roman"/>
      <family val="1"/>
    </font>
    <font>
      <sz val="11"/>
      <color indexed="8"/>
      <name val="Times New Roman"/>
      <family val="1"/>
    </font>
    <font>
      <sz val="11"/>
      <color indexed="10"/>
      <name val="Times New Roman"/>
      <family val="1"/>
    </font>
    <font>
      <sz val="12"/>
      <color indexed="10"/>
      <name val="Times New Roman"/>
      <family val="1"/>
    </font>
    <font>
      <i/>
      <sz val="11"/>
      <color indexed="8"/>
      <name val="Times New Roman"/>
      <family val="1"/>
    </font>
    <font>
      <sz val="11"/>
      <color indexed="8"/>
      <name val="Times New Roman"/>
      <family val="1"/>
    </font>
    <font>
      <sz val="11"/>
      <name val="Times New Roman"/>
      <family val="1"/>
      <charset val="163"/>
    </font>
    <font>
      <sz val="11"/>
      <color theme="1"/>
      <name val="times new roman"/>
      <family val="2"/>
      <charset val="163"/>
    </font>
    <font>
      <sz val="11"/>
      <color theme="1"/>
      <name val="Calibri"/>
      <family val="2"/>
      <scheme val="minor"/>
    </font>
    <font>
      <u/>
      <sz val="11"/>
      <color theme="10"/>
      <name val="times new roman"/>
      <family val="2"/>
      <charset val="163"/>
    </font>
    <font>
      <sz val="12"/>
      <color theme="1"/>
      <name val="Times New Roman"/>
      <family val="2"/>
      <charset val="163"/>
    </font>
    <font>
      <sz val="11"/>
      <color theme="1"/>
      <name val="Calibri"/>
      <family val="2"/>
      <charset val="163"/>
      <scheme val="minor"/>
    </font>
    <font>
      <sz val="11"/>
      <color theme="1"/>
      <name val="Calibri"/>
      <family val="2"/>
    </font>
    <font>
      <sz val="13"/>
      <color theme="1"/>
      <name val="Times New Roman"/>
      <family val="2"/>
    </font>
    <font>
      <sz val="12"/>
      <color theme="1"/>
      <name val="Times New Roman"/>
      <family val="2"/>
    </font>
    <font>
      <sz val="10"/>
      <color theme="1"/>
      <name val="Times New Roman"/>
      <family val="1"/>
    </font>
    <font>
      <i/>
      <sz val="10"/>
      <color theme="1"/>
      <name val="Times New Roman"/>
      <family val="1"/>
      <charset val="163"/>
    </font>
    <font>
      <sz val="10"/>
      <color theme="1"/>
      <name val="Arial MT"/>
    </font>
    <font>
      <b/>
      <sz val="10"/>
      <color theme="1"/>
      <name val="Times New Roman"/>
      <family val="1"/>
    </font>
    <font>
      <b/>
      <sz val="10"/>
      <color theme="1"/>
      <name val="Arial MT"/>
      <charset val="163"/>
    </font>
    <font>
      <b/>
      <sz val="10"/>
      <color theme="1"/>
      <name val="Arial MT"/>
    </font>
    <font>
      <sz val="9"/>
      <color theme="1"/>
      <name val="Times New Roman"/>
      <family val="1"/>
    </font>
    <font>
      <b/>
      <sz val="9"/>
      <color theme="1"/>
      <name val="Times New Roman"/>
      <family val="1"/>
    </font>
    <font>
      <b/>
      <sz val="10"/>
      <color theme="1"/>
      <name val=".VnTime"/>
      <family val="2"/>
    </font>
    <font>
      <b/>
      <sz val="11"/>
      <name val="Times New Roman"/>
      <family val="1"/>
      <charset val="163"/>
    </font>
    <font>
      <sz val="11"/>
      <name val="Times New Roman"/>
      <family val="1"/>
    </font>
    <font>
      <b/>
      <sz val="8"/>
      <name val="Times New Roman"/>
      <family val="1"/>
    </font>
    <font>
      <b/>
      <sz val="8"/>
      <color rgb="FFFF0000"/>
      <name val="Times New Roman"/>
      <family val="1"/>
    </font>
    <font>
      <i/>
      <sz val="9"/>
      <color theme="1"/>
      <name val="Times New Roman"/>
      <family val="1"/>
    </font>
    <font>
      <b/>
      <i/>
      <sz val="9"/>
      <color theme="1"/>
      <name val="Times New Roman"/>
      <family val="1"/>
    </font>
    <font>
      <b/>
      <sz val="10"/>
      <name val="Times New Roman"/>
      <family val="1"/>
    </font>
    <font>
      <i/>
      <sz val="10"/>
      <name val="Times New Roman"/>
      <family val="1"/>
    </font>
    <font>
      <i/>
      <sz val="11"/>
      <name val="times new roman"/>
      <family val="1"/>
      <charset val="163"/>
    </font>
    <font>
      <b/>
      <sz val="10"/>
      <color theme="1"/>
      <name val="Times New Roman"/>
      <family val="1"/>
      <charset val="163"/>
    </font>
    <font>
      <sz val="10"/>
      <color theme="1"/>
      <name val="times new roman"/>
      <family val="2"/>
      <charset val="163"/>
    </font>
    <font>
      <b/>
      <i/>
      <sz val="8"/>
      <name val="Times New Roman"/>
      <family val="1"/>
    </font>
    <font>
      <sz val="9"/>
      <color rgb="FFFF0000"/>
      <name val="Times New Roman"/>
      <family val="1"/>
    </font>
    <font>
      <b/>
      <sz val="8"/>
      <color theme="1"/>
      <name val="Times New Roman"/>
      <family val="1"/>
    </font>
    <font>
      <sz val="8"/>
      <color theme="1"/>
      <name val="Times New Roman"/>
      <family val="1"/>
    </font>
    <font>
      <sz val="11"/>
      <color theme="1"/>
      <name val="Times New Roman"/>
      <family val="1"/>
    </font>
    <font>
      <b/>
      <sz val="14"/>
      <color theme="1"/>
      <name val="Times New Roman"/>
      <family val="1"/>
    </font>
    <font>
      <sz val="12"/>
      <color theme="1"/>
      <name val="Times New Roman"/>
      <family val="1"/>
    </font>
    <font>
      <i/>
      <sz val="11"/>
      <color theme="1"/>
      <name val="Times New Roman"/>
      <family val="1"/>
    </font>
    <font>
      <b/>
      <sz val="11"/>
      <color theme="1"/>
      <name val="Times New Roman"/>
      <family val="1"/>
    </font>
    <font>
      <b/>
      <sz val="11"/>
      <color theme="0"/>
      <name val="Times New Roman"/>
      <family val="1"/>
    </font>
    <font>
      <b/>
      <i/>
      <sz val="10"/>
      <color theme="1"/>
      <name val="Times New Roman"/>
      <family val="1"/>
    </font>
    <font>
      <sz val="10"/>
      <color theme="0"/>
      <name val="Times New Roman"/>
      <family val="1"/>
    </font>
    <font>
      <b/>
      <sz val="10"/>
      <color theme="0"/>
      <name val="Times New Roman"/>
      <family val="1"/>
    </font>
    <font>
      <sz val="12"/>
      <color theme="0"/>
      <name val="Times New Roman"/>
      <family val="1"/>
    </font>
    <font>
      <b/>
      <sz val="12"/>
      <color theme="0"/>
      <name val="Times New Roman"/>
      <family val="1"/>
    </font>
    <font>
      <b/>
      <sz val="12"/>
      <color theme="1"/>
      <name val="Times New Roman"/>
      <family val="1"/>
    </font>
    <font>
      <sz val="12"/>
      <color rgb="FFFF0000"/>
      <name val="Times New Roman"/>
      <family val="1"/>
    </font>
    <font>
      <sz val="11"/>
      <color theme="0"/>
      <name val="Times New Roman"/>
      <family val="1"/>
    </font>
    <font>
      <i/>
      <sz val="10"/>
      <color theme="1"/>
      <name val="Times New Roman"/>
      <family val="1"/>
    </font>
    <font>
      <i/>
      <sz val="12"/>
      <name val="Times New Roman"/>
      <family val="1"/>
    </font>
    <font>
      <i/>
      <sz val="12"/>
      <color theme="1"/>
      <name val="Times New Roman"/>
      <family val="1"/>
    </font>
    <font>
      <b/>
      <sz val="12"/>
      <color theme="1"/>
      <name val="Times New Roman"/>
      <family val="1"/>
      <charset val="163"/>
    </font>
    <font>
      <sz val="11"/>
      <color rgb="FFFF0000"/>
      <name val="Times New Roman"/>
      <family val="1"/>
      <charset val="163"/>
    </font>
    <font>
      <b/>
      <i/>
      <sz val="8"/>
      <color theme="1"/>
      <name val="Times New Roman"/>
      <family val="1"/>
    </font>
  </fonts>
  <fills count="51">
    <fill>
      <patternFill patternType="none"/>
    </fill>
    <fill>
      <patternFill patternType="gray125"/>
    </fill>
    <fill>
      <patternFill patternType="solid">
        <fgColor indexed="22"/>
        <bgColor indexed="64"/>
      </patternFill>
    </fill>
    <fill>
      <patternFill patternType="solid">
        <fgColor indexed="22"/>
        <bgColor indexed="31"/>
      </patternFill>
    </fill>
    <fill>
      <patternFill patternType="solid">
        <fgColor indexed="1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9"/>
      </patternFill>
    </fill>
    <fill>
      <patternFill patternType="solid">
        <fgColor indexed="26"/>
      </patternFill>
    </fill>
    <fill>
      <patternFill patternType="solid">
        <fgColor indexed="9"/>
        <bgColor indexed="64"/>
      </patternFill>
    </fill>
    <fill>
      <patternFill patternType="solid">
        <fgColor indexed="65"/>
        <bgColor indexed="64"/>
      </patternFill>
    </fill>
    <fill>
      <patternFill patternType="solid">
        <fgColor indexed="40"/>
        <bgColor indexed="64"/>
      </patternFill>
    </fill>
    <fill>
      <patternFill patternType="solid">
        <fgColor indexed="43"/>
      </patternFill>
    </fill>
    <fill>
      <patternFill patternType="darkVertica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1"/>
        <bgColor indexed="64"/>
      </patternFill>
    </fill>
    <fill>
      <patternFill patternType="solid">
        <fgColor indexed="35"/>
        <bgColor indexed="64"/>
      </patternFill>
    </fill>
    <fill>
      <patternFill patternType="gray125">
        <fgColor indexed="35"/>
      </patternFill>
    </fill>
    <fill>
      <patternFill patternType="solid">
        <fgColor indexed="26"/>
        <bgColor indexed="9"/>
      </patternFill>
    </fill>
    <fill>
      <patternFill patternType="solid">
        <fgColor indexed="9"/>
        <bgColor indexed="10"/>
      </patternFill>
    </fill>
    <fill>
      <patternFill patternType="solid">
        <fgColor theme="0"/>
        <bgColor indexed="64"/>
      </patternFill>
    </fill>
  </fills>
  <borders count="8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right/>
      <top/>
      <bottom style="hair">
        <color indexed="64"/>
      </bottom>
      <diagonal/>
    </border>
    <border>
      <left style="thin">
        <color indexed="64"/>
      </left>
      <right style="thin">
        <color indexed="64"/>
      </right>
      <top style="hair">
        <color indexed="64"/>
      </top>
      <bottom style="hair">
        <color indexed="64"/>
      </bottom>
      <diagonal/>
    </border>
    <border>
      <left style="thin">
        <color indexed="8"/>
      </left>
      <right style="thin">
        <color indexed="8"/>
      </right>
      <top style="hair">
        <color indexed="8"/>
      </top>
      <bottom style="hair">
        <color indexed="8"/>
      </bottom>
      <diagonal/>
    </border>
    <border>
      <left style="thin">
        <color indexed="8"/>
      </left>
      <right style="thin">
        <color indexed="8"/>
      </right>
      <top style="thin">
        <color indexed="8"/>
      </top>
      <bottom style="thin">
        <color indexed="8"/>
      </bottom>
      <diagonal/>
    </border>
    <border>
      <left/>
      <right/>
      <top style="double">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bottom style="thin">
        <color indexed="64"/>
      </bottom>
      <diagonal/>
    </border>
    <border>
      <left/>
      <right style="double">
        <color indexed="64"/>
      </right>
      <top/>
      <bottom/>
      <diagonal/>
    </border>
    <border>
      <left style="thin">
        <color indexed="64"/>
      </left>
      <right style="thin">
        <color indexed="64"/>
      </right>
      <top/>
      <bottom/>
      <diagonal/>
    </border>
    <border>
      <left/>
      <right/>
      <top style="double">
        <color indexed="64"/>
      </top>
      <bottom style="double">
        <color indexed="64"/>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ck">
        <color indexed="64"/>
      </left>
      <right/>
      <top style="thick">
        <color indexed="64"/>
      </top>
      <bottom/>
      <diagonal/>
    </border>
    <border>
      <left style="medium">
        <color indexed="10"/>
      </left>
      <right style="medium">
        <color indexed="10"/>
      </right>
      <top style="hair">
        <color indexed="10"/>
      </top>
      <bottom style="hair">
        <color indexed="10"/>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style="double">
        <color indexed="64"/>
      </left>
      <right style="thin">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8"/>
      </top>
      <bottom style="thin">
        <color indexed="64"/>
      </bottom>
      <diagonal/>
    </border>
    <border>
      <left/>
      <right/>
      <top/>
      <bottom style="double">
        <color indexed="52"/>
      </bottom>
      <diagonal/>
    </border>
    <border>
      <left style="thin">
        <color indexed="64"/>
      </left>
      <right style="thin">
        <color indexed="64"/>
      </right>
      <top style="thin">
        <color indexed="64"/>
      </top>
      <bottom style="hair">
        <color indexed="64"/>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right style="thin">
        <color indexed="64"/>
      </right>
      <top style="hair">
        <color indexed="64"/>
      </top>
      <bottom style="hair">
        <color indexed="64"/>
      </bottom>
      <diagonal/>
    </border>
    <border>
      <left style="thin">
        <color indexed="8"/>
      </left>
      <right/>
      <top style="thin">
        <color indexed="8"/>
      </top>
      <bottom style="thin">
        <color indexed="8"/>
      </bottom>
      <diagonal/>
    </border>
    <border>
      <left style="thin">
        <color indexed="64"/>
      </left>
      <right style="medium">
        <color indexed="64"/>
      </right>
      <top style="medium">
        <color indexed="64"/>
      </top>
      <bottom style="thin">
        <color indexed="64"/>
      </bottom>
      <diagonal/>
    </border>
    <border>
      <left style="double">
        <color indexed="64"/>
      </left>
      <right style="thin">
        <color indexed="64"/>
      </right>
      <top style="double">
        <color indexed="64"/>
      </top>
      <bottom/>
      <diagonal/>
    </border>
    <border>
      <left style="double">
        <color indexed="64"/>
      </left>
      <right style="thin">
        <color indexed="64"/>
      </right>
      <top style="hair">
        <color indexed="64"/>
      </top>
      <bottom style="double">
        <color indexed="64"/>
      </bottom>
      <diagonal/>
    </border>
    <border>
      <left/>
      <right/>
      <top style="thin">
        <color indexed="62"/>
      </top>
      <bottom style="double">
        <color indexed="62"/>
      </bottom>
      <diagonal/>
    </border>
    <border>
      <left style="hair">
        <color indexed="64"/>
      </left>
      <right/>
      <top/>
      <bottom/>
      <diagonal/>
    </border>
    <border>
      <left/>
      <right style="medium">
        <color indexed="0"/>
      </right>
      <top/>
      <bottom/>
      <diagonal/>
    </border>
    <border>
      <left style="medium">
        <color indexed="9"/>
      </left>
      <right style="medium">
        <color indexed="9"/>
      </right>
      <top style="medium">
        <color indexed="9"/>
      </top>
      <bottom style="medium">
        <color indexed="9"/>
      </bottom>
      <diagonal/>
    </border>
    <border>
      <left style="double">
        <color indexed="64"/>
      </left>
      <right style="double">
        <color indexed="64"/>
      </right>
      <top style="double">
        <color indexed="64"/>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auto="1"/>
      </left>
      <right/>
      <top style="thin">
        <color indexed="64"/>
      </top>
      <bottom/>
      <diagonal/>
    </border>
    <border>
      <left style="thin">
        <color indexed="64"/>
      </left>
      <right style="thin">
        <color indexed="64"/>
      </right>
      <top style="dashed">
        <color indexed="64"/>
      </top>
      <bottom style="dashed">
        <color indexed="64"/>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thin">
        <color auto="1"/>
      </top>
      <bottom style="thin">
        <color indexed="64"/>
      </bottom>
      <diagonal/>
    </border>
    <border>
      <left style="thin">
        <color indexed="64"/>
      </left>
      <right style="thin">
        <color indexed="64"/>
      </right>
      <top style="thin">
        <color indexed="64"/>
      </top>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style="thin">
        <color auto="1"/>
      </top>
      <bottom/>
      <diagonal/>
    </border>
    <border>
      <left/>
      <right style="thin">
        <color auto="1"/>
      </right>
      <top style="thin">
        <color auto="1"/>
      </top>
      <bottom/>
      <diagonal/>
    </border>
    <border>
      <left/>
      <right style="thin">
        <color indexed="64"/>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022">
    <xf numFmtId="0" fontId="0" fillId="0" borderId="0"/>
    <xf numFmtId="168" fontId="5" fillId="0" borderId="0" applyFon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3" fontId="7" fillId="0" borderId="1"/>
    <xf numFmtId="167" fontId="94" fillId="0" borderId="2" applyFont="0" applyBorder="0"/>
    <xf numFmtId="219" fontId="95" fillId="0" borderId="0" applyBorder="0"/>
    <xf numFmtId="167" fontId="94" fillId="0" borderId="2" applyFont="0" applyBorder="0"/>
    <xf numFmtId="0" fontId="24" fillId="0" borderId="0"/>
    <xf numFmtId="169" fontId="8"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20" fontId="56" fillId="0" borderId="0" applyFont="0" applyFill="0" applyBorder="0" applyAlignment="0" applyProtection="0"/>
    <xf numFmtId="170" fontId="8" fillId="0" borderId="0" applyFont="0" applyFill="0" applyBorder="0" applyAlignment="0" applyProtection="0"/>
    <xf numFmtId="0" fontId="8" fillId="0" borderId="0" applyNumberFormat="0" applyFill="0" applyBorder="0" applyAlignment="0" applyProtection="0"/>
    <xf numFmtId="0" fontId="96" fillId="0" borderId="0" applyFont="0" applyFill="0" applyBorder="0" applyAlignment="0" applyProtection="0"/>
    <xf numFmtId="0" fontId="97" fillId="0" borderId="3"/>
    <xf numFmtId="221" fontId="98" fillId="0" borderId="0" applyFont="0" applyFill="0" applyBorder="0" applyAlignment="0" applyProtection="0"/>
    <xf numFmtId="222" fontId="98" fillId="0" borderId="0" applyFont="0" applyFill="0" applyBorder="0" applyAlignment="0" applyProtection="0"/>
    <xf numFmtId="223" fontId="24" fillId="0" borderId="0" applyFont="0" applyFill="0" applyBorder="0" applyAlignment="0" applyProtection="0"/>
    <xf numFmtId="171" fontId="9" fillId="0" borderId="0" applyFont="0" applyFill="0" applyBorder="0" applyAlignment="0" applyProtection="0"/>
    <xf numFmtId="172" fontId="9" fillId="0" borderId="0" applyFont="0" applyFill="0" applyBorder="0" applyAlignment="0" applyProtection="0"/>
    <xf numFmtId="6" fontId="10" fillId="0" borderId="0" applyFont="0" applyFill="0" applyBorder="0" applyAlignment="0" applyProtection="0"/>
    <xf numFmtId="0" fontId="99"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12" fillId="0" borderId="0"/>
    <xf numFmtId="0" fontId="8" fillId="0" borderId="0" applyNumberFormat="0" applyFill="0" applyBorder="0" applyAlignment="0" applyProtection="0"/>
    <xf numFmtId="171" fontId="6" fillId="0" borderId="0" applyFont="0" applyFill="0" applyBorder="0" applyAlignment="0" applyProtection="0"/>
    <xf numFmtId="216"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0" fontId="14" fillId="0" borderId="0"/>
    <xf numFmtId="0" fontId="14" fillId="0" borderId="0"/>
    <xf numFmtId="0" fontId="14" fillId="0" borderId="0"/>
    <xf numFmtId="174" fontId="6" fillId="0" borderId="0" applyFont="0" applyFill="0" applyBorder="0" applyAlignment="0" applyProtection="0"/>
    <xf numFmtId="174" fontId="6" fillId="0" borderId="0" applyFont="0" applyFill="0" applyBorder="0" applyAlignment="0" applyProtection="0"/>
    <xf numFmtId="216" fontId="13" fillId="0" borderId="0" applyFont="0" applyFill="0" applyBorder="0" applyAlignment="0" applyProtection="0"/>
    <xf numFmtId="0" fontId="14" fillId="0" borderId="0"/>
    <xf numFmtId="0" fontId="15" fillId="0" borderId="0">
      <alignment vertical="top"/>
    </xf>
    <xf numFmtId="0" fontId="15" fillId="0" borderId="0">
      <alignment vertical="top"/>
    </xf>
    <xf numFmtId="0" fontId="16" fillId="0" borderId="0"/>
    <xf numFmtId="221" fontId="13" fillId="0" borderId="0" applyFont="0" applyFill="0" applyBorder="0" applyAlignment="0" applyProtection="0"/>
    <xf numFmtId="216" fontId="13" fillId="0" borderId="0" applyFont="0" applyFill="0" applyBorder="0" applyAlignment="0" applyProtection="0"/>
    <xf numFmtId="208" fontId="5" fillId="0" borderId="0" applyFont="0" applyFill="0" applyBorder="0" applyAlignment="0" applyProtection="0"/>
    <xf numFmtId="224" fontId="13" fillId="0" borderId="0" applyFont="0" applyFill="0" applyBorder="0" applyAlignment="0" applyProtection="0"/>
    <xf numFmtId="225" fontId="13" fillId="0" borderId="0" applyFont="0" applyFill="0" applyBorder="0" applyAlignment="0" applyProtection="0"/>
    <xf numFmtId="224" fontId="13" fillId="0" borderId="0" applyFont="0" applyFill="0" applyBorder="0" applyAlignment="0" applyProtection="0"/>
    <xf numFmtId="208" fontId="5" fillId="0" borderId="0" applyFont="0" applyFill="0" applyBorder="0" applyAlignment="0" applyProtection="0"/>
    <xf numFmtId="0" fontId="24" fillId="0" borderId="0" applyNumberFormat="0" applyFill="0" applyBorder="0" applyAlignment="0" applyProtection="0"/>
    <xf numFmtId="0" fontId="16" fillId="0" borderId="0"/>
    <xf numFmtId="0" fontId="24" fillId="0" borderId="0" applyNumberFormat="0" applyFill="0" applyBorder="0" applyAlignment="0" applyProtection="0"/>
    <xf numFmtId="208" fontId="5" fillId="0" borderId="0" applyFont="0" applyFill="0" applyBorder="0" applyAlignment="0" applyProtection="0"/>
    <xf numFmtId="0" fontId="16" fillId="0" borderId="0"/>
    <xf numFmtId="0" fontId="15" fillId="0" borderId="0">
      <alignment vertical="top"/>
    </xf>
    <xf numFmtId="0" fontId="15" fillId="0" borderId="0">
      <alignment vertical="top"/>
    </xf>
    <xf numFmtId="0" fontId="15" fillId="0" borderId="0">
      <alignment vertical="top"/>
    </xf>
    <xf numFmtId="216" fontId="13" fillId="0" borderId="0" applyFont="0" applyFill="0" applyBorder="0" applyAlignment="0" applyProtection="0"/>
    <xf numFmtId="216" fontId="13" fillId="0" borderId="0" applyFont="0" applyFill="0" applyBorder="0" applyAlignment="0" applyProtection="0"/>
    <xf numFmtId="216" fontId="100" fillId="0" borderId="0" applyFon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16" fillId="0" borderId="0"/>
    <xf numFmtId="0" fontId="16" fillId="0" borderId="0"/>
    <xf numFmtId="0" fontId="16"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6" fillId="0" borderId="0"/>
    <xf numFmtId="226" fontId="5" fillId="0" borderId="0" applyFont="0" applyFill="0" applyBorder="0" applyAlignment="0" applyProtection="0"/>
    <xf numFmtId="173" fontId="13" fillId="0" borderId="0" applyFont="0" applyFill="0" applyBorder="0" applyAlignment="0" applyProtection="0"/>
    <xf numFmtId="168" fontId="5" fillId="0" borderId="0" applyFont="0" applyFill="0" applyBorder="0" applyAlignment="0" applyProtection="0"/>
    <xf numFmtId="216" fontId="5" fillId="0" borderId="0" applyFont="0" applyFill="0" applyBorder="0" applyAlignment="0" applyProtection="0"/>
    <xf numFmtId="216" fontId="5" fillId="0" borderId="0" applyFont="0" applyFill="0" applyBorder="0" applyAlignment="0" applyProtection="0"/>
    <xf numFmtId="184" fontId="101" fillId="0" borderId="0" applyFont="0" applyFill="0" applyBorder="0" applyAlignment="0" applyProtection="0"/>
    <xf numFmtId="227" fontId="5" fillId="0" borderId="0" applyFont="0" applyFill="0" applyBorder="0" applyAlignment="0" applyProtection="0"/>
    <xf numFmtId="227" fontId="5" fillId="0" borderId="0" applyFont="0" applyFill="0" applyBorder="0" applyAlignment="0" applyProtection="0"/>
    <xf numFmtId="228" fontId="8" fillId="0" borderId="0" applyFont="0" applyFill="0" applyBorder="0" applyAlignment="0" applyProtection="0"/>
    <xf numFmtId="228" fontId="8" fillId="0" borderId="0" applyFont="0" applyFill="0" applyBorder="0" applyAlignment="0" applyProtection="0"/>
    <xf numFmtId="228" fontId="101" fillId="0" borderId="0" applyFont="0" applyFill="0" applyBorder="0" applyAlignment="0" applyProtection="0"/>
    <xf numFmtId="227" fontId="5" fillId="0" borderId="0" applyFont="0" applyFill="0" applyBorder="0" applyAlignment="0" applyProtection="0"/>
    <xf numFmtId="184" fontId="101" fillId="0" borderId="0" applyFont="0" applyFill="0" applyBorder="0" applyAlignment="0" applyProtection="0"/>
    <xf numFmtId="168" fontId="5" fillId="0" borderId="0" applyFont="0" applyFill="0" applyBorder="0" applyAlignment="0" applyProtection="0"/>
    <xf numFmtId="216"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229" fontId="5" fillId="0" borderId="0" applyFont="0" applyFill="0" applyBorder="0" applyAlignment="0" applyProtection="0"/>
    <xf numFmtId="229" fontId="5" fillId="0" borderId="0" applyFont="0" applyFill="0" applyBorder="0" applyAlignment="0" applyProtection="0"/>
    <xf numFmtId="0"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88" fontId="13" fillId="0" borderId="0" applyFont="0" applyFill="0" applyBorder="0" applyAlignment="0" applyProtection="0"/>
    <xf numFmtId="230" fontId="13" fillId="0" borderId="0" applyFont="0" applyFill="0" applyBorder="0" applyAlignment="0" applyProtection="0"/>
    <xf numFmtId="188"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230" fontId="13" fillId="0" borderId="0" applyFont="0" applyFill="0" applyBorder="0" applyAlignment="0" applyProtection="0"/>
    <xf numFmtId="178" fontId="13" fillId="0" borderId="0" applyFont="0" applyFill="0" applyBorder="0" applyAlignment="0" applyProtection="0"/>
    <xf numFmtId="231" fontId="13" fillId="0" borderId="0" applyFont="0" applyFill="0" applyBorder="0" applyAlignment="0" applyProtection="0"/>
    <xf numFmtId="0" fontId="13" fillId="0" borderId="0" applyFont="0" applyFill="0" applyBorder="0" applyAlignment="0" applyProtection="0"/>
    <xf numFmtId="165" fontId="13" fillId="0" borderId="0" applyFont="0" applyFill="0" applyBorder="0" applyAlignment="0" applyProtection="0"/>
    <xf numFmtId="0" fontId="13" fillId="0" borderId="0" applyFont="0" applyFill="0" applyBorder="0" applyAlignment="0" applyProtection="0"/>
    <xf numFmtId="188" fontId="13" fillId="0" borderId="0" applyFont="0" applyFill="0" applyBorder="0" applyAlignment="0" applyProtection="0"/>
    <xf numFmtId="188" fontId="13" fillId="0" borderId="0" applyFont="0" applyFill="0" applyBorder="0" applyAlignment="0" applyProtection="0"/>
    <xf numFmtId="178" fontId="13" fillId="0" borderId="0" applyFont="0" applyFill="0" applyBorder="0" applyAlignment="0" applyProtection="0"/>
    <xf numFmtId="218" fontId="13" fillId="0" borderId="0" applyFont="0" applyFill="0" applyBorder="0" applyAlignment="0" applyProtection="0"/>
    <xf numFmtId="188" fontId="13" fillId="0" borderId="0" applyFont="0" applyFill="0" applyBorder="0" applyAlignment="0" applyProtection="0"/>
    <xf numFmtId="232" fontId="13" fillId="0" borderId="0" applyFont="0" applyFill="0" applyBorder="0" applyAlignment="0" applyProtection="0"/>
    <xf numFmtId="232" fontId="13" fillId="0" borderId="0" applyFont="0" applyFill="0" applyBorder="0" applyAlignment="0" applyProtection="0"/>
    <xf numFmtId="178" fontId="13" fillId="0" borderId="0" applyFont="0" applyFill="0" applyBorder="0" applyAlignment="0" applyProtection="0"/>
    <xf numFmtId="230" fontId="13" fillId="0" borderId="0" applyFont="0" applyFill="0" applyBorder="0" applyAlignment="0" applyProtection="0"/>
    <xf numFmtId="230" fontId="13" fillId="0" borderId="0" applyFont="0" applyFill="0" applyBorder="0" applyAlignment="0" applyProtection="0"/>
    <xf numFmtId="165" fontId="13" fillId="0" borderId="0" applyFont="0" applyFill="0" applyBorder="0" applyAlignment="0" applyProtection="0"/>
    <xf numFmtId="188" fontId="13" fillId="0" borderId="0" applyFont="0" applyFill="0" applyBorder="0" applyAlignment="0" applyProtection="0"/>
    <xf numFmtId="165" fontId="13" fillId="0" borderId="0" applyFont="0" applyFill="0" applyBorder="0" applyAlignment="0" applyProtection="0"/>
    <xf numFmtId="230" fontId="13" fillId="0" borderId="0" applyFont="0" applyFill="0" applyBorder="0" applyAlignment="0" applyProtection="0"/>
    <xf numFmtId="188" fontId="13" fillId="0" borderId="0" applyFont="0" applyFill="0" applyBorder="0" applyAlignment="0" applyProtection="0"/>
    <xf numFmtId="188" fontId="13" fillId="0" borderId="0" applyFont="0" applyFill="0" applyBorder="0" applyAlignment="0" applyProtection="0"/>
    <xf numFmtId="188" fontId="13" fillId="0" borderId="0" applyFont="0" applyFill="0" applyBorder="0" applyAlignment="0" applyProtection="0"/>
    <xf numFmtId="218" fontId="13" fillId="0" borderId="0" applyFont="0" applyFill="0" applyBorder="0" applyAlignment="0" applyProtection="0"/>
    <xf numFmtId="218" fontId="13" fillId="0" borderId="0" applyFont="0" applyFill="0" applyBorder="0" applyAlignment="0" applyProtection="0"/>
    <xf numFmtId="230" fontId="13" fillId="0" borderId="0" applyFont="0" applyFill="0" applyBorder="0" applyAlignment="0" applyProtection="0"/>
    <xf numFmtId="233" fontId="13" fillId="0" borderId="0" applyFont="0" applyFill="0" applyBorder="0" applyAlignment="0" applyProtection="0"/>
    <xf numFmtId="165" fontId="13" fillId="0" borderId="0" applyFont="0" applyFill="0" applyBorder="0" applyAlignment="0" applyProtection="0"/>
    <xf numFmtId="234" fontId="5" fillId="0" borderId="0" applyFont="0" applyFill="0" applyBorder="0" applyAlignment="0" applyProtection="0"/>
    <xf numFmtId="188" fontId="13" fillId="0" borderId="0" applyFont="0" applyFill="0" applyBorder="0" applyAlignment="0" applyProtection="0"/>
    <xf numFmtId="230" fontId="13" fillId="0" borderId="0" applyFont="0" applyFill="0" applyBorder="0" applyAlignment="0" applyProtection="0"/>
    <xf numFmtId="188" fontId="13" fillId="0" borderId="0" applyFont="0" applyFill="0" applyBorder="0" applyAlignment="0" applyProtection="0"/>
    <xf numFmtId="188" fontId="13" fillId="0" borderId="0" applyFont="0" applyFill="0" applyBorder="0" applyAlignment="0" applyProtection="0"/>
    <xf numFmtId="188" fontId="13" fillId="0" borderId="0" applyFont="0" applyFill="0" applyBorder="0" applyAlignment="0" applyProtection="0"/>
    <xf numFmtId="230" fontId="13" fillId="0" borderId="0" applyFont="0" applyFill="0" applyBorder="0" applyAlignment="0" applyProtection="0"/>
    <xf numFmtId="188" fontId="13" fillId="0" borderId="0" applyFont="0" applyFill="0" applyBorder="0" applyAlignment="0" applyProtection="0"/>
    <xf numFmtId="230" fontId="13" fillId="0" borderId="0" applyFont="0" applyFill="0" applyBorder="0" applyAlignment="0" applyProtection="0"/>
    <xf numFmtId="171" fontId="101" fillId="0" borderId="0" applyFont="0" applyFill="0" applyBorder="0" applyAlignment="0" applyProtection="0"/>
    <xf numFmtId="235" fontId="13" fillId="0" borderId="0" applyFont="0" applyFill="0" applyBorder="0" applyAlignment="0" applyProtection="0"/>
    <xf numFmtId="235" fontId="13" fillId="0" borderId="0" applyFont="0" applyFill="0" applyBorder="0" applyAlignment="0" applyProtection="0"/>
    <xf numFmtId="236" fontId="8" fillId="0" borderId="0" applyFont="0" applyFill="0" applyBorder="0" applyAlignment="0" applyProtection="0"/>
    <xf numFmtId="236" fontId="8" fillId="0" borderId="0" applyFont="0" applyFill="0" applyBorder="0" applyAlignment="0" applyProtection="0"/>
    <xf numFmtId="172" fontId="101" fillId="0" borderId="0" applyFont="0" applyFill="0" applyBorder="0" applyAlignment="0" applyProtection="0"/>
    <xf numFmtId="235" fontId="13" fillId="0" borderId="0" applyFont="0" applyFill="0" applyBorder="0" applyAlignment="0" applyProtection="0"/>
    <xf numFmtId="171" fontId="101" fillId="0" borderId="0" applyFont="0" applyFill="0" applyBorder="0" applyAlignment="0" applyProtection="0"/>
    <xf numFmtId="211" fontId="46" fillId="0" borderId="0" applyFont="0" applyFill="0" applyBorder="0" applyAlignment="0" applyProtection="0"/>
    <xf numFmtId="233" fontId="13" fillId="0" borderId="0" applyFont="0" applyFill="0" applyBorder="0" applyAlignment="0" applyProtection="0"/>
    <xf numFmtId="188" fontId="13" fillId="0" borderId="0" applyFont="0" applyFill="0" applyBorder="0" applyAlignment="0" applyProtection="0"/>
    <xf numFmtId="172" fontId="13" fillId="0" borderId="0" applyFont="0" applyFill="0" applyBorder="0" applyAlignment="0" applyProtection="0"/>
    <xf numFmtId="172" fontId="13" fillId="0" borderId="0" applyFont="0" applyFill="0" applyBorder="0" applyAlignment="0" applyProtection="0"/>
    <xf numFmtId="188" fontId="13" fillId="0" borderId="0" applyFont="0" applyFill="0" applyBorder="0" applyAlignment="0" applyProtection="0"/>
    <xf numFmtId="188" fontId="13" fillId="0" borderId="0" applyFont="0" applyFill="0" applyBorder="0" applyAlignment="0" applyProtection="0"/>
    <xf numFmtId="165" fontId="13" fillId="0" borderId="0" applyFont="0" applyFill="0" applyBorder="0" applyAlignment="0" applyProtection="0"/>
    <xf numFmtId="188" fontId="13" fillId="0" borderId="0" applyFont="0" applyFill="0" applyBorder="0" applyAlignment="0" applyProtection="0"/>
    <xf numFmtId="171" fontId="5" fillId="0" borderId="0" applyFont="0" applyFill="0" applyBorder="0" applyAlignment="0" applyProtection="0"/>
    <xf numFmtId="173" fontId="13" fillId="0" borderId="0" applyFont="0" applyFill="0" applyBorder="0" applyAlignment="0" applyProtection="0"/>
    <xf numFmtId="208" fontId="5" fillId="0" borderId="0" applyFont="0" applyFill="0" applyBorder="0" applyAlignment="0" applyProtection="0"/>
    <xf numFmtId="224" fontId="13" fillId="0" borderId="0" applyFont="0" applyFill="0" applyBorder="0" applyAlignment="0" applyProtection="0"/>
    <xf numFmtId="225" fontId="13" fillId="0" borderId="0" applyFont="0" applyFill="0" applyBorder="0" applyAlignment="0" applyProtection="0"/>
    <xf numFmtId="224" fontId="13" fillId="0" borderId="0" applyFont="0" applyFill="0" applyBorder="0" applyAlignment="0" applyProtection="0"/>
    <xf numFmtId="216" fontId="100" fillId="0" borderId="0" applyFont="0" applyFill="0" applyBorder="0" applyAlignment="0" applyProtection="0"/>
    <xf numFmtId="226" fontId="5" fillId="0" borderId="0" applyFont="0" applyFill="0" applyBorder="0" applyAlignment="0" applyProtection="0"/>
    <xf numFmtId="216" fontId="13" fillId="0" borderId="0" applyFont="0" applyFill="0" applyBorder="0" applyAlignment="0" applyProtection="0"/>
    <xf numFmtId="216" fontId="13" fillId="0" borderId="0" applyFont="0" applyFill="0" applyBorder="0" applyAlignment="0" applyProtection="0"/>
    <xf numFmtId="224" fontId="13" fillId="0" borderId="0" applyFont="0" applyFill="0" applyBorder="0" applyAlignment="0" applyProtection="0"/>
    <xf numFmtId="216" fontId="100" fillId="0" borderId="0" applyFont="0" applyFill="0" applyBorder="0" applyAlignment="0" applyProtection="0"/>
    <xf numFmtId="237" fontId="13" fillId="0" borderId="0" applyFont="0" applyFill="0" applyBorder="0" applyAlignment="0" applyProtection="0"/>
    <xf numFmtId="208" fontId="5" fillId="0" borderId="0" applyFont="0" applyFill="0" applyBorder="0" applyAlignment="0" applyProtection="0"/>
    <xf numFmtId="238" fontId="101" fillId="0" borderId="0" applyFont="0" applyFill="0" applyBorder="0" applyAlignment="0" applyProtection="0"/>
    <xf numFmtId="239" fontId="13" fillId="0" borderId="0" applyFont="0" applyFill="0" applyBorder="0" applyAlignment="0" applyProtection="0"/>
    <xf numFmtId="239" fontId="13" fillId="0" borderId="0" applyFont="0" applyFill="0" applyBorder="0" applyAlignment="0" applyProtection="0"/>
    <xf numFmtId="240" fontId="101" fillId="0" borderId="0" applyFont="0" applyFill="0" applyBorder="0" applyAlignment="0" applyProtection="0"/>
    <xf numFmtId="239" fontId="13" fillId="0" borderId="0" applyFont="0" applyFill="0" applyBorder="0" applyAlignment="0" applyProtection="0"/>
    <xf numFmtId="238" fontId="101" fillId="0" borderId="0" applyFont="0" applyFill="0" applyBorder="0" applyAlignment="0" applyProtection="0"/>
    <xf numFmtId="239" fontId="13" fillId="0" borderId="0" applyFont="0" applyFill="0" applyBorder="0" applyAlignment="0" applyProtection="0"/>
    <xf numFmtId="208" fontId="13" fillId="0" borderId="0" applyFont="0" applyFill="0" applyBorder="0" applyAlignment="0" applyProtection="0"/>
    <xf numFmtId="208" fontId="13" fillId="0" borderId="0" applyFont="0" applyFill="0" applyBorder="0" applyAlignment="0" applyProtection="0"/>
    <xf numFmtId="240" fontId="101" fillId="0" borderId="0" applyFont="0" applyFill="0" applyBorder="0" applyAlignment="0" applyProtection="0"/>
    <xf numFmtId="241" fontId="13" fillId="0" borderId="0" applyFont="0" applyFill="0" applyBorder="0" applyAlignment="0" applyProtection="0"/>
    <xf numFmtId="241" fontId="13" fillId="0" borderId="0" applyFont="0" applyFill="0" applyBorder="0" applyAlignment="0" applyProtection="0"/>
    <xf numFmtId="242" fontId="8" fillId="0" borderId="0" applyFont="0" applyFill="0" applyBorder="0" applyAlignment="0" applyProtection="0"/>
    <xf numFmtId="242" fontId="8" fillId="0" borderId="0" applyFont="0" applyFill="0" applyBorder="0" applyAlignment="0" applyProtection="0"/>
    <xf numFmtId="171" fontId="101" fillId="0" borderId="0" applyFont="0" applyFill="0" applyBorder="0" applyAlignment="0" applyProtection="0"/>
    <xf numFmtId="241" fontId="13" fillId="0" borderId="0" applyFont="0" applyFill="0" applyBorder="0" applyAlignment="0" applyProtection="0"/>
    <xf numFmtId="240" fontId="101" fillId="0" borderId="0" applyFont="0" applyFill="0" applyBorder="0" applyAlignment="0" applyProtection="0"/>
    <xf numFmtId="243" fontId="46" fillId="0" borderId="0" applyFont="0" applyFill="0" applyBorder="0" applyAlignment="0" applyProtection="0"/>
    <xf numFmtId="244" fontId="13" fillId="0" borderId="0" applyFont="0" applyFill="0" applyBorder="0" applyAlignment="0" applyProtection="0"/>
    <xf numFmtId="216" fontId="13" fillId="0" borderId="0" applyFont="0" applyFill="0" applyBorder="0" applyAlignment="0" applyProtection="0"/>
    <xf numFmtId="0"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88" fontId="13" fillId="0" borderId="0" applyFont="0" applyFill="0" applyBorder="0" applyAlignment="0" applyProtection="0"/>
    <xf numFmtId="230" fontId="13" fillId="0" borderId="0" applyFont="0" applyFill="0" applyBorder="0" applyAlignment="0" applyProtection="0"/>
    <xf numFmtId="188"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230" fontId="13" fillId="0" borderId="0" applyFont="0" applyFill="0" applyBorder="0" applyAlignment="0" applyProtection="0"/>
    <xf numFmtId="178" fontId="13" fillId="0" borderId="0" applyFont="0" applyFill="0" applyBorder="0" applyAlignment="0" applyProtection="0"/>
    <xf numFmtId="231" fontId="13" fillId="0" borderId="0" applyFont="0" applyFill="0" applyBorder="0" applyAlignment="0" applyProtection="0"/>
    <xf numFmtId="0" fontId="13" fillId="0" borderId="0" applyFont="0" applyFill="0" applyBorder="0" applyAlignment="0" applyProtection="0"/>
    <xf numFmtId="165" fontId="13" fillId="0" borderId="0" applyFont="0" applyFill="0" applyBorder="0" applyAlignment="0" applyProtection="0"/>
    <xf numFmtId="0" fontId="13" fillId="0" borderId="0" applyFont="0" applyFill="0" applyBorder="0" applyAlignment="0" applyProtection="0"/>
    <xf numFmtId="188" fontId="13" fillId="0" borderId="0" applyFont="0" applyFill="0" applyBorder="0" applyAlignment="0" applyProtection="0"/>
    <xf numFmtId="188" fontId="13" fillId="0" borderId="0" applyFont="0" applyFill="0" applyBorder="0" applyAlignment="0" applyProtection="0"/>
    <xf numFmtId="178" fontId="13" fillId="0" borderId="0" applyFont="0" applyFill="0" applyBorder="0" applyAlignment="0" applyProtection="0"/>
    <xf numFmtId="218" fontId="13" fillId="0" borderId="0" applyFont="0" applyFill="0" applyBorder="0" applyAlignment="0" applyProtection="0"/>
    <xf numFmtId="188" fontId="13" fillId="0" borderId="0" applyFont="0" applyFill="0" applyBorder="0" applyAlignment="0" applyProtection="0"/>
    <xf numFmtId="232" fontId="13" fillId="0" borderId="0" applyFont="0" applyFill="0" applyBorder="0" applyAlignment="0" applyProtection="0"/>
    <xf numFmtId="232" fontId="13" fillId="0" borderId="0" applyFont="0" applyFill="0" applyBorder="0" applyAlignment="0" applyProtection="0"/>
    <xf numFmtId="178" fontId="13" fillId="0" borderId="0" applyFont="0" applyFill="0" applyBorder="0" applyAlignment="0" applyProtection="0"/>
    <xf numFmtId="230" fontId="13" fillId="0" borderId="0" applyFont="0" applyFill="0" applyBorder="0" applyAlignment="0" applyProtection="0"/>
    <xf numFmtId="230" fontId="13" fillId="0" borderId="0" applyFont="0" applyFill="0" applyBorder="0" applyAlignment="0" applyProtection="0"/>
    <xf numFmtId="165" fontId="13" fillId="0" borderId="0" applyFont="0" applyFill="0" applyBorder="0" applyAlignment="0" applyProtection="0"/>
    <xf numFmtId="188" fontId="13" fillId="0" borderId="0" applyFont="0" applyFill="0" applyBorder="0" applyAlignment="0" applyProtection="0"/>
    <xf numFmtId="165" fontId="13" fillId="0" borderId="0" applyFont="0" applyFill="0" applyBorder="0" applyAlignment="0" applyProtection="0"/>
    <xf numFmtId="230" fontId="13" fillId="0" borderId="0" applyFont="0" applyFill="0" applyBorder="0" applyAlignment="0" applyProtection="0"/>
    <xf numFmtId="188" fontId="13" fillId="0" borderId="0" applyFont="0" applyFill="0" applyBorder="0" applyAlignment="0" applyProtection="0"/>
    <xf numFmtId="188" fontId="13" fillId="0" borderId="0" applyFont="0" applyFill="0" applyBorder="0" applyAlignment="0" applyProtection="0"/>
    <xf numFmtId="188" fontId="13" fillId="0" borderId="0" applyFont="0" applyFill="0" applyBorder="0" applyAlignment="0" applyProtection="0"/>
    <xf numFmtId="218" fontId="13" fillId="0" borderId="0" applyFont="0" applyFill="0" applyBorder="0" applyAlignment="0" applyProtection="0"/>
    <xf numFmtId="218" fontId="13" fillId="0" borderId="0" applyFont="0" applyFill="0" applyBorder="0" applyAlignment="0" applyProtection="0"/>
    <xf numFmtId="230" fontId="13" fillId="0" borderId="0" applyFont="0" applyFill="0" applyBorder="0" applyAlignment="0" applyProtection="0"/>
    <xf numFmtId="233" fontId="13" fillId="0" borderId="0" applyFont="0" applyFill="0" applyBorder="0" applyAlignment="0" applyProtection="0"/>
    <xf numFmtId="165" fontId="13" fillId="0" borderId="0" applyFont="0" applyFill="0" applyBorder="0" applyAlignment="0" applyProtection="0"/>
    <xf numFmtId="234" fontId="5" fillId="0" borderId="0" applyFont="0" applyFill="0" applyBorder="0" applyAlignment="0" applyProtection="0"/>
    <xf numFmtId="188" fontId="13" fillId="0" borderId="0" applyFont="0" applyFill="0" applyBorder="0" applyAlignment="0" applyProtection="0"/>
    <xf numFmtId="230" fontId="13" fillId="0" borderId="0" applyFont="0" applyFill="0" applyBorder="0" applyAlignment="0" applyProtection="0"/>
    <xf numFmtId="188" fontId="13" fillId="0" borderId="0" applyFont="0" applyFill="0" applyBorder="0" applyAlignment="0" applyProtection="0"/>
    <xf numFmtId="188" fontId="13" fillId="0" borderId="0" applyFont="0" applyFill="0" applyBorder="0" applyAlignment="0" applyProtection="0"/>
    <xf numFmtId="188" fontId="13" fillId="0" borderId="0" applyFont="0" applyFill="0" applyBorder="0" applyAlignment="0" applyProtection="0"/>
    <xf numFmtId="230" fontId="13" fillId="0" borderId="0" applyFont="0" applyFill="0" applyBorder="0" applyAlignment="0" applyProtection="0"/>
    <xf numFmtId="188" fontId="13" fillId="0" borderId="0" applyFont="0" applyFill="0" applyBorder="0" applyAlignment="0" applyProtection="0"/>
    <xf numFmtId="230" fontId="13" fillId="0" borderId="0" applyFont="0" applyFill="0" applyBorder="0" applyAlignment="0" applyProtection="0"/>
    <xf numFmtId="171" fontId="101" fillId="0" borderId="0" applyFont="0" applyFill="0" applyBorder="0" applyAlignment="0" applyProtection="0"/>
    <xf numFmtId="235" fontId="13" fillId="0" borderId="0" applyFont="0" applyFill="0" applyBorder="0" applyAlignment="0" applyProtection="0"/>
    <xf numFmtId="235" fontId="13" fillId="0" borderId="0" applyFont="0" applyFill="0" applyBorder="0" applyAlignment="0" applyProtection="0"/>
    <xf numFmtId="236" fontId="8" fillId="0" borderId="0" applyFont="0" applyFill="0" applyBorder="0" applyAlignment="0" applyProtection="0"/>
    <xf numFmtId="236" fontId="8" fillId="0" borderId="0" applyFont="0" applyFill="0" applyBorder="0" applyAlignment="0" applyProtection="0"/>
    <xf numFmtId="172" fontId="101" fillId="0" borderId="0" applyFont="0" applyFill="0" applyBorder="0" applyAlignment="0" applyProtection="0"/>
    <xf numFmtId="235" fontId="13" fillId="0" borderId="0" applyFont="0" applyFill="0" applyBorder="0" applyAlignment="0" applyProtection="0"/>
    <xf numFmtId="171" fontId="101" fillId="0" borderId="0" applyFont="0" applyFill="0" applyBorder="0" applyAlignment="0" applyProtection="0"/>
    <xf numFmtId="211" fontId="46" fillId="0" borderId="0" applyFont="0" applyFill="0" applyBorder="0" applyAlignment="0" applyProtection="0"/>
    <xf numFmtId="233" fontId="13" fillId="0" borderId="0" applyFont="0" applyFill="0" applyBorder="0" applyAlignment="0" applyProtection="0"/>
    <xf numFmtId="188" fontId="13" fillId="0" borderId="0" applyFont="0" applyFill="0" applyBorder="0" applyAlignment="0" applyProtection="0"/>
    <xf numFmtId="172" fontId="13"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229" fontId="5" fillId="0" borderId="0" applyFont="0" applyFill="0" applyBorder="0" applyAlignment="0" applyProtection="0"/>
    <xf numFmtId="229" fontId="5" fillId="0" borderId="0" applyFont="0" applyFill="0" applyBorder="0" applyAlignment="0" applyProtection="0"/>
    <xf numFmtId="172" fontId="13" fillId="0" borderId="0" applyFont="0" applyFill="0" applyBorder="0" applyAlignment="0" applyProtection="0"/>
    <xf numFmtId="188" fontId="13" fillId="0" borderId="0" applyFont="0" applyFill="0" applyBorder="0" applyAlignment="0" applyProtection="0"/>
    <xf numFmtId="188" fontId="13" fillId="0" borderId="0" applyFont="0" applyFill="0" applyBorder="0" applyAlignment="0" applyProtection="0"/>
    <xf numFmtId="165" fontId="13" fillId="0" borderId="0" applyFont="0" applyFill="0" applyBorder="0" applyAlignment="0" applyProtection="0"/>
    <xf numFmtId="188" fontId="13" fillId="0" borderId="0" applyFont="0" applyFill="0" applyBorder="0" applyAlignment="0" applyProtection="0"/>
    <xf numFmtId="174"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245" fontId="13" fillId="0" borderId="0" applyFont="0" applyFill="0" applyBorder="0" applyAlignment="0" applyProtection="0"/>
    <xf numFmtId="174" fontId="13" fillId="0" borderId="0" applyFont="0" applyFill="0" applyBorder="0" applyAlignment="0" applyProtection="0"/>
    <xf numFmtId="245"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74" fontId="13" fillId="0" borderId="0" applyFont="0" applyFill="0" applyBorder="0" applyAlignment="0" applyProtection="0"/>
    <xf numFmtId="177" fontId="13" fillId="0" borderId="0" applyFont="0" applyFill="0" applyBorder="0" applyAlignment="0" applyProtection="0"/>
    <xf numFmtId="246" fontId="13" fillId="0" borderId="0" applyFont="0" applyFill="0" applyBorder="0" applyAlignment="0" applyProtection="0"/>
    <xf numFmtId="174" fontId="5" fillId="0" borderId="0" applyFont="0" applyFill="0" applyBorder="0" applyAlignment="0" applyProtection="0"/>
    <xf numFmtId="164" fontId="13" fillId="0" borderId="0" applyFont="0" applyFill="0" applyBorder="0" applyAlignment="0" applyProtection="0"/>
    <xf numFmtId="174" fontId="5" fillId="0" borderId="0" applyFont="0" applyFill="0" applyBorder="0" applyAlignment="0" applyProtection="0"/>
    <xf numFmtId="245" fontId="13" fillId="0" borderId="0" applyFont="0" applyFill="0" applyBorder="0" applyAlignment="0" applyProtection="0"/>
    <xf numFmtId="245" fontId="13" fillId="0" borderId="0" applyFont="0" applyFill="0" applyBorder="0" applyAlignment="0" applyProtection="0"/>
    <xf numFmtId="177" fontId="13" fillId="0" borderId="0" applyFont="0" applyFill="0" applyBorder="0" applyAlignment="0" applyProtection="0"/>
    <xf numFmtId="247" fontId="13" fillId="0" borderId="0" applyFont="0" applyFill="0" applyBorder="0" applyAlignment="0" applyProtection="0"/>
    <xf numFmtId="245" fontId="13" fillId="0" borderId="0" applyFont="0" applyFill="0" applyBorder="0" applyAlignment="0" applyProtection="0"/>
    <xf numFmtId="248" fontId="13" fillId="0" borderId="0" applyFont="0" applyFill="0" applyBorder="0" applyAlignment="0" applyProtection="0"/>
    <xf numFmtId="249" fontId="13" fillId="0" borderId="0" applyFont="0" applyFill="0" applyBorder="0" applyAlignment="0" applyProtection="0"/>
    <xf numFmtId="248" fontId="13" fillId="0" borderId="0" applyFont="0" applyFill="0" applyBorder="0" applyAlignment="0" applyProtection="0"/>
    <xf numFmtId="177" fontId="13" fillId="0" borderId="0" applyFont="0" applyFill="0" applyBorder="0" applyAlignment="0" applyProtection="0"/>
    <xf numFmtId="174" fontId="13" fillId="0" borderId="0" applyFont="0" applyFill="0" applyBorder="0" applyAlignment="0" applyProtection="0"/>
    <xf numFmtId="174" fontId="13" fillId="0" borderId="0" applyFont="0" applyFill="0" applyBorder="0" applyAlignment="0" applyProtection="0"/>
    <xf numFmtId="164" fontId="13" fillId="0" borderId="0" applyFont="0" applyFill="0" applyBorder="0" applyAlignment="0" applyProtection="0"/>
    <xf numFmtId="245" fontId="13" fillId="0" borderId="0" applyFont="0" applyFill="0" applyBorder="0" applyAlignment="0" applyProtection="0"/>
    <xf numFmtId="164" fontId="13" fillId="0" borderId="0" applyFont="0" applyFill="0" applyBorder="0" applyAlignment="0" applyProtection="0"/>
    <xf numFmtId="174" fontId="13" fillId="0" borderId="0" applyFont="0" applyFill="0" applyBorder="0" applyAlignment="0" applyProtection="0"/>
    <xf numFmtId="245" fontId="13" fillId="0" borderId="0" applyFont="0" applyFill="0" applyBorder="0" applyAlignment="0" applyProtection="0"/>
    <xf numFmtId="245" fontId="13" fillId="0" borderId="0" applyFont="0" applyFill="0" applyBorder="0" applyAlignment="0" applyProtection="0"/>
    <xf numFmtId="245" fontId="13" fillId="0" borderId="0" applyFont="0" applyFill="0" applyBorder="0" applyAlignment="0" applyProtection="0"/>
    <xf numFmtId="247" fontId="13" fillId="0" borderId="0" applyFont="0" applyFill="0" applyBorder="0" applyAlignment="0" applyProtection="0"/>
    <xf numFmtId="247" fontId="13" fillId="0" borderId="0" applyFont="0" applyFill="0" applyBorder="0" applyAlignment="0" applyProtection="0"/>
    <xf numFmtId="174" fontId="13" fillId="0" borderId="0" applyFont="0" applyFill="0" applyBorder="0" applyAlignment="0" applyProtection="0"/>
    <xf numFmtId="250" fontId="13" fillId="0" borderId="0" applyFont="0" applyFill="0" applyBorder="0" applyAlignment="0" applyProtection="0"/>
    <xf numFmtId="164" fontId="13" fillId="0" borderId="0" applyFont="0" applyFill="0" applyBorder="0" applyAlignment="0" applyProtection="0"/>
    <xf numFmtId="251" fontId="5" fillId="0" borderId="0" applyFont="0" applyFill="0" applyBorder="0" applyAlignment="0" applyProtection="0"/>
    <xf numFmtId="245" fontId="13" fillId="0" borderId="0" applyFont="0" applyFill="0" applyBorder="0" applyAlignment="0" applyProtection="0"/>
    <xf numFmtId="174" fontId="13" fillId="0" borderId="0" applyFont="0" applyFill="0" applyBorder="0" applyAlignment="0" applyProtection="0"/>
    <xf numFmtId="245" fontId="13" fillId="0" borderId="0" applyFont="0" applyFill="0" applyBorder="0" applyAlignment="0" applyProtection="0"/>
    <xf numFmtId="245" fontId="13" fillId="0" borderId="0" applyFont="0" applyFill="0" applyBorder="0" applyAlignment="0" applyProtection="0"/>
    <xf numFmtId="245" fontId="13" fillId="0" borderId="0" applyFont="0" applyFill="0" applyBorder="0" applyAlignment="0" applyProtection="0"/>
    <xf numFmtId="174" fontId="13" fillId="0" borderId="0" applyFont="0" applyFill="0" applyBorder="0" applyAlignment="0" applyProtection="0"/>
    <xf numFmtId="245" fontId="13" fillId="0" borderId="0" applyFont="0" applyFill="0" applyBorder="0" applyAlignment="0" applyProtection="0"/>
    <xf numFmtId="174" fontId="13" fillId="0" borderId="0" applyFont="0" applyFill="0" applyBorder="0" applyAlignment="0" applyProtection="0"/>
    <xf numFmtId="216" fontId="101" fillId="0" borderId="0" applyFont="0" applyFill="0" applyBorder="0" applyAlignment="0" applyProtection="0"/>
    <xf numFmtId="252" fontId="13" fillId="0" borderId="0" applyFont="0" applyFill="0" applyBorder="0" applyAlignment="0" applyProtection="0"/>
    <xf numFmtId="252" fontId="13" fillId="0" borderId="0" applyFont="0" applyFill="0" applyBorder="0" applyAlignment="0" applyProtection="0"/>
    <xf numFmtId="253" fontId="8" fillId="0" borderId="0" applyFont="0" applyFill="0" applyBorder="0" applyAlignment="0" applyProtection="0"/>
    <xf numFmtId="253" fontId="8" fillId="0" borderId="0" applyFont="0" applyFill="0" applyBorder="0" applyAlignment="0" applyProtection="0"/>
    <xf numFmtId="184" fontId="101" fillId="0" borderId="0" applyFont="0" applyFill="0" applyBorder="0" applyAlignment="0" applyProtection="0"/>
    <xf numFmtId="252" fontId="13" fillId="0" borderId="0" applyFont="0" applyFill="0" applyBorder="0" applyAlignment="0" applyProtection="0"/>
    <xf numFmtId="216" fontId="101" fillId="0" borderId="0" applyFont="0" applyFill="0" applyBorder="0" applyAlignment="0" applyProtection="0"/>
    <xf numFmtId="254" fontId="46" fillId="0" borderId="0" applyFont="0" applyFill="0" applyBorder="0" applyAlignment="0" applyProtection="0"/>
    <xf numFmtId="245" fontId="13" fillId="0" borderId="0" applyFont="0" applyFill="0" applyBorder="0" applyAlignment="0" applyProtection="0"/>
    <xf numFmtId="171" fontId="13" fillId="0" borderId="0" applyFont="0" applyFill="0" applyBorder="0" applyAlignment="0" applyProtection="0"/>
    <xf numFmtId="171" fontId="13" fillId="0" borderId="0" applyFont="0" applyFill="0" applyBorder="0" applyAlignment="0" applyProtection="0"/>
    <xf numFmtId="245" fontId="13" fillId="0" borderId="0" applyFont="0" applyFill="0" applyBorder="0" applyAlignment="0" applyProtection="0"/>
    <xf numFmtId="245" fontId="13" fillId="0" borderId="0" applyFont="0" applyFill="0" applyBorder="0" applyAlignment="0" applyProtection="0"/>
    <xf numFmtId="164" fontId="13" fillId="0" borderId="0" applyFont="0" applyFill="0" applyBorder="0" applyAlignment="0" applyProtection="0"/>
    <xf numFmtId="245" fontId="13" fillId="0" borderId="0" applyFont="0" applyFill="0" applyBorder="0" applyAlignment="0" applyProtection="0"/>
    <xf numFmtId="208" fontId="5" fillId="0" borderId="0" applyFont="0" applyFill="0" applyBorder="0" applyAlignment="0" applyProtection="0"/>
    <xf numFmtId="224" fontId="13" fillId="0" borderId="0" applyFont="0" applyFill="0" applyBorder="0" applyAlignment="0" applyProtection="0"/>
    <xf numFmtId="225" fontId="13" fillId="0" borderId="0" applyFont="0" applyFill="0" applyBorder="0" applyAlignment="0" applyProtection="0"/>
    <xf numFmtId="224" fontId="13" fillId="0" borderId="0" applyFont="0" applyFill="0" applyBorder="0" applyAlignment="0" applyProtection="0"/>
    <xf numFmtId="216" fontId="100" fillId="0" borderId="0" applyFont="0" applyFill="0" applyBorder="0" applyAlignment="0" applyProtection="0"/>
    <xf numFmtId="226" fontId="5" fillId="0" borderId="0" applyFont="0" applyFill="0" applyBorder="0" applyAlignment="0" applyProtection="0"/>
    <xf numFmtId="216" fontId="13" fillId="0" borderId="0" applyFont="0" applyFill="0" applyBorder="0" applyAlignment="0" applyProtection="0"/>
    <xf numFmtId="216" fontId="13" fillId="0" borderId="0" applyFont="0" applyFill="0" applyBorder="0" applyAlignment="0" applyProtection="0"/>
    <xf numFmtId="224" fontId="13" fillId="0" borderId="0" applyFont="0" applyFill="0" applyBorder="0" applyAlignment="0" applyProtection="0"/>
    <xf numFmtId="216" fontId="100" fillId="0" borderId="0" applyFont="0" applyFill="0" applyBorder="0" applyAlignment="0" applyProtection="0"/>
    <xf numFmtId="237" fontId="13" fillId="0" borderId="0" applyFont="0" applyFill="0" applyBorder="0" applyAlignment="0" applyProtection="0"/>
    <xf numFmtId="208" fontId="5" fillId="0" borderId="0" applyFont="0" applyFill="0" applyBorder="0" applyAlignment="0" applyProtection="0"/>
    <xf numFmtId="238" fontId="101" fillId="0" borderId="0" applyFont="0" applyFill="0" applyBorder="0" applyAlignment="0" applyProtection="0"/>
    <xf numFmtId="239" fontId="13" fillId="0" borderId="0" applyFont="0" applyFill="0" applyBorder="0" applyAlignment="0" applyProtection="0"/>
    <xf numFmtId="239" fontId="13" fillId="0" borderId="0" applyFont="0" applyFill="0" applyBorder="0" applyAlignment="0" applyProtection="0"/>
    <xf numFmtId="240" fontId="101" fillId="0" borderId="0" applyFont="0" applyFill="0" applyBorder="0" applyAlignment="0" applyProtection="0"/>
    <xf numFmtId="239" fontId="13" fillId="0" borderId="0" applyFont="0" applyFill="0" applyBorder="0" applyAlignment="0" applyProtection="0"/>
    <xf numFmtId="238" fontId="101" fillId="0" borderId="0" applyFont="0" applyFill="0" applyBorder="0" applyAlignment="0" applyProtection="0"/>
    <xf numFmtId="239" fontId="13" fillId="0" borderId="0" applyFont="0" applyFill="0" applyBorder="0" applyAlignment="0" applyProtection="0"/>
    <xf numFmtId="208" fontId="13" fillId="0" borderId="0" applyFont="0" applyFill="0" applyBorder="0" applyAlignment="0" applyProtection="0"/>
    <xf numFmtId="208" fontId="13" fillId="0" borderId="0" applyFont="0" applyFill="0" applyBorder="0" applyAlignment="0" applyProtection="0"/>
    <xf numFmtId="240" fontId="101" fillId="0" borderId="0" applyFont="0" applyFill="0" applyBorder="0" applyAlignment="0" applyProtection="0"/>
    <xf numFmtId="241" fontId="13" fillId="0" borderId="0" applyFont="0" applyFill="0" applyBorder="0" applyAlignment="0" applyProtection="0"/>
    <xf numFmtId="241" fontId="13" fillId="0" borderId="0" applyFont="0" applyFill="0" applyBorder="0" applyAlignment="0" applyProtection="0"/>
    <xf numFmtId="242" fontId="8" fillId="0" borderId="0" applyFont="0" applyFill="0" applyBorder="0" applyAlignment="0" applyProtection="0"/>
    <xf numFmtId="242" fontId="8" fillId="0" borderId="0" applyFont="0" applyFill="0" applyBorder="0" applyAlignment="0" applyProtection="0"/>
    <xf numFmtId="171" fontId="101" fillId="0" borderId="0" applyFont="0" applyFill="0" applyBorder="0" applyAlignment="0" applyProtection="0"/>
    <xf numFmtId="241" fontId="13" fillId="0" borderId="0" applyFont="0" applyFill="0" applyBorder="0" applyAlignment="0" applyProtection="0"/>
    <xf numFmtId="240" fontId="101" fillId="0" borderId="0" applyFont="0" applyFill="0" applyBorder="0" applyAlignment="0" applyProtection="0"/>
    <xf numFmtId="243" fontId="46" fillId="0" borderId="0" applyFont="0" applyFill="0" applyBorder="0" applyAlignment="0" applyProtection="0"/>
    <xf numFmtId="244" fontId="13" fillId="0" borderId="0" applyFont="0" applyFill="0" applyBorder="0" applyAlignment="0" applyProtection="0"/>
    <xf numFmtId="171" fontId="5" fillId="0" borderId="0" applyFont="0" applyFill="0" applyBorder="0" applyAlignment="0" applyProtection="0"/>
    <xf numFmtId="216" fontId="13" fillId="0" borderId="0" applyFont="0" applyFill="0" applyBorder="0" applyAlignment="0" applyProtection="0"/>
    <xf numFmtId="172" fontId="5" fillId="0" borderId="0" applyFont="0" applyFill="0" applyBorder="0" applyAlignment="0" applyProtection="0"/>
    <xf numFmtId="174"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245" fontId="13" fillId="0" borderId="0" applyFont="0" applyFill="0" applyBorder="0" applyAlignment="0" applyProtection="0"/>
    <xf numFmtId="174" fontId="13" fillId="0" borderId="0" applyFont="0" applyFill="0" applyBorder="0" applyAlignment="0" applyProtection="0"/>
    <xf numFmtId="245"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74" fontId="13" fillId="0" borderId="0" applyFont="0" applyFill="0" applyBorder="0" applyAlignment="0" applyProtection="0"/>
    <xf numFmtId="177" fontId="13" fillId="0" borderId="0" applyFont="0" applyFill="0" applyBorder="0" applyAlignment="0" applyProtection="0"/>
    <xf numFmtId="246" fontId="13" fillId="0" borderId="0" applyFont="0" applyFill="0" applyBorder="0" applyAlignment="0" applyProtection="0"/>
    <xf numFmtId="174" fontId="5" fillId="0" borderId="0" applyFont="0" applyFill="0" applyBorder="0" applyAlignment="0" applyProtection="0"/>
    <xf numFmtId="164" fontId="13" fillId="0" borderId="0" applyFont="0" applyFill="0" applyBorder="0" applyAlignment="0" applyProtection="0"/>
    <xf numFmtId="174" fontId="5" fillId="0" borderId="0" applyFont="0" applyFill="0" applyBorder="0" applyAlignment="0" applyProtection="0"/>
    <xf numFmtId="245" fontId="13" fillId="0" borderId="0" applyFont="0" applyFill="0" applyBorder="0" applyAlignment="0" applyProtection="0"/>
    <xf numFmtId="245" fontId="13" fillId="0" borderId="0" applyFont="0" applyFill="0" applyBorder="0" applyAlignment="0" applyProtection="0"/>
    <xf numFmtId="177" fontId="13" fillId="0" borderId="0" applyFont="0" applyFill="0" applyBorder="0" applyAlignment="0" applyProtection="0"/>
    <xf numFmtId="247" fontId="13" fillId="0" borderId="0" applyFont="0" applyFill="0" applyBorder="0" applyAlignment="0" applyProtection="0"/>
    <xf numFmtId="245" fontId="13" fillId="0" borderId="0" applyFont="0" applyFill="0" applyBorder="0" applyAlignment="0" applyProtection="0"/>
    <xf numFmtId="248" fontId="13" fillId="0" borderId="0" applyFont="0" applyFill="0" applyBorder="0" applyAlignment="0" applyProtection="0"/>
    <xf numFmtId="249" fontId="13" fillId="0" borderId="0" applyFont="0" applyFill="0" applyBorder="0" applyAlignment="0" applyProtection="0"/>
    <xf numFmtId="248" fontId="13" fillId="0" borderId="0" applyFont="0" applyFill="0" applyBorder="0" applyAlignment="0" applyProtection="0"/>
    <xf numFmtId="177" fontId="13" fillId="0" borderId="0" applyFont="0" applyFill="0" applyBorder="0" applyAlignment="0" applyProtection="0"/>
    <xf numFmtId="174" fontId="13" fillId="0" borderId="0" applyFont="0" applyFill="0" applyBorder="0" applyAlignment="0" applyProtection="0"/>
    <xf numFmtId="174" fontId="13" fillId="0" borderId="0" applyFont="0" applyFill="0" applyBorder="0" applyAlignment="0" applyProtection="0"/>
    <xf numFmtId="164" fontId="13" fillId="0" borderId="0" applyFont="0" applyFill="0" applyBorder="0" applyAlignment="0" applyProtection="0"/>
    <xf numFmtId="245" fontId="13" fillId="0" borderId="0" applyFont="0" applyFill="0" applyBorder="0" applyAlignment="0" applyProtection="0"/>
    <xf numFmtId="164" fontId="13" fillId="0" borderId="0" applyFont="0" applyFill="0" applyBorder="0" applyAlignment="0" applyProtection="0"/>
    <xf numFmtId="174" fontId="13" fillId="0" borderId="0" applyFont="0" applyFill="0" applyBorder="0" applyAlignment="0" applyProtection="0"/>
    <xf numFmtId="245" fontId="13" fillId="0" borderId="0" applyFont="0" applyFill="0" applyBorder="0" applyAlignment="0" applyProtection="0"/>
    <xf numFmtId="245" fontId="13" fillId="0" borderId="0" applyFont="0" applyFill="0" applyBorder="0" applyAlignment="0" applyProtection="0"/>
    <xf numFmtId="245" fontId="13" fillId="0" borderId="0" applyFont="0" applyFill="0" applyBorder="0" applyAlignment="0" applyProtection="0"/>
    <xf numFmtId="247" fontId="13" fillId="0" borderId="0" applyFont="0" applyFill="0" applyBorder="0" applyAlignment="0" applyProtection="0"/>
    <xf numFmtId="247" fontId="13" fillId="0" borderId="0" applyFont="0" applyFill="0" applyBorder="0" applyAlignment="0" applyProtection="0"/>
    <xf numFmtId="174" fontId="13" fillId="0" borderId="0" applyFont="0" applyFill="0" applyBorder="0" applyAlignment="0" applyProtection="0"/>
    <xf numFmtId="250" fontId="13" fillId="0" borderId="0" applyFont="0" applyFill="0" applyBorder="0" applyAlignment="0" applyProtection="0"/>
    <xf numFmtId="164" fontId="13" fillId="0" borderId="0" applyFont="0" applyFill="0" applyBorder="0" applyAlignment="0" applyProtection="0"/>
    <xf numFmtId="251" fontId="5" fillId="0" borderId="0" applyFont="0" applyFill="0" applyBorder="0" applyAlignment="0" applyProtection="0"/>
    <xf numFmtId="245" fontId="13" fillId="0" borderId="0" applyFont="0" applyFill="0" applyBorder="0" applyAlignment="0" applyProtection="0"/>
    <xf numFmtId="174" fontId="13" fillId="0" borderId="0" applyFont="0" applyFill="0" applyBorder="0" applyAlignment="0" applyProtection="0"/>
    <xf numFmtId="245" fontId="13" fillId="0" borderId="0" applyFont="0" applyFill="0" applyBorder="0" applyAlignment="0" applyProtection="0"/>
    <xf numFmtId="245" fontId="13" fillId="0" borderId="0" applyFont="0" applyFill="0" applyBorder="0" applyAlignment="0" applyProtection="0"/>
    <xf numFmtId="245" fontId="13" fillId="0" borderId="0" applyFont="0" applyFill="0" applyBorder="0" applyAlignment="0" applyProtection="0"/>
    <xf numFmtId="174" fontId="13" fillId="0" borderId="0" applyFont="0" applyFill="0" applyBorder="0" applyAlignment="0" applyProtection="0"/>
    <xf numFmtId="245" fontId="13" fillId="0" borderId="0" applyFont="0" applyFill="0" applyBorder="0" applyAlignment="0" applyProtection="0"/>
    <xf numFmtId="174" fontId="13" fillId="0" borderId="0" applyFont="0" applyFill="0" applyBorder="0" applyAlignment="0" applyProtection="0"/>
    <xf numFmtId="216" fontId="101" fillId="0" borderId="0" applyFont="0" applyFill="0" applyBorder="0" applyAlignment="0" applyProtection="0"/>
    <xf numFmtId="252" fontId="13" fillId="0" borderId="0" applyFont="0" applyFill="0" applyBorder="0" applyAlignment="0" applyProtection="0"/>
    <xf numFmtId="252" fontId="13" fillId="0" borderId="0" applyFont="0" applyFill="0" applyBorder="0" applyAlignment="0" applyProtection="0"/>
    <xf numFmtId="253" fontId="8" fillId="0" borderId="0" applyFont="0" applyFill="0" applyBorder="0" applyAlignment="0" applyProtection="0"/>
    <xf numFmtId="253" fontId="8" fillId="0" borderId="0" applyFont="0" applyFill="0" applyBorder="0" applyAlignment="0" applyProtection="0"/>
    <xf numFmtId="184" fontId="101" fillId="0" borderId="0" applyFont="0" applyFill="0" applyBorder="0" applyAlignment="0" applyProtection="0"/>
    <xf numFmtId="252" fontId="13" fillId="0" borderId="0" applyFont="0" applyFill="0" applyBorder="0" applyAlignment="0" applyProtection="0"/>
    <xf numFmtId="216" fontId="101" fillId="0" borderId="0" applyFont="0" applyFill="0" applyBorder="0" applyAlignment="0" applyProtection="0"/>
    <xf numFmtId="254" fontId="46" fillId="0" borderId="0" applyFont="0" applyFill="0" applyBorder="0" applyAlignment="0" applyProtection="0"/>
    <xf numFmtId="245" fontId="13" fillId="0" borderId="0" applyFont="0" applyFill="0" applyBorder="0" applyAlignment="0" applyProtection="0"/>
    <xf numFmtId="171" fontId="13" fillId="0" borderId="0" applyFont="0" applyFill="0" applyBorder="0" applyAlignment="0" applyProtection="0"/>
    <xf numFmtId="171" fontId="13" fillId="0" borderId="0" applyFont="0" applyFill="0" applyBorder="0" applyAlignment="0" applyProtection="0"/>
    <xf numFmtId="245" fontId="13" fillId="0" borderId="0" applyFont="0" applyFill="0" applyBorder="0" applyAlignment="0" applyProtection="0"/>
    <xf numFmtId="245" fontId="13" fillId="0" borderId="0" applyFont="0" applyFill="0" applyBorder="0" applyAlignment="0" applyProtection="0"/>
    <xf numFmtId="164" fontId="13" fillId="0" borderId="0" applyFont="0" applyFill="0" applyBorder="0" applyAlignment="0" applyProtection="0"/>
    <xf numFmtId="245" fontId="13" fillId="0" borderId="0" applyFont="0" applyFill="0" applyBorder="0" applyAlignment="0" applyProtection="0"/>
    <xf numFmtId="0"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88" fontId="13" fillId="0" borderId="0" applyFont="0" applyFill="0" applyBorder="0" applyAlignment="0" applyProtection="0"/>
    <xf numFmtId="230" fontId="13" fillId="0" borderId="0" applyFont="0" applyFill="0" applyBorder="0" applyAlignment="0" applyProtection="0"/>
    <xf numFmtId="188"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230" fontId="13" fillId="0" borderId="0" applyFont="0" applyFill="0" applyBorder="0" applyAlignment="0" applyProtection="0"/>
    <xf numFmtId="178" fontId="13" fillId="0" borderId="0" applyFont="0" applyFill="0" applyBorder="0" applyAlignment="0" applyProtection="0"/>
    <xf numFmtId="231" fontId="13" fillId="0" borderId="0" applyFont="0" applyFill="0" applyBorder="0" applyAlignment="0" applyProtection="0"/>
    <xf numFmtId="0" fontId="13" fillId="0" borderId="0" applyFont="0" applyFill="0" applyBorder="0" applyAlignment="0" applyProtection="0"/>
    <xf numFmtId="165" fontId="13" fillId="0" borderId="0" applyFont="0" applyFill="0" applyBorder="0" applyAlignment="0" applyProtection="0"/>
    <xf numFmtId="0" fontId="13" fillId="0" borderId="0" applyFont="0" applyFill="0" applyBorder="0" applyAlignment="0" applyProtection="0"/>
    <xf numFmtId="188" fontId="13" fillId="0" borderId="0" applyFont="0" applyFill="0" applyBorder="0" applyAlignment="0" applyProtection="0"/>
    <xf numFmtId="188" fontId="13" fillId="0" borderId="0" applyFont="0" applyFill="0" applyBorder="0" applyAlignment="0" applyProtection="0"/>
    <xf numFmtId="178" fontId="13" fillId="0" borderId="0" applyFont="0" applyFill="0" applyBorder="0" applyAlignment="0" applyProtection="0"/>
    <xf numFmtId="218" fontId="13" fillId="0" borderId="0" applyFont="0" applyFill="0" applyBorder="0" applyAlignment="0" applyProtection="0"/>
    <xf numFmtId="188" fontId="13" fillId="0" borderId="0" applyFont="0" applyFill="0" applyBorder="0" applyAlignment="0" applyProtection="0"/>
    <xf numFmtId="232" fontId="13" fillId="0" borderId="0" applyFont="0" applyFill="0" applyBorder="0" applyAlignment="0" applyProtection="0"/>
    <xf numFmtId="232" fontId="13" fillId="0" borderId="0" applyFont="0" applyFill="0" applyBorder="0" applyAlignment="0" applyProtection="0"/>
    <xf numFmtId="178" fontId="13" fillId="0" borderId="0" applyFont="0" applyFill="0" applyBorder="0" applyAlignment="0" applyProtection="0"/>
    <xf numFmtId="230" fontId="13" fillId="0" borderId="0" applyFont="0" applyFill="0" applyBorder="0" applyAlignment="0" applyProtection="0"/>
    <xf numFmtId="230" fontId="13" fillId="0" borderId="0" applyFont="0" applyFill="0" applyBorder="0" applyAlignment="0" applyProtection="0"/>
    <xf numFmtId="165" fontId="13" fillId="0" borderId="0" applyFont="0" applyFill="0" applyBorder="0" applyAlignment="0" applyProtection="0"/>
    <xf numFmtId="188" fontId="13" fillId="0" borderId="0" applyFont="0" applyFill="0" applyBorder="0" applyAlignment="0" applyProtection="0"/>
    <xf numFmtId="165" fontId="13" fillId="0" borderId="0" applyFont="0" applyFill="0" applyBorder="0" applyAlignment="0" applyProtection="0"/>
    <xf numFmtId="230" fontId="13" fillId="0" borderId="0" applyFont="0" applyFill="0" applyBorder="0" applyAlignment="0" applyProtection="0"/>
    <xf numFmtId="188" fontId="13" fillId="0" borderId="0" applyFont="0" applyFill="0" applyBorder="0" applyAlignment="0" applyProtection="0"/>
    <xf numFmtId="188" fontId="13" fillId="0" borderId="0" applyFont="0" applyFill="0" applyBorder="0" applyAlignment="0" applyProtection="0"/>
    <xf numFmtId="188" fontId="13" fillId="0" borderId="0" applyFont="0" applyFill="0" applyBorder="0" applyAlignment="0" applyProtection="0"/>
    <xf numFmtId="218" fontId="13" fillId="0" borderId="0" applyFont="0" applyFill="0" applyBorder="0" applyAlignment="0" applyProtection="0"/>
    <xf numFmtId="218" fontId="13" fillId="0" borderId="0" applyFont="0" applyFill="0" applyBorder="0" applyAlignment="0" applyProtection="0"/>
    <xf numFmtId="230" fontId="13" fillId="0" borderId="0" applyFont="0" applyFill="0" applyBorder="0" applyAlignment="0" applyProtection="0"/>
    <xf numFmtId="233" fontId="13" fillId="0" borderId="0" applyFont="0" applyFill="0" applyBorder="0" applyAlignment="0" applyProtection="0"/>
    <xf numFmtId="165" fontId="13" fillId="0" borderId="0" applyFont="0" applyFill="0" applyBorder="0" applyAlignment="0" applyProtection="0"/>
    <xf numFmtId="234" fontId="5" fillId="0" borderId="0" applyFont="0" applyFill="0" applyBorder="0" applyAlignment="0" applyProtection="0"/>
    <xf numFmtId="188" fontId="13" fillId="0" borderId="0" applyFont="0" applyFill="0" applyBorder="0" applyAlignment="0" applyProtection="0"/>
    <xf numFmtId="230" fontId="13" fillId="0" borderId="0" applyFont="0" applyFill="0" applyBorder="0" applyAlignment="0" applyProtection="0"/>
    <xf numFmtId="188" fontId="13" fillId="0" borderId="0" applyFont="0" applyFill="0" applyBorder="0" applyAlignment="0" applyProtection="0"/>
    <xf numFmtId="188" fontId="13" fillId="0" borderId="0" applyFont="0" applyFill="0" applyBorder="0" applyAlignment="0" applyProtection="0"/>
    <xf numFmtId="188" fontId="13" fillId="0" borderId="0" applyFont="0" applyFill="0" applyBorder="0" applyAlignment="0" applyProtection="0"/>
    <xf numFmtId="230" fontId="13" fillId="0" borderId="0" applyFont="0" applyFill="0" applyBorder="0" applyAlignment="0" applyProtection="0"/>
    <xf numFmtId="188" fontId="13" fillId="0" borderId="0" applyFont="0" applyFill="0" applyBorder="0" applyAlignment="0" applyProtection="0"/>
    <xf numFmtId="230" fontId="13" fillId="0" borderId="0" applyFont="0" applyFill="0" applyBorder="0" applyAlignment="0" applyProtection="0"/>
    <xf numFmtId="171" fontId="101" fillId="0" borderId="0" applyFont="0" applyFill="0" applyBorder="0" applyAlignment="0" applyProtection="0"/>
    <xf numFmtId="235" fontId="13" fillId="0" borderId="0" applyFont="0" applyFill="0" applyBorder="0" applyAlignment="0" applyProtection="0"/>
    <xf numFmtId="235" fontId="13" fillId="0" borderId="0" applyFont="0" applyFill="0" applyBorder="0" applyAlignment="0" applyProtection="0"/>
    <xf numFmtId="236" fontId="8" fillId="0" borderId="0" applyFont="0" applyFill="0" applyBorder="0" applyAlignment="0" applyProtection="0"/>
    <xf numFmtId="236" fontId="8" fillId="0" borderId="0" applyFont="0" applyFill="0" applyBorder="0" applyAlignment="0" applyProtection="0"/>
    <xf numFmtId="172" fontId="101" fillId="0" borderId="0" applyFont="0" applyFill="0" applyBorder="0" applyAlignment="0" applyProtection="0"/>
    <xf numFmtId="235" fontId="13" fillId="0" borderId="0" applyFont="0" applyFill="0" applyBorder="0" applyAlignment="0" applyProtection="0"/>
    <xf numFmtId="171" fontId="101" fillId="0" borderId="0" applyFont="0" applyFill="0" applyBorder="0" applyAlignment="0" applyProtection="0"/>
    <xf numFmtId="211" fontId="46" fillId="0" borderId="0" applyFont="0" applyFill="0" applyBorder="0" applyAlignment="0" applyProtection="0"/>
    <xf numFmtId="233" fontId="13" fillId="0" borderId="0" applyFont="0" applyFill="0" applyBorder="0" applyAlignment="0" applyProtection="0"/>
    <xf numFmtId="188" fontId="13" fillId="0" borderId="0" applyFont="0" applyFill="0" applyBorder="0" applyAlignment="0" applyProtection="0"/>
    <xf numFmtId="172" fontId="13" fillId="0" borderId="0" applyFont="0" applyFill="0" applyBorder="0" applyAlignment="0" applyProtection="0"/>
    <xf numFmtId="172" fontId="13" fillId="0" borderId="0" applyFont="0" applyFill="0" applyBorder="0" applyAlignment="0" applyProtection="0"/>
    <xf numFmtId="188" fontId="13" fillId="0" borderId="0" applyFont="0" applyFill="0" applyBorder="0" applyAlignment="0" applyProtection="0"/>
    <xf numFmtId="188" fontId="13" fillId="0" borderId="0" applyFont="0" applyFill="0" applyBorder="0" applyAlignment="0" applyProtection="0"/>
    <xf numFmtId="165" fontId="13" fillId="0" borderId="0" applyFont="0" applyFill="0" applyBorder="0" applyAlignment="0" applyProtection="0"/>
    <xf numFmtId="188" fontId="13" fillId="0" borderId="0" applyFont="0" applyFill="0" applyBorder="0" applyAlignment="0" applyProtection="0"/>
    <xf numFmtId="171" fontId="5" fillId="0" borderId="0" applyFont="0" applyFill="0" applyBorder="0" applyAlignment="0" applyProtection="0"/>
    <xf numFmtId="168" fontId="5" fillId="0" borderId="0" applyFont="0" applyFill="0" applyBorder="0" applyAlignment="0" applyProtection="0"/>
    <xf numFmtId="216" fontId="5" fillId="0" borderId="0" applyFont="0" applyFill="0" applyBorder="0" applyAlignment="0" applyProtection="0"/>
    <xf numFmtId="216" fontId="5" fillId="0" borderId="0" applyFont="0" applyFill="0" applyBorder="0" applyAlignment="0" applyProtection="0"/>
    <xf numFmtId="184" fontId="101" fillId="0" borderId="0" applyFont="0" applyFill="0" applyBorder="0" applyAlignment="0" applyProtection="0"/>
    <xf numFmtId="227" fontId="5" fillId="0" borderId="0" applyFont="0" applyFill="0" applyBorder="0" applyAlignment="0" applyProtection="0"/>
    <xf numFmtId="227" fontId="5" fillId="0" borderId="0" applyFont="0" applyFill="0" applyBorder="0" applyAlignment="0" applyProtection="0"/>
    <xf numFmtId="228" fontId="8" fillId="0" borderId="0" applyFont="0" applyFill="0" applyBorder="0" applyAlignment="0" applyProtection="0"/>
    <xf numFmtId="228" fontId="8" fillId="0" borderId="0" applyFont="0" applyFill="0" applyBorder="0" applyAlignment="0" applyProtection="0"/>
    <xf numFmtId="228" fontId="101" fillId="0" borderId="0" applyFont="0" applyFill="0" applyBorder="0" applyAlignment="0" applyProtection="0"/>
    <xf numFmtId="227" fontId="5" fillId="0" borderId="0" applyFont="0" applyFill="0" applyBorder="0" applyAlignment="0" applyProtection="0"/>
    <xf numFmtId="184" fontId="101" fillId="0" borderId="0" applyFont="0" applyFill="0" applyBorder="0" applyAlignment="0" applyProtection="0"/>
    <xf numFmtId="168" fontId="5" fillId="0" borderId="0" applyFont="0" applyFill="0" applyBorder="0" applyAlignment="0" applyProtection="0"/>
    <xf numFmtId="216" fontId="5" fillId="0" borderId="0" applyFont="0" applyFill="0" applyBorder="0" applyAlignment="0" applyProtection="0"/>
    <xf numFmtId="172" fontId="5" fillId="0" borderId="0" applyFont="0" applyFill="0" applyBorder="0" applyAlignment="0" applyProtection="0"/>
    <xf numFmtId="229" fontId="5" fillId="0" borderId="0" applyFont="0" applyFill="0" applyBorder="0" applyAlignment="0" applyProtection="0"/>
    <xf numFmtId="229" fontId="5" fillId="0" borderId="0" applyFont="0" applyFill="0" applyBorder="0" applyAlignment="0" applyProtection="0"/>
    <xf numFmtId="0" fontId="16" fillId="0" borderId="0"/>
    <xf numFmtId="0" fontId="14" fillId="0" borderId="0"/>
    <xf numFmtId="216" fontId="13" fillId="0" borderId="0" applyFont="0" applyFill="0" applyBorder="0" applyAlignment="0" applyProtection="0"/>
    <xf numFmtId="216" fontId="13" fillId="0" borderId="0" applyFont="0" applyFill="0" applyBorder="0" applyAlignment="0" applyProtection="0"/>
    <xf numFmtId="224" fontId="13" fillId="0" borderId="0" applyFont="0" applyFill="0" applyBorder="0" applyAlignment="0" applyProtection="0"/>
    <xf numFmtId="216" fontId="100" fillId="0" borderId="0" applyFon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237" fontId="13" fillId="0" borderId="0" applyFont="0" applyFill="0" applyBorder="0" applyAlignment="0" applyProtection="0"/>
    <xf numFmtId="208" fontId="5" fillId="0" borderId="0" applyFont="0" applyFill="0" applyBorder="0" applyAlignment="0" applyProtection="0"/>
    <xf numFmtId="238" fontId="101" fillId="0" borderId="0" applyFont="0" applyFill="0" applyBorder="0" applyAlignment="0" applyProtection="0"/>
    <xf numFmtId="239" fontId="13" fillId="0" borderId="0" applyFont="0" applyFill="0" applyBorder="0" applyAlignment="0" applyProtection="0"/>
    <xf numFmtId="239" fontId="13" fillId="0" borderId="0" applyFont="0" applyFill="0" applyBorder="0" applyAlignment="0" applyProtection="0"/>
    <xf numFmtId="240" fontId="101" fillId="0" borderId="0" applyFont="0" applyFill="0" applyBorder="0" applyAlignment="0" applyProtection="0"/>
    <xf numFmtId="239" fontId="13" fillId="0" borderId="0" applyFont="0" applyFill="0" applyBorder="0" applyAlignment="0" applyProtection="0"/>
    <xf numFmtId="238" fontId="101" fillId="0" borderId="0" applyFont="0" applyFill="0" applyBorder="0" applyAlignment="0" applyProtection="0"/>
    <xf numFmtId="239" fontId="13" fillId="0" borderId="0" applyFont="0" applyFill="0" applyBorder="0" applyAlignment="0" applyProtection="0"/>
    <xf numFmtId="208" fontId="13" fillId="0" borderId="0" applyFont="0" applyFill="0" applyBorder="0" applyAlignment="0" applyProtection="0"/>
    <xf numFmtId="208" fontId="13" fillId="0" borderId="0" applyFont="0" applyFill="0" applyBorder="0" applyAlignment="0" applyProtection="0"/>
    <xf numFmtId="0" fontId="17" fillId="0" borderId="0"/>
    <xf numFmtId="216" fontId="13" fillId="0" borderId="0" applyFont="0" applyFill="0" applyBorder="0" applyAlignment="0" applyProtection="0"/>
    <xf numFmtId="216" fontId="13" fillId="0" borderId="0" applyFont="0" applyFill="0" applyBorder="0" applyAlignment="0" applyProtection="0"/>
    <xf numFmtId="0" fontId="16" fillId="0" borderId="0"/>
    <xf numFmtId="240" fontId="101" fillId="0" borderId="0" applyFont="0" applyFill="0" applyBorder="0" applyAlignment="0" applyProtection="0"/>
    <xf numFmtId="241" fontId="13" fillId="0" borderId="0" applyFont="0" applyFill="0" applyBorder="0" applyAlignment="0" applyProtection="0"/>
    <xf numFmtId="241" fontId="13" fillId="0" borderId="0" applyFont="0" applyFill="0" applyBorder="0" applyAlignment="0" applyProtection="0"/>
    <xf numFmtId="242" fontId="8" fillId="0" borderId="0" applyFont="0" applyFill="0" applyBorder="0" applyAlignment="0" applyProtection="0"/>
    <xf numFmtId="242" fontId="8" fillId="0" borderId="0" applyFont="0" applyFill="0" applyBorder="0" applyAlignment="0" applyProtection="0"/>
    <xf numFmtId="171" fontId="101" fillId="0" borderId="0" applyFont="0" applyFill="0" applyBorder="0" applyAlignment="0" applyProtection="0"/>
    <xf numFmtId="241" fontId="13" fillId="0" borderId="0" applyFont="0" applyFill="0" applyBorder="0" applyAlignment="0" applyProtection="0"/>
    <xf numFmtId="240" fontId="101" fillId="0" borderId="0" applyFont="0" applyFill="0" applyBorder="0" applyAlignment="0" applyProtection="0"/>
    <xf numFmtId="243" fontId="46" fillId="0" borderId="0" applyFont="0" applyFill="0" applyBorder="0" applyAlignment="0" applyProtection="0"/>
    <xf numFmtId="244" fontId="13" fillId="0" borderId="0" applyFont="0" applyFill="0" applyBorder="0" applyAlignment="0" applyProtection="0"/>
    <xf numFmtId="216" fontId="13" fillId="0" borderId="0" applyFont="0" applyFill="0" applyBorder="0" applyAlignment="0" applyProtection="0"/>
    <xf numFmtId="216" fontId="13" fillId="0" borderId="0" applyFont="0" applyFill="0" applyBorder="0" applyAlignment="0" applyProtection="0"/>
    <xf numFmtId="171" fontId="5" fillId="0" borderId="0" applyFont="0" applyFill="0" applyBorder="0" applyAlignment="0" applyProtection="0"/>
    <xf numFmtId="174"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245" fontId="13" fillId="0" borderId="0" applyFont="0" applyFill="0" applyBorder="0" applyAlignment="0" applyProtection="0"/>
    <xf numFmtId="174" fontId="13" fillId="0" borderId="0" applyFont="0" applyFill="0" applyBorder="0" applyAlignment="0" applyProtection="0"/>
    <xf numFmtId="245"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74" fontId="13" fillId="0" borderId="0" applyFont="0" applyFill="0" applyBorder="0" applyAlignment="0" applyProtection="0"/>
    <xf numFmtId="177" fontId="13" fillId="0" borderId="0" applyFont="0" applyFill="0" applyBorder="0" applyAlignment="0" applyProtection="0"/>
    <xf numFmtId="246" fontId="13" fillId="0" borderId="0" applyFont="0" applyFill="0" applyBorder="0" applyAlignment="0" applyProtection="0"/>
    <xf numFmtId="174" fontId="5" fillId="0" borderId="0" applyFont="0" applyFill="0" applyBorder="0" applyAlignment="0" applyProtection="0"/>
    <xf numFmtId="164" fontId="13" fillId="0" borderId="0" applyFont="0" applyFill="0" applyBorder="0" applyAlignment="0" applyProtection="0"/>
    <xf numFmtId="174" fontId="5" fillId="0" borderId="0" applyFont="0" applyFill="0" applyBorder="0" applyAlignment="0" applyProtection="0"/>
    <xf numFmtId="245" fontId="13" fillId="0" borderId="0" applyFont="0" applyFill="0" applyBorder="0" applyAlignment="0" applyProtection="0"/>
    <xf numFmtId="245" fontId="13" fillId="0" borderId="0" applyFont="0" applyFill="0" applyBorder="0" applyAlignment="0" applyProtection="0"/>
    <xf numFmtId="177" fontId="13" fillId="0" borderId="0" applyFont="0" applyFill="0" applyBorder="0" applyAlignment="0" applyProtection="0"/>
    <xf numFmtId="247" fontId="13" fillId="0" borderId="0" applyFont="0" applyFill="0" applyBorder="0" applyAlignment="0" applyProtection="0"/>
    <xf numFmtId="245" fontId="13" fillId="0" borderId="0" applyFont="0" applyFill="0" applyBorder="0" applyAlignment="0" applyProtection="0"/>
    <xf numFmtId="248" fontId="13" fillId="0" borderId="0" applyFont="0" applyFill="0" applyBorder="0" applyAlignment="0" applyProtection="0"/>
    <xf numFmtId="249" fontId="13" fillId="0" borderId="0" applyFont="0" applyFill="0" applyBorder="0" applyAlignment="0" applyProtection="0"/>
    <xf numFmtId="248" fontId="13" fillId="0" borderId="0" applyFont="0" applyFill="0" applyBorder="0" applyAlignment="0" applyProtection="0"/>
    <xf numFmtId="177" fontId="13" fillId="0" borderId="0" applyFont="0" applyFill="0" applyBorder="0" applyAlignment="0" applyProtection="0"/>
    <xf numFmtId="174" fontId="13" fillId="0" borderId="0" applyFont="0" applyFill="0" applyBorder="0" applyAlignment="0" applyProtection="0"/>
    <xf numFmtId="174" fontId="13" fillId="0" borderId="0" applyFont="0" applyFill="0" applyBorder="0" applyAlignment="0" applyProtection="0"/>
    <xf numFmtId="164" fontId="13" fillId="0" borderId="0" applyFont="0" applyFill="0" applyBorder="0" applyAlignment="0" applyProtection="0"/>
    <xf numFmtId="245" fontId="13" fillId="0" borderId="0" applyFont="0" applyFill="0" applyBorder="0" applyAlignment="0" applyProtection="0"/>
    <xf numFmtId="164" fontId="13" fillId="0" borderId="0" applyFont="0" applyFill="0" applyBorder="0" applyAlignment="0" applyProtection="0"/>
    <xf numFmtId="174" fontId="13" fillId="0" borderId="0" applyFont="0" applyFill="0" applyBorder="0" applyAlignment="0" applyProtection="0"/>
    <xf numFmtId="245" fontId="13" fillId="0" borderId="0" applyFont="0" applyFill="0" applyBorder="0" applyAlignment="0" applyProtection="0"/>
    <xf numFmtId="245" fontId="13" fillId="0" borderId="0" applyFont="0" applyFill="0" applyBorder="0" applyAlignment="0" applyProtection="0"/>
    <xf numFmtId="245" fontId="13" fillId="0" borderId="0" applyFont="0" applyFill="0" applyBorder="0" applyAlignment="0" applyProtection="0"/>
    <xf numFmtId="247" fontId="13" fillId="0" borderId="0" applyFont="0" applyFill="0" applyBorder="0" applyAlignment="0" applyProtection="0"/>
    <xf numFmtId="247" fontId="13" fillId="0" borderId="0" applyFont="0" applyFill="0" applyBorder="0" applyAlignment="0" applyProtection="0"/>
    <xf numFmtId="174" fontId="13" fillId="0" borderId="0" applyFont="0" applyFill="0" applyBorder="0" applyAlignment="0" applyProtection="0"/>
    <xf numFmtId="250" fontId="13" fillId="0" borderId="0" applyFont="0" applyFill="0" applyBorder="0" applyAlignment="0" applyProtection="0"/>
    <xf numFmtId="164" fontId="13" fillId="0" borderId="0" applyFont="0" applyFill="0" applyBorder="0" applyAlignment="0" applyProtection="0"/>
    <xf numFmtId="251" fontId="5" fillId="0" borderId="0" applyFont="0" applyFill="0" applyBorder="0" applyAlignment="0" applyProtection="0"/>
    <xf numFmtId="245" fontId="13" fillId="0" borderId="0" applyFont="0" applyFill="0" applyBorder="0" applyAlignment="0" applyProtection="0"/>
    <xf numFmtId="174" fontId="13" fillId="0" borderId="0" applyFont="0" applyFill="0" applyBorder="0" applyAlignment="0" applyProtection="0"/>
    <xf numFmtId="245" fontId="13" fillId="0" borderId="0" applyFont="0" applyFill="0" applyBorder="0" applyAlignment="0" applyProtection="0"/>
    <xf numFmtId="245" fontId="13" fillId="0" borderId="0" applyFont="0" applyFill="0" applyBorder="0" applyAlignment="0" applyProtection="0"/>
    <xf numFmtId="245" fontId="13" fillId="0" borderId="0" applyFont="0" applyFill="0" applyBorder="0" applyAlignment="0" applyProtection="0"/>
    <xf numFmtId="174" fontId="13" fillId="0" borderId="0" applyFont="0" applyFill="0" applyBorder="0" applyAlignment="0" applyProtection="0"/>
    <xf numFmtId="245" fontId="13" fillId="0" borderId="0" applyFont="0" applyFill="0" applyBorder="0" applyAlignment="0" applyProtection="0"/>
    <xf numFmtId="174" fontId="13" fillId="0" borderId="0" applyFont="0" applyFill="0" applyBorder="0" applyAlignment="0" applyProtection="0"/>
    <xf numFmtId="216" fontId="101" fillId="0" borderId="0" applyFont="0" applyFill="0" applyBorder="0" applyAlignment="0" applyProtection="0"/>
    <xf numFmtId="252" fontId="13" fillId="0" borderId="0" applyFont="0" applyFill="0" applyBorder="0" applyAlignment="0" applyProtection="0"/>
    <xf numFmtId="252" fontId="13" fillId="0" borderId="0" applyFont="0" applyFill="0" applyBorder="0" applyAlignment="0" applyProtection="0"/>
    <xf numFmtId="253" fontId="8" fillId="0" borderId="0" applyFont="0" applyFill="0" applyBorder="0" applyAlignment="0" applyProtection="0"/>
    <xf numFmtId="253" fontId="8" fillId="0" borderId="0" applyFont="0" applyFill="0" applyBorder="0" applyAlignment="0" applyProtection="0"/>
    <xf numFmtId="184" fontId="101" fillId="0" borderId="0" applyFont="0" applyFill="0" applyBorder="0" applyAlignment="0" applyProtection="0"/>
    <xf numFmtId="252" fontId="13" fillId="0" borderId="0" applyFont="0" applyFill="0" applyBorder="0" applyAlignment="0" applyProtection="0"/>
    <xf numFmtId="216" fontId="101" fillId="0" borderId="0" applyFont="0" applyFill="0" applyBorder="0" applyAlignment="0" applyProtection="0"/>
    <xf numFmtId="254" fontId="46" fillId="0" borderId="0" applyFont="0" applyFill="0" applyBorder="0" applyAlignment="0" applyProtection="0"/>
    <xf numFmtId="245" fontId="13" fillId="0" borderId="0" applyFont="0" applyFill="0" applyBorder="0" applyAlignment="0" applyProtection="0"/>
    <xf numFmtId="171" fontId="13" fillId="0" borderId="0" applyFont="0" applyFill="0" applyBorder="0" applyAlignment="0" applyProtection="0"/>
    <xf numFmtId="171" fontId="13" fillId="0" borderId="0" applyFont="0" applyFill="0" applyBorder="0" applyAlignment="0" applyProtection="0"/>
    <xf numFmtId="245" fontId="13" fillId="0" borderId="0" applyFont="0" applyFill="0" applyBorder="0" applyAlignment="0" applyProtection="0"/>
    <xf numFmtId="245" fontId="13" fillId="0" borderId="0" applyFont="0" applyFill="0" applyBorder="0" applyAlignment="0" applyProtection="0"/>
    <xf numFmtId="164" fontId="13" fillId="0" borderId="0" applyFont="0" applyFill="0" applyBorder="0" applyAlignment="0" applyProtection="0"/>
    <xf numFmtId="245" fontId="13" fillId="0" borderId="0" applyFont="0" applyFill="0" applyBorder="0" applyAlignment="0" applyProtection="0"/>
    <xf numFmtId="0"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88" fontId="13" fillId="0" borderId="0" applyFont="0" applyFill="0" applyBorder="0" applyAlignment="0" applyProtection="0"/>
    <xf numFmtId="230" fontId="13" fillId="0" borderId="0" applyFont="0" applyFill="0" applyBorder="0" applyAlignment="0" applyProtection="0"/>
    <xf numFmtId="188"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230" fontId="13" fillId="0" borderId="0" applyFont="0" applyFill="0" applyBorder="0" applyAlignment="0" applyProtection="0"/>
    <xf numFmtId="178" fontId="13" fillId="0" borderId="0" applyFont="0" applyFill="0" applyBorder="0" applyAlignment="0" applyProtection="0"/>
    <xf numFmtId="231" fontId="13" fillId="0" borderId="0" applyFont="0" applyFill="0" applyBorder="0" applyAlignment="0" applyProtection="0"/>
    <xf numFmtId="0" fontId="13" fillId="0" borderId="0" applyFont="0" applyFill="0" applyBorder="0" applyAlignment="0" applyProtection="0"/>
    <xf numFmtId="165" fontId="13" fillId="0" borderId="0" applyFont="0" applyFill="0" applyBorder="0" applyAlignment="0" applyProtection="0"/>
    <xf numFmtId="0" fontId="13" fillId="0" borderId="0" applyFont="0" applyFill="0" applyBorder="0" applyAlignment="0" applyProtection="0"/>
    <xf numFmtId="188" fontId="13" fillId="0" borderId="0" applyFont="0" applyFill="0" applyBorder="0" applyAlignment="0" applyProtection="0"/>
    <xf numFmtId="188" fontId="13" fillId="0" borderId="0" applyFont="0" applyFill="0" applyBorder="0" applyAlignment="0" applyProtection="0"/>
    <xf numFmtId="178" fontId="13" fillId="0" borderId="0" applyFont="0" applyFill="0" applyBorder="0" applyAlignment="0" applyProtection="0"/>
    <xf numFmtId="218" fontId="13" fillId="0" borderId="0" applyFont="0" applyFill="0" applyBorder="0" applyAlignment="0" applyProtection="0"/>
    <xf numFmtId="188" fontId="13" fillId="0" borderId="0" applyFont="0" applyFill="0" applyBorder="0" applyAlignment="0" applyProtection="0"/>
    <xf numFmtId="232" fontId="13" fillId="0" borderId="0" applyFont="0" applyFill="0" applyBorder="0" applyAlignment="0" applyProtection="0"/>
    <xf numFmtId="232" fontId="13" fillId="0" borderId="0" applyFont="0" applyFill="0" applyBorder="0" applyAlignment="0" applyProtection="0"/>
    <xf numFmtId="178" fontId="13" fillId="0" borderId="0" applyFont="0" applyFill="0" applyBorder="0" applyAlignment="0" applyProtection="0"/>
    <xf numFmtId="230" fontId="13" fillId="0" borderId="0" applyFont="0" applyFill="0" applyBorder="0" applyAlignment="0" applyProtection="0"/>
    <xf numFmtId="230" fontId="13" fillId="0" borderId="0" applyFont="0" applyFill="0" applyBorder="0" applyAlignment="0" applyProtection="0"/>
    <xf numFmtId="165" fontId="13" fillId="0" borderId="0" applyFont="0" applyFill="0" applyBorder="0" applyAlignment="0" applyProtection="0"/>
    <xf numFmtId="188" fontId="13" fillId="0" borderId="0" applyFont="0" applyFill="0" applyBorder="0" applyAlignment="0" applyProtection="0"/>
    <xf numFmtId="165" fontId="13" fillId="0" borderId="0" applyFont="0" applyFill="0" applyBorder="0" applyAlignment="0" applyProtection="0"/>
    <xf numFmtId="230" fontId="13" fillId="0" borderId="0" applyFont="0" applyFill="0" applyBorder="0" applyAlignment="0" applyProtection="0"/>
    <xf numFmtId="188" fontId="13" fillId="0" borderId="0" applyFont="0" applyFill="0" applyBorder="0" applyAlignment="0" applyProtection="0"/>
    <xf numFmtId="188" fontId="13" fillId="0" borderId="0" applyFont="0" applyFill="0" applyBorder="0" applyAlignment="0" applyProtection="0"/>
    <xf numFmtId="188" fontId="13" fillId="0" borderId="0" applyFont="0" applyFill="0" applyBorder="0" applyAlignment="0" applyProtection="0"/>
    <xf numFmtId="218" fontId="13" fillId="0" borderId="0" applyFont="0" applyFill="0" applyBorder="0" applyAlignment="0" applyProtection="0"/>
    <xf numFmtId="218" fontId="13" fillId="0" borderId="0" applyFont="0" applyFill="0" applyBorder="0" applyAlignment="0" applyProtection="0"/>
    <xf numFmtId="230" fontId="13" fillId="0" borderId="0" applyFont="0" applyFill="0" applyBorder="0" applyAlignment="0" applyProtection="0"/>
    <xf numFmtId="233" fontId="13" fillId="0" borderId="0" applyFont="0" applyFill="0" applyBorder="0" applyAlignment="0" applyProtection="0"/>
    <xf numFmtId="165" fontId="13" fillId="0" borderId="0" applyFont="0" applyFill="0" applyBorder="0" applyAlignment="0" applyProtection="0"/>
    <xf numFmtId="234" fontId="5" fillId="0" borderId="0" applyFont="0" applyFill="0" applyBorder="0" applyAlignment="0" applyProtection="0"/>
    <xf numFmtId="188" fontId="13" fillId="0" borderId="0" applyFont="0" applyFill="0" applyBorder="0" applyAlignment="0" applyProtection="0"/>
    <xf numFmtId="230" fontId="13" fillId="0" borderId="0" applyFont="0" applyFill="0" applyBorder="0" applyAlignment="0" applyProtection="0"/>
    <xf numFmtId="188" fontId="13" fillId="0" borderId="0" applyFont="0" applyFill="0" applyBorder="0" applyAlignment="0" applyProtection="0"/>
    <xf numFmtId="188" fontId="13" fillId="0" borderId="0" applyFont="0" applyFill="0" applyBorder="0" applyAlignment="0" applyProtection="0"/>
    <xf numFmtId="188" fontId="13" fillId="0" borderId="0" applyFont="0" applyFill="0" applyBorder="0" applyAlignment="0" applyProtection="0"/>
    <xf numFmtId="230" fontId="13" fillId="0" borderId="0" applyFont="0" applyFill="0" applyBorder="0" applyAlignment="0" applyProtection="0"/>
    <xf numFmtId="188" fontId="13" fillId="0" borderId="0" applyFont="0" applyFill="0" applyBorder="0" applyAlignment="0" applyProtection="0"/>
    <xf numFmtId="230" fontId="13" fillId="0" borderId="0" applyFont="0" applyFill="0" applyBorder="0" applyAlignment="0" applyProtection="0"/>
    <xf numFmtId="171" fontId="101" fillId="0" borderId="0" applyFont="0" applyFill="0" applyBorder="0" applyAlignment="0" applyProtection="0"/>
    <xf numFmtId="235" fontId="13" fillId="0" borderId="0" applyFont="0" applyFill="0" applyBorder="0" applyAlignment="0" applyProtection="0"/>
    <xf numFmtId="235" fontId="13" fillId="0" borderId="0" applyFont="0" applyFill="0" applyBorder="0" applyAlignment="0" applyProtection="0"/>
    <xf numFmtId="236" fontId="8" fillId="0" borderId="0" applyFont="0" applyFill="0" applyBorder="0" applyAlignment="0" applyProtection="0"/>
    <xf numFmtId="236" fontId="8" fillId="0" borderId="0" applyFont="0" applyFill="0" applyBorder="0" applyAlignment="0" applyProtection="0"/>
    <xf numFmtId="172" fontId="101" fillId="0" borderId="0" applyFont="0" applyFill="0" applyBorder="0" applyAlignment="0" applyProtection="0"/>
    <xf numFmtId="235" fontId="13" fillId="0" borderId="0" applyFont="0" applyFill="0" applyBorder="0" applyAlignment="0" applyProtection="0"/>
    <xf numFmtId="171" fontId="101" fillId="0" borderId="0" applyFont="0" applyFill="0" applyBorder="0" applyAlignment="0" applyProtection="0"/>
    <xf numFmtId="211" fontId="46" fillId="0" borderId="0" applyFont="0" applyFill="0" applyBorder="0" applyAlignment="0" applyProtection="0"/>
    <xf numFmtId="233" fontId="13" fillId="0" borderId="0" applyFont="0" applyFill="0" applyBorder="0" applyAlignment="0" applyProtection="0"/>
    <xf numFmtId="188" fontId="13" fillId="0" borderId="0" applyFont="0" applyFill="0" applyBorder="0" applyAlignment="0" applyProtection="0"/>
    <xf numFmtId="172" fontId="13" fillId="0" borderId="0" applyFont="0" applyFill="0" applyBorder="0" applyAlignment="0" applyProtection="0"/>
    <xf numFmtId="172" fontId="13" fillId="0" borderId="0" applyFont="0" applyFill="0" applyBorder="0" applyAlignment="0" applyProtection="0"/>
    <xf numFmtId="188" fontId="13" fillId="0" borderId="0" applyFont="0" applyFill="0" applyBorder="0" applyAlignment="0" applyProtection="0"/>
    <xf numFmtId="188" fontId="13" fillId="0" borderId="0" applyFont="0" applyFill="0" applyBorder="0" applyAlignment="0" applyProtection="0"/>
    <xf numFmtId="165" fontId="13" fillId="0" borderId="0" applyFont="0" applyFill="0" applyBorder="0" applyAlignment="0" applyProtection="0"/>
    <xf numFmtId="188" fontId="13" fillId="0" borderId="0" applyFont="0" applyFill="0" applyBorder="0" applyAlignment="0" applyProtection="0"/>
    <xf numFmtId="168" fontId="5" fillId="0" borderId="0" applyFont="0" applyFill="0" applyBorder="0" applyAlignment="0" applyProtection="0"/>
    <xf numFmtId="216" fontId="5" fillId="0" borderId="0" applyFont="0" applyFill="0" applyBorder="0" applyAlignment="0" applyProtection="0"/>
    <xf numFmtId="216" fontId="5" fillId="0" borderId="0" applyFont="0" applyFill="0" applyBorder="0" applyAlignment="0" applyProtection="0"/>
    <xf numFmtId="184" fontId="101" fillId="0" borderId="0" applyFont="0" applyFill="0" applyBorder="0" applyAlignment="0" applyProtection="0"/>
    <xf numFmtId="227" fontId="5" fillId="0" borderId="0" applyFont="0" applyFill="0" applyBorder="0" applyAlignment="0" applyProtection="0"/>
    <xf numFmtId="227" fontId="5" fillId="0" borderId="0" applyFont="0" applyFill="0" applyBorder="0" applyAlignment="0" applyProtection="0"/>
    <xf numFmtId="228" fontId="8" fillId="0" borderId="0" applyFont="0" applyFill="0" applyBorder="0" applyAlignment="0" applyProtection="0"/>
    <xf numFmtId="228" fontId="8" fillId="0" borderId="0" applyFont="0" applyFill="0" applyBorder="0" applyAlignment="0" applyProtection="0"/>
    <xf numFmtId="228" fontId="101" fillId="0" borderId="0" applyFont="0" applyFill="0" applyBorder="0" applyAlignment="0" applyProtection="0"/>
    <xf numFmtId="227" fontId="5" fillId="0" borderId="0" applyFont="0" applyFill="0" applyBorder="0" applyAlignment="0" applyProtection="0"/>
    <xf numFmtId="184" fontId="101" fillId="0" borderId="0" applyFont="0" applyFill="0" applyBorder="0" applyAlignment="0" applyProtection="0"/>
    <xf numFmtId="168" fontId="5" fillId="0" borderId="0" applyFont="0" applyFill="0" applyBorder="0" applyAlignment="0" applyProtection="0"/>
    <xf numFmtId="216"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229" fontId="5" fillId="0" borderId="0" applyFont="0" applyFill="0" applyBorder="0" applyAlignment="0" applyProtection="0"/>
    <xf numFmtId="229" fontId="5" fillId="0" borderId="0" applyFont="0" applyFill="0" applyBorder="0" applyAlignment="0" applyProtection="0"/>
    <xf numFmtId="0" fontId="24" fillId="0" borderId="0" applyNumberFormat="0" applyFill="0" applyBorder="0" applyAlignment="0" applyProtection="0"/>
    <xf numFmtId="216" fontId="13" fillId="0" borderId="0" applyFont="0" applyFill="0" applyBorder="0" applyAlignment="0" applyProtection="0"/>
    <xf numFmtId="216" fontId="13" fillId="0" borderId="0" applyFont="0" applyFill="0" applyBorder="0" applyAlignment="0" applyProtection="0"/>
    <xf numFmtId="0" fontId="16" fillId="0" borderId="0"/>
    <xf numFmtId="216" fontId="13" fillId="0" borderId="0" applyFon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216" fontId="13" fillId="0" borderId="0" applyFont="0" applyFill="0" applyBorder="0" applyAlignment="0" applyProtection="0"/>
    <xf numFmtId="0" fontId="15" fillId="0" borderId="0">
      <alignment vertical="top"/>
    </xf>
    <xf numFmtId="0" fontId="15" fillId="0" borderId="0">
      <alignment vertical="top"/>
    </xf>
    <xf numFmtId="0" fontId="15" fillId="0" borderId="0">
      <alignment vertical="top"/>
    </xf>
    <xf numFmtId="0" fontId="24" fillId="0" borderId="0" applyNumberFormat="0" applyFill="0" applyBorder="0" applyAlignment="0" applyProtection="0"/>
    <xf numFmtId="0" fontId="16" fillId="0" borderId="0"/>
    <xf numFmtId="0" fontId="14" fillId="0" borderId="0"/>
    <xf numFmtId="0" fontId="14" fillId="0" borderId="0"/>
    <xf numFmtId="0" fontId="14" fillId="0" borderId="0"/>
    <xf numFmtId="0" fontId="14" fillId="0" borderId="0"/>
    <xf numFmtId="221" fontId="13" fillId="0" borderId="0" applyFont="0" applyFill="0" applyBorder="0" applyAlignment="0" applyProtection="0"/>
    <xf numFmtId="175" fontId="18" fillId="0" borderId="0" applyFont="0" applyFill="0" applyBorder="0" applyAlignment="0" applyProtection="0"/>
    <xf numFmtId="214" fontId="102" fillId="0" borderId="0" applyFont="0" applyFill="0" applyBorder="0" applyAlignment="0" applyProtection="0"/>
    <xf numFmtId="215" fontId="102" fillId="0" borderId="0" applyFont="0" applyFill="0" applyBorder="0" applyAlignment="0" applyProtection="0"/>
    <xf numFmtId="0" fontId="62" fillId="0" borderId="0"/>
    <xf numFmtId="0" fontId="103" fillId="0" borderId="0"/>
    <xf numFmtId="0" fontId="103" fillId="0" borderId="0"/>
    <xf numFmtId="0" fontId="56" fillId="0" borderId="0"/>
    <xf numFmtId="1" fontId="19" fillId="0" borderId="1" applyBorder="0" applyAlignment="0">
      <alignment horizontal="center"/>
    </xf>
    <xf numFmtId="3" fontId="7" fillId="0" borderId="1"/>
    <xf numFmtId="3" fontId="7" fillId="0" borderId="1"/>
    <xf numFmtId="175" fontId="18" fillId="0" borderId="0" applyFont="0" applyFill="0" applyBorder="0" applyAlignment="0" applyProtection="0"/>
    <xf numFmtId="0" fontId="104" fillId="0" borderId="4" applyFont="0" applyAlignment="0">
      <alignment horizontal="left"/>
    </xf>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0" fontId="105" fillId="2" borderId="0"/>
    <xf numFmtId="0" fontId="20" fillId="2" borderId="0"/>
    <xf numFmtId="0" fontId="95" fillId="0" borderId="5" applyAlignment="0"/>
    <xf numFmtId="0" fontId="95" fillId="0" borderId="5" applyAlignment="0"/>
    <xf numFmtId="0" fontId="95" fillId="0" borderId="5" applyAlignment="0"/>
    <xf numFmtId="0" fontId="95" fillId="0" borderId="5" applyAlignment="0"/>
    <xf numFmtId="0" fontId="20" fillId="3" borderId="0"/>
    <xf numFmtId="0" fontId="20" fillId="2" borderId="0"/>
    <xf numFmtId="0" fontId="104" fillId="0" borderId="4" applyFont="0" applyAlignment="0">
      <alignment horizontal="left"/>
    </xf>
    <xf numFmtId="0" fontId="95" fillId="0" borderId="5" applyAlignment="0"/>
    <xf numFmtId="0" fontId="95" fillId="0" borderId="5" applyAlignment="0"/>
    <xf numFmtId="0" fontId="95" fillId="0" borderId="5" applyAlignment="0"/>
    <xf numFmtId="0" fontId="95" fillId="0" borderId="5" applyAlignment="0"/>
    <xf numFmtId="0" fontId="95" fillId="0" borderId="5" applyAlignment="0"/>
    <xf numFmtId="0" fontId="95" fillId="0" borderId="5" applyAlignment="0"/>
    <xf numFmtId="0" fontId="20" fillId="2" borderId="0"/>
    <xf numFmtId="0" fontId="20" fillId="2" borderId="0"/>
    <xf numFmtId="0" fontId="20" fillId="2" borderId="0"/>
    <xf numFmtId="0" fontId="20" fillId="2" borderId="0"/>
    <xf numFmtId="0" fontId="104" fillId="0" borderId="4" applyFont="0" applyAlignment="0">
      <alignment horizontal="left"/>
    </xf>
    <xf numFmtId="0" fontId="95" fillId="0" borderId="5" applyAlignment="0"/>
    <xf numFmtId="0" fontId="105" fillId="2" borderId="0"/>
    <xf numFmtId="0" fontId="95" fillId="0" borderId="6" applyFill="0" applyAlignment="0"/>
    <xf numFmtId="0" fontId="20" fillId="3" borderId="0"/>
    <xf numFmtId="0" fontId="95" fillId="0" borderId="6" applyFill="0" applyAlignment="0"/>
    <xf numFmtId="0" fontId="20" fillId="2" borderId="0"/>
    <xf numFmtId="0" fontId="20" fillId="2" borderId="0"/>
    <xf numFmtId="0" fontId="95" fillId="0" borderId="5" applyAlignment="0"/>
    <xf numFmtId="0" fontId="95" fillId="0" borderId="5" applyAlignment="0"/>
    <xf numFmtId="0" fontId="105" fillId="2" borderId="0"/>
    <xf numFmtId="175" fontId="18" fillId="0" borderId="0" applyFont="0" applyFill="0" applyBorder="0" applyAlignment="0" applyProtection="0"/>
    <xf numFmtId="0" fontId="95" fillId="0" borderId="5" applyAlignment="0"/>
    <xf numFmtId="0" fontId="95" fillId="0" borderId="5" applyAlignment="0"/>
    <xf numFmtId="0" fontId="95" fillId="0" borderId="5" applyAlignment="0"/>
    <xf numFmtId="0" fontId="95" fillId="0" borderId="5" applyAlignment="0"/>
    <xf numFmtId="175" fontId="18" fillId="0" borderId="0" applyFont="0" applyFill="0" applyBorder="0" applyAlignment="0" applyProtection="0"/>
    <xf numFmtId="175" fontId="18" fillId="0" borderId="0" applyFont="0" applyFill="0" applyBorder="0" applyAlignment="0" applyProtection="0"/>
    <xf numFmtId="0" fontId="6" fillId="2" borderId="0"/>
    <xf numFmtId="0" fontId="6" fillId="2" borderId="0"/>
    <xf numFmtId="0" fontId="105" fillId="2" borderId="0"/>
    <xf numFmtId="0" fontId="20" fillId="2" borderId="0"/>
    <xf numFmtId="0" fontId="20" fillId="2" borderId="0"/>
    <xf numFmtId="0" fontId="104" fillId="0" borderId="4" applyFont="0" applyAlignment="0">
      <alignment horizontal="left"/>
    </xf>
    <xf numFmtId="0" fontId="105" fillId="2" borderId="0"/>
    <xf numFmtId="0" fontId="104" fillId="0" borderId="4" applyFont="0" applyAlignment="0">
      <alignment horizontal="left"/>
    </xf>
    <xf numFmtId="0" fontId="104" fillId="0" borderId="4" applyFont="0" applyAlignment="0">
      <alignment horizontal="left"/>
    </xf>
    <xf numFmtId="0" fontId="20" fillId="2" borderId="0"/>
    <xf numFmtId="0" fontId="105" fillId="2" borderId="0"/>
    <xf numFmtId="0" fontId="95" fillId="0" borderId="5" applyAlignment="0"/>
    <xf numFmtId="0" fontId="95" fillId="0" borderId="5" applyAlignment="0"/>
    <xf numFmtId="0" fontId="106" fillId="0" borderId="0" applyFont="0" applyFill="0" applyBorder="0" applyAlignment="0">
      <alignment horizontal="left"/>
    </xf>
    <xf numFmtId="0" fontId="20" fillId="2" borderId="0"/>
    <xf numFmtId="0" fontId="20" fillId="2" borderId="0"/>
    <xf numFmtId="0" fontId="6" fillId="0" borderId="6" applyAlignment="0"/>
    <xf numFmtId="0" fontId="6" fillId="0" borderId="6" applyAlignment="0"/>
    <xf numFmtId="0" fontId="6" fillId="0" borderId="6" applyAlignment="0"/>
    <xf numFmtId="0" fontId="6" fillId="0" borderId="6" applyAlignment="0"/>
    <xf numFmtId="0" fontId="6" fillId="0" borderId="6" applyAlignment="0"/>
    <xf numFmtId="0" fontId="6" fillId="0" borderId="6" applyAlignment="0"/>
    <xf numFmtId="0" fontId="104" fillId="0" borderId="4" applyFont="0" applyAlignment="0">
      <alignment horizontal="left"/>
    </xf>
    <xf numFmtId="0" fontId="95" fillId="0" borderId="5" applyAlignment="0"/>
    <xf numFmtId="0" fontId="20" fillId="2" borderId="0"/>
    <xf numFmtId="0" fontId="95" fillId="0" borderId="5" applyAlignment="0"/>
    <xf numFmtId="0" fontId="105" fillId="2" borderId="0"/>
    <xf numFmtId="0" fontId="105" fillId="2" borderId="0"/>
    <xf numFmtId="0" fontId="20" fillId="2" borderId="0"/>
    <xf numFmtId="0" fontId="104" fillId="0" borderId="4" applyFont="0" applyAlignment="0">
      <alignment horizontal="left"/>
    </xf>
    <xf numFmtId="0" fontId="95" fillId="0" borderId="5" applyAlignment="0"/>
    <xf numFmtId="0" fontId="107" fillId="0" borderId="1" applyNumberFormat="0" applyFont="0" applyBorder="0">
      <alignment horizontal="left" indent="2"/>
    </xf>
    <xf numFmtId="0" fontId="106" fillId="0" borderId="0" applyFont="0" applyFill="0" applyBorder="0" applyAlignment="0">
      <alignment horizontal="left"/>
    </xf>
    <xf numFmtId="0" fontId="107" fillId="0" borderId="1" applyNumberFormat="0" applyFont="0" applyBorder="0">
      <alignment horizontal="left" indent="2"/>
    </xf>
    <xf numFmtId="0" fontId="107" fillId="0" borderId="1" applyNumberFormat="0" applyFont="0" applyBorder="0">
      <alignment horizontal="left" indent="2"/>
    </xf>
    <xf numFmtId="0" fontId="20" fillId="2" borderId="0"/>
    <xf numFmtId="0" fontId="20" fillId="2" borderId="0"/>
    <xf numFmtId="0" fontId="108" fillId="0" borderId="0"/>
    <xf numFmtId="0" fontId="109" fillId="4" borderId="7" applyFont="0" applyFill="0" applyAlignment="0">
      <alignment vertical="center" wrapText="1"/>
    </xf>
    <xf numFmtId="9" fontId="110" fillId="0" borderId="0" applyBorder="0" applyAlignment="0" applyProtection="0"/>
    <xf numFmtId="0" fontId="21" fillId="2" borderId="0"/>
    <xf numFmtId="0" fontId="105" fillId="2" borderId="0"/>
    <xf numFmtId="0" fontId="21" fillId="3" borderId="0"/>
    <xf numFmtId="0" fontId="6" fillId="0" borderId="5" applyNumberFormat="0" applyFill="0"/>
    <xf numFmtId="0" fontId="105" fillId="2" borderId="0"/>
    <xf numFmtId="0" fontId="6" fillId="0" borderId="5" applyNumberFormat="0" applyFill="0"/>
    <xf numFmtId="0" fontId="6" fillId="0" borderId="5" applyNumberFormat="0" applyFill="0"/>
    <xf numFmtId="0" fontId="6" fillId="0" borderId="5" applyNumberFormat="0" applyFill="0"/>
    <xf numFmtId="0" fontId="21" fillId="2" borderId="0"/>
    <xf numFmtId="0" fontId="6" fillId="0" borderId="5" applyNumberFormat="0" applyFill="0"/>
    <xf numFmtId="0" fontId="105" fillId="2" borderId="0"/>
    <xf numFmtId="0" fontId="6" fillId="2" borderId="0"/>
    <xf numFmtId="0" fontId="6" fillId="2" borderId="0"/>
    <xf numFmtId="0" fontId="105" fillId="2" borderId="0"/>
    <xf numFmtId="0" fontId="105" fillId="2" borderId="0"/>
    <xf numFmtId="0" fontId="21" fillId="2" borderId="0"/>
    <xf numFmtId="0" fontId="105" fillId="2" borderId="0"/>
    <xf numFmtId="0" fontId="6" fillId="0" borderId="5" applyNumberFormat="0" applyAlignment="0"/>
    <xf numFmtId="0" fontId="6" fillId="0" borderId="5" applyNumberFormat="0" applyAlignment="0"/>
    <xf numFmtId="0" fontId="6" fillId="0" borderId="5" applyNumberFormat="0" applyAlignment="0"/>
    <xf numFmtId="0" fontId="6" fillId="0" borderId="5" applyNumberFormat="0" applyAlignment="0"/>
    <xf numFmtId="0" fontId="6" fillId="0" borderId="5" applyNumberFormat="0" applyAlignment="0"/>
    <xf numFmtId="0" fontId="6" fillId="0" borderId="5" applyNumberFormat="0" applyAlignment="0"/>
    <xf numFmtId="0" fontId="6" fillId="0" borderId="5" applyNumberFormat="0" applyFill="0"/>
    <xf numFmtId="0" fontId="6" fillId="0" borderId="5" applyNumberFormat="0" applyFill="0"/>
    <xf numFmtId="0" fontId="6" fillId="0" borderId="5" applyNumberFormat="0" applyFill="0"/>
    <xf numFmtId="0" fontId="6" fillId="0" borderId="5" applyNumberFormat="0" applyFill="0"/>
    <xf numFmtId="0" fontId="6" fillId="0" borderId="5" applyNumberFormat="0" applyFill="0"/>
    <xf numFmtId="0" fontId="105" fillId="2" borderId="0"/>
    <xf numFmtId="0" fontId="105" fillId="2" borderId="0"/>
    <xf numFmtId="0" fontId="21" fillId="2" borderId="0"/>
    <xf numFmtId="0" fontId="21" fillId="2" borderId="0"/>
    <xf numFmtId="0" fontId="21" fillId="2" borderId="0"/>
    <xf numFmtId="0" fontId="107" fillId="0" borderId="1" applyNumberFormat="0" applyFont="0" applyBorder="0" applyAlignment="0">
      <alignment horizontal="center"/>
    </xf>
    <xf numFmtId="0" fontId="107" fillId="0" borderId="1" applyNumberFormat="0" applyFont="0" applyBorder="0" applyAlignment="0">
      <alignment horizontal="center"/>
    </xf>
    <xf numFmtId="0" fontId="107" fillId="0" borderId="1" applyNumberFormat="0" applyFont="0" applyBorder="0" applyAlignment="0">
      <alignment horizontal="center"/>
    </xf>
    <xf numFmtId="0" fontId="6" fillId="0" borderId="0"/>
    <xf numFmtId="0" fontId="6" fillId="0" borderId="0"/>
    <xf numFmtId="0" fontId="111" fillId="5" borderId="0" applyNumberFormat="0" applyBorder="0" applyAlignment="0" applyProtection="0"/>
    <xf numFmtId="0" fontId="111" fillId="6" borderId="0" applyNumberFormat="0" applyBorder="0" applyAlignment="0" applyProtection="0"/>
    <xf numFmtId="0" fontId="111" fillId="7" borderId="0" applyNumberFormat="0" applyBorder="0" applyAlignment="0" applyProtection="0"/>
    <xf numFmtId="0" fontId="111" fillId="8" borderId="0" applyNumberFormat="0" applyBorder="0" applyAlignment="0" applyProtection="0"/>
    <xf numFmtId="0" fontId="111" fillId="9" borderId="0" applyNumberFormat="0" applyBorder="0" applyAlignment="0" applyProtection="0"/>
    <xf numFmtId="0" fontId="111" fillId="10" borderId="0" applyNumberFormat="0" applyBorder="0" applyAlignment="0" applyProtection="0"/>
    <xf numFmtId="0" fontId="37" fillId="5" borderId="0" applyNumberFormat="0" applyBorder="0" applyAlignment="0" applyProtection="0"/>
    <xf numFmtId="0" fontId="37" fillId="6" borderId="0" applyNumberFormat="0" applyBorder="0" applyAlignment="0" applyProtection="0"/>
    <xf numFmtId="0" fontId="37" fillId="7" borderId="0" applyNumberFormat="0" applyBorder="0" applyAlignment="0" applyProtection="0"/>
    <xf numFmtId="0" fontId="37" fillId="8"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8" fillId="0" borderId="0"/>
    <xf numFmtId="0" fontId="8" fillId="0" borderId="0"/>
    <xf numFmtId="0" fontId="22" fillId="2" borderId="0"/>
    <xf numFmtId="0" fontId="105" fillId="2" borderId="0"/>
    <xf numFmtId="0" fontId="22" fillId="3" borderId="0"/>
    <xf numFmtId="0" fontId="105" fillId="2" borderId="0"/>
    <xf numFmtId="0" fontId="105" fillId="2" borderId="0"/>
    <xf numFmtId="0" fontId="6" fillId="2" borderId="0"/>
    <xf numFmtId="0" fontId="6" fillId="2" borderId="0"/>
    <xf numFmtId="0" fontId="105" fillId="2" borderId="0"/>
    <xf numFmtId="0" fontId="105" fillId="2" borderId="0"/>
    <xf numFmtId="0" fontId="22" fillId="2" borderId="0"/>
    <xf numFmtId="0" fontId="105" fillId="2" borderId="0"/>
    <xf numFmtId="0" fontId="105" fillId="2" borderId="0"/>
    <xf numFmtId="0" fontId="105" fillId="2" borderId="0"/>
    <xf numFmtId="0" fontId="22" fillId="2" borderId="0"/>
    <xf numFmtId="0" fontId="22" fillId="2" borderId="0"/>
    <xf numFmtId="0" fontId="23" fillId="0" borderId="0">
      <alignment wrapText="1"/>
    </xf>
    <xf numFmtId="0" fontId="105" fillId="0" borderId="0">
      <alignment wrapText="1"/>
    </xf>
    <xf numFmtId="0" fontId="23" fillId="0" borderId="0">
      <alignment wrapText="1"/>
    </xf>
    <xf numFmtId="0" fontId="105" fillId="0" borderId="0">
      <alignment wrapText="1"/>
    </xf>
    <xf numFmtId="0" fontId="105" fillId="0" borderId="0">
      <alignment wrapText="1"/>
    </xf>
    <xf numFmtId="0" fontId="6" fillId="0" borderId="0">
      <alignment wrapText="1"/>
    </xf>
    <xf numFmtId="0" fontId="6" fillId="0" borderId="0">
      <alignment wrapText="1"/>
    </xf>
    <xf numFmtId="0" fontId="105" fillId="0" borderId="0">
      <alignment wrapText="1"/>
    </xf>
    <xf numFmtId="0" fontId="105" fillId="0" borderId="0">
      <alignment wrapText="1"/>
    </xf>
    <xf numFmtId="0" fontId="23" fillId="0" borderId="0">
      <alignment wrapText="1"/>
    </xf>
    <xf numFmtId="0" fontId="105" fillId="0" borderId="0">
      <alignment wrapText="1"/>
    </xf>
    <xf numFmtId="0" fontId="105" fillId="0" borderId="0">
      <alignment wrapText="1"/>
    </xf>
    <xf numFmtId="0" fontId="105" fillId="0" borderId="0">
      <alignment wrapText="1"/>
    </xf>
    <xf numFmtId="0" fontId="23" fillId="0" borderId="0">
      <alignment wrapText="1"/>
    </xf>
    <xf numFmtId="0" fontId="111" fillId="11" borderId="0" applyNumberFormat="0" applyBorder="0" applyAlignment="0" applyProtection="0"/>
    <xf numFmtId="0" fontId="111" fillId="12" borderId="0" applyNumberFormat="0" applyBorder="0" applyAlignment="0" applyProtection="0"/>
    <xf numFmtId="0" fontId="111" fillId="13" borderId="0" applyNumberFormat="0" applyBorder="0" applyAlignment="0" applyProtection="0"/>
    <xf numFmtId="0" fontId="111" fillId="8" borderId="0" applyNumberFormat="0" applyBorder="0" applyAlignment="0" applyProtection="0"/>
    <xf numFmtId="0" fontId="111" fillId="11" borderId="0" applyNumberFormat="0" applyBorder="0" applyAlignment="0" applyProtection="0"/>
    <xf numFmtId="0" fontId="111" fillId="14" borderId="0" applyNumberFormat="0" applyBorder="0" applyAlignment="0" applyProtection="0"/>
    <xf numFmtId="0" fontId="37" fillId="11"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37" fillId="8" borderId="0" applyNumberFormat="0" applyBorder="0" applyAlignment="0" applyProtection="0"/>
    <xf numFmtId="0" fontId="37" fillId="11" borderId="0" applyNumberFormat="0" applyBorder="0" applyAlignment="0" applyProtection="0"/>
    <xf numFmtId="0" fontId="37" fillId="14" borderId="0" applyNumberFormat="0" applyBorder="0" applyAlignment="0" applyProtection="0"/>
    <xf numFmtId="0" fontId="24" fillId="0" borderId="0"/>
    <xf numFmtId="0" fontId="24" fillId="0" borderId="0"/>
    <xf numFmtId="0" fontId="24" fillId="0" borderId="0"/>
    <xf numFmtId="0" fontId="6" fillId="0" borderId="0"/>
    <xf numFmtId="0" fontId="6" fillId="0" borderId="0"/>
    <xf numFmtId="0" fontId="24" fillId="0" borderId="0"/>
    <xf numFmtId="0" fontId="112" fillId="15" borderId="0" applyNumberFormat="0" applyBorder="0" applyAlignment="0" applyProtection="0"/>
    <xf numFmtId="0" fontId="112" fillId="12" borderId="0" applyNumberFormat="0" applyBorder="0" applyAlignment="0" applyProtection="0"/>
    <xf numFmtId="0" fontId="112" fillId="13" borderId="0" applyNumberFormat="0" applyBorder="0" applyAlignment="0" applyProtection="0"/>
    <xf numFmtId="0" fontId="112" fillId="16" borderId="0" applyNumberFormat="0" applyBorder="0" applyAlignment="0" applyProtection="0"/>
    <xf numFmtId="0" fontId="112" fillId="17" borderId="0" applyNumberFormat="0" applyBorder="0" applyAlignment="0" applyProtection="0"/>
    <xf numFmtId="0" fontId="112" fillId="18" borderId="0" applyNumberFormat="0" applyBorder="0" applyAlignment="0" applyProtection="0"/>
    <xf numFmtId="0" fontId="113" fillId="15" borderId="0" applyNumberFormat="0" applyBorder="0" applyAlignment="0" applyProtection="0"/>
    <xf numFmtId="0" fontId="113" fillId="12" borderId="0" applyNumberFormat="0" applyBorder="0" applyAlignment="0" applyProtection="0"/>
    <xf numFmtId="0" fontId="113" fillId="13" borderId="0" applyNumberFormat="0" applyBorder="0" applyAlignment="0" applyProtection="0"/>
    <xf numFmtId="0" fontId="113" fillId="16" borderId="0" applyNumberFormat="0" applyBorder="0" applyAlignment="0" applyProtection="0"/>
    <xf numFmtId="0" fontId="113" fillId="17" borderId="0" applyNumberFormat="0" applyBorder="0" applyAlignment="0" applyProtection="0"/>
    <xf numFmtId="0" fontId="113" fillId="18" borderId="0" applyNumberFormat="0" applyBorder="0" applyAlignment="0" applyProtection="0"/>
    <xf numFmtId="0" fontId="93" fillId="0" borderId="0"/>
    <xf numFmtId="0" fontId="112" fillId="19" borderId="0" applyNumberFormat="0" applyBorder="0" applyAlignment="0" applyProtection="0"/>
    <xf numFmtId="0" fontId="112" fillId="20" borderId="0" applyNumberFormat="0" applyBorder="0" applyAlignment="0" applyProtection="0"/>
    <xf numFmtId="0" fontId="112" fillId="21" borderId="0" applyNumberFormat="0" applyBorder="0" applyAlignment="0" applyProtection="0"/>
    <xf numFmtId="0" fontId="112" fillId="16" borderId="0" applyNumberFormat="0" applyBorder="0" applyAlignment="0" applyProtection="0"/>
    <xf numFmtId="0" fontId="112" fillId="17" borderId="0" applyNumberFormat="0" applyBorder="0" applyAlignment="0" applyProtection="0"/>
    <xf numFmtId="0" fontId="112" fillId="22" borderId="0" applyNumberFormat="0" applyBorder="0" applyAlignment="0" applyProtection="0"/>
    <xf numFmtId="255" fontId="8" fillId="0" borderId="0" applyFont="0" applyFill="0" applyBorder="0" applyAlignment="0" applyProtection="0"/>
    <xf numFmtId="0" fontId="26" fillId="0" borderId="0" applyFont="0" applyFill="0" applyBorder="0" applyAlignment="0" applyProtection="0"/>
    <xf numFmtId="175" fontId="27" fillId="0" borderId="0" applyFont="0" applyFill="0" applyBorder="0" applyAlignment="0" applyProtection="0"/>
    <xf numFmtId="256" fontId="8" fillId="0" borderId="0" applyFont="0" applyFill="0" applyBorder="0" applyAlignment="0" applyProtection="0"/>
    <xf numFmtId="0" fontId="26" fillId="0" borderId="0" applyFont="0" applyFill="0" applyBorder="0" applyAlignment="0" applyProtection="0"/>
    <xf numFmtId="176" fontId="27" fillId="0" borderId="0" applyFont="0" applyFill="0" applyBorder="0" applyAlignment="0" applyProtection="0"/>
    <xf numFmtId="0" fontId="28" fillId="0" borderId="0">
      <alignment horizontal="center" wrapText="1"/>
      <protection locked="0"/>
    </xf>
    <xf numFmtId="0" fontId="28" fillId="0" borderId="0">
      <alignment horizontal="center" wrapText="1"/>
      <protection locked="0"/>
    </xf>
    <xf numFmtId="0" fontId="114" fillId="0" borderId="0" applyNumberFormat="0" applyBorder="0" applyAlignment="0">
      <alignment horizontal="center"/>
    </xf>
    <xf numFmtId="177" fontId="115" fillId="0" borderId="0" applyFont="0" applyFill="0" applyBorder="0" applyAlignment="0" applyProtection="0"/>
    <xf numFmtId="0" fontId="26" fillId="0" borderId="0" applyFont="0" applyFill="0" applyBorder="0" applyAlignment="0" applyProtection="0"/>
    <xf numFmtId="177" fontId="115" fillId="0" borderId="0" applyFont="0" applyFill="0" applyBorder="0" applyAlignment="0" applyProtection="0"/>
    <xf numFmtId="178" fontId="115" fillId="0" borderId="0" applyFont="0" applyFill="0" applyBorder="0" applyAlignment="0" applyProtection="0"/>
    <xf numFmtId="0" fontId="26" fillId="0" borderId="0" applyFont="0" applyFill="0" applyBorder="0" applyAlignment="0" applyProtection="0"/>
    <xf numFmtId="178" fontId="115" fillId="0" borderId="0" applyFont="0" applyFill="0" applyBorder="0" applyAlignment="0" applyProtection="0"/>
    <xf numFmtId="168" fontId="5" fillId="0" borderId="0" applyFont="0" applyFill="0" applyBorder="0" applyAlignment="0" applyProtection="0"/>
    <xf numFmtId="0" fontId="8" fillId="0" borderId="0"/>
    <xf numFmtId="0" fontId="8" fillId="0" borderId="0"/>
    <xf numFmtId="0" fontId="8" fillId="0" borderId="0"/>
    <xf numFmtId="0" fontId="116" fillId="6" borderId="0" applyNumberFormat="0" applyBorder="0" applyAlignment="0" applyProtection="0"/>
    <xf numFmtId="0" fontId="29" fillId="0" borderId="0" applyNumberFormat="0" applyFill="0" applyBorder="0" applyAlignment="0" applyProtection="0"/>
    <xf numFmtId="0" fontId="26" fillId="0" borderId="0"/>
    <xf numFmtId="0" fontId="46" fillId="0" borderId="0"/>
    <xf numFmtId="0" fontId="56" fillId="0" borderId="0"/>
    <xf numFmtId="0" fontId="26" fillId="0" borderId="0"/>
    <xf numFmtId="0" fontId="30" fillId="0" borderId="0"/>
    <xf numFmtId="0" fontId="31" fillId="0" borderId="0"/>
    <xf numFmtId="179" fontId="32" fillId="0" borderId="0" applyFill="0" applyBorder="0" applyAlignment="0"/>
    <xf numFmtId="0" fontId="8" fillId="0" borderId="0" applyFill="0" applyBorder="0" applyAlignment="0"/>
    <xf numFmtId="180" fontId="33" fillId="0" borderId="0" applyFill="0" applyBorder="0" applyAlignment="0"/>
    <xf numFmtId="181" fontId="33" fillId="0" borderId="0" applyFill="0" applyBorder="0" applyAlignment="0"/>
    <xf numFmtId="182" fontId="33" fillId="0" borderId="0" applyFill="0" applyBorder="0" applyAlignment="0"/>
    <xf numFmtId="183" fontId="32" fillId="0" borderId="0" applyFill="0" applyBorder="0" applyAlignment="0"/>
    <xf numFmtId="183" fontId="8" fillId="0" borderId="0" applyFill="0" applyBorder="0" applyAlignment="0"/>
    <xf numFmtId="184" fontId="33" fillId="0" borderId="0" applyFill="0" applyBorder="0" applyAlignment="0"/>
    <xf numFmtId="185" fontId="33" fillId="0" borderId="0" applyFill="0" applyBorder="0" applyAlignment="0"/>
    <xf numFmtId="180" fontId="33" fillId="0" borderId="0" applyFill="0" applyBorder="0" applyAlignment="0"/>
    <xf numFmtId="0" fontId="117" fillId="23" borderId="8" applyNumberFormat="0" applyAlignment="0" applyProtection="0"/>
    <xf numFmtId="0" fontId="34" fillId="0" borderId="0"/>
    <xf numFmtId="257" fontId="13" fillId="0" borderId="0" applyFont="0" applyFill="0" applyBorder="0" applyAlignment="0" applyProtection="0"/>
    <xf numFmtId="230" fontId="121" fillId="0" borderId="0" applyFont="0" applyFill="0" applyBorder="0" applyAlignment="0" applyProtection="0"/>
    <xf numFmtId="43" fontId="199" fillId="0" borderId="0" applyFont="0" applyFill="0" applyBorder="0" applyAlignment="0" applyProtection="0"/>
    <xf numFmtId="186" fontId="36" fillId="0" borderId="0"/>
    <xf numFmtId="186" fontId="36" fillId="0" borderId="0"/>
    <xf numFmtId="186" fontId="36" fillId="0" borderId="0"/>
    <xf numFmtId="186" fontId="36" fillId="0" borderId="0"/>
    <xf numFmtId="186" fontId="36" fillId="0" borderId="0"/>
    <xf numFmtId="186" fontId="36" fillId="0" borderId="0"/>
    <xf numFmtId="186" fontId="36" fillId="0" borderId="0"/>
    <xf numFmtId="186" fontId="36" fillId="0" borderId="0"/>
    <xf numFmtId="41" fontId="93" fillId="0" borderId="0" applyFont="0" applyFill="0" applyBorder="0" applyAlignment="0" applyProtection="0"/>
    <xf numFmtId="258" fontId="95" fillId="0" borderId="0" applyFill="0" applyBorder="0" applyAlignment="0" applyProtection="0"/>
    <xf numFmtId="258" fontId="95" fillId="0" borderId="0" applyFill="0" applyBorder="0" applyAlignment="0" applyProtection="0"/>
    <xf numFmtId="258" fontId="95" fillId="0" borderId="0" applyFill="0" applyBorder="0" applyAlignment="0" applyProtection="0"/>
    <xf numFmtId="41" fontId="37" fillId="0" borderId="0" applyFont="0" applyFill="0" applyBorder="0" applyAlignment="0" applyProtection="0"/>
    <xf numFmtId="41" fontId="37" fillId="0" borderId="0" applyFont="0" applyFill="0" applyBorder="0" applyAlignment="0" applyProtection="0"/>
    <xf numFmtId="41" fontId="37" fillId="0" borderId="0" applyFont="0" applyFill="0" applyBorder="0" applyAlignment="0" applyProtection="0"/>
    <xf numFmtId="164" fontId="35" fillId="0" borderId="0" applyFont="0" applyFill="0" applyBorder="0" applyAlignment="0" applyProtection="0"/>
    <xf numFmtId="184" fontId="33" fillId="0" borderId="0" applyFont="0" applyFill="0" applyBorder="0" applyAlignment="0" applyProtection="0"/>
    <xf numFmtId="43" fontId="8" fillId="0" borderId="0" applyFont="0" applyFill="0" applyBorder="0" applyAlignment="0" applyProtection="0"/>
    <xf numFmtId="43" fontId="37" fillId="0" borderId="0" applyFont="0" applyFill="0" applyBorder="0" applyAlignment="0" applyProtection="0"/>
    <xf numFmtId="165" fontId="8" fillId="0" borderId="0" applyFill="0" applyBorder="0" applyAlignment="0" applyProtection="0"/>
    <xf numFmtId="43" fontId="93" fillId="0" borderId="0" applyFont="0" applyFill="0" applyBorder="0" applyAlignment="0" applyProtection="0"/>
    <xf numFmtId="167" fontId="8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5" fontId="200" fillId="0" borderId="0" applyFont="0" applyFill="0" applyBorder="0" applyAlignment="0" applyProtection="0"/>
    <xf numFmtId="43" fontId="38" fillId="0" borderId="0" applyFont="0" applyFill="0" applyBorder="0" applyAlignment="0" applyProtection="0"/>
    <xf numFmtId="187" fontId="38" fillId="0" borderId="0" applyFont="0" applyFill="0" applyBorder="0" applyAlignment="0" applyProtection="0"/>
    <xf numFmtId="166" fontId="200" fillId="0" borderId="0" applyFont="0" applyFill="0" applyBorder="0" applyAlignment="0" applyProtection="0"/>
    <xf numFmtId="0" fontId="37"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88" fontId="8" fillId="0" borderId="0" applyFont="0" applyFill="0" applyBorder="0" applyAlignment="0" applyProtection="0"/>
    <xf numFmtId="188" fontId="8" fillId="0" borderId="0" applyFont="0" applyFill="0" applyBorder="0" applyAlignment="0" applyProtection="0"/>
    <xf numFmtId="43" fontId="200"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3" fillId="0" borderId="0" applyFont="0" applyFill="0" applyBorder="0" applyAlignment="0" applyProtection="0"/>
    <xf numFmtId="43" fontId="8" fillId="0" borderId="0" applyFont="0" applyFill="0" applyBorder="0" applyAlignment="0" applyProtection="0"/>
    <xf numFmtId="165" fontId="38" fillId="0" borderId="0" applyFont="0" applyFill="0" applyBorder="0" applyAlignment="0" applyProtection="0"/>
    <xf numFmtId="43" fontId="8" fillId="0" borderId="0" applyFont="0" applyFill="0" applyBorder="0" applyAlignment="0" applyProtection="0"/>
    <xf numFmtId="189" fontId="38" fillId="0" borderId="0" applyFont="0" applyFill="0" applyBorder="0" applyAlignment="0" applyProtection="0"/>
    <xf numFmtId="187" fontId="38" fillId="0" borderId="0" applyFont="0" applyFill="0" applyBorder="0" applyAlignment="0" applyProtection="0"/>
    <xf numFmtId="0" fontId="37" fillId="0" borderId="0" applyFont="0" applyFill="0" applyBorder="0" applyAlignment="0" applyProtection="0"/>
    <xf numFmtId="259" fontId="87" fillId="0" borderId="0" applyFont="0" applyFill="0" applyBorder="0" applyAlignment="0" applyProtection="0"/>
    <xf numFmtId="190" fontId="39" fillId="0" borderId="0" applyFont="0" applyFill="0" applyBorder="0" applyAlignment="0" applyProtection="0"/>
    <xf numFmtId="165" fontId="39" fillId="0" borderId="0" applyFont="0" applyFill="0" applyBorder="0" applyAlignment="0" applyProtection="0"/>
    <xf numFmtId="165" fontId="39" fillId="0" borderId="0" applyFont="0" applyFill="0" applyBorder="0" applyAlignment="0" applyProtection="0"/>
    <xf numFmtId="43" fontId="201" fillId="0" borderId="0" applyFont="0" applyFill="0" applyBorder="0" applyAlignment="0" applyProtection="0"/>
    <xf numFmtId="191" fontId="38" fillId="0" borderId="0" applyFont="0" applyFill="0" applyBorder="0" applyAlignment="0" applyProtection="0"/>
    <xf numFmtId="43" fontId="40" fillId="0" borderId="0" applyFont="0" applyFill="0" applyBorder="0" applyAlignment="0" applyProtection="0"/>
    <xf numFmtId="43" fontId="32" fillId="0" borderId="0" applyFont="0" applyFill="0" applyBorder="0" applyAlignment="0" applyProtection="0"/>
    <xf numFmtId="43" fontId="93" fillId="0" borderId="0" applyFont="0" applyFill="0" applyBorder="0" applyAlignment="0" applyProtection="0"/>
    <xf numFmtId="192" fontId="202" fillId="0" borderId="0" applyFont="0" applyFill="0" applyBorder="0" applyAlignment="0" applyProtection="0"/>
    <xf numFmtId="43" fontId="92" fillId="0" borderId="0" applyFont="0" applyFill="0" applyBorder="0" applyAlignment="0" applyProtection="0"/>
    <xf numFmtId="193" fontId="14" fillId="0" borderId="0"/>
    <xf numFmtId="260" fontId="56" fillId="0" borderId="0"/>
    <xf numFmtId="3" fontId="8" fillId="0" borderId="0" applyFont="0" applyFill="0" applyBorder="0" applyAlignment="0" applyProtection="0"/>
    <xf numFmtId="0" fontId="122" fillId="0" borderId="0"/>
    <xf numFmtId="0" fontId="33" fillId="0" borderId="0"/>
    <xf numFmtId="3" fontId="95" fillId="0" borderId="0" applyFill="0" applyBorder="0" applyAlignment="0" applyProtection="0"/>
    <xf numFmtId="0" fontId="122" fillId="0" borderId="0"/>
    <xf numFmtId="0" fontId="33" fillId="0" borderId="0"/>
    <xf numFmtId="0" fontId="123" fillId="0" borderId="0">
      <alignment horizontal="center"/>
    </xf>
    <xf numFmtId="0" fontId="41" fillId="0" borderId="0" applyNumberFormat="0" applyAlignment="0">
      <alignment horizontal="left"/>
    </xf>
    <xf numFmtId="261" fontId="46" fillId="0" borderId="0" applyFont="0" applyFill="0" applyBorder="0" applyAlignment="0" applyProtection="0"/>
    <xf numFmtId="180" fontId="33" fillId="0" borderId="0" applyFont="0" applyFill="0" applyBorder="0" applyAlignment="0" applyProtection="0"/>
    <xf numFmtId="194" fontId="5" fillId="0" borderId="0" applyFont="0" applyFill="0" applyBorder="0" applyAlignment="0" applyProtection="0"/>
    <xf numFmtId="262" fontId="8" fillId="0" borderId="0" applyFont="0" applyFill="0" applyBorder="0" applyAlignment="0" applyProtection="0"/>
    <xf numFmtId="262" fontId="8" fillId="0" borderId="0" applyFont="0" applyFill="0" applyBorder="0" applyAlignment="0" applyProtection="0"/>
    <xf numFmtId="262" fontId="8" fillId="0" borderId="0" applyFont="0" applyFill="0" applyBorder="0" applyAlignment="0" applyProtection="0"/>
    <xf numFmtId="262" fontId="8" fillId="0" borderId="0" applyFont="0" applyFill="0" applyBorder="0" applyAlignment="0" applyProtection="0"/>
    <xf numFmtId="204" fontId="8" fillId="0" borderId="0" applyFont="0" applyFill="0" applyBorder="0" applyAlignment="0" applyProtection="0"/>
    <xf numFmtId="204" fontId="8" fillId="0" borderId="0" applyFont="0" applyFill="0" applyBorder="0" applyAlignment="0" applyProtection="0"/>
    <xf numFmtId="204" fontId="8" fillId="0" borderId="0" applyFont="0" applyFill="0" applyBorder="0" applyAlignment="0" applyProtection="0"/>
    <xf numFmtId="263" fontId="6" fillId="0" borderId="0" applyFont="0" applyFill="0" applyBorder="0" applyAlignment="0" applyProtection="0"/>
    <xf numFmtId="195" fontId="14" fillId="0" borderId="0"/>
    <xf numFmtId="264" fontId="8" fillId="0" borderId="0"/>
    <xf numFmtId="0" fontId="118" fillId="24" borderId="9" applyNumberFormat="0" applyAlignment="0" applyProtection="0"/>
    <xf numFmtId="167" fontId="35" fillId="0" borderId="0" applyFont="0" applyFill="0" applyBorder="0" applyAlignment="0" applyProtection="0"/>
    <xf numFmtId="4" fontId="119" fillId="0" borderId="0" applyAlignment="0"/>
    <xf numFmtId="0" fontId="32" fillId="0" borderId="0"/>
    <xf numFmtId="1" fontId="120" fillId="0" borderId="10" applyBorder="0"/>
    <xf numFmtId="179" fontId="6" fillId="0" borderId="11"/>
    <xf numFmtId="179" fontId="6" fillId="0" borderId="11"/>
    <xf numFmtId="0" fontId="8" fillId="0" borderId="0" applyFont="0" applyFill="0" applyBorder="0" applyAlignment="0" applyProtection="0"/>
    <xf numFmtId="14" fontId="15" fillId="0" borderId="0" applyFill="0" applyBorder="0" applyAlignment="0"/>
    <xf numFmtId="14" fontId="15" fillId="0" borderId="0" applyFill="0" applyBorder="0" applyAlignment="0"/>
    <xf numFmtId="0" fontId="8" fillId="0" borderId="0" applyFont="0" applyFill="0" applyBorder="0" applyAlignment="0" applyProtection="0"/>
    <xf numFmtId="3" fontId="126" fillId="0" borderId="12">
      <alignment horizontal="left" vertical="top" wrapText="1"/>
    </xf>
    <xf numFmtId="41" fontId="59" fillId="0" borderId="0" applyFont="0" applyFill="0" applyBorder="0" applyAlignment="0" applyProtection="0"/>
    <xf numFmtId="265" fontId="95" fillId="0" borderId="0" applyFill="0" applyBorder="0" applyProtection="0">
      <alignment vertical="center"/>
    </xf>
    <xf numFmtId="266" fontId="6" fillId="0" borderId="0" applyFont="0" applyFill="0" applyBorder="0" applyProtection="0">
      <alignment vertical="center"/>
    </xf>
    <xf numFmtId="266" fontId="6" fillId="0" borderId="0" applyFont="0" applyFill="0" applyBorder="0" applyProtection="0">
      <alignment vertical="center"/>
    </xf>
    <xf numFmtId="266" fontId="6" fillId="0" borderId="0" applyFont="0" applyFill="0" applyBorder="0" applyProtection="0">
      <alignment vertical="center"/>
    </xf>
    <xf numFmtId="267" fontId="8" fillId="0" borderId="13">
      <alignment vertical="center"/>
    </xf>
    <xf numFmtId="267" fontId="8" fillId="0" borderId="13">
      <alignment vertical="center"/>
    </xf>
    <xf numFmtId="0" fontId="8" fillId="0" borderId="0" applyFont="0" applyFill="0" applyBorder="0" applyAlignment="0" applyProtection="0"/>
    <xf numFmtId="0" fontId="8" fillId="0" borderId="0" applyFont="0" applyFill="0" applyBorder="0" applyAlignment="0" applyProtection="0"/>
    <xf numFmtId="268" fontId="6" fillId="0" borderId="0"/>
    <xf numFmtId="269" fontId="24" fillId="0" borderId="1"/>
    <xf numFmtId="269" fontId="24" fillId="0" borderId="1"/>
    <xf numFmtId="0" fontId="130" fillId="0" borderId="0">
      <protection locked="0"/>
    </xf>
    <xf numFmtId="196" fontId="14" fillId="0" borderId="0"/>
    <xf numFmtId="270" fontId="8" fillId="0" borderId="0"/>
    <xf numFmtId="271" fontId="24" fillId="0" borderId="0"/>
    <xf numFmtId="271" fontId="24" fillId="0" borderId="0"/>
    <xf numFmtId="0" fontId="121" fillId="0" borderId="0">
      <alignment vertical="top" wrapText="1"/>
    </xf>
    <xf numFmtId="171" fontId="42" fillId="0" borderId="0" applyFont="0" applyFill="0" applyBorder="0" applyAlignment="0" applyProtection="0"/>
    <xf numFmtId="172" fontId="42" fillId="0" borderId="0" applyFont="0" applyFill="0" applyBorder="0" applyAlignment="0" applyProtection="0"/>
    <xf numFmtId="171" fontId="42" fillId="0" borderId="0" applyFont="0" applyFill="0" applyBorder="0" applyAlignment="0" applyProtection="0"/>
    <xf numFmtId="41" fontId="42" fillId="0" borderId="0" applyFont="0" applyFill="0" applyBorder="0" applyAlignment="0" applyProtection="0"/>
    <xf numFmtId="272" fontId="8" fillId="0" borderId="0" applyFont="0" applyFill="0" applyBorder="0" applyAlignment="0" applyProtection="0"/>
    <xf numFmtId="272" fontId="8" fillId="0" borderId="0" applyFont="0" applyFill="0" applyBorder="0" applyAlignment="0" applyProtection="0"/>
    <xf numFmtId="272" fontId="8" fillId="0" borderId="0" applyFont="0" applyFill="0" applyBorder="0" applyAlignment="0" applyProtection="0"/>
    <xf numFmtId="272" fontId="8" fillId="0" borderId="0" applyFont="0" applyFill="0" applyBorder="0" applyAlignment="0" applyProtection="0"/>
    <xf numFmtId="272" fontId="8" fillId="0" borderId="0" applyFont="0" applyFill="0" applyBorder="0" applyAlignment="0" applyProtection="0"/>
    <xf numFmtId="272" fontId="8" fillId="0" borderId="0" applyFont="0" applyFill="0" applyBorder="0" applyAlignment="0" applyProtection="0"/>
    <xf numFmtId="272" fontId="8" fillId="0" borderId="0" applyFont="0" applyFill="0" applyBorder="0" applyAlignment="0" applyProtection="0"/>
    <xf numFmtId="272" fontId="8" fillId="0" borderId="0" applyFont="0" applyFill="0" applyBorder="0" applyAlignment="0" applyProtection="0"/>
    <xf numFmtId="171" fontId="42" fillId="0" borderId="0" applyFont="0" applyFill="0" applyBorder="0" applyAlignment="0" applyProtection="0"/>
    <xf numFmtId="171" fontId="42" fillId="0" borderId="0" applyFont="0" applyFill="0" applyBorder="0" applyAlignment="0" applyProtection="0"/>
    <xf numFmtId="272" fontId="8" fillId="0" borderId="0" applyFont="0" applyFill="0" applyBorder="0" applyAlignment="0" applyProtection="0"/>
    <xf numFmtId="272" fontId="8" fillId="0" borderId="0" applyFont="0" applyFill="0" applyBorder="0" applyAlignment="0" applyProtection="0"/>
    <xf numFmtId="272" fontId="8" fillId="0" borderId="0" applyFont="0" applyFill="0" applyBorder="0" applyAlignment="0" applyProtection="0"/>
    <xf numFmtId="272" fontId="8" fillId="0" borderId="0" applyFont="0" applyFill="0" applyBorder="0" applyAlignment="0" applyProtection="0"/>
    <xf numFmtId="273" fontId="6" fillId="0" borderId="0" applyFont="0" applyFill="0" applyBorder="0" applyAlignment="0" applyProtection="0"/>
    <xf numFmtId="273" fontId="6" fillId="0" borderId="0" applyFont="0" applyFill="0" applyBorder="0" applyAlignment="0" applyProtection="0"/>
    <xf numFmtId="273" fontId="6" fillId="0" borderId="0" applyFont="0" applyFill="0" applyBorder="0" applyAlignment="0" applyProtection="0"/>
    <xf numFmtId="273" fontId="6" fillId="0" borderId="0" applyFont="0" applyFill="0" applyBorder="0" applyAlignment="0" applyProtection="0"/>
    <xf numFmtId="274" fontId="6" fillId="0" borderId="0" applyFont="0" applyFill="0" applyBorder="0" applyAlignment="0" applyProtection="0"/>
    <xf numFmtId="274" fontId="6" fillId="0" borderId="0" applyFont="0" applyFill="0" applyBorder="0" applyAlignment="0" applyProtection="0"/>
    <xf numFmtId="274" fontId="6" fillId="0" borderId="0" applyFont="0" applyFill="0" applyBorder="0" applyAlignment="0" applyProtection="0"/>
    <xf numFmtId="274" fontId="6" fillId="0" borderId="0" applyFont="0" applyFill="0" applyBorder="0" applyAlignment="0" applyProtection="0"/>
    <xf numFmtId="164" fontId="42" fillId="0" borderId="0" applyFont="0" applyFill="0" applyBorder="0" applyAlignment="0" applyProtection="0"/>
    <xf numFmtId="164" fontId="42" fillId="0" borderId="0" applyFont="0" applyFill="0" applyBorder="0" applyAlignment="0" applyProtection="0"/>
    <xf numFmtId="41" fontId="42" fillId="0" borderId="0" applyFont="0" applyFill="0" applyBorder="0" applyAlignment="0" applyProtection="0"/>
    <xf numFmtId="41" fontId="42" fillId="0" borderId="0" applyFont="0" applyFill="0" applyBorder="0" applyAlignment="0" applyProtection="0"/>
    <xf numFmtId="164" fontId="42" fillId="0" borderId="0" applyFont="0" applyFill="0" applyBorder="0" applyAlignment="0" applyProtection="0"/>
    <xf numFmtId="164" fontId="42" fillId="0" borderId="0" applyFont="0" applyFill="0" applyBorder="0" applyAlignment="0" applyProtection="0"/>
    <xf numFmtId="164" fontId="42" fillId="0" borderId="0" applyFont="0" applyFill="0" applyBorder="0" applyAlignment="0" applyProtection="0"/>
    <xf numFmtId="164" fontId="42" fillId="0" borderId="0" applyFont="0" applyFill="0" applyBorder="0" applyAlignment="0" applyProtection="0"/>
    <xf numFmtId="164" fontId="42" fillId="0" borderId="0" applyFont="0" applyFill="0" applyBorder="0" applyAlignment="0" applyProtection="0"/>
    <xf numFmtId="164" fontId="42" fillId="0" borderId="0" applyFont="0" applyFill="0" applyBorder="0" applyAlignment="0" applyProtection="0"/>
    <xf numFmtId="164" fontId="42" fillId="0" borderId="0" applyFont="0" applyFill="0" applyBorder="0" applyAlignment="0" applyProtection="0"/>
    <xf numFmtId="164" fontId="42" fillId="0" borderId="0" applyFont="0" applyFill="0" applyBorder="0" applyAlignment="0" applyProtection="0"/>
    <xf numFmtId="164" fontId="42" fillId="0" borderId="0" applyFont="0" applyFill="0" applyBorder="0" applyAlignment="0" applyProtection="0"/>
    <xf numFmtId="164" fontId="42" fillId="0" borderId="0" applyFont="0" applyFill="0" applyBorder="0" applyAlignment="0" applyProtection="0"/>
    <xf numFmtId="164" fontId="42" fillId="0" borderId="0" applyFont="0" applyFill="0" applyBorder="0" applyAlignment="0" applyProtection="0"/>
    <xf numFmtId="171" fontId="42" fillId="0" borderId="0" applyFont="0" applyFill="0" applyBorder="0" applyAlignment="0" applyProtection="0"/>
    <xf numFmtId="164" fontId="42" fillId="0" borderId="0" applyFont="0" applyFill="0" applyBorder="0" applyAlignment="0" applyProtection="0"/>
    <xf numFmtId="171" fontId="42" fillId="0" borderId="0" applyFont="0" applyFill="0" applyBorder="0" applyAlignment="0" applyProtection="0"/>
    <xf numFmtId="41" fontId="42" fillId="0" borderId="0" applyFont="0" applyFill="0" applyBorder="0" applyAlignment="0" applyProtection="0"/>
    <xf numFmtId="41" fontId="42" fillId="0" borderId="0" applyFont="0" applyFill="0" applyBorder="0" applyAlignment="0" applyProtection="0"/>
    <xf numFmtId="164" fontId="42" fillId="0" borderId="0" applyFont="0" applyFill="0" applyBorder="0" applyAlignment="0" applyProtection="0"/>
    <xf numFmtId="164" fontId="42" fillId="0" borderId="0" applyFont="0" applyFill="0" applyBorder="0" applyAlignment="0" applyProtection="0"/>
    <xf numFmtId="164" fontId="42" fillId="0" borderId="0" applyFont="0" applyFill="0" applyBorder="0" applyAlignment="0" applyProtection="0"/>
    <xf numFmtId="172" fontId="42" fillId="0" borderId="0" applyFont="0" applyFill="0" applyBorder="0" applyAlignment="0" applyProtection="0"/>
    <xf numFmtId="43" fontId="42" fillId="0" borderId="0" applyFont="0" applyFill="0" applyBorder="0" applyAlignment="0" applyProtection="0"/>
    <xf numFmtId="275" fontId="8" fillId="0" borderId="0" applyFont="0" applyFill="0" applyBorder="0" applyAlignment="0" applyProtection="0"/>
    <xf numFmtId="275" fontId="8" fillId="0" borderId="0" applyFont="0" applyFill="0" applyBorder="0" applyAlignment="0" applyProtection="0"/>
    <xf numFmtId="275" fontId="8" fillId="0" borderId="0" applyFont="0" applyFill="0" applyBorder="0" applyAlignment="0" applyProtection="0"/>
    <xf numFmtId="275" fontId="8" fillId="0" borderId="0" applyFont="0" applyFill="0" applyBorder="0" applyAlignment="0" applyProtection="0"/>
    <xf numFmtId="275" fontId="8" fillId="0" borderId="0" applyFont="0" applyFill="0" applyBorder="0" applyAlignment="0" applyProtection="0"/>
    <xf numFmtId="275" fontId="8" fillId="0" borderId="0" applyFont="0" applyFill="0" applyBorder="0" applyAlignment="0" applyProtection="0"/>
    <xf numFmtId="275" fontId="8" fillId="0" borderId="0" applyFont="0" applyFill="0" applyBorder="0" applyAlignment="0" applyProtection="0"/>
    <xf numFmtId="275" fontId="8"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275" fontId="8" fillId="0" borderId="0" applyFont="0" applyFill="0" applyBorder="0" applyAlignment="0" applyProtection="0"/>
    <xf numFmtId="275" fontId="8" fillId="0" borderId="0" applyFont="0" applyFill="0" applyBorder="0" applyAlignment="0" applyProtection="0"/>
    <xf numFmtId="275" fontId="8" fillId="0" borderId="0" applyFont="0" applyFill="0" applyBorder="0" applyAlignment="0" applyProtection="0"/>
    <xf numFmtId="275" fontId="8" fillId="0" borderId="0" applyFont="0" applyFill="0" applyBorder="0" applyAlignment="0" applyProtection="0"/>
    <xf numFmtId="276" fontId="6" fillId="0" borderId="0" applyFont="0" applyFill="0" applyBorder="0" applyAlignment="0" applyProtection="0"/>
    <xf numFmtId="276" fontId="6" fillId="0" borderId="0" applyFont="0" applyFill="0" applyBorder="0" applyAlignment="0" applyProtection="0"/>
    <xf numFmtId="276" fontId="6" fillId="0" borderId="0" applyFont="0" applyFill="0" applyBorder="0" applyAlignment="0" applyProtection="0"/>
    <xf numFmtId="276" fontId="6" fillId="0" borderId="0" applyFont="0" applyFill="0" applyBorder="0" applyAlignment="0" applyProtection="0"/>
    <xf numFmtId="277" fontId="6" fillId="0" borderId="0" applyFont="0" applyFill="0" applyBorder="0" applyAlignment="0" applyProtection="0"/>
    <xf numFmtId="277" fontId="6" fillId="0" borderId="0" applyFont="0" applyFill="0" applyBorder="0" applyAlignment="0" applyProtection="0"/>
    <xf numFmtId="277" fontId="6" fillId="0" borderId="0" applyFont="0" applyFill="0" applyBorder="0" applyAlignment="0" applyProtection="0"/>
    <xf numFmtId="277" fontId="6"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72" fontId="42" fillId="0" borderId="0" applyFont="0" applyFill="0" applyBorder="0" applyAlignment="0" applyProtection="0"/>
    <xf numFmtId="165" fontId="42" fillId="0" borderId="0" applyFont="0" applyFill="0" applyBorder="0" applyAlignment="0" applyProtection="0"/>
    <xf numFmtId="172"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0" fontId="124" fillId="23" borderId="14" applyNumberFormat="0" applyAlignment="0" applyProtection="0"/>
    <xf numFmtId="0" fontId="125" fillId="10" borderId="8" applyNumberFormat="0" applyAlignment="0" applyProtection="0"/>
    <xf numFmtId="0" fontId="127" fillId="0" borderId="15" applyNumberFormat="0" applyFill="0" applyAlignment="0" applyProtection="0"/>
    <xf numFmtId="0" fontId="128" fillId="0" borderId="16" applyNumberFormat="0" applyFill="0" applyAlignment="0" applyProtection="0"/>
    <xf numFmtId="0" fontId="129" fillId="0" borderId="17" applyNumberFormat="0" applyFill="0" applyAlignment="0" applyProtection="0"/>
    <xf numFmtId="0" fontId="129" fillId="0" borderId="0" applyNumberFormat="0" applyFill="0" applyBorder="0" applyAlignment="0" applyProtection="0"/>
    <xf numFmtId="3" fontId="6" fillId="0" borderId="0" applyFont="0" applyBorder="0" applyAlignment="0"/>
    <xf numFmtId="0" fontId="131" fillId="0" borderId="0">
      <protection locked="0"/>
    </xf>
    <xf numFmtId="0" fontId="131" fillId="0" borderId="0">
      <protection locked="0"/>
    </xf>
    <xf numFmtId="184" fontId="33" fillId="0" borderId="0" applyFill="0" applyBorder="0" applyAlignment="0"/>
    <xf numFmtId="180" fontId="33" fillId="0" borderId="0" applyFill="0" applyBorder="0" applyAlignment="0"/>
    <xf numFmtId="184" fontId="33" fillId="0" borderId="0" applyFill="0" applyBorder="0" applyAlignment="0"/>
    <xf numFmtId="185" fontId="33" fillId="0" borderId="0" applyFill="0" applyBorder="0" applyAlignment="0"/>
    <xf numFmtId="180" fontId="33" fillId="0" borderId="0" applyFill="0" applyBorder="0" applyAlignment="0"/>
    <xf numFmtId="0" fontId="43" fillId="0" borderId="0" applyNumberFormat="0" applyAlignment="0">
      <alignment horizontal="left"/>
    </xf>
    <xf numFmtId="190" fontId="132" fillId="0" borderId="0">
      <protection locked="0"/>
    </xf>
    <xf numFmtId="190" fontId="132" fillId="0" borderId="0">
      <protection locked="0"/>
    </xf>
    <xf numFmtId="197" fontId="6" fillId="0" borderId="0" applyFont="0" applyFill="0" applyBorder="0" applyAlignment="0" applyProtection="0"/>
    <xf numFmtId="278" fontId="8" fillId="0" borderId="0" applyFont="0" applyFill="0" applyBorder="0" applyAlignment="0" applyProtection="0"/>
    <xf numFmtId="0" fontId="44" fillId="0" borderId="0"/>
    <xf numFmtId="0" fontId="133" fillId="0" borderId="0" applyNumberFormat="0" applyFill="0" applyBorder="0" applyAlignment="0" applyProtection="0"/>
    <xf numFmtId="3" fontId="6" fillId="0" borderId="0" applyFont="0" applyBorder="0" applyAlignment="0"/>
    <xf numFmtId="0" fontId="130" fillId="0" borderId="0">
      <protection locked="0"/>
    </xf>
    <xf numFmtId="0" fontId="130" fillId="0" borderId="0">
      <protection locked="0"/>
    </xf>
    <xf numFmtId="0" fontId="130" fillId="0" borderId="0">
      <protection locked="0"/>
    </xf>
    <xf numFmtId="0" fontId="130" fillId="0" borderId="0">
      <protection locked="0"/>
    </xf>
    <xf numFmtId="0" fontId="130" fillId="0" borderId="0">
      <protection locked="0"/>
    </xf>
    <xf numFmtId="0" fontId="130" fillId="0" borderId="0">
      <protection locked="0"/>
    </xf>
    <xf numFmtId="0" fontId="130" fillId="0" borderId="0">
      <protection locked="0"/>
    </xf>
    <xf numFmtId="0" fontId="130" fillId="0" borderId="0">
      <protection locked="0"/>
    </xf>
    <xf numFmtId="4" fontId="130" fillId="0" borderId="0">
      <protection locked="0"/>
    </xf>
    <xf numFmtId="0" fontId="130" fillId="0" borderId="0">
      <protection locked="0"/>
    </xf>
    <xf numFmtId="279" fontId="6" fillId="0" borderId="0">
      <protection locked="0"/>
    </xf>
    <xf numFmtId="279" fontId="6" fillId="0" borderId="0">
      <protection locked="0"/>
    </xf>
    <xf numFmtId="2" fontId="8" fillId="0" borderId="0" applyFont="0" applyFill="0" applyBorder="0" applyAlignment="0" applyProtection="0"/>
    <xf numFmtId="0" fontId="134" fillId="0" borderId="0" applyNumberFormat="0" applyFill="0" applyBorder="0" applyAlignment="0" applyProtection="0"/>
    <xf numFmtId="0" fontId="135" fillId="0" borderId="0" applyNumberFormat="0" applyFill="0" applyBorder="0" applyProtection="0">
      <alignment vertical="center"/>
    </xf>
    <xf numFmtId="0" fontId="136" fillId="0" borderId="0" applyNumberFormat="0" applyFill="0" applyBorder="0" applyAlignment="0" applyProtection="0"/>
    <xf numFmtId="0" fontId="137" fillId="0" borderId="0" applyNumberFormat="0" applyFill="0" applyBorder="0" applyProtection="0">
      <alignment vertical="center"/>
    </xf>
    <xf numFmtId="0" fontId="138" fillId="0" borderId="0" applyNumberFormat="0" applyFill="0" applyBorder="0" applyAlignment="0" applyProtection="0"/>
    <xf numFmtId="0" fontId="139" fillId="0" borderId="0" applyNumberFormat="0" applyFill="0" applyBorder="0" applyAlignment="0" applyProtection="0"/>
    <xf numFmtId="280" fontId="94" fillId="0" borderId="18" applyNumberFormat="0" applyFill="0" applyBorder="0" applyAlignment="0" applyProtection="0"/>
    <xf numFmtId="0" fontId="140" fillId="0" borderId="0" applyNumberFormat="0" applyFill="0" applyBorder="0" applyAlignment="0" applyProtection="0"/>
    <xf numFmtId="0" fontId="141" fillId="25" borderId="19" applyNumberFormat="0" applyAlignment="0">
      <protection locked="0"/>
    </xf>
    <xf numFmtId="0" fontId="8" fillId="26" borderId="20" applyNumberFormat="0" applyFont="0" applyAlignment="0" applyProtection="0"/>
    <xf numFmtId="0" fontId="8" fillId="26" borderId="20" applyNumberFormat="0" applyFont="0" applyAlignment="0" applyProtection="0"/>
    <xf numFmtId="0" fontId="143" fillId="7" borderId="0" applyNumberFormat="0" applyBorder="0" applyAlignment="0" applyProtection="0"/>
    <xf numFmtId="38" fontId="45" fillId="27" borderId="0" applyNumberFormat="0" applyBorder="0" applyAlignment="0" applyProtection="0"/>
    <xf numFmtId="281" fontId="2" fillId="2" borderId="0" applyBorder="0" applyProtection="0"/>
    <xf numFmtId="0" fontId="142" fillId="0" borderId="0">
      <alignment vertical="top" wrapText="1"/>
    </xf>
    <xf numFmtId="0" fontId="144" fillId="0" borderId="21" applyNumberFormat="0" applyFill="0" applyBorder="0" applyAlignment="0" applyProtection="0">
      <alignment horizontal="center" vertical="center"/>
    </xf>
    <xf numFmtId="0" fontId="145" fillId="0" borderId="0" applyNumberFormat="0" applyFont="0" applyBorder="0" applyAlignment="0">
      <alignment horizontal="left" vertical="center"/>
    </xf>
    <xf numFmtId="198" fontId="46" fillId="0" borderId="0" applyFont="0" applyFill="0" applyBorder="0" applyAlignment="0" applyProtection="0"/>
    <xf numFmtId="0" fontId="47" fillId="28" borderId="0"/>
    <xf numFmtId="0" fontId="48" fillId="0" borderId="0">
      <alignment horizontal="left"/>
    </xf>
    <xf numFmtId="0" fontId="49" fillId="0" borderId="22" applyNumberFormat="0" applyAlignment="0" applyProtection="0">
      <alignment horizontal="left" vertical="center"/>
    </xf>
    <xf numFmtId="0" fontId="49" fillId="0" borderId="23">
      <alignment horizontal="left" vertical="center"/>
    </xf>
    <xf numFmtId="0" fontId="50" fillId="0" borderId="0" applyNumberFormat="0" applyFill="0" applyBorder="0" applyAlignment="0" applyProtection="0"/>
    <xf numFmtId="0" fontId="49" fillId="0" borderId="0" applyNumberFormat="0" applyFill="0" applyBorder="0" applyAlignment="0" applyProtection="0"/>
    <xf numFmtId="0" fontId="146" fillId="0" borderId="17" applyNumberFormat="0" applyFill="0" applyAlignment="0" applyProtection="0"/>
    <xf numFmtId="0" fontId="146" fillId="0" borderId="0" applyNumberFormat="0" applyFill="0" applyBorder="0" applyAlignment="0" applyProtection="0"/>
    <xf numFmtId="0" fontId="50" fillId="0" borderId="0" applyProtection="0"/>
    <xf numFmtId="0" fontId="49" fillId="0" borderId="0" applyProtection="0"/>
    <xf numFmtId="0" fontId="51" fillId="0" borderId="24">
      <alignment horizontal="center"/>
    </xf>
    <xf numFmtId="0" fontId="51" fillId="0" borderId="0">
      <alignment horizontal="center"/>
    </xf>
    <xf numFmtId="5" fontId="52" fillId="29" borderId="1" applyNumberFormat="0" applyAlignment="0">
      <alignment horizontal="left" vertical="top"/>
    </xf>
    <xf numFmtId="0" fontId="147" fillId="0" borderId="0"/>
    <xf numFmtId="49" fontId="53" fillId="0" borderId="1">
      <alignment vertical="center"/>
    </xf>
    <xf numFmtId="0" fontId="56" fillId="0" borderId="0"/>
    <xf numFmtId="0" fontId="213" fillId="0" borderId="0" applyNumberFormat="0" applyFill="0" applyBorder="0" applyAlignment="0" applyProtection="0"/>
    <xf numFmtId="171" fontId="6" fillId="0" borderId="0" applyFont="0" applyFill="0" applyBorder="0" applyAlignment="0" applyProtection="0"/>
    <xf numFmtId="38" fontId="14" fillId="0" borderId="0" applyFont="0" applyFill="0" applyBorder="0" applyAlignment="0" applyProtection="0"/>
    <xf numFmtId="38" fontId="14" fillId="0" borderId="0" applyFont="0" applyFill="0" applyBorder="0" applyAlignment="0" applyProtection="0"/>
    <xf numFmtId="174" fontId="13" fillId="0" borderId="0" applyFont="0" applyFill="0" applyBorder="0" applyAlignment="0" applyProtection="0"/>
    <xf numFmtId="282" fontId="25" fillId="0" borderId="0" applyFont="0" applyFill="0" applyBorder="0" applyAlignment="0" applyProtection="0"/>
    <xf numFmtId="10" fontId="45" fillId="27" borderId="1" applyNumberFormat="0" applyBorder="0" applyAlignment="0" applyProtection="0"/>
    <xf numFmtId="0" fontId="148" fillId="10" borderId="8" applyNumberFormat="0" applyAlignment="0" applyProtection="0"/>
    <xf numFmtId="2" fontId="101" fillId="0" borderId="25" applyBorder="0"/>
    <xf numFmtId="0" fontId="149" fillId="0" borderId="0" applyNumberFormat="0" applyFill="0" applyBorder="0" applyAlignment="0" applyProtection="0">
      <alignment vertical="top"/>
      <protection locked="0"/>
    </xf>
    <xf numFmtId="0" fontId="150" fillId="0" borderId="0" applyNumberFormat="0" applyFill="0" applyBorder="0" applyAlignment="0" applyProtection="0">
      <alignment vertical="top"/>
      <protection locked="0"/>
    </xf>
    <xf numFmtId="0" fontId="151" fillId="0" borderId="0" applyNumberFormat="0" applyFill="0" applyBorder="0" applyAlignment="0" applyProtection="0">
      <alignment vertical="top"/>
      <protection locked="0"/>
    </xf>
    <xf numFmtId="0" fontId="149" fillId="0" borderId="0" applyNumberFormat="0" applyFill="0" applyBorder="0" applyAlignment="0" applyProtection="0">
      <alignment vertical="top"/>
      <protection locked="0"/>
    </xf>
    <xf numFmtId="0" fontId="153" fillId="24" borderId="9" applyNumberFormat="0" applyAlignment="0" applyProtection="0"/>
    <xf numFmtId="0" fontId="154" fillId="0" borderId="26">
      <alignment horizontal="center" vertical="center" wrapText="1"/>
    </xf>
    <xf numFmtId="171" fontId="6" fillId="0" borderId="0" applyFont="0" applyFill="0" applyBorder="0" applyAlignment="0" applyProtection="0"/>
    <xf numFmtId="0" fontId="6" fillId="0" borderId="0"/>
    <xf numFmtId="2" fontId="152" fillId="0" borderId="27" applyBorder="0"/>
    <xf numFmtId="0" fontId="28" fillId="0" borderId="28">
      <alignment horizontal="centerContinuous"/>
    </xf>
    <xf numFmtId="0" fontId="28" fillId="0" borderId="28">
      <alignment horizontal="centerContinuous"/>
    </xf>
    <xf numFmtId="0" fontId="121" fillId="27" borderId="0" applyNumberFormat="0" applyFont="0" applyBorder="0" applyAlignment="0"/>
    <xf numFmtId="0" fontId="121" fillId="27" borderId="0" applyNumberFormat="0" applyFont="0" applyBorder="0" applyAlignment="0"/>
    <xf numFmtId="0" fontId="14" fillId="0" borderId="0"/>
    <xf numFmtId="0" fontId="37" fillId="0" borderId="0"/>
    <xf numFmtId="0" fontId="54" fillId="0" borderId="0"/>
    <xf numFmtId="0" fontId="37" fillId="0" borderId="0"/>
    <xf numFmtId="0" fontId="56" fillId="0" borderId="0" applyNumberFormat="0" applyFont="0" applyFill="0" applyBorder="0" applyProtection="0">
      <alignment horizontal="left" vertical="center"/>
    </xf>
    <xf numFmtId="0" fontId="14" fillId="0" borderId="0"/>
    <xf numFmtId="184" fontId="33" fillId="0" borderId="0" applyFill="0" applyBorder="0" applyAlignment="0"/>
    <xf numFmtId="180" fontId="33" fillId="0" borderId="0" applyFill="0" applyBorder="0" applyAlignment="0"/>
    <xf numFmtId="184" fontId="33" fillId="0" borderId="0" applyFill="0" applyBorder="0" applyAlignment="0"/>
    <xf numFmtId="185" fontId="33" fillId="0" borderId="0" applyFill="0" applyBorder="0" applyAlignment="0"/>
    <xf numFmtId="180" fontId="33" fillId="0" borderId="0" applyFill="0" applyBorder="0" applyAlignment="0"/>
    <xf numFmtId="0" fontId="155" fillId="0" borderId="29" applyNumberFormat="0" applyFill="0" applyAlignment="0" applyProtection="0"/>
    <xf numFmtId="179" fontId="156" fillId="0" borderId="30" applyNumberFormat="0" applyFont="0" applyFill="0" applyBorder="0">
      <alignment horizontal="center"/>
    </xf>
    <xf numFmtId="38" fontId="14" fillId="0" borderId="0" applyFont="0" applyFill="0" applyBorder="0" applyAlignment="0" applyProtection="0"/>
    <xf numFmtId="4" fontId="33" fillId="0" borderId="0" applyFont="0" applyFill="0" applyBorder="0" applyAlignment="0" applyProtection="0"/>
    <xf numFmtId="244" fontId="56" fillId="0" borderId="0" applyFont="0" applyFill="0" applyBorder="0" applyAlignment="0" applyProtection="0"/>
    <xf numFmtId="40" fontId="14" fillId="0" borderId="0" applyFont="0" applyFill="0" applyBorder="0" applyAlignment="0" applyProtection="0"/>
    <xf numFmtId="171" fontId="32" fillId="0" borderId="0" applyFont="0" applyFill="0" applyBorder="0" applyAlignment="0" applyProtection="0"/>
    <xf numFmtId="172" fontId="32" fillId="0" borderId="0" applyFont="0" applyFill="0" applyBorder="0" applyAlignment="0" applyProtection="0"/>
    <xf numFmtId="0" fontId="55" fillId="0" borderId="24"/>
    <xf numFmtId="199" fontId="24" fillId="0" borderId="30"/>
    <xf numFmtId="200" fontId="14" fillId="0" borderId="0" applyFont="0" applyFill="0" applyBorder="0" applyAlignment="0" applyProtection="0"/>
    <xf numFmtId="201" fontId="14" fillId="0" borderId="0" applyFont="0" applyFill="0" applyBorder="0" applyAlignment="0" applyProtection="0"/>
    <xf numFmtId="172" fontId="132" fillId="0" borderId="0">
      <protection locked="0"/>
    </xf>
    <xf numFmtId="202" fontId="32" fillId="0" borderId="0" applyFont="0" applyFill="0" applyBorder="0" applyAlignment="0" applyProtection="0"/>
    <xf numFmtId="203" fontId="32" fillId="0" borderId="0" applyFont="0" applyFill="0" applyBorder="0" applyAlignment="0" applyProtection="0"/>
    <xf numFmtId="0" fontId="54" fillId="0" borderId="0" applyNumberFormat="0" applyFont="0" applyFill="0" applyAlignment="0"/>
    <xf numFmtId="0" fontId="54" fillId="0" borderId="0" applyNumberFormat="0" applyFont="0" applyFill="0" applyAlignment="0"/>
    <xf numFmtId="0" fontId="95" fillId="0" borderId="0" applyNumberFormat="0" applyFill="0" applyAlignment="0"/>
    <xf numFmtId="0" fontId="95" fillId="0" borderId="0" applyNumberFormat="0" applyFill="0" applyAlignment="0"/>
    <xf numFmtId="0" fontId="54" fillId="0" borderId="0" applyNumberFormat="0" applyFont="0" applyFill="0" applyAlignment="0"/>
    <xf numFmtId="0" fontId="157" fillId="30" borderId="0" applyNumberFormat="0" applyBorder="0" applyAlignment="0" applyProtection="0"/>
    <xf numFmtId="0" fontId="46" fillId="0" borderId="1"/>
    <xf numFmtId="0" fontId="46" fillId="0" borderId="1"/>
    <xf numFmtId="0" fontId="56" fillId="0" borderId="0"/>
    <xf numFmtId="0" fontId="56" fillId="0" borderId="0"/>
    <xf numFmtId="37" fontId="57" fillId="0" borderId="0"/>
    <xf numFmtId="0" fontId="158" fillId="0" borderId="1" applyNumberFormat="0" applyFont="0" applyFill="0" applyBorder="0" applyAlignment="0">
      <alignment horizontal="center"/>
    </xf>
    <xf numFmtId="0" fontId="11" fillId="0" borderId="0"/>
    <xf numFmtId="0" fontId="32" fillId="0" borderId="0"/>
    <xf numFmtId="283" fontId="6" fillId="0" borderId="0"/>
    <xf numFmtId="283" fontId="6" fillId="0" borderId="0"/>
    <xf numFmtId="283" fontId="6" fillId="0" borderId="0"/>
    <xf numFmtId="283" fontId="6" fillId="0" borderId="0"/>
    <xf numFmtId="284" fontId="100" fillId="0" borderId="0"/>
    <xf numFmtId="284" fontId="100" fillId="0" borderId="0"/>
    <xf numFmtId="284" fontId="100" fillId="0" borderId="0"/>
    <xf numFmtId="285" fontId="6" fillId="0" borderId="0"/>
    <xf numFmtId="0" fontId="91" fillId="0" borderId="0"/>
    <xf numFmtId="0" fontId="58" fillId="0" borderId="0"/>
    <xf numFmtId="0" fontId="59" fillId="0" borderId="0"/>
    <xf numFmtId="0" fontId="58" fillId="0" borderId="0"/>
    <xf numFmtId="0" fontId="38" fillId="0" borderId="0"/>
    <xf numFmtId="0" fontId="8" fillId="0" borderId="0"/>
    <xf numFmtId="0" fontId="212" fillId="0" borderId="0"/>
    <xf numFmtId="0" fontId="93" fillId="0" borderId="0"/>
    <xf numFmtId="0" fontId="6" fillId="0" borderId="0"/>
    <xf numFmtId="0" fontId="38" fillId="0" borderId="0"/>
    <xf numFmtId="0" fontId="46" fillId="0" borderId="0"/>
    <xf numFmtId="0" fontId="32" fillId="0" borderId="0"/>
    <xf numFmtId="0" fontId="93" fillId="0" borderId="0"/>
    <xf numFmtId="0" fontId="214" fillId="0" borderId="0"/>
    <xf numFmtId="0" fontId="214" fillId="0" borderId="0"/>
    <xf numFmtId="0" fontId="215" fillId="0" borderId="0"/>
    <xf numFmtId="0" fontId="6" fillId="0" borderId="0"/>
    <xf numFmtId="0" fontId="59" fillId="0" borderId="0"/>
    <xf numFmtId="0" fontId="59" fillId="0" borderId="0"/>
    <xf numFmtId="0" fontId="8" fillId="0" borderId="0"/>
    <xf numFmtId="0" fontId="38" fillId="0" borderId="0"/>
    <xf numFmtId="0" fontId="38" fillId="0" borderId="0"/>
    <xf numFmtId="0" fontId="38" fillId="0" borderId="0"/>
    <xf numFmtId="0" fontId="212" fillId="0" borderId="0"/>
    <xf numFmtId="0" fontId="216" fillId="0" borderId="0"/>
    <xf numFmtId="0" fontId="215" fillId="0" borderId="0"/>
    <xf numFmtId="0" fontId="6" fillId="0" borderId="0"/>
    <xf numFmtId="0" fontId="214" fillId="0" borderId="0"/>
    <xf numFmtId="0" fontId="32" fillId="0" borderId="0"/>
    <xf numFmtId="0" fontId="212" fillId="0" borderId="0"/>
    <xf numFmtId="0" fontId="60" fillId="0" borderId="0"/>
    <xf numFmtId="0" fontId="93" fillId="0" borderId="0"/>
    <xf numFmtId="0" fontId="60" fillId="0" borderId="0" applyProtection="0"/>
    <xf numFmtId="0" fontId="60" fillId="0" borderId="0" applyProtection="0"/>
    <xf numFmtId="0" fontId="60" fillId="0" borderId="0" applyProtection="0"/>
    <xf numFmtId="0" fontId="60" fillId="0" borderId="0" applyProtection="0"/>
    <xf numFmtId="0" fontId="60" fillId="0" borderId="0" applyProtection="0"/>
    <xf numFmtId="0" fontId="61" fillId="0" borderId="0"/>
    <xf numFmtId="0" fontId="211" fillId="0" borderId="0"/>
    <xf numFmtId="0" fontId="8" fillId="0" borderId="0"/>
    <xf numFmtId="0" fontId="6" fillId="0" borderId="0"/>
    <xf numFmtId="0" fontId="6" fillId="0" borderId="0"/>
    <xf numFmtId="0" fontId="38" fillId="0" borderId="0"/>
    <xf numFmtId="0" fontId="87" fillId="0" borderId="0"/>
    <xf numFmtId="0" fontId="37" fillId="0" borderId="0"/>
    <xf numFmtId="0" fontId="37" fillId="0" borderId="0"/>
    <xf numFmtId="0" fontId="60" fillId="0" borderId="0"/>
    <xf numFmtId="0" fontId="212" fillId="0" borderId="0"/>
    <xf numFmtId="0" fontId="8" fillId="0" borderId="0"/>
    <xf numFmtId="0" fontId="38" fillId="0" borderId="0"/>
    <xf numFmtId="0" fontId="217" fillId="0" borderId="0"/>
    <xf numFmtId="0" fontId="8" fillId="0" borderId="0"/>
    <xf numFmtId="0" fontId="40" fillId="0" borderId="0"/>
    <xf numFmtId="0" fontId="8" fillId="0" borderId="0"/>
    <xf numFmtId="0" fontId="8" fillId="0" borderId="0"/>
    <xf numFmtId="0" fontId="87" fillId="0" borderId="0"/>
    <xf numFmtId="0" fontId="218" fillId="0" borderId="0"/>
    <xf numFmtId="0" fontId="87" fillId="0" borderId="0"/>
    <xf numFmtId="0" fontId="212" fillId="0" borderId="0"/>
    <xf numFmtId="0" fontId="93" fillId="0" borderId="0"/>
    <xf numFmtId="0" fontId="159" fillId="0" borderId="0" applyNumberFormat="0" applyFill="0" applyBorder="0" applyProtection="0">
      <alignment vertical="top"/>
    </xf>
    <xf numFmtId="0" fontId="38" fillId="0" borderId="0"/>
    <xf numFmtId="0" fontId="6" fillId="0" borderId="0"/>
    <xf numFmtId="0" fontId="37" fillId="0" borderId="0"/>
    <xf numFmtId="0" fontId="212" fillId="0" borderId="0"/>
    <xf numFmtId="0" fontId="212" fillId="0" borderId="0"/>
    <xf numFmtId="0" fontId="212" fillId="0" borderId="0"/>
    <xf numFmtId="0" fontId="8" fillId="0" borderId="0"/>
    <xf numFmtId="0" fontId="6" fillId="0" borderId="0"/>
    <xf numFmtId="0" fontId="19" fillId="0" borderId="0" applyFont="0"/>
    <xf numFmtId="0" fontId="160" fillId="0" borderId="0">
      <alignment horizontal="left" vertical="top"/>
    </xf>
    <xf numFmtId="0" fontId="33" fillId="27" borderId="0"/>
    <xf numFmtId="0" fontId="42" fillId="0" borderId="0"/>
    <xf numFmtId="0" fontId="8" fillId="26" borderId="20" applyNumberFormat="0" applyFont="0" applyAlignment="0" applyProtection="0"/>
    <xf numFmtId="286" fontId="17" fillId="0" borderId="0" applyFont="0" applyFill="0" applyBorder="0" applyProtection="0">
      <alignment vertical="top" wrapText="1"/>
    </xf>
    <xf numFmtId="0" fontId="24" fillId="0" borderId="4" applyNumberFormat="0" applyAlignment="0">
      <alignment horizontal="center"/>
    </xf>
    <xf numFmtId="0" fontId="24" fillId="0" borderId="4" applyNumberFormat="0" applyAlignment="0">
      <alignment horizontal="center"/>
    </xf>
    <xf numFmtId="0" fontId="113" fillId="19" borderId="0" applyNumberFormat="0" applyBorder="0" applyAlignment="0" applyProtection="0"/>
    <xf numFmtId="0" fontId="113" fillId="20" borderId="0" applyNumberFormat="0" applyBorder="0" applyAlignment="0" applyProtection="0"/>
    <xf numFmtId="0" fontId="113" fillId="21" borderId="0" applyNumberFormat="0" applyBorder="0" applyAlignment="0" applyProtection="0"/>
    <xf numFmtId="0" fontId="113" fillId="16" borderId="0" applyNumberFormat="0" applyBorder="0" applyAlignment="0" applyProtection="0"/>
    <xf numFmtId="0" fontId="113" fillId="17" borderId="0" applyNumberFormat="0" applyBorder="0" applyAlignment="0" applyProtection="0"/>
    <xf numFmtId="0" fontId="113" fillId="22" borderId="0" applyNumberFormat="0" applyBorder="0" applyAlignment="0" applyProtection="0"/>
    <xf numFmtId="0" fontId="24" fillId="0" borderId="0"/>
    <xf numFmtId="172" fontId="62" fillId="0" borderId="0" applyFont="0" applyFill="0" applyBorder="0" applyAlignment="0" applyProtection="0"/>
    <xf numFmtId="171" fontId="62" fillId="0" borderId="0" applyFon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4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8" fillId="0" borderId="0" applyFont="0" applyFill="0" applyBorder="0" applyAlignment="0" applyProtection="0"/>
    <xf numFmtId="0" fontId="56" fillId="0" borderId="0"/>
    <xf numFmtId="0" fontId="162" fillId="23" borderId="14" applyNumberFormat="0" applyAlignment="0" applyProtection="0"/>
    <xf numFmtId="0" fontId="161" fillId="0" borderId="29" applyNumberFormat="0" applyFill="0" applyAlignment="0" applyProtection="0"/>
    <xf numFmtId="167" fontId="163" fillId="0" borderId="4" applyFont="0" applyBorder="0" applyAlignment="0"/>
    <xf numFmtId="0" fontId="164" fillId="27" borderId="0"/>
    <xf numFmtId="164" fontId="8" fillId="0" borderId="0" applyFont="0" applyFill="0" applyBorder="0" applyAlignment="0" applyProtection="0"/>
    <xf numFmtId="164" fontId="8" fillId="0" borderId="0" applyFont="0" applyFill="0" applyBorder="0" applyAlignment="0" applyProtection="0"/>
    <xf numFmtId="14" fontId="28" fillId="0" borderId="0">
      <alignment horizontal="center" wrapText="1"/>
      <protection locked="0"/>
    </xf>
    <xf numFmtId="14" fontId="28" fillId="0" borderId="0">
      <alignment horizontal="center" wrapText="1"/>
      <protection locked="0"/>
    </xf>
    <xf numFmtId="9" fontId="200" fillId="0" borderId="0" applyFont="0" applyFill="0" applyBorder="0" applyAlignment="0" applyProtection="0"/>
    <xf numFmtId="183" fontId="32" fillId="0" borderId="0" applyFont="0" applyFill="0" applyBorder="0" applyAlignment="0" applyProtection="0"/>
    <xf numFmtId="183" fontId="8" fillId="0" borderId="0" applyFont="0" applyFill="0" applyBorder="0" applyAlignment="0" applyProtection="0"/>
    <xf numFmtId="204" fontId="32" fillId="0" borderId="0" applyFont="0" applyFill="0" applyBorder="0" applyAlignment="0" applyProtection="0"/>
    <xf numFmtId="204" fontId="8" fillId="0" borderId="0" applyFont="0" applyFill="0" applyBorder="0" applyAlignment="0" applyProtection="0"/>
    <xf numFmtId="10" fontId="32" fillId="0" borderId="0" applyFont="0" applyFill="0" applyBorder="0" applyAlignment="0" applyProtection="0"/>
    <xf numFmtId="10" fontId="8" fillId="0" borderId="0" applyFont="0" applyFill="0" applyBorder="0" applyAlignment="0" applyProtection="0"/>
    <xf numFmtId="9" fontId="8" fillId="0" borderId="0" applyFont="0" applyFill="0" applyBorder="0" applyAlignment="0" applyProtection="0"/>
    <xf numFmtId="9" fontId="39" fillId="0" borderId="0" applyFont="0" applyFill="0" applyBorder="0" applyAlignment="0" applyProtection="0"/>
    <xf numFmtId="9" fontId="92" fillId="0" borderId="0" applyFont="0" applyFill="0" applyBorder="0" applyAlignment="0" applyProtection="0"/>
    <xf numFmtId="9" fontId="93" fillId="0" borderId="0" applyFont="0" applyFill="0" applyBorder="0" applyAlignment="0" applyProtection="0"/>
    <xf numFmtId="9" fontId="14" fillId="0" borderId="31" applyNumberFormat="0" applyBorder="0"/>
    <xf numFmtId="167" fontId="132" fillId="0" borderId="0">
      <protection locked="0"/>
    </xf>
    <xf numFmtId="184" fontId="33" fillId="0" borderId="0" applyFill="0" applyBorder="0" applyAlignment="0"/>
    <xf numFmtId="180" fontId="33" fillId="0" borderId="0" applyFill="0" applyBorder="0" applyAlignment="0"/>
    <xf numFmtId="184" fontId="33" fillId="0" borderId="0" applyFill="0" applyBorder="0" applyAlignment="0"/>
    <xf numFmtId="185" fontId="33" fillId="0" borderId="0" applyFill="0" applyBorder="0" applyAlignment="0"/>
    <xf numFmtId="180" fontId="33" fillId="0" borderId="0" applyFill="0" applyBorder="0" applyAlignment="0"/>
    <xf numFmtId="0" fontId="64" fillId="0" borderId="0"/>
    <xf numFmtId="0" fontId="14" fillId="0" borderId="0" applyNumberFormat="0" applyFont="0" applyFill="0" applyBorder="0" applyAlignment="0" applyProtection="0">
      <alignment horizontal="left"/>
    </xf>
    <xf numFmtId="0" fontId="14" fillId="0" borderId="0" applyNumberFormat="0" applyFont="0" applyFill="0" applyBorder="0" applyAlignment="0" applyProtection="0">
      <alignment horizontal="left"/>
    </xf>
    <xf numFmtId="0" fontId="65" fillId="0" borderId="24">
      <alignment horizontal="center"/>
    </xf>
    <xf numFmtId="0" fontId="8" fillId="0" borderId="0"/>
    <xf numFmtId="0" fontId="66" fillId="31" borderId="0" applyNumberFormat="0" applyFont="0" applyBorder="0" applyAlignment="0">
      <alignment horizontal="center"/>
    </xf>
    <xf numFmtId="14" fontId="67" fillId="0" borderId="0" applyNumberFormat="0" applyFill="0" applyBorder="0" applyAlignment="0" applyProtection="0">
      <alignment horizontal="left"/>
    </xf>
    <xf numFmtId="0" fontId="150" fillId="0" borderId="0" applyNumberFormat="0" applyFill="0" applyBorder="0" applyAlignment="0" applyProtection="0">
      <alignment vertical="top"/>
      <protection locked="0"/>
    </xf>
    <xf numFmtId="0" fontId="24" fillId="0" borderId="0"/>
    <xf numFmtId="174" fontId="13" fillId="0" borderId="0" applyFon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4" fontId="68" fillId="32" borderId="32" applyNumberFormat="0" applyProtection="0">
      <alignment vertical="center"/>
    </xf>
    <xf numFmtId="4" fontId="69" fillId="32" borderId="32" applyNumberFormat="0" applyProtection="0">
      <alignment vertical="center"/>
    </xf>
    <xf numFmtId="4" fontId="70" fillId="32" borderId="32" applyNumberFormat="0" applyProtection="0">
      <alignment horizontal="left" vertical="center" indent="1"/>
    </xf>
    <xf numFmtId="4" fontId="70" fillId="33" borderId="0" applyNumberFormat="0" applyProtection="0">
      <alignment horizontal="left" vertical="center" indent="1"/>
    </xf>
    <xf numFmtId="4" fontId="70" fillId="34" borderId="32" applyNumberFormat="0" applyProtection="0">
      <alignment horizontal="right" vertical="center"/>
    </xf>
    <xf numFmtId="4" fontId="70" fillId="35" borderId="32" applyNumberFormat="0" applyProtection="0">
      <alignment horizontal="right" vertical="center"/>
    </xf>
    <xf numFmtId="4" fontId="70" fillId="36" borderId="32" applyNumberFormat="0" applyProtection="0">
      <alignment horizontal="right" vertical="center"/>
    </xf>
    <xf numFmtId="4" fontId="70" fillId="37" borderId="32" applyNumberFormat="0" applyProtection="0">
      <alignment horizontal="right" vertical="center"/>
    </xf>
    <xf numFmtId="4" fontId="70" fillId="38" borderId="32" applyNumberFormat="0" applyProtection="0">
      <alignment horizontal="right" vertical="center"/>
    </xf>
    <xf numFmtId="4" fontId="70" fillId="39" borderId="32" applyNumberFormat="0" applyProtection="0">
      <alignment horizontal="right" vertical="center"/>
    </xf>
    <xf numFmtId="4" fontId="70" fillId="40" borderId="32" applyNumberFormat="0" applyProtection="0">
      <alignment horizontal="right" vertical="center"/>
    </xf>
    <xf numFmtId="4" fontId="70" fillId="41" borderId="32" applyNumberFormat="0" applyProtection="0">
      <alignment horizontal="right" vertical="center"/>
    </xf>
    <xf numFmtId="4" fontId="70" fillId="42" borderId="32" applyNumberFormat="0" applyProtection="0">
      <alignment horizontal="right" vertical="center"/>
    </xf>
    <xf numFmtId="4" fontId="68" fillId="43" borderId="33" applyNumberFormat="0" applyProtection="0">
      <alignment horizontal="left" vertical="center" indent="1"/>
    </xf>
    <xf numFmtId="4" fontId="68" fillId="44" borderId="0" applyNumberFormat="0" applyProtection="0">
      <alignment horizontal="left" vertical="center" indent="1"/>
    </xf>
    <xf numFmtId="4" fontId="68" fillId="33" borderId="0" applyNumberFormat="0" applyProtection="0">
      <alignment horizontal="left" vertical="center" indent="1"/>
    </xf>
    <xf numFmtId="4" fontId="70" fillId="44" borderId="32" applyNumberFormat="0" applyProtection="0">
      <alignment horizontal="right" vertical="center"/>
    </xf>
    <xf numFmtId="4" fontId="15" fillId="44" borderId="0" applyNumberFormat="0" applyProtection="0">
      <alignment horizontal="left" vertical="center" indent="1"/>
    </xf>
    <xf numFmtId="4" fontId="15" fillId="44" borderId="0" applyNumberFormat="0" applyProtection="0">
      <alignment horizontal="left" vertical="center" indent="1"/>
    </xf>
    <xf numFmtId="4" fontId="15" fillId="33" borderId="0" applyNumberFormat="0" applyProtection="0">
      <alignment horizontal="left" vertical="center" indent="1"/>
    </xf>
    <xf numFmtId="4" fontId="15" fillId="33" borderId="0" applyNumberFormat="0" applyProtection="0">
      <alignment horizontal="left" vertical="center" indent="1"/>
    </xf>
    <xf numFmtId="4" fontId="70" fillId="45" borderId="32" applyNumberFormat="0" applyProtection="0">
      <alignment vertical="center"/>
    </xf>
    <xf numFmtId="4" fontId="71" fillId="45" borderId="32" applyNumberFormat="0" applyProtection="0">
      <alignment vertical="center"/>
    </xf>
    <xf numFmtId="4" fontId="68" fillId="44" borderId="34" applyNumberFormat="0" applyProtection="0">
      <alignment horizontal="left" vertical="center" indent="1"/>
    </xf>
    <xf numFmtId="4" fontId="70" fillId="45" borderId="32" applyNumberFormat="0" applyProtection="0">
      <alignment horizontal="right" vertical="center"/>
    </xf>
    <xf numFmtId="4" fontId="71" fillId="45" borderId="32" applyNumberFormat="0" applyProtection="0">
      <alignment horizontal="right" vertical="center"/>
    </xf>
    <xf numFmtId="4" fontId="68" fillId="44" borderId="32" applyNumberFormat="0" applyProtection="0">
      <alignment horizontal="left" vertical="center" indent="1"/>
    </xf>
    <xf numFmtId="4" fontId="72" fillId="29" borderId="34" applyNumberFormat="0" applyProtection="0">
      <alignment horizontal="left" vertical="center" indent="1"/>
    </xf>
    <xf numFmtId="4" fontId="73" fillId="45" borderId="32" applyNumberFormat="0" applyProtection="0">
      <alignment horizontal="right" vertical="center"/>
    </xf>
    <xf numFmtId="287" fontId="165" fillId="0" borderId="0" applyFont="0" applyFill="0" applyBorder="0" applyAlignment="0" applyProtection="0"/>
    <xf numFmtId="0" fontId="66" fillId="1" borderId="23" applyNumberFormat="0" applyFont="0" applyAlignment="0">
      <alignment horizontal="center"/>
    </xf>
    <xf numFmtId="4" fontId="8" fillId="0" borderId="12" applyBorder="0"/>
    <xf numFmtId="2" fontId="8" fillId="0" borderId="12"/>
    <xf numFmtId="288" fontId="8" fillId="0" borderId="0"/>
    <xf numFmtId="3" fontId="5" fillId="0" borderId="0"/>
    <xf numFmtId="0" fontId="74" fillId="0" borderId="0" applyNumberFormat="0" applyFill="0" applyBorder="0" applyAlignment="0">
      <alignment horizontal="center"/>
    </xf>
    <xf numFmtId="0" fontId="75" fillId="0" borderId="35" applyNumberFormat="0" applyFill="0" applyBorder="0" applyAlignment="0" applyProtection="0"/>
    <xf numFmtId="1" fontId="8" fillId="0" borderId="0"/>
    <xf numFmtId="1" fontId="8" fillId="0" borderId="0"/>
    <xf numFmtId="167" fontId="166" fillId="0" borderId="0" applyNumberFormat="0" applyBorder="0" applyAlignment="0">
      <alignment horizontal="centerContinuous"/>
    </xf>
    <xf numFmtId="0" fontId="6" fillId="0" borderId="12">
      <alignment horizontal="center"/>
    </xf>
    <xf numFmtId="0" fontId="15" fillId="0" borderId="0">
      <alignment vertical="top"/>
    </xf>
    <xf numFmtId="167" fontId="35" fillId="0" borderId="0" applyFont="0" applyFill="0" applyBorder="0" applyAlignment="0" applyProtection="0"/>
    <xf numFmtId="167" fontId="35" fillId="0" borderId="0" applyFont="0" applyFill="0" applyBorder="0" applyAlignment="0" applyProtection="0"/>
    <xf numFmtId="245" fontId="13" fillId="0" borderId="0" applyFont="0" applyFill="0" applyBorder="0" applyAlignment="0" applyProtection="0"/>
    <xf numFmtId="247" fontId="13" fillId="0" borderId="0" applyFont="0" applyFill="0" applyBorder="0" applyAlignment="0" applyProtection="0"/>
    <xf numFmtId="247" fontId="13" fillId="0" borderId="0" applyFont="0" applyFill="0" applyBorder="0" applyAlignment="0" applyProtection="0"/>
    <xf numFmtId="174" fontId="13" fillId="0" borderId="0" applyFont="0" applyFill="0" applyBorder="0" applyAlignment="0" applyProtection="0"/>
    <xf numFmtId="250" fontId="13" fillId="0" borderId="0" applyFont="0" applyFill="0" applyBorder="0" applyAlignment="0" applyProtection="0"/>
    <xf numFmtId="164" fontId="13" fillId="0" borderId="0" applyFont="0" applyFill="0" applyBorder="0" applyAlignment="0" applyProtection="0"/>
    <xf numFmtId="245" fontId="13" fillId="0" borderId="0" applyFont="0" applyFill="0" applyBorder="0" applyAlignment="0" applyProtection="0"/>
    <xf numFmtId="251" fontId="5" fillId="0" borderId="0" applyFont="0" applyFill="0" applyBorder="0" applyAlignment="0" applyProtection="0"/>
    <xf numFmtId="174" fontId="13" fillId="0" borderId="0" applyFont="0" applyFill="0" applyBorder="0" applyAlignment="0" applyProtection="0"/>
    <xf numFmtId="245" fontId="13"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245" fontId="13" fillId="0" borderId="0" applyFont="0" applyFill="0" applyBorder="0" applyAlignment="0" applyProtection="0"/>
    <xf numFmtId="245" fontId="13" fillId="0" borderId="0" applyFont="0" applyFill="0" applyBorder="0" applyAlignment="0" applyProtection="0"/>
    <xf numFmtId="174" fontId="13" fillId="0" borderId="0" applyFont="0" applyFill="0" applyBorder="0" applyAlignment="0" applyProtection="0"/>
    <xf numFmtId="245" fontId="13" fillId="0" borderId="0" applyFont="0" applyFill="0" applyBorder="0" applyAlignment="0" applyProtection="0"/>
    <xf numFmtId="174" fontId="13" fillId="0" borderId="0" applyFont="0" applyFill="0" applyBorder="0" applyAlignment="0" applyProtection="0"/>
    <xf numFmtId="216" fontId="101" fillId="0" borderId="0" applyFont="0" applyFill="0" applyBorder="0" applyAlignment="0" applyProtection="0"/>
    <xf numFmtId="252" fontId="13" fillId="0" borderId="0" applyFont="0" applyFill="0" applyBorder="0" applyAlignment="0" applyProtection="0"/>
    <xf numFmtId="252" fontId="13" fillId="0" borderId="0" applyFont="0" applyFill="0" applyBorder="0" applyAlignment="0" applyProtection="0"/>
    <xf numFmtId="253" fontId="8" fillId="0" borderId="0" applyFont="0" applyFill="0" applyBorder="0" applyAlignment="0" applyProtection="0"/>
    <xf numFmtId="253" fontId="8" fillId="0" borderId="0" applyFont="0" applyFill="0" applyBorder="0" applyAlignment="0" applyProtection="0"/>
    <xf numFmtId="184" fontId="10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252" fontId="13" fillId="0" borderId="0" applyFont="0" applyFill="0" applyBorder="0" applyAlignment="0" applyProtection="0"/>
    <xf numFmtId="216" fontId="101" fillId="0" borderId="0" applyFont="0" applyFill="0" applyBorder="0" applyAlignment="0" applyProtection="0"/>
    <xf numFmtId="254" fontId="46" fillId="0" borderId="0" applyFont="0" applyFill="0" applyBorder="0" applyAlignment="0" applyProtection="0"/>
    <xf numFmtId="245" fontId="13" fillId="0" borderId="0" applyFont="0" applyFill="0" applyBorder="0" applyAlignment="0" applyProtection="0"/>
    <xf numFmtId="171" fontId="13" fillId="0" borderId="0" applyFont="0" applyFill="0" applyBorder="0" applyAlignment="0" applyProtection="0"/>
    <xf numFmtId="171" fontId="13" fillId="0" borderId="0" applyFont="0" applyFill="0" applyBorder="0" applyAlignment="0" applyProtection="0"/>
    <xf numFmtId="245" fontId="13" fillId="0" borderId="0" applyFont="0" applyFill="0" applyBorder="0" applyAlignment="0" applyProtection="0"/>
    <xf numFmtId="245" fontId="13" fillId="0" borderId="0" applyFont="0" applyFill="0" applyBorder="0" applyAlignment="0" applyProtection="0"/>
    <xf numFmtId="164" fontId="13" fillId="0" borderId="0" applyFont="0" applyFill="0" applyBorder="0" applyAlignment="0" applyProtection="0"/>
    <xf numFmtId="245" fontId="13"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221" fontId="13" fillId="0" borderId="0" applyFont="0" applyFill="0" applyBorder="0" applyAlignment="0" applyProtection="0"/>
    <xf numFmtId="208" fontId="5" fillId="0" borderId="0" applyFont="0" applyFill="0" applyBorder="0" applyAlignment="0" applyProtection="0"/>
    <xf numFmtId="224" fontId="13" fillId="0" borderId="0" applyFont="0" applyFill="0" applyBorder="0" applyAlignment="0" applyProtection="0"/>
    <xf numFmtId="225" fontId="13" fillId="0" borderId="0" applyFont="0" applyFill="0" applyBorder="0" applyAlignment="0" applyProtection="0"/>
    <xf numFmtId="224" fontId="13" fillId="0" borderId="0" applyFont="0" applyFill="0" applyBorder="0" applyAlignment="0" applyProtection="0"/>
    <xf numFmtId="216" fontId="100" fillId="0" borderId="0" applyFont="0" applyFill="0" applyBorder="0" applyAlignment="0" applyProtection="0"/>
    <xf numFmtId="216" fontId="13" fillId="0" borderId="0" applyFont="0" applyFill="0" applyBorder="0" applyAlignment="0" applyProtection="0"/>
    <xf numFmtId="226" fontId="5" fillId="0" borderId="0" applyFont="0" applyFill="0" applyBorder="0" applyAlignment="0" applyProtection="0"/>
    <xf numFmtId="216" fontId="13" fillId="0" borderId="0" applyFont="0" applyFill="0" applyBorder="0" applyAlignment="0" applyProtection="0"/>
    <xf numFmtId="224" fontId="13"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216" fontId="100" fillId="0" borderId="0" applyFont="0" applyFill="0" applyBorder="0" applyAlignment="0" applyProtection="0"/>
    <xf numFmtId="237" fontId="13" fillId="0" borderId="0" applyFont="0" applyFill="0" applyBorder="0" applyAlignment="0" applyProtection="0"/>
    <xf numFmtId="208" fontId="5" fillId="0" borderId="0" applyFont="0" applyFill="0" applyBorder="0" applyAlignment="0" applyProtection="0"/>
    <xf numFmtId="238" fontId="101" fillId="0" borderId="0" applyFont="0" applyFill="0" applyBorder="0" applyAlignment="0" applyProtection="0"/>
    <xf numFmtId="239" fontId="13" fillId="0" borderId="0" applyFont="0" applyFill="0" applyBorder="0" applyAlignment="0" applyProtection="0"/>
    <xf numFmtId="239" fontId="13" fillId="0" borderId="0" applyFont="0" applyFill="0" applyBorder="0" applyAlignment="0" applyProtection="0"/>
    <xf numFmtId="240" fontId="101" fillId="0" borderId="0" applyFont="0" applyFill="0" applyBorder="0" applyAlignment="0" applyProtection="0"/>
    <xf numFmtId="239" fontId="13" fillId="0" borderId="0" applyFont="0" applyFill="0" applyBorder="0" applyAlignment="0" applyProtection="0"/>
    <xf numFmtId="238" fontId="101" fillId="0" borderId="0" applyFont="0" applyFill="0" applyBorder="0" applyAlignment="0" applyProtection="0"/>
    <xf numFmtId="239" fontId="13"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208" fontId="13" fillId="0" borderId="0" applyFont="0" applyFill="0" applyBorder="0" applyAlignment="0" applyProtection="0"/>
    <xf numFmtId="208" fontId="13" fillId="0" borderId="0" applyFont="0" applyFill="0" applyBorder="0" applyAlignment="0" applyProtection="0"/>
    <xf numFmtId="240" fontId="101" fillId="0" borderId="0" applyFont="0" applyFill="0" applyBorder="0" applyAlignment="0" applyProtection="0"/>
    <xf numFmtId="241" fontId="13" fillId="0" borderId="0" applyFont="0" applyFill="0" applyBorder="0" applyAlignment="0" applyProtection="0"/>
    <xf numFmtId="241" fontId="13" fillId="0" borderId="0" applyFont="0" applyFill="0" applyBorder="0" applyAlignment="0" applyProtection="0"/>
    <xf numFmtId="242" fontId="8" fillId="0" borderId="0" applyFont="0" applyFill="0" applyBorder="0" applyAlignment="0" applyProtection="0"/>
    <xf numFmtId="242" fontId="8" fillId="0" borderId="0" applyFont="0" applyFill="0" applyBorder="0" applyAlignment="0" applyProtection="0"/>
    <xf numFmtId="171" fontId="101" fillId="0" borderId="0" applyFont="0" applyFill="0" applyBorder="0" applyAlignment="0" applyProtection="0"/>
    <xf numFmtId="241" fontId="13" fillId="0" borderId="0" applyFont="0" applyFill="0" applyBorder="0" applyAlignment="0" applyProtection="0"/>
    <xf numFmtId="240" fontId="101" fillId="0" borderId="0" applyFont="0" applyFill="0" applyBorder="0" applyAlignment="0" applyProtection="0"/>
    <xf numFmtId="243" fontId="46" fillId="0" borderId="0" applyFont="0" applyFill="0" applyBorder="0" applyAlignment="0" applyProtection="0"/>
    <xf numFmtId="164" fontId="13" fillId="0" borderId="0" applyFont="0" applyFill="0" applyBorder="0" applyAlignment="0" applyProtection="0"/>
    <xf numFmtId="244" fontId="13" fillId="0" borderId="0" applyFont="0" applyFill="0" applyBorder="0" applyAlignment="0" applyProtection="0"/>
    <xf numFmtId="216" fontId="13" fillId="0" borderId="0" applyFont="0" applyFill="0" applyBorder="0" applyAlignment="0" applyProtection="0"/>
    <xf numFmtId="0" fontId="24" fillId="0" borderId="0"/>
    <xf numFmtId="289" fontId="46"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74" fontId="13" fillId="0" borderId="0" applyFont="0" applyFill="0" applyBorder="0" applyAlignment="0" applyProtection="0"/>
    <xf numFmtId="174" fontId="13" fillId="0" borderId="0" applyFont="0" applyFill="0" applyBorder="0" applyAlignment="0" applyProtection="0"/>
    <xf numFmtId="167" fontId="35"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216" fontId="13" fillId="0" borderId="0" applyFont="0" applyFill="0" applyBorder="0" applyAlignment="0" applyProtection="0"/>
    <xf numFmtId="239" fontId="13" fillId="0" borderId="0" applyFont="0" applyFill="0" applyBorder="0" applyAlignment="0" applyProtection="0"/>
    <xf numFmtId="208" fontId="5" fillId="0" borderId="0" applyFont="0" applyFill="0" applyBorder="0" applyAlignment="0" applyProtection="0"/>
    <xf numFmtId="208" fontId="13" fillId="0" borderId="0" applyFont="0" applyFill="0" applyBorder="0" applyAlignment="0" applyProtection="0"/>
    <xf numFmtId="0" fontId="24" fillId="0" borderId="0"/>
    <xf numFmtId="289" fontId="46" fillId="0" borderId="0" applyFont="0" applyFill="0" applyBorder="0" applyAlignment="0" applyProtection="0"/>
    <xf numFmtId="174" fontId="13" fillId="0" borderId="0" applyFont="0" applyFill="0" applyBorder="0" applyAlignment="0" applyProtection="0"/>
    <xf numFmtId="164" fontId="13" fillId="0" borderId="0" applyFont="0" applyFill="0" applyBorder="0" applyAlignment="0" applyProtection="0"/>
    <xf numFmtId="174" fontId="13" fillId="0" borderId="0" applyFont="0" applyFill="0" applyBorder="0" applyAlignment="0" applyProtection="0"/>
    <xf numFmtId="245" fontId="13" fillId="0" borderId="0" applyFont="0" applyFill="0" applyBorder="0" applyAlignment="0" applyProtection="0"/>
    <xf numFmtId="245" fontId="13" fillId="0" borderId="0" applyFont="0" applyFill="0" applyBorder="0" applyAlignment="0" applyProtection="0"/>
    <xf numFmtId="245" fontId="13" fillId="0" borderId="0" applyFont="0" applyFill="0" applyBorder="0" applyAlignment="0" applyProtection="0"/>
    <xf numFmtId="247" fontId="13" fillId="0" borderId="0" applyFont="0" applyFill="0" applyBorder="0" applyAlignment="0" applyProtection="0"/>
    <xf numFmtId="174" fontId="13" fillId="0" borderId="0" applyFont="0" applyFill="0" applyBorder="0" applyAlignment="0" applyProtection="0"/>
    <xf numFmtId="250" fontId="13" fillId="0" borderId="0" applyFont="0" applyFill="0" applyBorder="0" applyAlignment="0" applyProtection="0"/>
    <xf numFmtId="164" fontId="13" fillId="0" borderId="0" applyFont="0" applyFill="0" applyBorder="0" applyAlignment="0" applyProtection="0"/>
    <xf numFmtId="245" fontId="13" fillId="0" borderId="0" applyFont="0" applyFill="0" applyBorder="0" applyAlignment="0" applyProtection="0"/>
    <xf numFmtId="173" fontId="13" fillId="0" borderId="0" applyFont="0" applyFill="0" applyBorder="0" applyAlignment="0" applyProtection="0"/>
    <xf numFmtId="251" fontId="5" fillId="0" borderId="0" applyFont="0" applyFill="0" applyBorder="0" applyAlignment="0" applyProtection="0"/>
    <xf numFmtId="174" fontId="13" fillId="0" borderId="0" applyFont="0" applyFill="0" applyBorder="0" applyAlignment="0" applyProtection="0"/>
    <xf numFmtId="245" fontId="13" fillId="0" borderId="0" applyFont="0" applyFill="0" applyBorder="0" applyAlignment="0" applyProtection="0"/>
    <xf numFmtId="245" fontId="13" fillId="0" borderId="0" applyFont="0" applyFill="0" applyBorder="0" applyAlignment="0" applyProtection="0"/>
    <xf numFmtId="245" fontId="13" fillId="0" borderId="0" applyFont="0" applyFill="0" applyBorder="0" applyAlignment="0" applyProtection="0"/>
    <xf numFmtId="174" fontId="13" fillId="0" borderId="0" applyFont="0" applyFill="0" applyBorder="0" applyAlignment="0" applyProtection="0"/>
    <xf numFmtId="245" fontId="13" fillId="0" borderId="0" applyFont="0" applyFill="0" applyBorder="0" applyAlignment="0" applyProtection="0"/>
    <xf numFmtId="174" fontId="13" fillId="0" borderId="0" applyFont="0" applyFill="0" applyBorder="0" applyAlignment="0" applyProtection="0"/>
    <xf numFmtId="216" fontId="101" fillId="0" borderId="0" applyFont="0" applyFill="0" applyBorder="0" applyAlignment="0" applyProtection="0"/>
    <xf numFmtId="252" fontId="13" fillId="0" borderId="0" applyFont="0" applyFill="0" applyBorder="0" applyAlignment="0" applyProtection="0"/>
    <xf numFmtId="173" fontId="13" fillId="0" borderId="0" applyFont="0" applyFill="0" applyBorder="0" applyAlignment="0" applyProtection="0"/>
    <xf numFmtId="252" fontId="13" fillId="0" borderId="0" applyFont="0" applyFill="0" applyBorder="0" applyAlignment="0" applyProtection="0"/>
    <xf numFmtId="253" fontId="8" fillId="0" borderId="0" applyFont="0" applyFill="0" applyBorder="0" applyAlignment="0" applyProtection="0"/>
    <xf numFmtId="253" fontId="8" fillId="0" borderId="0" applyFont="0" applyFill="0" applyBorder="0" applyAlignment="0" applyProtection="0"/>
    <xf numFmtId="184" fontId="101" fillId="0" borderId="0" applyFont="0" applyFill="0" applyBorder="0" applyAlignment="0" applyProtection="0"/>
    <xf numFmtId="252" fontId="13" fillId="0" borderId="0" applyFont="0" applyFill="0" applyBorder="0" applyAlignment="0" applyProtection="0"/>
    <xf numFmtId="216" fontId="101" fillId="0" borderId="0" applyFont="0" applyFill="0" applyBorder="0" applyAlignment="0" applyProtection="0"/>
    <xf numFmtId="254" fontId="46" fillId="0" borderId="0" applyFont="0" applyFill="0" applyBorder="0" applyAlignment="0" applyProtection="0"/>
    <xf numFmtId="245" fontId="13" fillId="0" borderId="0" applyFont="0" applyFill="0" applyBorder="0" applyAlignment="0" applyProtection="0"/>
    <xf numFmtId="171" fontId="13" fillId="0" borderId="0" applyFont="0" applyFill="0" applyBorder="0" applyAlignment="0" applyProtection="0"/>
    <xf numFmtId="171" fontId="13" fillId="0" borderId="0" applyFont="0" applyFill="0" applyBorder="0" applyAlignment="0" applyProtection="0"/>
    <xf numFmtId="245" fontId="13" fillId="0" borderId="0" applyFont="0" applyFill="0" applyBorder="0" applyAlignment="0" applyProtection="0"/>
    <xf numFmtId="173" fontId="13" fillId="0" borderId="0" applyFont="0" applyFill="0" applyBorder="0" applyAlignment="0" applyProtection="0"/>
    <xf numFmtId="245" fontId="13" fillId="0" borderId="0" applyFont="0" applyFill="0" applyBorder="0" applyAlignment="0" applyProtection="0"/>
    <xf numFmtId="164" fontId="13" fillId="0" borderId="0" applyFont="0" applyFill="0" applyBorder="0" applyAlignment="0" applyProtection="0"/>
    <xf numFmtId="245" fontId="13"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7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245" fontId="13" fillId="0" borderId="0" applyFont="0" applyFill="0" applyBorder="0" applyAlignment="0" applyProtection="0"/>
    <xf numFmtId="174" fontId="13" fillId="0" borderId="0" applyFont="0" applyFill="0" applyBorder="0" applyAlignment="0" applyProtection="0"/>
    <xf numFmtId="245"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74" fontId="13" fillId="0" borderId="0" applyFont="0" applyFill="0" applyBorder="0" applyAlignment="0" applyProtection="0"/>
    <xf numFmtId="177" fontId="13" fillId="0" borderId="0" applyFont="0" applyFill="0" applyBorder="0" applyAlignment="0" applyProtection="0"/>
    <xf numFmtId="246" fontId="13" fillId="0" borderId="0" applyFont="0" applyFill="0" applyBorder="0" applyAlignment="0" applyProtection="0"/>
    <xf numFmtId="164" fontId="13" fillId="0" borderId="0" applyFont="0" applyFill="0" applyBorder="0" applyAlignment="0" applyProtection="0"/>
    <xf numFmtId="174" fontId="5" fillId="0" borderId="0" applyFont="0" applyFill="0" applyBorder="0" applyAlignment="0" applyProtection="0"/>
    <xf numFmtId="164" fontId="13" fillId="0" borderId="0" applyFont="0" applyFill="0" applyBorder="0" applyAlignment="0" applyProtection="0"/>
    <xf numFmtId="174" fontId="5" fillId="0" borderId="0" applyFont="0" applyFill="0" applyBorder="0" applyAlignment="0" applyProtection="0"/>
    <xf numFmtId="245" fontId="13" fillId="0" borderId="0" applyFont="0" applyFill="0" applyBorder="0" applyAlignment="0" applyProtection="0"/>
    <xf numFmtId="245" fontId="13" fillId="0" borderId="0" applyFont="0" applyFill="0" applyBorder="0" applyAlignment="0" applyProtection="0"/>
    <xf numFmtId="177" fontId="13" fillId="0" borderId="0" applyFont="0" applyFill="0" applyBorder="0" applyAlignment="0" applyProtection="0"/>
    <xf numFmtId="247" fontId="13" fillId="0" borderId="0" applyFont="0" applyFill="0" applyBorder="0" applyAlignment="0" applyProtection="0"/>
    <xf numFmtId="245" fontId="13" fillId="0" borderId="0" applyFont="0" applyFill="0" applyBorder="0" applyAlignment="0" applyProtection="0"/>
    <xf numFmtId="248" fontId="13" fillId="0" borderId="0" applyFont="0" applyFill="0" applyBorder="0" applyAlignment="0" applyProtection="0"/>
    <xf numFmtId="249" fontId="13" fillId="0" borderId="0" applyFont="0" applyFill="0" applyBorder="0" applyAlignment="0" applyProtection="0"/>
    <xf numFmtId="164" fontId="13" fillId="0" borderId="0" applyFont="0" applyFill="0" applyBorder="0" applyAlignment="0" applyProtection="0"/>
    <xf numFmtId="248" fontId="13" fillId="0" borderId="0" applyFont="0" applyFill="0" applyBorder="0" applyAlignment="0" applyProtection="0"/>
    <xf numFmtId="177" fontId="13" fillId="0" borderId="0" applyFont="0" applyFill="0" applyBorder="0" applyAlignment="0" applyProtection="0"/>
    <xf numFmtId="174" fontId="13" fillId="0" borderId="0" applyFont="0" applyFill="0" applyBorder="0" applyAlignment="0" applyProtection="0"/>
    <xf numFmtId="174" fontId="13" fillId="0" borderId="0" applyFont="0" applyFill="0" applyBorder="0" applyAlignment="0" applyProtection="0"/>
    <xf numFmtId="164" fontId="13" fillId="0" borderId="0" applyFont="0" applyFill="0" applyBorder="0" applyAlignment="0" applyProtection="0"/>
    <xf numFmtId="245" fontId="13" fillId="0" borderId="0" applyFont="0" applyFill="0" applyBorder="0" applyAlignment="0" applyProtection="0"/>
    <xf numFmtId="164" fontId="13" fillId="0" borderId="0" applyFont="0" applyFill="0" applyBorder="0" applyAlignment="0" applyProtection="0"/>
    <xf numFmtId="174" fontId="13" fillId="0" borderId="0" applyFont="0" applyFill="0" applyBorder="0" applyAlignment="0" applyProtection="0"/>
    <xf numFmtId="245" fontId="13" fillId="0" borderId="0" applyFont="0" applyFill="0" applyBorder="0" applyAlignment="0" applyProtection="0"/>
    <xf numFmtId="245" fontId="13" fillId="0" borderId="0" applyFont="0" applyFill="0" applyBorder="0" applyAlignment="0" applyProtection="0"/>
    <xf numFmtId="14" fontId="167" fillId="0" borderId="0"/>
    <xf numFmtId="0" fontId="168" fillId="0" borderId="0"/>
    <xf numFmtId="0" fontId="55" fillId="0" borderId="0"/>
    <xf numFmtId="40" fontId="76" fillId="0" borderId="0" applyBorder="0">
      <alignment horizontal="right"/>
    </xf>
    <xf numFmtId="0" fontId="169" fillId="0" borderId="0"/>
    <xf numFmtId="205" fontId="46" fillId="0" borderId="25">
      <alignment horizontal="right" vertical="center"/>
    </xf>
    <xf numFmtId="205" fontId="46" fillId="0" borderId="25">
      <alignment horizontal="right" vertical="center"/>
    </xf>
    <xf numFmtId="205" fontId="46" fillId="0" borderId="25">
      <alignment horizontal="right" vertical="center"/>
    </xf>
    <xf numFmtId="205" fontId="46" fillId="0" borderId="25">
      <alignment horizontal="right" vertical="center"/>
    </xf>
    <xf numFmtId="205" fontId="46" fillId="0" borderId="25">
      <alignment horizontal="right" vertical="center"/>
    </xf>
    <xf numFmtId="221" fontId="170" fillId="0" borderId="25">
      <alignment horizontal="right" vertical="center"/>
    </xf>
    <xf numFmtId="234" fontId="93" fillId="0" borderId="25">
      <alignment horizontal="right" vertical="center"/>
    </xf>
    <xf numFmtId="234" fontId="93" fillId="0" borderId="25">
      <alignment horizontal="right" vertical="center"/>
    </xf>
    <xf numFmtId="205" fontId="46" fillId="0" borderId="25">
      <alignment horizontal="right" vertical="center"/>
    </xf>
    <xf numFmtId="205" fontId="46" fillId="0" borderId="25">
      <alignment horizontal="right" vertical="center"/>
    </xf>
    <xf numFmtId="205" fontId="46" fillId="0" borderId="25">
      <alignment horizontal="right" vertical="center"/>
    </xf>
    <xf numFmtId="205" fontId="46" fillId="0" borderId="25">
      <alignment horizontal="right" vertical="center"/>
    </xf>
    <xf numFmtId="205" fontId="46" fillId="0" borderId="25">
      <alignment horizontal="right" vertical="center"/>
    </xf>
    <xf numFmtId="205" fontId="46" fillId="0" borderId="25">
      <alignment horizontal="right" vertical="center"/>
    </xf>
    <xf numFmtId="205" fontId="46" fillId="0" borderId="25">
      <alignment horizontal="right" vertical="center"/>
    </xf>
    <xf numFmtId="205" fontId="46" fillId="0" borderId="25">
      <alignment horizontal="right" vertical="center"/>
    </xf>
    <xf numFmtId="290" fontId="46" fillId="0" borderId="36">
      <alignment horizontal="right" vertical="center"/>
    </xf>
    <xf numFmtId="290" fontId="46" fillId="0" borderId="36">
      <alignment horizontal="right" vertical="center"/>
    </xf>
    <xf numFmtId="205" fontId="46" fillId="0" borderId="25">
      <alignment horizontal="right" vertical="center"/>
    </xf>
    <xf numFmtId="205" fontId="46" fillId="0" borderId="25">
      <alignment horizontal="right" vertical="center"/>
    </xf>
    <xf numFmtId="205" fontId="46" fillId="0" borderId="25">
      <alignment horizontal="right" vertical="center"/>
    </xf>
    <xf numFmtId="234" fontId="93" fillId="0" borderId="25">
      <alignment horizontal="right" vertical="center"/>
    </xf>
    <xf numFmtId="234" fontId="93" fillId="0" borderId="25">
      <alignment horizontal="right" vertical="center"/>
    </xf>
    <xf numFmtId="234" fontId="93" fillId="0" borderId="25">
      <alignment horizontal="right" vertical="center"/>
    </xf>
    <xf numFmtId="234" fontId="93" fillId="0" borderId="25">
      <alignment horizontal="right" vertical="center"/>
    </xf>
    <xf numFmtId="234" fontId="93" fillId="0" borderId="25">
      <alignment horizontal="right" vertical="center"/>
    </xf>
    <xf numFmtId="234" fontId="93" fillId="0" borderId="25">
      <alignment horizontal="right" vertical="center"/>
    </xf>
    <xf numFmtId="234" fontId="93" fillId="0" borderId="25">
      <alignment horizontal="right" vertical="center"/>
    </xf>
    <xf numFmtId="205" fontId="46" fillId="0" borderId="25">
      <alignment horizontal="right" vertical="center"/>
    </xf>
    <xf numFmtId="290" fontId="46" fillId="0" borderId="36">
      <alignment horizontal="right" vertical="center"/>
    </xf>
    <xf numFmtId="290" fontId="46" fillId="0" borderId="36">
      <alignment horizontal="right" vertical="center"/>
    </xf>
    <xf numFmtId="222" fontId="24" fillId="0" borderId="25">
      <alignment horizontal="right" vertical="center"/>
    </xf>
    <xf numFmtId="234" fontId="93" fillId="0" borderId="25">
      <alignment horizontal="right" vertical="center"/>
    </xf>
    <xf numFmtId="234" fontId="93" fillId="0" borderId="25">
      <alignment horizontal="right" vertical="center"/>
    </xf>
    <xf numFmtId="234" fontId="93" fillId="0" borderId="25">
      <alignment horizontal="right" vertical="center"/>
    </xf>
    <xf numFmtId="222" fontId="24" fillId="0" borderId="25">
      <alignment horizontal="right" vertical="center"/>
    </xf>
    <xf numFmtId="236" fontId="6" fillId="0" borderId="25">
      <alignment horizontal="right" vertical="center"/>
    </xf>
    <xf numFmtId="236" fontId="6" fillId="0" borderId="25">
      <alignment horizontal="right" vertical="center"/>
    </xf>
    <xf numFmtId="293" fontId="6" fillId="0" borderId="25">
      <alignment horizontal="right" vertical="center"/>
    </xf>
    <xf numFmtId="293" fontId="6" fillId="0" borderId="25">
      <alignment horizontal="right" vertical="center"/>
    </xf>
    <xf numFmtId="293" fontId="6" fillId="0" borderId="25">
      <alignment horizontal="right" vertical="center"/>
    </xf>
    <xf numFmtId="293" fontId="6" fillId="0" borderId="25">
      <alignment horizontal="right" vertical="center"/>
    </xf>
    <xf numFmtId="291" fontId="6" fillId="0" borderId="25">
      <alignment horizontal="right" vertical="center"/>
    </xf>
    <xf numFmtId="291" fontId="6" fillId="0" borderId="25">
      <alignment horizontal="right" vertical="center"/>
    </xf>
    <xf numFmtId="292" fontId="13" fillId="0" borderId="25">
      <alignment horizontal="right" vertical="center"/>
    </xf>
    <xf numFmtId="291" fontId="6" fillId="0" borderId="25">
      <alignment horizontal="right" vertical="center"/>
    </xf>
    <xf numFmtId="291" fontId="6" fillId="0" borderId="25">
      <alignment horizontal="right" vertical="center"/>
    </xf>
    <xf numFmtId="222" fontId="24" fillId="0" borderId="25">
      <alignment horizontal="right" vertical="center"/>
    </xf>
    <xf numFmtId="234" fontId="93" fillId="0" borderId="25">
      <alignment horizontal="right" vertical="center"/>
    </xf>
    <xf numFmtId="234" fontId="93" fillId="0" borderId="25">
      <alignment horizontal="right" vertical="center"/>
    </xf>
    <xf numFmtId="236" fontId="6" fillId="0" borderId="25">
      <alignment horizontal="right" vertical="center"/>
    </xf>
    <xf numFmtId="236" fontId="6" fillId="0" borderId="25">
      <alignment horizontal="right" vertical="center"/>
    </xf>
    <xf numFmtId="222" fontId="24" fillId="0" borderId="25">
      <alignment horizontal="right" vertical="center"/>
    </xf>
    <xf numFmtId="294" fontId="5" fillId="0" borderId="25">
      <alignment horizontal="right" vertical="center"/>
    </xf>
    <xf numFmtId="222" fontId="24" fillId="0" borderId="25">
      <alignment horizontal="right" vertical="center"/>
    </xf>
    <xf numFmtId="290" fontId="46" fillId="0" borderId="36">
      <alignment horizontal="right" vertical="center"/>
    </xf>
    <xf numFmtId="290" fontId="46" fillId="0" borderId="36">
      <alignment horizontal="right" vertical="center"/>
    </xf>
    <xf numFmtId="205" fontId="46" fillId="0" borderId="25">
      <alignment horizontal="right" vertical="center"/>
    </xf>
    <xf numFmtId="205" fontId="46" fillId="0" borderId="25">
      <alignment horizontal="right" vertical="center"/>
    </xf>
    <xf numFmtId="205" fontId="46" fillId="0" borderId="25">
      <alignment horizontal="right" vertical="center"/>
    </xf>
    <xf numFmtId="205" fontId="46" fillId="0" borderId="25">
      <alignment horizontal="right" vertical="center"/>
    </xf>
    <xf numFmtId="205" fontId="46" fillId="0" borderId="25">
      <alignment horizontal="right" vertical="center"/>
    </xf>
    <xf numFmtId="205" fontId="46" fillId="0" borderId="25">
      <alignment horizontal="right" vertical="center"/>
    </xf>
    <xf numFmtId="205" fontId="46" fillId="0" borderId="25">
      <alignment horizontal="right" vertical="center"/>
    </xf>
    <xf numFmtId="290" fontId="46" fillId="0" borderId="36">
      <alignment horizontal="right" vertical="center"/>
    </xf>
    <xf numFmtId="290" fontId="46" fillId="0" borderId="36">
      <alignment horizontal="right" vertical="center"/>
    </xf>
    <xf numFmtId="291" fontId="6" fillId="0" borderId="25">
      <alignment horizontal="right" vertical="center"/>
    </xf>
    <xf numFmtId="291" fontId="6" fillId="0" borderId="25">
      <alignment horizontal="right" vertical="center"/>
    </xf>
    <xf numFmtId="292" fontId="13" fillId="0" borderId="25">
      <alignment horizontal="right" vertical="center"/>
    </xf>
    <xf numFmtId="291" fontId="6" fillId="0" borderId="25">
      <alignment horizontal="right" vertical="center"/>
    </xf>
    <xf numFmtId="291" fontId="6" fillId="0" borderId="25">
      <alignment horizontal="right" vertical="center"/>
    </xf>
    <xf numFmtId="293" fontId="6" fillId="0" borderId="25">
      <alignment horizontal="right" vertical="center"/>
    </xf>
    <xf numFmtId="293" fontId="6" fillId="0" borderId="25">
      <alignment horizontal="right" vertical="center"/>
    </xf>
    <xf numFmtId="205" fontId="46" fillId="0" borderId="25">
      <alignment horizontal="right" vertical="center"/>
    </xf>
    <xf numFmtId="205" fontId="46" fillId="0" borderId="25">
      <alignment horizontal="right" vertical="center"/>
    </xf>
    <xf numFmtId="205" fontId="46" fillId="0" borderId="25">
      <alignment horizontal="right" vertical="center"/>
    </xf>
    <xf numFmtId="205" fontId="46" fillId="0" borderId="25">
      <alignment horizontal="right" vertical="center"/>
    </xf>
    <xf numFmtId="205" fontId="46" fillId="0" borderId="25">
      <alignment horizontal="right" vertical="center"/>
    </xf>
    <xf numFmtId="205" fontId="46" fillId="0" borderId="25">
      <alignment horizontal="right" vertical="center"/>
    </xf>
    <xf numFmtId="291" fontId="6" fillId="0" borderId="25">
      <alignment horizontal="right" vertical="center"/>
    </xf>
    <xf numFmtId="291" fontId="6" fillId="0" borderId="25">
      <alignment horizontal="right" vertical="center"/>
    </xf>
    <xf numFmtId="295" fontId="171" fillId="2" borderId="37" applyFont="0" applyFill="0" applyBorder="0"/>
    <xf numFmtId="291" fontId="6" fillId="0" borderId="25">
      <alignment horizontal="right" vertical="center"/>
    </xf>
    <xf numFmtId="291" fontId="6" fillId="0" borderId="25">
      <alignment horizontal="right" vertical="center"/>
    </xf>
    <xf numFmtId="290" fontId="46" fillId="0" borderId="36">
      <alignment horizontal="right" vertical="center"/>
    </xf>
    <xf numFmtId="290" fontId="46" fillId="0" borderId="36">
      <alignment horizontal="right" vertical="center"/>
    </xf>
    <xf numFmtId="205" fontId="46" fillId="0" borderId="25">
      <alignment horizontal="right" vertical="center"/>
    </xf>
    <xf numFmtId="205" fontId="46" fillId="0" borderId="25">
      <alignment horizontal="right" vertical="center"/>
    </xf>
    <xf numFmtId="205" fontId="46" fillId="0" borderId="25">
      <alignment horizontal="right" vertical="center"/>
    </xf>
    <xf numFmtId="205" fontId="46" fillId="0" borderId="25">
      <alignment horizontal="right" vertical="center"/>
    </xf>
    <xf numFmtId="205" fontId="46" fillId="0" borderId="25">
      <alignment horizontal="right" vertical="center"/>
    </xf>
    <xf numFmtId="205" fontId="46" fillId="0" borderId="25">
      <alignment horizontal="right" vertical="center"/>
    </xf>
    <xf numFmtId="251" fontId="46" fillId="0" borderId="25">
      <alignment horizontal="right" vertical="center"/>
    </xf>
    <xf numFmtId="295" fontId="171" fillId="2" borderId="37" applyFont="0" applyFill="0" applyBorder="0"/>
    <xf numFmtId="296" fontId="8" fillId="0" borderId="25">
      <alignment horizontal="right" vertical="center"/>
    </xf>
    <xf numFmtId="296" fontId="8" fillId="0" borderId="25">
      <alignment horizontal="right" vertical="center"/>
    </xf>
    <xf numFmtId="205" fontId="46" fillId="0" borderId="25">
      <alignment horizontal="right" vertical="center"/>
    </xf>
    <xf numFmtId="205" fontId="46" fillId="0" borderId="25">
      <alignment horizontal="right" vertical="center"/>
    </xf>
    <xf numFmtId="251" fontId="46" fillId="0" borderId="25">
      <alignment horizontal="right" vertical="center"/>
    </xf>
    <xf numFmtId="236" fontId="6" fillId="0" borderId="25">
      <alignment horizontal="right" vertical="center"/>
    </xf>
    <xf numFmtId="236" fontId="6" fillId="0" borderId="25">
      <alignment horizontal="right" vertical="center"/>
    </xf>
    <xf numFmtId="290" fontId="46" fillId="0" borderId="36">
      <alignment horizontal="right" vertical="center"/>
    </xf>
    <xf numFmtId="290" fontId="46" fillId="0" borderId="36">
      <alignment horizontal="right" vertical="center"/>
    </xf>
    <xf numFmtId="291" fontId="6" fillId="0" borderId="25">
      <alignment horizontal="right" vertical="center"/>
    </xf>
    <xf numFmtId="291" fontId="6" fillId="0" borderId="25">
      <alignment horizontal="right" vertical="center"/>
    </xf>
    <xf numFmtId="205" fontId="46" fillId="0" borderId="25">
      <alignment horizontal="right" vertical="center"/>
    </xf>
    <xf numFmtId="292" fontId="13" fillId="0" borderId="25">
      <alignment horizontal="right" vertical="center"/>
    </xf>
    <xf numFmtId="291" fontId="6" fillId="0" borderId="25">
      <alignment horizontal="right" vertical="center"/>
    </xf>
    <xf numFmtId="291" fontId="6" fillId="0" borderId="25">
      <alignment horizontal="right" vertical="center"/>
    </xf>
    <xf numFmtId="236" fontId="6" fillId="0" borderId="25">
      <alignment horizontal="right" vertical="center"/>
    </xf>
    <xf numFmtId="236" fontId="6" fillId="0" borderId="25">
      <alignment horizontal="right" vertical="center"/>
    </xf>
    <xf numFmtId="236" fontId="6" fillId="0" borderId="25">
      <alignment horizontal="right" vertical="center"/>
    </xf>
    <xf numFmtId="236" fontId="6" fillId="0" borderId="25">
      <alignment horizontal="right" vertical="center"/>
    </xf>
    <xf numFmtId="297" fontId="5" fillId="0" borderId="25">
      <alignment horizontal="right" vertical="center"/>
    </xf>
    <xf numFmtId="290" fontId="46" fillId="0" borderId="36">
      <alignment horizontal="right" vertical="center"/>
    </xf>
    <xf numFmtId="290" fontId="46" fillId="0" borderId="36">
      <alignment horizontal="right" vertical="center"/>
    </xf>
    <xf numFmtId="298" fontId="6" fillId="0" borderId="25">
      <alignment horizontal="right" vertical="center"/>
    </xf>
    <xf numFmtId="298" fontId="6" fillId="0" borderId="25">
      <alignment horizontal="right" vertical="center"/>
    </xf>
    <xf numFmtId="234" fontId="93" fillId="0" borderId="25">
      <alignment horizontal="right" vertical="center"/>
    </xf>
    <xf numFmtId="234" fontId="93" fillId="0" borderId="25">
      <alignment horizontal="right" vertical="center"/>
    </xf>
    <xf numFmtId="234" fontId="93" fillId="0" borderId="25">
      <alignment horizontal="right" vertical="center"/>
    </xf>
    <xf numFmtId="234" fontId="93" fillId="0" borderId="25">
      <alignment horizontal="right" vertical="center"/>
    </xf>
    <xf numFmtId="234" fontId="93" fillId="0" borderId="25">
      <alignment horizontal="right" vertical="center"/>
    </xf>
    <xf numFmtId="291" fontId="6" fillId="0" borderId="25">
      <alignment horizontal="right" vertical="center"/>
    </xf>
    <xf numFmtId="291" fontId="6" fillId="0" borderId="25">
      <alignment horizontal="right" vertical="center"/>
    </xf>
    <xf numFmtId="293" fontId="6" fillId="0" borderId="25">
      <alignment horizontal="right" vertical="center"/>
    </xf>
    <xf numFmtId="293" fontId="6" fillId="0" borderId="25">
      <alignment horizontal="right" vertical="center"/>
    </xf>
    <xf numFmtId="238" fontId="6" fillId="0" borderId="25">
      <alignment horizontal="right" vertical="center"/>
    </xf>
    <xf numFmtId="238" fontId="6" fillId="0" borderId="25">
      <alignment horizontal="right" vertical="center"/>
    </xf>
    <xf numFmtId="234" fontId="93" fillId="0" borderId="25">
      <alignment horizontal="right" vertical="center"/>
    </xf>
    <xf numFmtId="234" fontId="93" fillId="0" borderId="25">
      <alignment horizontal="right" vertical="center"/>
    </xf>
    <xf numFmtId="234" fontId="93" fillId="0" borderId="25">
      <alignment horizontal="right" vertical="center"/>
    </xf>
    <xf numFmtId="234" fontId="93" fillId="0" borderId="25">
      <alignment horizontal="right" vertical="center"/>
    </xf>
    <xf numFmtId="234" fontId="93" fillId="0" borderId="25">
      <alignment horizontal="right" vertical="center"/>
    </xf>
    <xf numFmtId="234" fontId="93" fillId="0" borderId="25">
      <alignment horizontal="right" vertical="center"/>
    </xf>
    <xf numFmtId="234" fontId="93" fillId="0" borderId="25">
      <alignment horizontal="right" vertical="center"/>
    </xf>
    <xf numFmtId="234" fontId="93" fillId="0" borderId="25">
      <alignment horizontal="right" vertical="center"/>
    </xf>
    <xf numFmtId="234" fontId="93" fillId="0" borderId="25">
      <alignment horizontal="right" vertical="center"/>
    </xf>
    <xf numFmtId="234" fontId="93" fillId="0" borderId="25">
      <alignment horizontal="right" vertical="center"/>
    </xf>
    <xf numFmtId="234" fontId="93" fillId="0" borderId="25">
      <alignment horizontal="right" vertical="center"/>
    </xf>
    <xf numFmtId="234" fontId="93" fillId="0" borderId="25">
      <alignment horizontal="right" vertical="center"/>
    </xf>
    <xf numFmtId="234" fontId="93" fillId="0" borderId="25">
      <alignment horizontal="right" vertical="center"/>
    </xf>
    <xf numFmtId="234" fontId="93" fillId="0" borderId="25">
      <alignment horizontal="right" vertical="center"/>
    </xf>
    <xf numFmtId="234" fontId="93" fillId="0" borderId="25">
      <alignment horizontal="right" vertical="center"/>
    </xf>
    <xf numFmtId="234" fontId="93" fillId="0" borderId="25">
      <alignment horizontal="right" vertical="center"/>
    </xf>
    <xf numFmtId="234" fontId="93" fillId="0" borderId="25">
      <alignment horizontal="right" vertical="center"/>
    </xf>
    <xf numFmtId="234" fontId="93" fillId="0" borderId="25">
      <alignment horizontal="right" vertical="center"/>
    </xf>
    <xf numFmtId="234" fontId="93" fillId="0" borderId="25">
      <alignment horizontal="right" vertical="center"/>
    </xf>
    <xf numFmtId="295" fontId="171" fillId="2" borderId="37" applyFont="0" applyFill="0" applyBorder="0"/>
    <xf numFmtId="291" fontId="6" fillId="0" borderId="25">
      <alignment horizontal="right" vertical="center"/>
    </xf>
    <xf numFmtId="291" fontId="6" fillId="0" borderId="25">
      <alignment horizontal="right" vertical="center"/>
    </xf>
    <xf numFmtId="205" fontId="46" fillId="0" borderId="25">
      <alignment horizontal="right" vertical="center"/>
    </xf>
    <xf numFmtId="205" fontId="46" fillId="0" borderId="25">
      <alignment horizontal="right" vertical="center"/>
    </xf>
    <xf numFmtId="205" fontId="46" fillId="0" borderId="25">
      <alignment horizontal="right" vertical="center"/>
    </xf>
    <xf numFmtId="205" fontId="46" fillId="0" borderId="25">
      <alignment horizontal="right" vertical="center"/>
    </xf>
    <xf numFmtId="205" fontId="46" fillId="0" borderId="25">
      <alignment horizontal="right" vertical="center"/>
    </xf>
    <xf numFmtId="205" fontId="46" fillId="0" borderId="25">
      <alignment horizontal="right" vertical="center"/>
    </xf>
    <xf numFmtId="205" fontId="46" fillId="0" borderId="25">
      <alignment horizontal="right" vertical="center"/>
    </xf>
    <xf numFmtId="205" fontId="46" fillId="0" borderId="25">
      <alignment horizontal="right" vertical="center"/>
    </xf>
    <xf numFmtId="205" fontId="46" fillId="0" borderId="25">
      <alignment horizontal="right" vertical="center"/>
    </xf>
    <xf numFmtId="205" fontId="46" fillId="0" borderId="25">
      <alignment horizontal="right" vertical="center"/>
    </xf>
    <xf numFmtId="205" fontId="46" fillId="0" borderId="25">
      <alignment horizontal="right" vertical="center"/>
    </xf>
    <xf numFmtId="205" fontId="46" fillId="0" borderId="25">
      <alignment horizontal="right" vertical="center"/>
    </xf>
    <xf numFmtId="205" fontId="46" fillId="0" borderId="25">
      <alignment horizontal="right" vertical="center"/>
    </xf>
    <xf numFmtId="205" fontId="46" fillId="0" borderId="25">
      <alignment horizontal="right" vertical="center"/>
    </xf>
    <xf numFmtId="205" fontId="46" fillId="0" borderId="25">
      <alignment horizontal="right" vertical="center"/>
    </xf>
    <xf numFmtId="205" fontId="46" fillId="0" borderId="25">
      <alignment horizontal="right" vertical="center"/>
    </xf>
    <xf numFmtId="205" fontId="46" fillId="0" borderId="25">
      <alignment horizontal="right" vertical="center"/>
    </xf>
    <xf numFmtId="205" fontId="46" fillId="0" borderId="25">
      <alignment horizontal="right" vertical="center"/>
    </xf>
    <xf numFmtId="205" fontId="46" fillId="0" borderId="25">
      <alignment horizontal="right" vertical="center"/>
    </xf>
    <xf numFmtId="205" fontId="46" fillId="0" borderId="25">
      <alignment horizontal="right" vertical="center"/>
    </xf>
    <xf numFmtId="205" fontId="46" fillId="0" borderId="25">
      <alignment horizontal="right" vertical="center"/>
    </xf>
    <xf numFmtId="205" fontId="46" fillId="0" borderId="25">
      <alignment horizontal="right" vertical="center"/>
    </xf>
    <xf numFmtId="205" fontId="46" fillId="0" borderId="25">
      <alignment horizontal="right" vertical="center"/>
    </xf>
    <xf numFmtId="205" fontId="46" fillId="0" borderId="25">
      <alignment horizontal="right" vertical="center"/>
    </xf>
    <xf numFmtId="291" fontId="6" fillId="0" borderId="25">
      <alignment horizontal="right" vertical="center"/>
    </xf>
    <xf numFmtId="291" fontId="6" fillId="0" borderId="25">
      <alignment horizontal="right" vertical="center"/>
    </xf>
    <xf numFmtId="234" fontId="93" fillId="0" borderId="25">
      <alignment horizontal="right" vertical="center"/>
    </xf>
    <xf numFmtId="234" fontId="93" fillId="0" borderId="25">
      <alignment horizontal="right" vertical="center"/>
    </xf>
    <xf numFmtId="234" fontId="93" fillId="0" borderId="25">
      <alignment horizontal="right" vertical="center"/>
    </xf>
    <xf numFmtId="234" fontId="93" fillId="0" borderId="25">
      <alignment horizontal="right" vertical="center"/>
    </xf>
    <xf numFmtId="234" fontId="93" fillId="0" borderId="25">
      <alignment horizontal="right" vertical="center"/>
    </xf>
    <xf numFmtId="234" fontId="93" fillId="0" borderId="25">
      <alignment horizontal="right" vertical="center"/>
    </xf>
    <xf numFmtId="234" fontId="93" fillId="0" borderId="25">
      <alignment horizontal="right" vertical="center"/>
    </xf>
    <xf numFmtId="234" fontId="93" fillId="0" borderId="25">
      <alignment horizontal="right" vertical="center"/>
    </xf>
    <xf numFmtId="234" fontId="93" fillId="0" borderId="25">
      <alignment horizontal="right" vertical="center"/>
    </xf>
    <xf numFmtId="234" fontId="93" fillId="0" borderId="25">
      <alignment horizontal="right" vertical="center"/>
    </xf>
    <xf numFmtId="234" fontId="93" fillId="0" borderId="25">
      <alignment horizontal="right" vertical="center"/>
    </xf>
    <xf numFmtId="234" fontId="93" fillId="0" borderId="25">
      <alignment horizontal="right" vertical="center"/>
    </xf>
    <xf numFmtId="295" fontId="171" fillId="2" borderId="37" applyFont="0" applyFill="0" applyBorder="0"/>
    <xf numFmtId="295" fontId="171" fillId="2" borderId="37" applyFont="0" applyFill="0" applyBorder="0"/>
    <xf numFmtId="211" fontId="46" fillId="0" borderId="25">
      <alignment horizontal="right" vertical="center"/>
    </xf>
    <xf numFmtId="222" fontId="24" fillId="0" borderId="25">
      <alignment horizontal="right" vertical="center"/>
    </xf>
    <xf numFmtId="234" fontId="93" fillId="0" borderId="25">
      <alignment horizontal="right" vertical="center"/>
    </xf>
    <xf numFmtId="234" fontId="93" fillId="0" borderId="25">
      <alignment horizontal="right" vertical="center"/>
    </xf>
    <xf numFmtId="299" fontId="93" fillId="0" borderId="25">
      <alignment horizontal="right" vertical="center"/>
    </xf>
    <xf numFmtId="291" fontId="6" fillId="0" borderId="25">
      <alignment horizontal="right" vertical="center"/>
    </xf>
    <xf numFmtId="291" fontId="6" fillId="0" borderId="25">
      <alignment horizontal="right" vertical="center"/>
    </xf>
    <xf numFmtId="234" fontId="93" fillId="0" borderId="25">
      <alignment horizontal="right" vertical="center"/>
    </xf>
    <xf numFmtId="234" fontId="93" fillId="0" borderId="25">
      <alignment horizontal="right" vertical="center"/>
    </xf>
    <xf numFmtId="291" fontId="6" fillId="0" borderId="25">
      <alignment horizontal="right" vertical="center"/>
    </xf>
    <xf numFmtId="291" fontId="6" fillId="0" borderId="25">
      <alignment horizontal="right" vertical="center"/>
    </xf>
    <xf numFmtId="205" fontId="46" fillId="0" borderId="25">
      <alignment horizontal="right" vertical="center"/>
    </xf>
    <xf numFmtId="205" fontId="46" fillId="0" borderId="25">
      <alignment horizontal="right" vertical="center"/>
    </xf>
    <xf numFmtId="234" fontId="93" fillId="0" borderId="25">
      <alignment horizontal="right" vertical="center"/>
    </xf>
    <xf numFmtId="234" fontId="93" fillId="0" borderId="25">
      <alignment horizontal="right" vertical="center"/>
    </xf>
    <xf numFmtId="234" fontId="93" fillId="0" borderId="25">
      <alignment horizontal="right" vertical="center"/>
    </xf>
    <xf numFmtId="234" fontId="93" fillId="0" borderId="25">
      <alignment horizontal="right" vertical="center"/>
    </xf>
    <xf numFmtId="234" fontId="93" fillId="0" borderId="25">
      <alignment horizontal="right" vertical="center"/>
    </xf>
    <xf numFmtId="205" fontId="46" fillId="0" borderId="25">
      <alignment horizontal="right" vertical="center"/>
    </xf>
    <xf numFmtId="295" fontId="171" fillId="2" borderId="37" applyFont="0" applyFill="0" applyBorder="0"/>
    <xf numFmtId="202" fontId="6" fillId="0" borderId="25">
      <alignment horizontal="right" vertical="center"/>
    </xf>
    <xf numFmtId="202" fontId="6" fillId="0" borderId="25">
      <alignment horizontal="right" vertical="center"/>
    </xf>
    <xf numFmtId="202" fontId="6" fillId="0" borderId="25">
      <alignment horizontal="right" vertical="center"/>
    </xf>
    <xf numFmtId="202" fontId="6" fillId="0" borderId="25">
      <alignment horizontal="right" vertical="center"/>
    </xf>
    <xf numFmtId="202" fontId="6" fillId="0" borderId="25">
      <alignment horizontal="right" vertical="center"/>
    </xf>
    <xf numFmtId="202" fontId="6" fillId="0" borderId="25">
      <alignment horizontal="right" vertical="center"/>
    </xf>
    <xf numFmtId="202" fontId="6" fillId="0" borderId="25">
      <alignment horizontal="right" vertical="center"/>
    </xf>
    <xf numFmtId="205" fontId="46" fillId="0" borderId="25">
      <alignment horizontal="right" vertical="center"/>
    </xf>
    <xf numFmtId="202" fontId="6" fillId="0" borderId="25">
      <alignment horizontal="right" vertical="center"/>
    </xf>
    <xf numFmtId="202" fontId="6" fillId="0" borderId="25">
      <alignment horizontal="right" vertical="center"/>
    </xf>
    <xf numFmtId="300" fontId="6" fillId="0" borderId="36">
      <alignment horizontal="right" vertical="center"/>
    </xf>
    <xf numFmtId="300" fontId="6" fillId="0" borderId="36">
      <alignment horizontal="right" vertical="center"/>
    </xf>
    <xf numFmtId="300" fontId="6" fillId="0" borderId="36">
      <alignment horizontal="right" vertical="center"/>
    </xf>
    <xf numFmtId="300" fontId="6" fillId="0" borderId="36">
      <alignment horizontal="right" vertical="center"/>
    </xf>
    <xf numFmtId="300" fontId="6" fillId="0" borderId="36">
      <alignment horizontal="right" vertical="center"/>
    </xf>
    <xf numFmtId="221" fontId="170" fillId="0" borderId="25">
      <alignment horizontal="right" vertical="center"/>
    </xf>
    <xf numFmtId="222" fontId="24" fillId="0" borderId="25">
      <alignment horizontal="right" vertical="center"/>
    </xf>
    <xf numFmtId="205" fontId="46" fillId="0" borderId="25">
      <alignment horizontal="right" vertical="center"/>
    </xf>
    <xf numFmtId="291" fontId="6" fillId="0" borderId="25">
      <alignment horizontal="right" vertical="center"/>
    </xf>
    <xf numFmtId="291" fontId="6" fillId="0" borderId="25">
      <alignment horizontal="right" vertical="center"/>
    </xf>
    <xf numFmtId="205" fontId="46" fillId="0" borderId="25">
      <alignment horizontal="right" vertical="center"/>
    </xf>
    <xf numFmtId="290" fontId="46" fillId="0" borderId="36">
      <alignment horizontal="right" vertical="center"/>
    </xf>
    <xf numFmtId="290" fontId="46" fillId="0" borderId="36">
      <alignment horizontal="right" vertical="center"/>
    </xf>
    <xf numFmtId="290" fontId="46" fillId="0" borderId="36">
      <alignment horizontal="right" vertical="center"/>
    </xf>
    <xf numFmtId="290" fontId="46" fillId="0" borderId="36">
      <alignment horizontal="right" vertical="center"/>
    </xf>
    <xf numFmtId="290" fontId="46" fillId="0" borderId="36">
      <alignment horizontal="right" vertical="center"/>
    </xf>
    <xf numFmtId="290" fontId="46" fillId="0" borderId="36">
      <alignment horizontal="right" vertical="center"/>
    </xf>
    <xf numFmtId="290" fontId="46" fillId="0" borderId="36">
      <alignment horizontal="right" vertical="center"/>
    </xf>
    <xf numFmtId="290" fontId="46" fillId="0" borderId="36">
      <alignment horizontal="right" vertical="center"/>
    </xf>
    <xf numFmtId="290" fontId="46" fillId="0" borderId="36">
      <alignment horizontal="right" vertical="center"/>
    </xf>
    <xf numFmtId="290" fontId="46" fillId="0" borderId="36">
      <alignment horizontal="right" vertical="center"/>
    </xf>
    <xf numFmtId="205" fontId="46" fillId="0" borderId="25">
      <alignment horizontal="right" vertical="center"/>
    </xf>
    <xf numFmtId="238" fontId="6" fillId="0" borderId="25">
      <alignment horizontal="right" vertical="center"/>
    </xf>
    <xf numFmtId="238" fontId="6" fillId="0" borderId="25">
      <alignment horizontal="right" vertical="center"/>
    </xf>
    <xf numFmtId="222" fontId="24" fillId="0" borderId="25">
      <alignment horizontal="right" vertical="center"/>
    </xf>
    <xf numFmtId="205" fontId="46" fillId="0" borderId="25">
      <alignment horizontal="right" vertical="center"/>
    </xf>
    <xf numFmtId="205" fontId="46" fillId="0" borderId="25">
      <alignment horizontal="right" vertical="center"/>
    </xf>
    <xf numFmtId="205" fontId="46" fillId="0" borderId="25">
      <alignment horizontal="right" vertical="center"/>
    </xf>
    <xf numFmtId="205" fontId="46" fillId="0" borderId="25">
      <alignment horizontal="right" vertical="center"/>
    </xf>
    <xf numFmtId="211" fontId="46" fillId="0" borderId="25">
      <alignment horizontal="right" vertical="center"/>
    </xf>
    <xf numFmtId="301" fontId="172" fillId="0" borderId="25">
      <alignment horizontal="right" vertical="center"/>
    </xf>
    <xf numFmtId="49" fontId="95" fillId="0" borderId="0" applyFill="0" applyBorder="0" applyProtection="0">
      <alignment horizontal="center" vertical="center" wrapText="1" shrinkToFit="1"/>
    </xf>
    <xf numFmtId="49" fontId="15" fillId="0" borderId="0" applyFill="0" applyBorder="0" applyAlignment="0"/>
    <xf numFmtId="49" fontId="15" fillId="0" borderId="0" applyFill="0" applyBorder="0" applyAlignment="0"/>
    <xf numFmtId="206" fontId="32" fillId="0" borderId="0" applyFill="0" applyBorder="0" applyAlignment="0"/>
    <xf numFmtId="206" fontId="8" fillId="0" borderId="0" applyFill="0" applyBorder="0" applyAlignment="0"/>
    <xf numFmtId="207" fontId="32" fillId="0" borderId="0" applyFill="0" applyBorder="0" applyAlignment="0"/>
    <xf numFmtId="207" fontId="8" fillId="0" borderId="0" applyFill="0" applyBorder="0" applyAlignment="0"/>
    <xf numFmtId="49" fontId="95" fillId="0" borderId="0" applyFill="0" applyBorder="0" applyProtection="0">
      <alignment horizontal="center" vertical="center" wrapText="1" shrinkToFit="1"/>
    </xf>
    <xf numFmtId="0" fontId="176" fillId="0" borderId="4">
      <alignment horizontal="center" vertical="center" wrapText="1"/>
    </xf>
    <xf numFmtId="0" fontId="177" fillId="0" borderId="0" applyNumberFormat="0" applyFill="0" applyBorder="0" applyAlignment="0" applyProtection="0"/>
    <xf numFmtId="40" fontId="2" fillId="0" borderId="0"/>
    <xf numFmtId="0" fontId="178" fillId="23" borderId="8" applyNumberFormat="0" applyAlignment="0" applyProtection="0"/>
    <xf numFmtId="3" fontId="179" fillId="0" borderId="0" applyNumberFormat="0" applyFill="0" applyBorder="0" applyAlignment="0" applyProtection="0">
      <alignment horizontal="center" wrapText="1"/>
    </xf>
    <xf numFmtId="0" fontId="180" fillId="0" borderId="27" applyBorder="0" applyAlignment="0">
      <alignment horizontal="center" vertical="center"/>
    </xf>
    <xf numFmtId="0" fontId="181" fillId="0" borderId="0" applyNumberFormat="0" applyFill="0" applyBorder="0" applyAlignment="0" applyProtection="0">
      <alignment horizontal="centerContinuous"/>
    </xf>
    <xf numFmtId="0" fontId="144" fillId="0" borderId="38" applyNumberFormat="0" applyFill="0" applyBorder="0" applyAlignment="0" applyProtection="0">
      <alignment horizontal="center" vertical="center" wrapText="1"/>
    </xf>
    <xf numFmtId="0" fontId="177" fillId="0" borderId="0" applyNumberFormat="0" applyFill="0" applyBorder="0" applyAlignment="0" applyProtection="0"/>
    <xf numFmtId="0" fontId="183" fillId="0" borderId="39" applyNumberFormat="0" applyBorder="0" applyAlignment="0">
      <alignment vertical="center"/>
    </xf>
    <xf numFmtId="0" fontId="8" fillId="0" borderId="7" applyNumberFormat="0" applyFont="0" applyFill="0" applyAlignment="0" applyProtection="0"/>
    <xf numFmtId="0" fontId="182" fillId="0" borderId="40" applyNumberFormat="0" applyFill="0" applyAlignment="0" applyProtection="0"/>
    <xf numFmtId="0" fontId="184" fillId="7" borderId="0" applyNumberFormat="0" applyBorder="0" applyAlignment="0" applyProtection="0"/>
    <xf numFmtId="0" fontId="186" fillId="0" borderId="41">
      <alignment horizontal="center"/>
    </xf>
    <xf numFmtId="3" fontId="187" fillId="0" borderId="0" applyFill="0">
      <alignment vertical="center"/>
    </xf>
    <xf numFmtId="171" fontId="8" fillId="0" borderId="0" applyFont="0" applyFill="0" applyBorder="0" applyAlignment="0" applyProtection="0"/>
    <xf numFmtId="229" fontId="8" fillId="0" borderId="0" applyFont="0" applyFill="0" applyBorder="0" applyAlignment="0" applyProtection="0"/>
    <xf numFmtId="208" fontId="46" fillId="0" borderId="25">
      <alignment horizontal="center"/>
    </xf>
    <xf numFmtId="302" fontId="173" fillId="0" borderId="0" applyNumberFormat="0" applyFont="0" applyFill="0" applyBorder="0" applyAlignment="0">
      <alignment horizontal="centerContinuous"/>
    </xf>
    <xf numFmtId="303" fontId="174" fillId="0" borderId="0">
      <alignment horizontal="center"/>
      <protection locked="0"/>
    </xf>
    <xf numFmtId="0" fontId="6" fillId="0" borderId="42"/>
    <xf numFmtId="0" fontId="6" fillId="0" borderId="42"/>
    <xf numFmtId="0" fontId="46"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35" fillId="0" borderId="4" applyNumberFormat="0" applyBorder="0" applyAlignment="0"/>
    <xf numFmtId="0" fontId="175" fillId="0" borderId="30" applyNumberFormat="0" applyBorder="0" applyAlignment="0">
      <alignment horizontal="center"/>
    </xf>
    <xf numFmtId="3" fontId="77" fillId="0" borderId="21" applyNumberFormat="0" applyBorder="0" applyAlignment="0"/>
    <xf numFmtId="0" fontId="78" fillId="0" borderId="43" applyNumberFormat="0" applyAlignment="0">
      <alignment horizontal="center"/>
    </xf>
    <xf numFmtId="0" fontId="185" fillId="30" borderId="0" applyNumberFormat="0" applyBorder="0" applyAlignment="0" applyProtection="0"/>
    <xf numFmtId="167" fontId="188" fillId="0" borderId="44" applyNumberFormat="0" applyFont="0" applyAlignment="0">
      <alignment horizontal="centerContinuous"/>
    </xf>
    <xf numFmtId="276" fontId="25" fillId="0" borderId="0" applyFont="0" applyFill="0" applyBorder="0" applyAlignment="0" applyProtection="0"/>
    <xf numFmtId="209" fontId="78" fillId="0" borderId="0" applyFont="0" applyFill="0" applyBorder="0" applyAlignment="0" applyProtection="0"/>
    <xf numFmtId="210" fontId="35" fillId="0" borderId="0" applyFont="0" applyFill="0" applyBorder="0" applyAlignment="0" applyProtection="0"/>
    <xf numFmtId="0" fontId="49" fillId="0" borderId="45">
      <alignment horizontal="center"/>
    </xf>
    <xf numFmtId="0" fontId="189" fillId="0" borderId="0" applyNumberFormat="0" applyFill="0" applyBorder="0" applyAlignment="0" applyProtection="0"/>
    <xf numFmtId="0" fontId="190" fillId="0" borderId="0" applyNumberFormat="0" applyFill="0" applyBorder="0" applyAlignment="0" applyProtection="0"/>
    <xf numFmtId="207" fontId="46" fillId="0" borderId="0"/>
    <xf numFmtId="211" fontId="46" fillId="0" borderId="1"/>
    <xf numFmtId="0" fontId="191" fillId="0" borderId="0"/>
    <xf numFmtId="0" fontId="100" fillId="0" borderId="0"/>
    <xf numFmtId="0" fontId="192" fillId="0" borderId="0"/>
    <xf numFmtId="3" fontId="46" fillId="0" borderId="0" applyNumberFormat="0" applyBorder="0" applyAlignment="0" applyProtection="0">
      <alignment horizontal="centerContinuous"/>
      <protection locked="0"/>
    </xf>
    <xf numFmtId="3" fontId="46" fillId="0" borderId="0" applyNumberFormat="0" applyBorder="0" applyAlignment="0" applyProtection="0">
      <alignment horizontal="centerContinuous"/>
      <protection locked="0"/>
    </xf>
    <xf numFmtId="3" fontId="79" fillId="0" borderId="0">
      <protection locked="0"/>
    </xf>
    <xf numFmtId="0" fontId="100" fillId="0" borderId="0"/>
    <xf numFmtId="0" fontId="193" fillId="0" borderId="46" applyFill="0" applyBorder="0" applyAlignment="0">
      <alignment horizontal="center"/>
    </xf>
    <xf numFmtId="5" fontId="80" fillId="46" borderId="27">
      <alignment vertical="top"/>
    </xf>
    <xf numFmtId="5" fontId="24" fillId="0" borderId="12">
      <alignment horizontal="left" vertical="top"/>
    </xf>
    <xf numFmtId="251" fontId="24" fillId="0" borderId="12">
      <alignment horizontal="left" vertical="top"/>
    </xf>
    <xf numFmtId="0" fontId="84" fillId="0" borderId="12">
      <alignment horizontal="left" vertical="center"/>
    </xf>
    <xf numFmtId="0" fontId="81" fillId="47" borderId="1">
      <alignment horizontal="left" vertical="center"/>
    </xf>
    <xf numFmtId="6" fontId="82" fillId="48" borderId="27"/>
    <xf numFmtId="5" fontId="52" fillId="0" borderId="27">
      <alignment horizontal="left" vertical="top"/>
    </xf>
    <xf numFmtId="0" fontId="83" fillId="49" borderId="0">
      <alignment horizontal="left" vertical="center"/>
    </xf>
    <xf numFmtId="0" fontId="8" fillId="0" borderId="0" applyFont="0" applyFill="0" applyBorder="0" applyAlignment="0" applyProtection="0"/>
    <xf numFmtId="0" fontId="8" fillId="0" borderId="0" applyFont="0" applyFill="0" applyBorder="0" applyAlignment="0" applyProtection="0"/>
    <xf numFmtId="212" fontId="8" fillId="0" borderId="0" applyFont="0" applyFill="0" applyBorder="0" applyAlignment="0" applyProtection="0"/>
    <xf numFmtId="213" fontId="8" fillId="0" borderId="0" applyFont="0" applyFill="0" applyBorder="0" applyAlignment="0" applyProtection="0"/>
    <xf numFmtId="42" fontId="42" fillId="0" borderId="0" applyFont="0" applyFill="0" applyBorder="0" applyAlignment="0" applyProtection="0"/>
    <xf numFmtId="44" fontId="42" fillId="0" borderId="0" applyFont="0" applyFill="0" applyBorder="0" applyAlignment="0" applyProtection="0"/>
    <xf numFmtId="0" fontId="194" fillId="0" borderId="0" applyNumberFormat="0" applyFill="0" applyBorder="0" applyAlignment="0" applyProtection="0"/>
    <xf numFmtId="0" fontId="195" fillId="0" borderId="0" applyNumberFormat="0" applyFont="0" applyFill="0" applyBorder="0" applyProtection="0">
      <alignment horizontal="center" vertical="center" wrapText="1"/>
    </xf>
    <xf numFmtId="0" fontId="8" fillId="0" borderId="0" applyFont="0" applyFill="0" applyBorder="0" applyAlignment="0" applyProtection="0"/>
    <xf numFmtId="0" fontId="8" fillId="0" borderId="0" applyFont="0" applyFill="0" applyBorder="0" applyAlignment="0" applyProtection="0"/>
    <xf numFmtId="0" fontId="196" fillId="6" borderId="0" applyNumberFormat="0" applyBorder="0" applyAlignment="0" applyProtection="0"/>
    <xf numFmtId="0" fontId="85" fillId="0" borderId="0" applyNumberFormat="0" applyFill="0" applyBorder="0" applyAlignment="0" applyProtection="0"/>
    <xf numFmtId="0" fontId="93" fillId="0" borderId="47" applyFont="0" applyBorder="0" applyAlignment="0">
      <alignment horizontal="center"/>
    </xf>
    <xf numFmtId="0" fontId="93" fillId="0" borderId="47" applyFont="0" applyBorder="0" applyAlignment="0">
      <alignment horizontal="center"/>
    </xf>
    <xf numFmtId="171" fontId="6" fillId="0" borderId="0" applyFont="0" applyFill="0" applyBorder="0" applyAlignment="0" applyProtection="0"/>
    <xf numFmtId="221" fontId="98" fillId="0" borderId="0" applyFont="0" applyFill="0" applyBorder="0" applyAlignment="0" applyProtection="0"/>
    <xf numFmtId="222" fontId="98" fillId="0" borderId="0" applyFont="0" applyFill="0" applyBorder="0" applyAlignment="0" applyProtection="0"/>
    <xf numFmtId="0" fontId="98" fillId="0" borderId="0"/>
    <xf numFmtId="0" fontId="86" fillId="0" borderId="0" applyFont="0" applyFill="0" applyBorder="0" applyAlignment="0" applyProtection="0"/>
    <xf numFmtId="0" fontId="86" fillId="0" borderId="0" applyFont="0" applyFill="0" applyBorder="0" applyAlignment="0" applyProtection="0"/>
    <xf numFmtId="0" fontId="87" fillId="0" borderId="0">
      <alignment vertical="center"/>
    </xf>
    <xf numFmtId="40" fontId="88" fillId="0" borderId="0" applyFont="0" applyFill="0" applyBorder="0" applyAlignment="0" applyProtection="0"/>
    <xf numFmtId="38" fontId="88" fillId="0" borderId="0" applyFont="0" applyFill="0" applyBorder="0" applyAlignment="0" applyProtection="0"/>
    <xf numFmtId="0" fontId="88" fillId="0" borderId="0" applyFont="0" applyFill="0" applyBorder="0" applyAlignment="0" applyProtection="0"/>
    <xf numFmtId="0" fontId="88" fillId="0" borderId="0" applyFont="0" applyFill="0" applyBorder="0" applyAlignment="0" applyProtection="0"/>
    <xf numFmtId="9" fontId="197" fillId="0" borderId="0" applyBorder="0" applyAlignment="0" applyProtection="0"/>
    <xf numFmtId="0" fontId="89" fillId="0" borderId="0"/>
    <xf numFmtId="0" fontId="90" fillId="0" borderId="3"/>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1" fillId="0" borderId="0" applyFont="0" applyFill="0" applyBorder="0" applyAlignment="0" applyProtection="0"/>
    <xf numFmtId="0" fontId="91" fillId="0" borderId="0" applyFont="0" applyFill="0" applyBorder="0" applyAlignment="0" applyProtection="0"/>
    <xf numFmtId="216" fontId="8" fillId="0" borderId="0" applyFont="0" applyFill="0" applyBorder="0" applyAlignment="0" applyProtection="0"/>
    <xf numFmtId="184" fontId="8" fillId="0" borderId="0" applyFont="0" applyFill="0" applyBorder="0" applyAlignment="0" applyProtection="0"/>
    <xf numFmtId="0" fontId="91" fillId="0" borderId="0"/>
    <xf numFmtId="0" fontId="198" fillId="0" borderId="0"/>
    <xf numFmtId="0" fontId="54" fillId="0" borderId="0"/>
    <xf numFmtId="171" fontId="60" fillId="0" borderId="0" applyFont="0" applyFill="0" applyBorder="0" applyAlignment="0" applyProtection="0"/>
    <xf numFmtId="172" fontId="60" fillId="0" borderId="0" applyFont="0" applyFill="0" applyBorder="0" applyAlignment="0" applyProtection="0"/>
    <xf numFmtId="304" fontId="100" fillId="0" borderId="0" applyFont="0" applyFill="0" applyBorder="0" applyAlignment="0" applyProtection="0"/>
    <xf numFmtId="288" fontId="100" fillId="0" borderId="0" applyFont="0" applyFill="0" applyBorder="0" applyAlignment="0" applyProtection="0"/>
    <xf numFmtId="0" fontId="8" fillId="0" borderId="0"/>
    <xf numFmtId="216" fontId="60" fillId="0" borderId="0" applyFont="0" applyFill="0" applyBorder="0" applyAlignment="0" applyProtection="0"/>
    <xf numFmtId="6" fontId="10" fillId="0" borderId="0" applyFont="0" applyFill="0" applyBorder="0" applyAlignment="0" applyProtection="0"/>
    <xf numFmtId="184" fontId="60" fillId="0" borderId="0" applyFont="0" applyFill="0" applyBorder="0" applyAlignment="0" applyProtection="0"/>
    <xf numFmtId="190" fontId="8" fillId="0" borderId="0" applyFont="0" applyFill="0" applyBorder="0" applyAlignment="0" applyProtection="0"/>
    <xf numFmtId="216" fontId="100" fillId="0" borderId="0" applyFont="0" applyFill="0" applyBorder="0" applyAlignment="0" applyProtection="0"/>
    <xf numFmtId="43" fontId="39" fillId="0" borderId="0" applyFont="0" applyFill="0" applyBorder="0" applyAlignment="0" applyProtection="0"/>
    <xf numFmtId="0" fontId="215" fillId="0" borderId="0"/>
    <xf numFmtId="0" fontId="217" fillId="0" borderId="0"/>
    <xf numFmtId="0" fontId="1" fillId="0" borderId="0"/>
    <xf numFmtId="168" fontId="87" fillId="0" borderId="0" applyFont="0" applyFill="0" applyBorder="0" applyAlignment="0" applyProtection="0"/>
    <xf numFmtId="9" fontId="37" fillId="0" borderId="0" applyFont="0" applyFill="0" applyBorder="0" applyAlignment="0" applyProtection="0"/>
  </cellStyleXfs>
  <cellXfs count="679">
    <xf numFmtId="0" fontId="0" fillId="0" borderId="0" xfId="0"/>
    <xf numFmtId="0" fontId="2" fillId="0" borderId="0" xfId="0" applyFont="1" applyAlignment="1">
      <alignment vertical="center"/>
    </xf>
    <xf numFmtId="0" fontId="203" fillId="0" borderId="0" xfId="0" applyFont="1" applyAlignment="1"/>
    <xf numFmtId="166" fontId="199" fillId="0" borderId="0" xfId="943" applyNumberFormat="1" applyFont="1" applyAlignment="1"/>
    <xf numFmtId="43" fontId="199" fillId="0" borderId="0" xfId="943" applyFont="1" applyAlignment="1"/>
    <xf numFmtId="0" fontId="2" fillId="0" borderId="0" xfId="0" applyFont="1" applyAlignment="1">
      <alignment horizontal="right" vertical="center"/>
    </xf>
    <xf numFmtId="166" fontId="199" fillId="0" borderId="0" xfId="943" applyNumberFormat="1" applyFont="1"/>
    <xf numFmtId="43" fontId="199" fillId="0" borderId="0" xfId="943" applyFont="1"/>
    <xf numFmtId="167" fontId="199" fillId="0" borderId="0" xfId="943" applyNumberFormat="1" applyFont="1"/>
    <xf numFmtId="0" fontId="203" fillId="0" borderId="0" xfId="0" applyFont="1"/>
    <xf numFmtId="0" fontId="3" fillId="0" borderId="0" xfId="0" applyFont="1" applyAlignment="1">
      <alignment horizontal="center" vertical="center" wrapText="1"/>
    </xf>
    <xf numFmtId="166" fontId="3" fillId="0" borderId="0" xfId="943" applyNumberFormat="1" applyFont="1" applyAlignment="1">
      <alignment horizontal="center" vertical="center" wrapText="1"/>
    </xf>
    <xf numFmtId="43" fontId="3" fillId="0" borderId="0" xfId="943" applyFont="1" applyAlignment="1">
      <alignment horizontal="center" vertical="center" wrapText="1"/>
    </xf>
    <xf numFmtId="167" fontId="3" fillId="0" borderId="0" xfId="943" applyNumberFormat="1" applyFont="1" applyAlignment="1">
      <alignment horizontal="center" vertical="center" wrapText="1"/>
    </xf>
    <xf numFmtId="0" fontId="4" fillId="0" borderId="0" xfId="0" applyFont="1" applyAlignment="1">
      <alignment horizontal="right" vertical="center"/>
    </xf>
    <xf numFmtId="43" fontId="204" fillId="0" borderId="48" xfId="943" applyFont="1" applyBorder="1" applyAlignment="1">
      <alignment horizontal="center" vertical="center" wrapText="1"/>
    </xf>
    <xf numFmtId="167" fontId="204" fillId="0" borderId="48" xfId="943" applyNumberFormat="1" applyFont="1" applyBorder="1" applyAlignment="1">
      <alignment horizontal="center" vertical="center" wrapText="1"/>
    </xf>
    <xf numFmtId="0" fontId="204" fillId="0" borderId="48" xfId="0" applyFont="1" applyBorder="1" applyAlignment="1">
      <alignment horizontal="center" vertical="center" wrapText="1"/>
    </xf>
    <xf numFmtId="0" fontId="203" fillId="0" borderId="0" xfId="0" applyFont="1" applyAlignment="1">
      <alignment horizontal="center"/>
    </xf>
    <xf numFmtId="0" fontId="205" fillId="0" borderId="48" xfId="0" applyFont="1" applyBorder="1" applyAlignment="1">
      <alignment horizontal="center" vertical="center" wrapText="1"/>
    </xf>
    <xf numFmtId="166" fontId="204" fillId="0" borderId="48" xfId="943" applyNumberFormat="1" applyFont="1" applyBorder="1" applyAlignment="1">
      <alignment horizontal="center" vertical="center" wrapText="1"/>
    </xf>
    <xf numFmtId="0" fontId="204" fillId="0" borderId="48" xfId="0" applyFont="1" applyBorder="1" applyAlignment="1">
      <alignment vertical="center" wrapText="1"/>
    </xf>
    <xf numFmtId="0" fontId="206" fillId="0" borderId="48" xfId="0" applyFont="1" applyBorder="1" applyAlignment="1">
      <alignment horizontal="center" vertical="center" wrapText="1"/>
    </xf>
    <xf numFmtId="0" fontId="206" fillId="0" borderId="48" xfId="0" applyFont="1" applyBorder="1" applyAlignment="1">
      <alignment vertical="center" wrapText="1"/>
    </xf>
    <xf numFmtId="166" fontId="206" fillId="0" borderId="48" xfId="943" applyNumberFormat="1" applyFont="1" applyBorder="1" applyAlignment="1">
      <alignment horizontal="center" vertical="center" wrapText="1"/>
    </xf>
    <xf numFmtId="43" fontId="206" fillId="0" borderId="48" xfId="943" applyFont="1" applyBorder="1" applyAlignment="1">
      <alignment horizontal="center" vertical="center" wrapText="1"/>
    </xf>
    <xf numFmtId="167" fontId="206" fillId="0" borderId="48" xfId="943" applyNumberFormat="1" applyFont="1" applyBorder="1" applyAlignment="1">
      <alignment horizontal="center" vertical="center" wrapText="1"/>
    </xf>
    <xf numFmtId="0" fontId="207" fillId="0" borderId="0" xfId="0" applyFont="1"/>
    <xf numFmtId="0" fontId="205" fillId="0" borderId="48" xfId="0" applyFont="1" applyBorder="1" applyAlignment="1">
      <alignment vertical="center" wrapText="1"/>
    </xf>
    <xf numFmtId="166" fontId="205" fillId="0" borderId="48" xfId="943" applyNumberFormat="1" applyFont="1" applyBorder="1" applyAlignment="1">
      <alignment horizontal="center" vertical="center" wrapText="1"/>
    </xf>
    <xf numFmtId="43" fontId="205" fillId="0" borderId="48" xfId="943" applyFont="1" applyBorder="1" applyAlignment="1">
      <alignment horizontal="center" vertical="center" wrapText="1"/>
    </xf>
    <xf numFmtId="167" fontId="205" fillId="0" borderId="48" xfId="943" applyNumberFormat="1" applyFont="1" applyBorder="1" applyAlignment="1">
      <alignment horizontal="center" vertical="center" wrapText="1"/>
    </xf>
    <xf numFmtId="0" fontId="208" fillId="0" borderId="48" xfId="0" applyFont="1" applyBorder="1" applyAlignment="1">
      <alignment vertical="center" wrapText="1"/>
    </xf>
    <xf numFmtId="166" fontId="203" fillId="0" borderId="48" xfId="943" applyNumberFormat="1" applyFont="1" applyBorder="1"/>
    <xf numFmtId="0" fontId="205" fillId="0" borderId="49" xfId="0" applyFont="1" applyBorder="1" applyAlignment="1">
      <alignment horizontal="center" vertical="center" wrapText="1"/>
    </xf>
    <xf numFmtId="0" fontId="205" fillId="0" borderId="49" xfId="0" applyFont="1" applyBorder="1" applyAlignment="1">
      <alignment vertical="center" wrapText="1"/>
    </xf>
    <xf numFmtId="166" fontId="205" fillId="0" borderId="49" xfId="943" applyNumberFormat="1" applyFont="1" applyBorder="1" applyAlignment="1">
      <alignment horizontal="center" vertical="center" wrapText="1"/>
    </xf>
    <xf numFmtId="43" fontId="205" fillId="0" borderId="49" xfId="943" applyFont="1" applyBorder="1" applyAlignment="1">
      <alignment horizontal="center" vertical="center" wrapText="1"/>
    </xf>
    <xf numFmtId="167" fontId="205" fillId="0" borderId="49" xfId="943" applyNumberFormat="1" applyFont="1" applyBorder="1" applyAlignment="1">
      <alignment horizontal="center" vertical="center" wrapText="1"/>
    </xf>
    <xf numFmtId="0" fontId="208" fillId="0" borderId="0" xfId="0" applyFont="1" applyAlignment="1">
      <alignment horizontal="center" vertical="center" wrapText="1"/>
    </xf>
    <xf numFmtId="0" fontId="204" fillId="0" borderId="0" xfId="0" applyFont="1" applyAlignment="1">
      <alignment horizontal="center" vertical="center" wrapText="1"/>
    </xf>
    <xf numFmtId="166" fontId="203" fillId="0" borderId="0" xfId="943" applyNumberFormat="1" applyFont="1"/>
    <xf numFmtId="43" fontId="203" fillId="0" borderId="0" xfId="943" applyFont="1"/>
    <xf numFmtId="167" fontId="203" fillId="0" borderId="0" xfId="943" applyNumberFormat="1" applyFont="1"/>
    <xf numFmtId="167" fontId="204" fillId="0" borderId="0" xfId="943" applyNumberFormat="1" applyFont="1" applyAlignment="1">
      <alignment vertical="center"/>
    </xf>
    <xf numFmtId="190" fontId="209" fillId="0" borderId="0" xfId="943" applyNumberFormat="1" applyFont="1" applyAlignment="1"/>
    <xf numFmtId="167" fontId="209" fillId="0" borderId="0" xfId="943" applyNumberFormat="1" applyFont="1" applyAlignment="1"/>
    <xf numFmtId="167" fontId="2" fillId="0" borderId="0" xfId="943" applyNumberFormat="1" applyFont="1" applyAlignment="1">
      <alignment vertical="center"/>
    </xf>
    <xf numFmtId="190" fontId="209" fillId="0" borderId="0" xfId="943" applyNumberFormat="1" applyFont="1"/>
    <xf numFmtId="167" fontId="209" fillId="0" borderId="0" xfId="943" applyNumberFormat="1" applyFont="1"/>
    <xf numFmtId="167" fontId="205" fillId="0" borderId="0" xfId="943" applyNumberFormat="1" applyFont="1" applyAlignment="1">
      <alignment horizontal="center" vertical="center"/>
    </xf>
    <xf numFmtId="190" fontId="205" fillId="0" borderId="0" xfId="943" applyNumberFormat="1" applyFont="1" applyAlignment="1">
      <alignment horizontal="center" vertical="center"/>
    </xf>
    <xf numFmtId="190" fontId="208" fillId="0" borderId="0" xfId="943" applyNumberFormat="1" applyFont="1" applyAlignment="1">
      <alignment horizontal="right" vertical="center"/>
    </xf>
    <xf numFmtId="190" fontId="204" fillId="0" borderId="48" xfId="943" applyNumberFormat="1" applyFont="1" applyBorder="1" applyAlignment="1">
      <alignment horizontal="center" vertical="center" wrapText="1"/>
    </xf>
    <xf numFmtId="190" fontId="205" fillId="0" borderId="48" xfId="943" applyNumberFormat="1" applyFont="1" applyBorder="1" applyAlignment="1">
      <alignment horizontal="center" vertical="center" wrapText="1"/>
    </xf>
    <xf numFmtId="190" fontId="204" fillId="0" borderId="48" xfId="943" applyNumberFormat="1" applyFont="1" applyBorder="1" applyAlignment="1">
      <alignment vertical="center" wrapText="1"/>
    </xf>
    <xf numFmtId="190" fontId="205" fillId="0" borderId="48" xfId="943" applyNumberFormat="1" applyFont="1" applyBorder="1" applyAlignment="1">
      <alignment vertical="center" wrapText="1"/>
    </xf>
    <xf numFmtId="190" fontId="205" fillId="0" borderId="49" xfId="943" applyNumberFormat="1" applyFont="1" applyBorder="1" applyAlignment="1">
      <alignment vertical="center" wrapText="1"/>
    </xf>
    <xf numFmtId="190" fontId="205" fillId="0" borderId="49" xfId="943" applyNumberFormat="1" applyFont="1" applyBorder="1" applyAlignment="1">
      <alignment horizontal="center" vertical="center" wrapText="1"/>
    </xf>
    <xf numFmtId="167" fontId="205" fillId="0" borderId="0" xfId="943" applyNumberFormat="1" applyFont="1" applyAlignment="1">
      <alignment vertical="center"/>
    </xf>
    <xf numFmtId="2" fontId="0" fillId="0" borderId="0" xfId="0" applyNumberFormat="1"/>
    <xf numFmtId="191" fontId="219" fillId="0" borderId="0" xfId="918" applyNumberFormat="1" applyFont="1" applyFill="1" applyAlignment="1">
      <alignment horizontal="right"/>
    </xf>
    <xf numFmtId="0" fontId="221" fillId="0" borderId="0" xfId="918" applyFont="1" applyFill="1"/>
    <xf numFmtId="0" fontId="221" fillId="27" borderId="0" xfId="918" applyFont="1" applyFill="1"/>
    <xf numFmtId="0" fontId="221" fillId="50" borderId="0" xfId="918" applyFont="1" applyFill="1"/>
    <xf numFmtId="43" fontId="221" fillId="0" borderId="0" xfId="943" applyFont="1" applyFill="1"/>
    <xf numFmtId="43" fontId="223" fillId="0" borderId="0" xfId="943" applyFont="1" applyFill="1"/>
    <xf numFmtId="0" fontId="224" fillId="0" borderId="0" xfId="918" applyFont="1" applyFill="1"/>
    <xf numFmtId="0" fontId="222" fillId="0" borderId="0" xfId="918" quotePrefix="1" applyFont="1" applyFill="1" applyBorder="1"/>
    <xf numFmtId="226" fontId="219" fillId="0" borderId="0" xfId="943" applyNumberFormat="1" applyFont="1" applyFill="1" applyBorder="1"/>
    <xf numFmtId="43" fontId="219" fillId="0" borderId="0" xfId="943" applyFont="1" applyFill="1" applyBorder="1"/>
    <xf numFmtId="167" fontId="2" fillId="50" borderId="30" xfId="1000" applyNumberFormat="1" applyFont="1" applyFill="1" applyBorder="1" applyAlignment="1">
      <alignment horizontal="center" vertical="center" wrapText="1"/>
    </xf>
    <xf numFmtId="167" fontId="2" fillId="50" borderId="68" xfId="1000" applyNumberFormat="1" applyFont="1" applyFill="1" applyBorder="1" applyAlignment="1">
      <alignment horizontal="center" vertical="center" wrapText="1"/>
    </xf>
    <xf numFmtId="167" fontId="2" fillId="0" borderId="68" xfId="1000" applyNumberFormat="1" applyFont="1" applyBorder="1" applyAlignment="1">
      <alignment horizontal="center" vertical="center" wrapText="1"/>
    </xf>
    <xf numFmtId="167" fontId="229" fillId="50" borderId="68" xfId="1000" applyNumberFormat="1" applyFont="1" applyFill="1" applyBorder="1"/>
    <xf numFmtId="167" fontId="229" fillId="0" borderId="68" xfId="1000" applyNumberFormat="1" applyFont="1" applyBorder="1" applyAlignment="1">
      <alignment horizontal="center" vertical="center" wrapText="1"/>
    </xf>
    <xf numFmtId="167" fontId="229" fillId="0" borderId="68" xfId="1000" applyNumberFormat="1" applyFont="1" applyFill="1" applyBorder="1" applyAlignment="1">
      <alignment horizontal="center" vertical="center" wrapText="1"/>
    </xf>
    <xf numFmtId="0" fontId="219" fillId="0" borderId="0" xfId="918" applyFont="1" applyFill="1" applyAlignment="1">
      <alignment horizontal="right"/>
    </xf>
    <xf numFmtId="43" fontId="226" fillId="50" borderId="0" xfId="1000" applyFont="1" applyFill="1" applyAlignment="1">
      <alignment vertical="center"/>
    </xf>
    <xf numFmtId="166" fontId="226" fillId="50" borderId="0" xfId="1000" applyNumberFormat="1" applyFont="1" applyFill="1"/>
    <xf numFmtId="43" fontId="225" fillId="50" borderId="0" xfId="1000" applyFont="1" applyFill="1" applyAlignment="1">
      <alignment horizontal="right"/>
    </xf>
    <xf numFmtId="43" fontId="225" fillId="50" borderId="0" xfId="1000" applyFont="1" applyFill="1"/>
    <xf numFmtId="43" fontId="225" fillId="50" borderId="0" xfId="1000" applyFont="1" applyFill="1" applyAlignment="1"/>
    <xf numFmtId="43" fontId="226" fillId="50" borderId="0" xfId="1000" applyFont="1" applyFill="1" applyAlignment="1"/>
    <xf numFmtId="43" fontId="226" fillId="50" borderId="0" xfId="1000" applyFont="1" applyFill="1" applyBorder="1" applyAlignment="1"/>
    <xf numFmtId="167" fontId="232" fillId="50" borderId="0" xfId="1000" applyNumberFormat="1" applyFont="1" applyFill="1" applyAlignment="1">
      <alignment horizontal="center"/>
    </xf>
    <xf numFmtId="43" fontId="232" fillId="50" borderId="0" xfId="1000" applyFont="1" applyFill="1" applyAlignment="1">
      <alignment horizontal="center"/>
    </xf>
    <xf numFmtId="166" fontId="233" fillId="50" borderId="0" xfId="1000" applyNumberFormat="1" applyFont="1" applyFill="1" applyAlignment="1">
      <alignment horizontal="center"/>
    </xf>
    <xf numFmtId="43" fontId="225" fillId="50" borderId="0" xfId="1000" applyNumberFormat="1" applyFont="1" applyFill="1"/>
    <xf numFmtId="43" fontId="225" fillId="50" borderId="0" xfId="1000" applyFont="1" applyFill="1" applyBorder="1" applyAlignment="1">
      <alignment horizontal="right"/>
    </xf>
    <xf numFmtId="43" fontId="233" fillId="50" borderId="0" xfId="1000" applyFont="1" applyFill="1" applyAlignment="1">
      <alignment horizontal="center"/>
    </xf>
    <xf numFmtId="43" fontId="226" fillId="50" borderId="52" xfId="1000" applyFont="1" applyFill="1" applyBorder="1" applyAlignment="1">
      <alignment vertical="center"/>
    </xf>
    <xf numFmtId="43" fontId="225" fillId="50" borderId="52" xfId="1000" applyFont="1" applyFill="1" applyBorder="1" applyAlignment="1">
      <alignment horizontal="center" vertical="center"/>
    </xf>
    <xf numFmtId="43" fontId="225" fillId="50" borderId="0" xfId="1000" applyFont="1" applyFill="1" applyAlignment="1">
      <alignment horizontal="center" vertical="center"/>
    </xf>
    <xf numFmtId="167" fontId="226" fillId="50" borderId="30" xfId="1000" applyNumberFormat="1" applyFont="1" applyFill="1" applyBorder="1" applyAlignment="1">
      <alignment horizontal="center" vertical="center"/>
    </xf>
    <xf numFmtId="43" fontId="226" fillId="50" borderId="30" xfId="1000" applyFont="1" applyFill="1" applyBorder="1" applyAlignment="1">
      <alignment horizontal="left" vertical="center"/>
    </xf>
    <xf numFmtId="167" fontId="226" fillId="50" borderId="68" xfId="1000" applyNumberFormat="1" applyFont="1" applyFill="1" applyBorder="1" applyAlignment="1">
      <alignment horizontal="center" vertical="center"/>
    </xf>
    <xf numFmtId="43" fontId="226" fillId="50" borderId="68" xfId="1000" applyFont="1" applyFill="1" applyBorder="1" applyAlignment="1">
      <alignment horizontal="left" vertical="center"/>
    </xf>
    <xf numFmtId="167" fontId="225" fillId="50" borderId="68" xfId="1000" applyNumberFormat="1" applyFont="1" applyFill="1" applyBorder="1" applyAlignment="1">
      <alignment horizontal="center" vertical="center"/>
    </xf>
    <xf numFmtId="43" fontId="225" fillId="50" borderId="68" xfId="1000" applyFont="1" applyFill="1" applyBorder="1" applyAlignment="1">
      <alignment vertical="center" wrapText="1"/>
    </xf>
    <xf numFmtId="43" fontId="225" fillId="50" borderId="0" xfId="1000" applyFont="1" applyFill="1" applyAlignment="1">
      <alignment vertical="center"/>
    </xf>
    <xf numFmtId="167" fontId="225" fillId="50" borderId="68" xfId="1000" quotePrefix="1" applyNumberFormat="1" applyFont="1" applyFill="1" applyBorder="1" applyAlignment="1">
      <alignment horizontal="center" vertical="center"/>
    </xf>
    <xf numFmtId="43" fontId="225" fillId="50" borderId="68" xfId="1000" applyFont="1" applyFill="1" applyBorder="1" applyAlignment="1">
      <alignment horizontal="left" vertical="center" wrapText="1"/>
    </xf>
    <xf numFmtId="167" fontId="225" fillId="50" borderId="0" xfId="1000" applyNumberFormat="1" applyFont="1" applyFill="1"/>
    <xf numFmtId="166" fontId="225" fillId="50" borderId="0" xfId="1000" applyNumberFormat="1" applyFont="1" applyFill="1"/>
    <xf numFmtId="0" fontId="229" fillId="0" borderId="0" xfId="0" applyFont="1" applyAlignment="1"/>
    <xf numFmtId="166" fontId="229" fillId="0" borderId="0" xfId="943" applyNumberFormat="1" applyFont="1" applyAlignment="1"/>
    <xf numFmtId="43" fontId="229" fillId="0" borderId="0" xfId="943" applyFont="1" applyAlignment="1"/>
    <xf numFmtId="0" fontId="229" fillId="0" borderId="0" xfId="0" applyFont="1"/>
    <xf numFmtId="166" fontId="229" fillId="0" borderId="0" xfId="943" applyNumberFormat="1" applyFont="1"/>
    <xf numFmtId="43" fontId="229" fillId="0" borderId="0" xfId="943" applyFont="1"/>
    <xf numFmtId="167" fontId="229" fillId="0" borderId="0" xfId="943" applyNumberFormat="1" applyFont="1"/>
    <xf numFmtId="167" fontId="229" fillId="0" borderId="1" xfId="943" applyNumberFormat="1" applyFont="1" applyBorder="1" applyAlignment="1">
      <alignment horizontal="center" vertical="center" wrapText="1"/>
    </xf>
    <xf numFmtId="0" fontId="229" fillId="0" borderId="68" xfId="0" applyFont="1" applyBorder="1" applyAlignment="1">
      <alignment horizontal="center" vertical="center" wrapText="1"/>
    </xf>
    <xf numFmtId="0" fontId="2" fillId="0" borderId="68" xfId="0" applyFont="1" applyBorder="1" applyAlignment="1">
      <alignment horizontal="center" vertical="center" wrapText="1"/>
    </xf>
    <xf numFmtId="167" fontId="2" fillId="0" borderId="68" xfId="943" applyNumberFormat="1" applyFont="1" applyBorder="1" applyAlignment="1">
      <alignment horizontal="center" vertical="center" wrapText="1"/>
    </xf>
    <xf numFmtId="0" fontId="2" fillId="0" borderId="68" xfId="0" applyFont="1" applyBorder="1" applyAlignment="1">
      <alignment vertical="center" wrapText="1"/>
    </xf>
    <xf numFmtId="0" fontId="229" fillId="0" borderId="68" xfId="0" applyFont="1" applyBorder="1" applyAlignment="1">
      <alignment vertical="center" wrapText="1"/>
    </xf>
    <xf numFmtId="167" fontId="229" fillId="0" borderId="68" xfId="943" applyNumberFormat="1" applyFont="1" applyBorder="1" applyAlignment="1">
      <alignment horizontal="center" vertical="center" wrapText="1"/>
    </xf>
    <xf numFmtId="167" fontId="229" fillId="27" borderId="68" xfId="943" applyNumberFormat="1" applyFont="1" applyFill="1" applyBorder="1" applyAlignment="1">
      <alignment horizontal="center" vertical="center" wrapText="1"/>
    </xf>
    <xf numFmtId="0" fontId="4" fillId="0" borderId="68" xfId="0" applyFont="1" applyBorder="1" applyAlignment="1">
      <alignment vertical="center" wrapText="1"/>
    </xf>
    <xf numFmtId="167" fontId="229" fillId="0" borderId="68" xfId="943" applyNumberFormat="1" applyFont="1" applyBorder="1"/>
    <xf numFmtId="167" fontId="229" fillId="50" borderId="68" xfId="963" applyNumberFormat="1" applyFont="1" applyFill="1" applyBorder="1" applyAlignment="1">
      <alignment horizontal="right" vertical="center" wrapText="1"/>
    </xf>
    <xf numFmtId="0" fontId="229" fillId="0" borderId="68" xfId="0" quotePrefix="1" applyFont="1" applyBorder="1" applyAlignment="1">
      <alignment horizontal="center" vertical="center" wrapText="1"/>
    </xf>
    <xf numFmtId="253" fontId="229" fillId="0" borderId="0" xfId="0" applyNumberFormat="1" applyFont="1"/>
    <xf numFmtId="0" fontId="4" fillId="0" borderId="0" xfId="0" applyFont="1" applyAlignment="1">
      <alignment horizontal="center" vertical="center" wrapText="1"/>
    </xf>
    <xf numFmtId="0" fontId="2" fillId="0" borderId="0" xfId="0" applyFont="1" applyAlignment="1">
      <alignment horizontal="center" vertical="center" wrapText="1"/>
    </xf>
    <xf numFmtId="166" fontId="56" fillId="0" borderId="0" xfId="943" applyNumberFormat="1" applyFont="1" applyAlignment="1"/>
    <xf numFmtId="190" fontId="56" fillId="0" borderId="0" xfId="943" applyNumberFormat="1" applyFont="1" applyAlignment="1"/>
    <xf numFmtId="190" fontId="56" fillId="0" borderId="0" xfId="943" applyNumberFormat="1" applyFont="1"/>
    <xf numFmtId="167" fontId="56" fillId="0" borderId="0" xfId="943" applyNumberFormat="1" applyFont="1" applyAlignment="1">
      <alignment vertical="center"/>
    </xf>
    <xf numFmtId="190" fontId="56" fillId="0" borderId="0" xfId="943" applyNumberFormat="1" applyFont="1" applyAlignment="1">
      <alignment horizontal="center" vertical="center"/>
    </xf>
    <xf numFmtId="166" fontId="56" fillId="0" borderId="0" xfId="943" applyNumberFormat="1" applyFont="1" applyAlignment="1">
      <alignment horizontal="center" vertical="center"/>
    </xf>
    <xf numFmtId="43" fontId="56" fillId="0" borderId="0" xfId="943" applyFont="1" applyAlignment="1">
      <alignment horizontal="center" vertical="center"/>
    </xf>
    <xf numFmtId="166" fontId="235" fillId="0" borderId="0" xfId="943" applyNumberFormat="1" applyFont="1" applyAlignment="1">
      <alignment horizontal="right" vertical="center"/>
    </xf>
    <xf numFmtId="306" fontId="56" fillId="0" borderId="0" xfId="1391" applyNumberFormat="1" applyFont="1"/>
    <xf numFmtId="166" fontId="56" fillId="0" borderId="0" xfId="943" applyNumberFormat="1" applyFont="1"/>
    <xf numFmtId="167" fontId="56" fillId="0" borderId="0" xfId="943" applyNumberFormat="1" applyFont="1"/>
    <xf numFmtId="181" fontId="56" fillId="0" borderId="0" xfId="943" applyNumberFormat="1" applyFont="1"/>
    <xf numFmtId="167" fontId="56" fillId="0" borderId="0" xfId="943" applyNumberFormat="1" applyFont="1" applyAlignment="1"/>
    <xf numFmtId="167" fontId="56" fillId="0" borderId="68" xfId="943" applyNumberFormat="1" applyFont="1" applyBorder="1" applyAlignment="1">
      <alignment vertical="center" wrapText="1"/>
    </xf>
    <xf numFmtId="167" fontId="234" fillId="0" borderId="68" xfId="943" applyNumberFormat="1" applyFont="1" applyBorder="1" applyAlignment="1">
      <alignment horizontal="center" vertical="center" wrapText="1"/>
    </xf>
    <xf numFmtId="167" fontId="234" fillId="0" borderId="68" xfId="943" applyNumberFormat="1" applyFont="1" applyBorder="1" applyAlignment="1">
      <alignment vertical="center" wrapText="1"/>
    </xf>
    <xf numFmtId="190" fontId="234" fillId="0" borderId="68" xfId="943" applyNumberFormat="1" applyFont="1" applyBorder="1" applyAlignment="1">
      <alignment vertical="center" wrapText="1"/>
    </xf>
    <xf numFmtId="190" fontId="56" fillId="0" borderId="68" xfId="943" applyNumberFormat="1" applyFont="1" applyBorder="1" applyAlignment="1">
      <alignment vertical="center" wrapText="1"/>
    </xf>
    <xf numFmtId="167" fontId="56" fillId="0" borderId="68" xfId="943" applyNumberFormat="1" applyFont="1" applyBorder="1" applyAlignment="1">
      <alignment horizontal="center" vertical="center" wrapText="1"/>
    </xf>
    <xf numFmtId="167" fontId="56" fillId="0" borderId="69" xfId="943" applyNumberFormat="1" applyFont="1" applyBorder="1" applyAlignment="1">
      <alignment vertical="center" wrapText="1"/>
    </xf>
    <xf numFmtId="190" fontId="56" fillId="0" borderId="69" xfId="943" applyNumberFormat="1" applyFont="1" applyBorder="1" applyAlignment="1">
      <alignment vertical="center" wrapText="1"/>
    </xf>
    <xf numFmtId="167" fontId="56" fillId="0" borderId="69" xfId="943" applyNumberFormat="1" applyFont="1" applyBorder="1" applyAlignment="1">
      <alignment horizontal="center" vertical="center" wrapText="1"/>
    </xf>
    <xf numFmtId="167" fontId="229" fillId="0" borderId="0" xfId="943" applyNumberFormat="1" applyFont="1" applyAlignment="1"/>
    <xf numFmtId="167" fontId="229" fillId="0" borderId="0" xfId="943" applyNumberFormat="1" applyFont="1" applyAlignment="1">
      <alignment horizontal="center" vertical="center"/>
    </xf>
    <xf numFmtId="190" fontId="229" fillId="0" borderId="0" xfId="943" applyNumberFormat="1" applyFont="1"/>
    <xf numFmtId="167" fontId="229" fillId="0" borderId="0" xfId="943" applyNumberFormat="1" applyFont="1" applyAlignment="1">
      <alignment horizontal="center"/>
    </xf>
    <xf numFmtId="167" fontId="229" fillId="50" borderId="0" xfId="943" applyNumberFormat="1" applyFont="1" applyFill="1"/>
    <xf numFmtId="167" fontId="2" fillId="50" borderId="0" xfId="943" applyNumberFormat="1" applyFont="1" applyFill="1"/>
    <xf numFmtId="167" fontId="2" fillId="0" borderId="0" xfId="943" applyNumberFormat="1" applyFont="1"/>
    <xf numFmtId="167" fontId="2" fillId="50" borderId="0" xfId="943" applyNumberFormat="1" applyFont="1" applyFill="1" applyAlignment="1">
      <alignment vertical="center"/>
    </xf>
    <xf numFmtId="167" fontId="229" fillId="0" borderId="0" xfId="943" applyNumberFormat="1" applyFont="1" applyFill="1"/>
    <xf numFmtId="167" fontId="4" fillId="0" borderId="0" xfId="943" applyNumberFormat="1" applyFont="1" applyAlignment="1">
      <alignment horizontal="center" vertical="center"/>
    </xf>
    <xf numFmtId="167" fontId="2" fillId="50" borderId="30" xfId="943" applyNumberFormat="1" applyFont="1" applyFill="1" applyBorder="1" applyAlignment="1">
      <alignment horizontal="center" vertical="center" wrapText="1"/>
    </xf>
    <xf numFmtId="167" fontId="2" fillId="50" borderId="30" xfId="943" applyNumberFormat="1" applyFont="1" applyFill="1" applyBorder="1" applyAlignment="1">
      <alignment vertical="center" wrapText="1"/>
    </xf>
    <xf numFmtId="43" fontId="2" fillId="50" borderId="30" xfId="943" applyFont="1" applyFill="1" applyBorder="1" applyAlignment="1">
      <alignment horizontal="center" vertical="center" wrapText="1"/>
    </xf>
    <xf numFmtId="190" fontId="2" fillId="50" borderId="30" xfId="943" applyNumberFormat="1" applyFont="1" applyFill="1" applyBorder="1" applyAlignment="1">
      <alignment horizontal="center" vertical="center" wrapText="1"/>
    </xf>
    <xf numFmtId="167" fontId="229" fillId="0" borderId="68" xfId="943" applyNumberFormat="1" applyFont="1" applyBorder="1" applyAlignment="1">
      <alignment vertical="center" wrapText="1"/>
    </xf>
    <xf numFmtId="43" fontId="229" fillId="0" borderId="68" xfId="943" applyFont="1" applyBorder="1" applyAlignment="1">
      <alignment horizontal="center" vertical="center" wrapText="1"/>
    </xf>
    <xf numFmtId="190" fontId="229" fillId="0" borderId="68" xfId="943" applyNumberFormat="1" applyFont="1" applyBorder="1" applyAlignment="1">
      <alignment horizontal="center" vertical="center" wrapText="1"/>
    </xf>
    <xf numFmtId="167" fontId="2" fillId="50" borderId="68" xfId="1000" applyNumberFormat="1" applyFont="1" applyFill="1" applyBorder="1"/>
    <xf numFmtId="167" fontId="229" fillId="0" borderId="68" xfId="1000" applyNumberFormat="1" applyFont="1" applyBorder="1"/>
    <xf numFmtId="167" fontId="2" fillId="50" borderId="68" xfId="943" applyNumberFormat="1" applyFont="1" applyFill="1" applyBorder="1" applyAlignment="1">
      <alignment horizontal="center" vertical="center" wrapText="1"/>
    </xf>
    <xf numFmtId="167" fontId="2" fillId="50" borderId="68" xfId="943" applyNumberFormat="1" applyFont="1" applyFill="1" applyBorder="1" applyAlignment="1">
      <alignment vertical="center" wrapText="1"/>
    </xf>
    <xf numFmtId="167" fontId="2" fillId="0" borderId="68" xfId="943" applyNumberFormat="1" applyFont="1" applyBorder="1" applyAlignment="1">
      <alignment vertical="center" wrapText="1"/>
    </xf>
    <xf numFmtId="43" fontId="2" fillId="0" borderId="68" xfId="943" applyFont="1" applyBorder="1" applyAlignment="1">
      <alignment horizontal="center" vertical="center" wrapText="1"/>
    </xf>
    <xf numFmtId="190" fontId="2" fillId="0" borderId="68" xfId="943" applyNumberFormat="1" applyFont="1" applyBorder="1" applyAlignment="1">
      <alignment horizontal="center" vertical="center" wrapText="1"/>
    </xf>
    <xf numFmtId="43" fontId="229" fillId="0" borderId="68" xfId="1000" applyFont="1" applyBorder="1" applyAlignment="1">
      <alignment horizontal="center" vertical="center" wrapText="1"/>
    </xf>
    <xf numFmtId="167" fontId="229" fillId="50" borderId="68" xfId="943" applyNumberFormat="1" applyFont="1" applyFill="1" applyBorder="1"/>
    <xf numFmtId="167" fontId="229" fillId="27" borderId="68" xfId="1000" applyNumberFormat="1" applyFont="1" applyFill="1" applyBorder="1" applyAlignment="1">
      <alignment horizontal="center" vertical="center" wrapText="1"/>
    </xf>
    <xf numFmtId="167" fontId="2" fillId="0" borderId="68" xfId="943" applyNumberFormat="1" applyFont="1" applyFill="1" applyBorder="1" applyAlignment="1">
      <alignment horizontal="center" vertical="center" wrapText="1"/>
    </xf>
    <xf numFmtId="167" fontId="2" fillId="0" borderId="68" xfId="1000" applyNumberFormat="1" applyFont="1" applyBorder="1"/>
    <xf numFmtId="43" fontId="2" fillId="0" borderId="68" xfId="943" applyFont="1" applyBorder="1"/>
    <xf numFmtId="43" fontId="2" fillId="50" borderId="68" xfId="943" applyFont="1" applyFill="1" applyBorder="1" applyAlignment="1">
      <alignment horizontal="center" vertical="center" wrapText="1"/>
    </xf>
    <xf numFmtId="190" fontId="2" fillId="50" borderId="68" xfId="943" applyNumberFormat="1" applyFont="1" applyFill="1" applyBorder="1" applyAlignment="1">
      <alignment horizontal="center" vertical="center" wrapText="1"/>
    </xf>
    <xf numFmtId="167" fontId="229" fillId="0" borderId="68" xfId="943" applyNumberFormat="1" applyFont="1" applyFill="1" applyBorder="1" applyAlignment="1">
      <alignment horizontal="center" vertical="center" wrapText="1"/>
    </xf>
    <xf numFmtId="167" fontId="229" fillId="0" borderId="68" xfId="943" applyNumberFormat="1" applyFont="1" applyFill="1" applyBorder="1" applyAlignment="1">
      <alignment vertical="center" wrapText="1"/>
    </xf>
    <xf numFmtId="43" fontId="229" fillId="0" borderId="68" xfId="943" applyFont="1" applyFill="1" applyBorder="1" applyAlignment="1">
      <alignment horizontal="center" vertical="center" wrapText="1"/>
    </xf>
    <xf numFmtId="190" fontId="229" fillId="0" borderId="68" xfId="943" applyNumberFormat="1" applyFont="1" applyFill="1" applyBorder="1" applyAlignment="1">
      <alignment horizontal="center" vertical="center" wrapText="1"/>
    </xf>
    <xf numFmtId="167" fontId="229" fillId="0" borderId="68" xfId="1000" applyNumberFormat="1" applyFont="1" applyFill="1" applyBorder="1"/>
    <xf numFmtId="167" fontId="2" fillId="0" borderId="69" xfId="943" applyNumberFormat="1" applyFont="1" applyBorder="1" applyAlignment="1">
      <alignment horizontal="center" vertical="center" wrapText="1"/>
    </xf>
    <xf numFmtId="167" fontId="2" fillId="0" borderId="69" xfId="943" applyNumberFormat="1" applyFont="1" applyBorder="1" applyAlignment="1">
      <alignment vertical="center" wrapText="1"/>
    </xf>
    <xf numFmtId="0" fontId="2" fillId="0" borderId="69" xfId="943" applyNumberFormat="1" applyFont="1" applyBorder="1" applyAlignment="1">
      <alignment horizontal="right" vertical="center" wrapText="1"/>
    </xf>
    <xf numFmtId="190" fontId="2" fillId="0" borderId="69" xfId="943" applyNumberFormat="1" applyFont="1" applyBorder="1" applyAlignment="1">
      <alignment horizontal="center" vertical="center" wrapText="1"/>
    </xf>
    <xf numFmtId="0" fontId="229" fillId="0" borderId="1" xfId="943" applyNumberFormat="1" applyFont="1" applyBorder="1" applyAlignment="1">
      <alignment horizontal="center" vertical="center" wrapText="1"/>
    </xf>
    <xf numFmtId="0" fontId="229" fillId="0" borderId="57" xfId="943" applyNumberFormat="1" applyFont="1" applyBorder="1" applyAlignment="1">
      <alignment horizontal="center" vertical="center" wrapText="1"/>
    </xf>
    <xf numFmtId="167" fontId="229" fillId="0" borderId="0" xfId="943" applyNumberFormat="1" applyFont="1" applyBorder="1" applyAlignment="1"/>
    <xf numFmtId="167" fontId="229" fillId="0" borderId="0" xfId="943" applyNumberFormat="1" applyFont="1" applyBorder="1"/>
    <xf numFmtId="167" fontId="229" fillId="0" borderId="50" xfId="943" applyNumberFormat="1" applyFont="1" applyBorder="1" applyAlignment="1">
      <alignment horizontal="center" vertical="center"/>
    </xf>
    <xf numFmtId="167" fontId="229" fillId="0" borderId="50" xfId="943" applyNumberFormat="1" applyFont="1" applyBorder="1"/>
    <xf numFmtId="167" fontId="229" fillId="0" borderId="52" xfId="943" applyNumberFormat="1" applyFont="1" applyBorder="1"/>
    <xf numFmtId="167" fontId="229" fillId="0" borderId="57" xfId="943" applyNumberFormat="1" applyFont="1" applyBorder="1" applyAlignment="1">
      <alignment horizontal="center" vertical="center" wrapText="1"/>
    </xf>
    <xf numFmtId="167" fontId="2" fillId="0" borderId="21" xfId="943" applyNumberFormat="1" applyFont="1" applyBorder="1" applyAlignment="1">
      <alignment horizontal="center" vertical="center" wrapText="1"/>
    </xf>
    <xf numFmtId="308" fontId="2" fillId="0" borderId="21" xfId="943" applyNumberFormat="1" applyFont="1" applyBorder="1" applyAlignment="1">
      <alignment horizontal="center" vertical="center" wrapText="1"/>
    </xf>
    <xf numFmtId="308" fontId="2" fillId="0" borderId="68" xfId="943" applyNumberFormat="1" applyFont="1" applyBorder="1" applyAlignment="1">
      <alignment horizontal="center" vertical="center" wrapText="1"/>
    </xf>
    <xf numFmtId="0" fontId="2" fillId="0" borderId="68" xfId="943" applyNumberFormat="1" applyFont="1" applyBorder="1" applyAlignment="1">
      <alignment horizontal="center" vertical="center" wrapText="1"/>
    </xf>
    <xf numFmtId="308" fontId="229" fillId="0" borderId="68" xfId="943" applyNumberFormat="1" applyFont="1" applyBorder="1" applyAlignment="1">
      <alignment horizontal="center"/>
    </xf>
    <xf numFmtId="308" fontId="229" fillId="0" borderId="68" xfId="0" applyNumberFormat="1" applyFont="1" applyBorder="1" applyAlignment="1">
      <alignment horizontal="center"/>
    </xf>
    <xf numFmtId="0" fontId="229" fillId="0" borderId="68" xfId="943" applyNumberFormat="1" applyFont="1" applyBorder="1" applyAlignment="1">
      <alignment horizontal="center" vertical="center" wrapText="1"/>
    </xf>
    <xf numFmtId="308" fontId="229" fillId="0" borderId="68" xfId="943" applyNumberFormat="1" applyFont="1" applyBorder="1" applyAlignment="1">
      <alignment horizontal="center" vertical="center" wrapText="1"/>
    </xf>
    <xf numFmtId="167" fontId="4" fillId="0" borderId="68" xfId="943" applyNumberFormat="1" applyFont="1" applyBorder="1" applyAlignment="1">
      <alignment vertical="center" wrapText="1"/>
    </xf>
    <xf numFmtId="167" fontId="2" fillId="0" borderId="52" xfId="943" applyNumberFormat="1" applyFont="1" applyBorder="1"/>
    <xf numFmtId="167" fontId="2" fillId="0" borderId="0" xfId="943" applyNumberFormat="1" applyFont="1" applyBorder="1"/>
    <xf numFmtId="308" fontId="2" fillId="0" borderId="68" xfId="943" applyNumberFormat="1" applyFont="1" applyBorder="1" applyAlignment="1">
      <alignment horizontal="center"/>
    </xf>
    <xf numFmtId="0" fontId="2" fillId="0" borderId="69" xfId="943" applyNumberFormat="1" applyFont="1" applyBorder="1" applyAlignment="1">
      <alignment horizontal="center" vertical="center" wrapText="1"/>
    </xf>
    <xf numFmtId="308" fontId="229" fillId="0" borderId="69" xfId="943" applyNumberFormat="1" applyFont="1" applyBorder="1" applyAlignment="1">
      <alignment horizontal="center" vertical="center" wrapText="1"/>
    </xf>
    <xf numFmtId="0" fontId="210" fillId="0" borderId="0" xfId="0" applyFont="1" applyAlignment="1">
      <alignment horizontal="right" vertical="center" wrapText="1"/>
    </xf>
    <xf numFmtId="0" fontId="210" fillId="0" borderId="0" xfId="0" applyFont="1"/>
    <xf numFmtId="0" fontId="236" fillId="0" borderId="0" xfId="0" applyFont="1" applyAlignment="1">
      <alignment horizontal="right" vertical="center"/>
    </xf>
    <xf numFmtId="0" fontId="236" fillId="0" borderId="50" xfId="0" applyFont="1" applyBorder="1" applyAlignment="1">
      <alignment vertical="center"/>
    </xf>
    <xf numFmtId="0" fontId="210" fillId="27" borderId="1" xfId="0" applyFont="1" applyFill="1" applyBorder="1" applyAlignment="1">
      <alignment horizontal="center" vertical="center" wrapText="1"/>
    </xf>
    <xf numFmtId="0" fontId="210" fillId="27" borderId="1" xfId="0" applyNumberFormat="1" applyFont="1" applyFill="1" applyBorder="1" applyAlignment="1">
      <alignment horizontal="center" vertical="center" wrapText="1"/>
    </xf>
    <xf numFmtId="0" fontId="210" fillId="27" borderId="57" xfId="0" applyNumberFormat="1" applyFont="1" applyFill="1" applyBorder="1" applyAlignment="1">
      <alignment horizontal="center" vertical="center" wrapText="1"/>
    </xf>
    <xf numFmtId="0" fontId="228" fillId="0" borderId="0" xfId="0" applyFont="1"/>
    <xf numFmtId="0" fontId="210" fillId="27" borderId="0" xfId="0" applyFont="1" applyFill="1"/>
    <xf numFmtId="0" fontId="228" fillId="27" borderId="0" xfId="0" applyFont="1" applyFill="1"/>
    <xf numFmtId="43" fontId="210" fillId="27" borderId="0" xfId="943" applyFont="1" applyFill="1"/>
    <xf numFmtId="165" fontId="228" fillId="27" borderId="0" xfId="0" applyNumberFormat="1" applyFont="1" applyFill="1"/>
    <xf numFmtId="0" fontId="236" fillId="0" borderId="0" xfId="0" applyFont="1" applyAlignment="1">
      <alignment vertical="center"/>
    </xf>
    <xf numFmtId="0" fontId="210" fillId="0" borderId="0" xfId="0" applyFont="1" applyAlignment="1">
      <alignment vertical="center"/>
    </xf>
    <xf numFmtId="0" fontId="229" fillId="27" borderId="1" xfId="0" applyFont="1" applyFill="1" applyBorder="1" applyAlignment="1">
      <alignment horizontal="center" vertical="center" wrapText="1"/>
    </xf>
    <xf numFmtId="0" fontId="228" fillId="27" borderId="30" xfId="0" applyFont="1" applyFill="1" applyBorder="1" applyAlignment="1">
      <alignment horizontal="center" vertical="center" wrapText="1"/>
    </xf>
    <xf numFmtId="0" fontId="228" fillId="27" borderId="30" xfId="0" applyFont="1" applyFill="1" applyBorder="1" applyAlignment="1">
      <alignment vertical="center" wrapText="1"/>
    </xf>
    <xf numFmtId="191" fontId="228" fillId="27" borderId="30" xfId="1000" applyNumberFormat="1" applyFont="1" applyFill="1" applyBorder="1" applyAlignment="1">
      <alignment horizontal="center" vertical="center" wrapText="1"/>
    </xf>
    <xf numFmtId="0" fontId="228" fillId="27" borderId="68" xfId="0" applyFont="1" applyFill="1" applyBorder="1" applyAlignment="1">
      <alignment horizontal="center" vertical="center" wrapText="1"/>
    </xf>
    <xf numFmtId="0" fontId="228" fillId="27" borderId="68" xfId="0" applyFont="1" applyFill="1" applyBorder="1" applyAlignment="1">
      <alignment vertical="center" wrapText="1"/>
    </xf>
    <xf numFmtId="191" fontId="228" fillId="27" borderId="68" xfId="1000" applyNumberFormat="1" applyFont="1" applyFill="1" applyBorder="1" applyAlignment="1">
      <alignment horizontal="center" vertical="center" wrapText="1"/>
    </xf>
    <xf numFmtId="0" fontId="210" fillId="27" borderId="68" xfId="0" applyFont="1" applyFill="1" applyBorder="1" applyAlignment="1">
      <alignment horizontal="center" vertical="center" wrapText="1"/>
    </xf>
    <xf numFmtId="0" fontId="236" fillId="27" borderId="68" xfId="0" applyFont="1" applyFill="1" applyBorder="1" applyAlignment="1">
      <alignment vertical="center" wrapText="1"/>
    </xf>
    <xf numFmtId="191" fontId="210" fillId="27" borderId="68" xfId="1000" applyNumberFormat="1" applyFont="1" applyFill="1" applyBorder="1" applyAlignment="1">
      <alignment horizontal="center" vertical="center" wrapText="1"/>
    </xf>
    <xf numFmtId="0" fontId="210" fillId="27" borderId="68" xfId="0" applyFont="1" applyFill="1" applyBorder="1" applyAlignment="1">
      <alignment vertical="center" wrapText="1"/>
    </xf>
    <xf numFmtId="0" fontId="236" fillId="27" borderId="68" xfId="0" applyFont="1" applyFill="1" applyBorder="1" applyAlignment="1">
      <alignment horizontal="center" vertical="center" wrapText="1"/>
    </xf>
    <xf numFmtId="0" fontId="236" fillId="0" borderId="68" xfId="0" applyFont="1" applyBorder="1" applyAlignment="1">
      <alignment vertical="center" wrapText="1"/>
    </xf>
    <xf numFmtId="167" fontId="210" fillId="27" borderId="68" xfId="1000" applyNumberFormat="1" applyFont="1" applyFill="1" applyBorder="1" applyAlignment="1">
      <alignment horizontal="center" vertical="center" wrapText="1"/>
    </xf>
    <xf numFmtId="0" fontId="236" fillId="27" borderId="68" xfId="0" quotePrefix="1" applyFont="1" applyFill="1" applyBorder="1" applyAlignment="1">
      <alignment horizontal="center" vertical="center" wrapText="1"/>
    </xf>
    <xf numFmtId="0" fontId="236" fillId="27" borderId="68" xfId="0" applyFont="1" applyFill="1" applyBorder="1" applyAlignment="1">
      <alignment horizontal="left" vertical="center" wrapText="1"/>
    </xf>
    <xf numFmtId="167" fontId="210" fillId="27" borderId="68" xfId="943" applyNumberFormat="1" applyFont="1" applyFill="1" applyBorder="1" applyAlignment="1">
      <alignment horizontal="center" vertical="center" wrapText="1"/>
    </xf>
    <xf numFmtId="0" fontId="228" fillId="27" borderId="68" xfId="0" applyFont="1" applyFill="1" applyBorder="1"/>
    <xf numFmtId="167" fontId="228" fillId="0" borderId="68" xfId="1000" applyNumberFormat="1" applyFont="1" applyFill="1" applyBorder="1" applyAlignment="1">
      <alignment horizontal="center" vertical="center" wrapText="1"/>
    </xf>
    <xf numFmtId="167" fontId="228" fillId="27" borderId="68" xfId="943" applyNumberFormat="1" applyFont="1" applyFill="1" applyBorder="1"/>
    <xf numFmtId="0" fontId="210" fillId="0" borderId="68" xfId="0" applyFont="1" applyBorder="1"/>
    <xf numFmtId="0" fontId="210" fillId="27" borderId="69" xfId="0" applyFont="1" applyFill="1" applyBorder="1" applyAlignment="1">
      <alignment horizontal="center" vertical="center" wrapText="1"/>
    </xf>
    <xf numFmtId="0" fontId="210" fillId="27" borderId="69" xfId="0" applyFont="1" applyFill="1" applyBorder="1" applyAlignment="1">
      <alignment vertical="center" wrapText="1"/>
    </xf>
    <xf numFmtId="191" fontId="210" fillId="27" borderId="69" xfId="1000" applyNumberFormat="1" applyFont="1" applyFill="1" applyBorder="1" applyAlignment="1">
      <alignment horizontal="center" vertical="center" wrapText="1"/>
    </xf>
    <xf numFmtId="0" fontId="210" fillId="0" borderId="69" xfId="0" applyFont="1" applyBorder="1"/>
    <xf numFmtId="0" fontId="222" fillId="0" borderId="0" xfId="918" quotePrefix="1" applyFont="1" applyFill="1" applyBorder="1" applyAlignment="1">
      <alignment horizontal="center" vertical="center"/>
    </xf>
    <xf numFmtId="0" fontId="238" fillId="0" borderId="0" xfId="0" applyFont="1" applyAlignment="1">
      <alignment horizontal="center" vertical="center"/>
    </xf>
    <xf numFmtId="0" fontId="238" fillId="0" borderId="0" xfId="0" applyFont="1"/>
    <xf numFmtId="0" fontId="219" fillId="0" borderId="30" xfId="918" quotePrefix="1" applyFont="1" applyFill="1" applyBorder="1" applyAlignment="1">
      <alignment horizontal="center" vertical="center"/>
    </xf>
    <xf numFmtId="0" fontId="219" fillId="0" borderId="30" xfId="918" applyFont="1" applyFill="1" applyBorder="1" applyAlignment="1">
      <alignment horizontal="left" vertical="center"/>
    </xf>
    <xf numFmtId="43" fontId="219" fillId="0" borderId="30" xfId="943" applyFont="1" applyFill="1" applyBorder="1" applyAlignment="1">
      <alignment horizontal="center" vertical="center"/>
    </xf>
    <xf numFmtId="191" fontId="219" fillId="0" borderId="30" xfId="943" applyNumberFormat="1" applyFont="1" applyFill="1" applyBorder="1" applyAlignment="1">
      <alignment horizontal="center" vertical="center"/>
    </xf>
    <xf numFmtId="191" fontId="219" fillId="0" borderId="30" xfId="943" applyNumberFormat="1" applyFont="1" applyFill="1" applyBorder="1"/>
    <xf numFmtId="191" fontId="219" fillId="0" borderId="30" xfId="943" quotePrefix="1" applyNumberFormat="1" applyFont="1" applyFill="1" applyBorder="1" applyAlignment="1">
      <alignment horizontal="center" vertical="center"/>
    </xf>
    <xf numFmtId="0" fontId="219" fillId="0" borderId="68" xfId="918" quotePrefix="1" applyFont="1" applyFill="1" applyBorder="1" applyAlignment="1">
      <alignment horizontal="center" vertical="center"/>
    </xf>
    <xf numFmtId="0" fontId="219" fillId="0" borderId="68" xfId="918" applyFont="1" applyFill="1" applyBorder="1" applyAlignment="1">
      <alignment horizontal="left" vertical="center"/>
    </xf>
    <xf numFmtId="43" fontId="219" fillId="0" borderId="68" xfId="943" applyFont="1" applyFill="1" applyBorder="1" applyAlignment="1">
      <alignment horizontal="center" vertical="center"/>
    </xf>
    <xf numFmtId="191" fontId="219" fillId="0" borderId="68" xfId="943" applyNumberFormat="1" applyFont="1" applyFill="1" applyBorder="1" applyAlignment="1">
      <alignment horizontal="center" vertical="center"/>
    </xf>
    <xf numFmtId="191" fontId="219" fillId="0" borderId="68" xfId="943" applyNumberFormat="1" applyFont="1" applyFill="1" applyBorder="1"/>
    <xf numFmtId="191" fontId="219" fillId="0" borderId="68" xfId="943" quotePrefix="1" applyNumberFormat="1" applyFont="1" applyFill="1" applyBorder="1" applyAlignment="1">
      <alignment horizontal="center" vertical="center"/>
    </xf>
    <xf numFmtId="0" fontId="219" fillId="0" borderId="69" xfId="918" quotePrefix="1" applyFont="1" applyFill="1" applyBorder="1" applyAlignment="1">
      <alignment horizontal="center" vertical="center"/>
    </xf>
    <xf numFmtId="0" fontId="219" fillId="0" borderId="69" xfId="918" applyFont="1" applyFill="1" applyBorder="1" applyAlignment="1">
      <alignment horizontal="left" vertical="center"/>
    </xf>
    <xf numFmtId="43" fontId="219" fillId="0" borderId="69" xfId="943" applyFont="1" applyFill="1" applyBorder="1" applyAlignment="1">
      <alignment horizontal="center" vertical="center"/>
    </xf>
    <xf numFmtId="191" fontId="219" fillId="0" borderId="69" xfId="943" applyNumberFormat="1" applyFont="1" applyFill="1" applyBorder="1" applyAlignment="1">
      <alignment horizontal="center" vertical="center"/>
    </xf>
    <xf numFmtId="191" fontId="219" fillId="0" borderId="69" xfId="943" applyNumberFormat="1" applyFont="1" applyFill="1" applyBorder="1"/>
    <xf numFmtId="191" fontId="219" fillId="0" borderId="69" xfId="943" quotePrefix="1" applyNumberFormat="1" applyFont="1" applyFill="1" applyBorder="1" applyAlignment="1">
      <alignment horizontal="center" vertical="center"/>
    </xf>
    <xf numFmtId="0" fontId="230" fillId="50" borderId="0" xfId="0" applyFont="1" applyFill="1"/>
    <xf numFmtId="0" fontId="28" fillId="50" borderId="0" xfId="0" applyFont="1" applyFill="1"/>
    <xf numFmtId="0" fontId="225" fillId="50" borderId="0" xfId="0" applyFont="1" applyFill="1"/>
    <xf numFmtId="43" fontId="229" fillId="0" borderId="0" xfId="943" applyFont="1" applyFill="1"/>
    <xf numFmtId="43" fontId="229" fillId="0" borderId="0" xfId="943" applyNumberFormat="1" applyFont="1" applyFill="1"/>
    <xf numFmtId="309" fontId="210" fillId="27" borderId="0" xfId="0" applyNumberFormat="1" applyFont="1" applyFill="1"/>
    <xf numFmtId="167" fontId="229" fillId="0" borderId="0" xfId="943" applyNumberFormat="1" applyFont="1" applyAlignment="1">
      <alignment vertical="center"/>
    </xf>
    <xf numFmtId="167" fontId="2" fillId="0" borderId="69" xfId="943" applyNumberFormat="1" applyFont="1" applyBorder="1" applyAlignment="1">
      <alignment vertical="center"/>
    </xf>
    <xf numFmtId="308" fontId="229" fillId="0" borderId="68" xfId="943" applyNumberFormat="1" applyFont="1" applyBorder="1" applyAlignment="1">
      <alignment horizontal="center" vertical="center"/>
    </xf>
    <xf numFmtId="308" fontId="229" fillId="0" borderId="68" xfId="0" applyNumberFormat="1" applyFont="1" applyBorder="1" applyAlignment="1">
      <alignment horizontal="center" vertical="center"/>
    </xf>
    <xf numFmtId="167" fontId="229" fillId="0" borderId="52" xfId="943" applyNumberFormat="1" applyFont="1" applyBorder="1" applyAlignment="1">
      <alignment vertical="center"/>
    </xf>
    <xf numFmtId="167" fontId="229" fillId="0" borderId="0" xfId="943" applyNumberFormat="1" applyFont="1" applyBorder="1" applyAlignment="1">
      <alignment vertical="center"/>
    </xf>
    <xf numFmtId="167" fontId="2" fillId="0" borderId="0" xfId="943" applyNumberFormat="1" applyFont="1" applyBorder="1" applyAlignment="1">
      <alignment vertical="center"/>
    </xf>
    <xf numFmtId="43" fontId="226" fillId="50" borderId="0" xfId="1000" applyFont="1" applyFill="1" applyBorder="1" applyAlignment="1">
      <alignment vertical="center"/>
    </xf>
    <xf numFmtId="191" fontId="222" fillId="0" borderId="70" xfId="943" applyNumberFormat="1" applyFont="1" applyFill="1" applyBorder="1" applyAlignment="1">
      <alignment horizontal="center" vertical="center"/>
    </xf>
    <xf numFmtId="167" fontId="222" fillId="0" borderId="70" xfId="943" applyNumberFormat="1" applyFont="1" applyFill="1" applyBorder="1" applyAlignment="1">
      <alignment horizontal="center" vertical="center"/>
    </xf>
    <xf numFmtId="0" fontId="225" fillId="50" borderId="68" xfId="0" applyFont="1" applyFill="1" applyBorder="1" applyAlignment="1">
      <alignment vertical="center" wrapText="1"/>
    </xf>
    <xf numFmtId="0" fontId="241" fillId="50" borderId="68" xfId="0" applyFont="1" applyFill="1" applyBorder="1" applyAlignment="1">
      <alignment vertical="center" wrapText="1"/>
    </xf>
    <xf numFmtId="43" fontId="241" fillId="50" borderId="68" xfId="969" applyFont="1" applyFill="1" applyBorder="1" applyAlignment="1">
      <alignment horizontal="left" vertical="center" wrapText="1"/>
    </xf>
    <xf numFmtId="0" fontId="241" fillId="50" borderId="68" xfId="0" quotePrefix="1" applyFont="1" applyFill="1" applyBorder="1" applyAlignment="1">
      <alignment horizontal="center" vertical="center"/>
    </xf>
    <xf numFmtId="0" fontId="241" fillId="50" borderId="68" xfId="0" applyFont="1" applyFill="1" applyBorder="1" applyAlignment="1">
      <alignment wrapText="1"/>
    </xf>
    <xf numFmtId="191" fontId="241" fillId="50" borderId="68" xfId="1000" applyNumberFormat="1" applyFont="1" applyFill="1" applyBorder="1" applyAlignment="1">
      <alignment horizontal="right" vertical="center"/>
    </xf>
    <xf numFmtId="0" fontId="241" fillId="50" borderId="68" xfId="0" applyFont="1" applyFill="1" applyBorder="1" applyAlignment="1">
      <alignment horizontal="center" vertical="center" wrapText="1"/>
    </xf>
    <xf numFmtId="0" fontId="241" fillId="50" borderId="68" xfId="0" applyFont="1" applyFill="1" applyBorder="1" applyAlignment="1">
      <alignment horizontal="left" vertical="center" wrapText="1"/>
    </xf>
    <xf numFmtId="0" fontId="241" fillId="50" borderId="68" xfId="1327" applyFont="1" applyFill="1" applyBorder="1" applyAlignment="1">
      <alignment vertical="center" wrapText="1"/>
    </xf>
    <xf numFmtId="0" fontId="56" fillId="0" borderId="0" xfId="0" applyFont="1" applyFill="1" applyBorder="1"/>
    <xf numFmtId="0" fontId="56" fillId="0" borderId="0" xfId="0" applyFont="1" applyFill="1"/>
    <xf numFmtId="191" fontId="210" fillId="27" borderId="68" xfId="943" applyNumberFormat="1" applyFont="1" applyFill="1" applyBorder="1" applyAlignment="1">
      <alignment horizontal="center" vertical="center" wrapText="1"/>
    </xf>
    <xf numFmtId="167" fontId="243" fillId="0" borderId="68" xfId="1000" applyNumberFormat="1" applyFont="1" applyFill="1" applyBorder="1" applyAlignment="1">
      <alignment horizontal="center" vertical="center" wrapText="1"/>
    </xf>
    <xf numFmtId="167" fontId="56" fillId="0" borderId="21" xfId="943" applyNumberFormat="1" applyFont="1" applyBorder="1" applyAlignment="1">
      <alignment vertical="center" wrapText="1"/>
    </xf>
    <xf numFmtId="190" fontId="234" fillId="0" borderId="21" xfId="943" applyNumberFormat="1" applyFont="1" applyBorder="1" applyAlignment="1">
      <alignment horizontal="center" vertical="center" wrapText="1"/>
    </xf>
    <xf numFmtId="167" fontId="234" fillId="0" borderId="21" xfId="943" applyNumberFormat="1" applyFont="1" applyBorder="1" applyAlignment="1">
      <alignment horizontal="center" vertical="center" wrapText="1"/>
    </xf>
    <xf numFmtId="166" fontId="234" fillId="0" borderId="70" xfId="943" applyNumberFormat="1" applyFont="1" applyBorder="1" applyAlignment="1">
      <alignment horizontal="center" vertical="center" wrapText="1"/>
    </xf>
    <xf numFmtId="167" fontId="56" fillId="0" borderId="70" xfId="943" applyNumberFormat="1" applyFont="1" applyBorder="1" applyAlignment="1">
      <alignment horizontal="center" wrapText="1"/>
    </xf>
    <xf numFmtId="190" fontId="56" fillId="0" borderId="70" xfId="943" applyNumberFormat="1" applyFont="1" applyBorder="1" applyAlignment="1">
      <alignment horizontal="center" wrapText="1"/>
    </xf>
    <xf numFmtId="0" fontId="229" fillId="0" borderId="21" xfId="0" applyFont="1" applyBorder="1" applyAlignment="1">
      <alignment horizontal="center" vertical="center" wrapText="1"/>
    </xf>
    <xf numFmtId="0" fontId="2" fillId="0" borderId="21" xfId="0" applyFont="1" applyBorder="1" applyAlignment="1">
      <alignment horizontal="center" vertical="center" wrapText="1"/>
    </xf>
    <xf numFmtId="43" fontId="229" fillId="0" borderId="70" xfId="943" applyFont="1" applyBorder="1" applyAlignment="1">
      <alignment horizontal="center" vertical="center" wrapText="1"/>
    </xf>
    <xf numFmtId="167" fontId="229" fillId="0" borderId="70" xfId="943" applyNumberFormat="1" applyFont="1" applyBorder="1" applyAlignment="1">
      <alignment horizontal="center" vertical="center" wrapText="1"/>
    </xf>
    <xf numFmtId="0" fontId="229" fillId="0" borderId="70" xfId="0" applyFont="1" applyBorder="1" applyAlignment="1">
      <alignment horizontal="center" vertical="center" wrapText="1"/>
    </xf>
    <xf numFmtId="0" fontId="210" fillId="0" borderId="0" xfId="0" applyFont="1" applyAlignment="1">
      <alignment vertical="center" wrapText="1"/>
    </xf>
    <xf numFmtId="0" fontId="0" fillId="50" borderId="0" xfId="0" applyFill="1"/>
    <xf numFmtId="0" fontId="245" fillId="0" borderId="0" xfId="0" applyFont="1" applyFill="1" applyBorder="1"/>
    <xf numFmtId="0" fontId="245" fillId="0" borderId="0" xfId="0" applyFont="1" applyFill="1"/>
    <xf numFmtId="310" fontId="229" fillId="0" borderId="0" xfId="0" applyNumberFormat="1" applyFont="1" applyFill="1" applyBorder="1"/>
    <xf numFmtId="0" fontId="243" fillId="0" borderId="0" xfId="0" applyFont="1" applyFill="1"/>
    <xf numFmtId="218" fontId="229" fillId="0" borderId="0" xfId="0" applyNumberFormat="1" applyFont="1" applyFill="1" applyBorder="1"/>
    <xf numFmtId="0" fontId="2" fillId="0" borderId="10" xfId="0" applyFont="1" applyFill="1" applyBorder="1" applyAlignment="1">
      <alignment horizontal="center" vertical="center" wrapText="1"/>
    </xf>
    <xf numFmtId="0" fontId="2" fillId="50" borderId="10" xfId="0" applyFont="1" applyFill="1" applyBorder="1" applyAlignment="1">
      <alignment horizontal="center" vertical="center" wrapText="1"/>
    </xf>
    <xf numFmtId="0" fontId="247" fillId="0" borderId="0" xfId="0" applyFont="1" applyFill="1"/>
    <xf numFmtId="0" fontId="248" fillId="0" borderId="0" xfId="0" applyFont="1" applyFill="1"/>
    <xf numFmtId="0" fontId="222" fillId="50" borderId="68" xfId="0" applyFont="1" applyFill="1" applyBorder="1"/>
    <xf numFmtId="0" fontId="222" fillId="50" borderId="68" xfId="0" applyFont="1" applyFill="1" applyBorder="1" applyAlignment="1">
      <alignment horizontal="center"/>
    </xf>
    <xf numFmtId="3" fontId="222" fillId="50" borderId="68" xfId="0" applyNumberFormat="1" applyFont="1" applyFill="1" applyBorder="1" applyAlignment="1">
      <alignment horizontal="center"/>
    </xf>
    <xf numFmtId="311" fontId="222" fillId="50" borderId="68" xfId="2020" applyNumberFormat="1" applyFont="1" applyFill="1" applyBorder="1"/>
    <xf numFmtId="192" fontId="56" fillId="0" borderId="0" xfId="0" applyNumberFormat="1" applyFont="1" applyFill="1" applyBorder="1"/>
    <xf numFmtId="0" fontId="219" fillId="0" borderId="0" xfId="0" applyFont="1" applyFill="1"/>
    <xf numFmtId="0" fontId="250" fillId="0" borderId="0" xfId="0" applyFont="1" applyFill="1"/>
    <xf numFmtId="310" fontId="219" fillId="0" borderId="0" xfId="0" applyNumberFormat="1" applyFont="1" applyFill="1"/>
    <xf numFmtId="312" fontId="250" fillId="0" borderId="0" xfId="0" applyNumberFormat="1" applyFont="1" applyFill="1"/>
    <xf numFmtId="311" fontId="222" fillId="50" borderId="68" xfId="0" applyNumberFormat="1" applyFont="1" applyFill="1" applyBorder="1" applyAlignment="1">
      <alignment horizontal="center"/>
    </xf>
    <xf numFmtId="192" fontId="234" fillId="0" borderId="0" xfId="0" applyNumberFormat="1" applyFont="1" applyFill="1" applyBorder="1"/>
    <xf numFmtId="0" fontId="222" fillId="0" borderId="0" xfId="0" applyFont="1" applyFill="1"/>
    <xf numFmtId="0" fontId="251" fillId="0" borderId="0" xfId="0" applyFont="1" applyFill="1"/>
    <xf numFmtId="0" fontId="219" fillId="50" borderId="68" xfId="0" quotePrefix="1" applyFont="1" applyFill="1" applyBorder="1" applyAlignment="1">
      <alignment horizontal="center"/>
    </xf>
    <xf numFmtId="0" fontId="219" fillId="50" borderId="68" xfId="0" quotePrefix="1" applyFont="1" applyFill="1" applyBorder="1"/>
    <xf numFmtId="0" fontId="219" fillId="50" borderId="68" xfId="0" applyFont="1" applyFill="1" applyBorder="1" applyAlignment="1">
      <alignment horizontal="center"/>
    </xf>
    <xf numFmtId="311" fontId="219" fillId="50" borderId="68" xfId="2020" applyNumberFormat="1" applyFont="1" applyFill="1" applyBorder="1"/>
    <xf numFmtId="310" fontId="219" fillId="50" borderId="68" xfId="2020" applyNumberFormat="1" applyFont="1" applyFill="1" applyBorder="1"/>
    <xf numFmtId="0" fontId="219" fillId="50" borderId="68" xfId="0" quotePrefix="1" applyFont="1" applyFill="1" applyBorder="1" applyAlignment="1">
      <alignment horizontal="left" vertical="center" wrapText="1"/>
    </xf>
    <xf numFmtId="313" fontId="250" fillId="0" borderId="0" xfId="0" applyNumberFormat="1" applyFont="1" applyFill="1"/>
    <xf numFmtId="0" fontId="219" fillId="50" borderId="68" xfId="0" quotePrefix="1" applyFont="1" applyFill="1" applyBorder="1" applyAlignment="1">
      <alignment horizontal="center" vertical="center"/>
    </xf>
    <xf numFmtId="0" fontId="219" fillId="50" borderId="68" xfId="0" applyFont="1" applyFill="1" applyBorder="1" applyAlignment="1">
      <alignment horizontal="center" vertical="center"/>
    </xf>
    <xf numFmtId="311" fontId="219" fillId="50" borderId="68" xfId="2020" applyNumberFormat="1" applyFont="1" applyFill="1" applyBorder="1" applyAlignment="1">
      <alignment vertical="center"/>
    </xf>
    <xf numFmtId="310" fontId="219" fillId="50" borderId="68" xfId="2020" applyNumberFormat="1" applyFont="1" applyFill="1" applyBorder="1" applyAlignment="1">
      <alignment vertical="center"/>
    </xf>
    <xf numFmtId="0" fontId="56" fillId="0" borderId="0" xfId="0" applyFont="1" applyFill="1" applyBorder="1" applyAlignment="1">
      <alignment vertical="center"/>
    </xf>
    <xf numFmtId="0" fontId="219" fillId="0" borderId="0" xfId="0" applyFont="1" applyFill="1" applyAlignment="1">
      <alignment vertical="center"/>
    </xf>
    <xf numFmtId="0" fontId="250" fillId="0" borderId="0" xfId="0" applyFont="1" applyFill="1" applyAlignment="1">
      <alignment vertical="center"/>
    </xf>
    <xf numFmtId="312" fontId="250" fillId="0" borderId="0" xfId="0" applyNumberFormat="1" applyFont="1" applyFill="1" applyAlignment="1">
      <alignment vertical="center"/>
    </xf>
    <xf numFmtId="0" fontId="219" fillId="50" borderId="68" xfId="0" applyFont="1" applyFill="1" applyBorder="1" applyAlignment="1">
      <alignment horizontal="left" vertical="center"/>
    </xf>
    <xf numFmtId="0" fontId="234" fillId="0" borderId="0" xfId="0" applyFont="1" applyFill="1" applyBorder="1"/>
    <xf numFmtId="311" fontId="251" fillId="0" borderId="0" xfId="0" applyNumberFormat="1" applyFont="1" applyFill="1"/>
    <xf numFmtId="0" fontId="219" fillId="50" borderId="68" xfId="0" applyFont="1" applyFill="1" applyBorder="1"/>
    <xf numFmtId="0" fontId="219" fillId="50" borderId="68" xfId="0" quotePrefix="1" applyFont="1" applyFill="1" applyBorder="1" applyAlignment="1">
      <alignment horizontal="left" vertical="center"/>
    </xf>
    <xf numFmtId="314" fontId="222" fillId="50" borderId="68" xfId="2020" applyNumberFormat="1" applyFont="1" applyFill="1" applyBorder="1"/>
    <xf numFmtId="181" fontId="222" fillId="50" borderId="68" xfId="2016" applyNumberFormat="1" applyFont="1" applyFill="1" applyBorder="1"/>
    <xf numFmtId="314" fontId="219" fillId="50" borderId="68" xfId="2020" applyNumberFormat="1" applyFont="1" applyFill="1" applyBorder="1"/>
    <xf numFmtId="312" fontId="219" fillId="0" borderId="0" xfId="0" applyNumberFormat="1" applyFont="1" applyFill="1" applyAlignment="1">
      <alignment vertical="center"/>
    </xf>
    <xf numFmtId="191" fontId="222" fillId="50" borderId="68" xfId="2016" applyNumberFormat="1" applyFont="1" applyFill="1" applyBorder="1" applyAlignment="1">
      <alignment horizontal="center"/>
    </xf>
    <xf numFmtId="311" fontId="222" fillId="50" borderId="68" xfId="2016" applyNumberFormat="1" applyFont="1" applyFill="1" applyBorder="1" applyAlignment="1">
      <alignment horizontal="center"/>
    </xf>
    <xf numFmtId="0" fontId="219" fillId="50" borderId="68" xfId="0" quotePrefix="1" applyFont="1" applyFill="1" applyBorder="1" applyAlignment="1"/>
    <xf numFmtId="311" fontId="219" fillId="50" borderId="68" xfId="2020" applyNumberFormat="1" applyFont="1" applyFill="1" applyBorder="1" applyAlignment="1"/>
    <xf numFmtId="310" fontId="219" fillId="50" borderId="68" xfId="2020" applyNumberFormat="1" applyFont="1" applyFill="1" applyBorder="1" applyAlignment="1"/>
    <xf numFmtId="0" fontId="56" fillId="0" borderId="0" xfId="0" applyFont="1" applyFill="1" applyBorder="1" applyAlignment="1"/>
    <xf numFmtId="0" fontId="219" fillId="0" borderId="0" xfId="0" applyFont="1" applyFill="1" applyAlignment="1"/>
    <xf numFmtId="0" fontId="219" fillId="50" borderId="68" xfId="0" quotePrefix="1" applyFont="1" applyFill="1" applyBorder="1" applyAlignment="1">
      <alignment vertical="center"/>
    </xf>
    <xf numFmtId="0" fontId="219" fillId="50" borderId="68" xfId="0" applyFont="1" applyFill="1" applyBorder="1" applyAlignment="1">
      <alignment horizontal="left" vertical="center" wrapText="1"/>
    </xf>
    <xf numFmtId="0" fontId="222" fillId="50" borderId="68" xfId="0" applyFont="1" applyFill="1" applyBorder="1" applyAlignment="1">
      <alignment vertical="center"/>
    </xf>
    <xf numFmtId="310" fontId="222" fillId="50" borderId="68" xfId="0" applyNumberFormat="1" applyFont="1" applyFill="1" applyBorder="1" applyAlignment="1">
      <alignment horizontal="center" vertical="center"/>
    </xf>
    <xf numFmtId="310" fontId="222" fillId="50" borderId="68" xfId="0" applyNumberFormat="1" applyFont="1" applyFill="1" applyBorder="1" applyAlignment="1">
      <alignment vertical="center"/>
    </xf>
    <xf numFmtId="0" fontId="2" fillId="0" borderId="0" xfId="0" applyFont="1" applyFill="1" applyBorder="1"/>
    <xf numFmtId="0" fontId="222" fillId="50" borderId="68" xfId="0" applyFont="1" applyFill="1" applyBorder="1" applyAlignment="1">
      <alignment horizontal="center" vertical="center" wrapText="1"/>
    </xf>
    <xf numFmtId="0" fontId="222" fillId="50" borderId="68" xfId="0" applyFont="1" applyFill="1" applyBorder="1" applyAlignment="1">
      <alignment horizontal="left" vertical="center" wrapText="1"/>
    </xf>
    <xf numFmtId="310" fontId="219" fillId="50" borderId="68" xfId="2020" applyNumberFormat="1" applyFont="1" applyFill="1" applyBorder="1" applyAlignment="1">
      <alignment horizontal="center"/>
    </xf>
    <xf numFmtId="310" fontId="222" fillId="50" borderId="68" xfId="0" applyNumberFormat="1" applyFont="1" applyFill="1" applyBorder="1"/>
    <xf numFmtId="311" fontId="222" fillId="50" borderId="68" xfId="0" applyNumberFormat="1" applyFont="1" applyFill="1" applyBorder="1"/>
    <xf numFmtId="0" fontId="229" fillId="0" borderId="0" xfId="0" applyFont="1" applyFill="1" applyBorder="1"/>
    <xf numFmtId="310" fontId="219" fillId="50" borderId="68" xfId="2016" applyNumberFormat="1" applyFont="1" applyFill="1" applyBorder="1" applyAlignment="1">
      <alignment horizontal="center" vertical="center" wrapText="1"/>
    </xf>
    <xf numFmtId="0" fontId="222" fillId="50" borderId="68" xfId="0" applyFont="1" applyFill="1" applyBorder="1" applyAlignment="1">
      <alignment horizontal="center" vertical="center"/>
    </xf>
    <xf numFmtId="0" fontId="249" fillId="50" borderId="68" xfId="0" applyFont="1" applyFill="1" applyBorder="1" applyAlignment="1">
      <alignment vertical="center" wrapText="1"/>
    </xf>
    <xf numFmtId="310" fontId="222" fillId="50" borderId="68" xfId="2020" applyNumberFormat="1" applyFont="1" applyFill="1" applyBorder="1" applyAlignment="1">
      <alignment vertical="center"/>
    </xf>
    <xf numFmtId="311" fontId="222" fillId="50" borderId="68" xfId="2020" applyNumberFormat="1" applyFont="1" applyFill="1" applyBorder="1" applyAlignment="1">
      <alignment vertical="center"/>
    </xf>
    <xf numFmtId="310" fontId="222" fillId="50" borderId="68" xfId="2020" applyNumberFormat="1" applyFont="1" applyFill="1" applyBorder="1"/>
    <xf numFmtId="0" fontId="87" fillId="0" borderId="0" xfId="0" applyFont="1" applyFill="1" applyBorder="1"/>
    <xf numFmtId="217" fontId="222" fillId="50" borderId="68" xfId="2016" applyNumberFormat="1" applyFont="1" applyFill="1" applyBorder="1" applyAlignment="1">
      <alignment vertical="center"/>
    </xf>
    <xf numFmtId="0" fontId="219" fillId="50" borderId="68" xfId="0" applyFont="1" applyFill="1" applyBorder="1" applyAlignment="1">
      <alignment horizontal="center" vertical="center" wrapText="1"/>
    </xf>
    <xf numFmtId="43" fontId="219" fillId="50" borderId="68" xfId="2016" applyFont="1" applyFill="1" applyBorder="1"/>
    <xf numFmtId="315" fontId="219" fillId="50" borderId="68" xfId="2020" applyNumberFormat="1" applyFont="1" applyFill="1" applyBorder="1" applyAlignment="1">
      <alignment horizontal="center"/>
    </xf>
    <xf numFmtId="311" fontId="219" fillId="50" borderId="68" xfId="2020" applyNumberFormat="1" applyFont="1" applyFill="1" applyBorder="1" applyAlignment="1">
      <alignment horizontal="center"/>
    </xf>
    <xf numFmtId="217" fontId="222" fillId="50" borderId="68" xfId="2016" applyNumberFormat="1" applyFont="1" applyFill="1" applyBorder="1"/>
    <xf numFmtId="217" fontId="219" fillId="50" borderId="68" xfId="2016" applyNumberFormat="1" applyFont="1" applyFill="1" applyBorder="1" applyAlignment="1">
      <alignment horizontal="center" vertical="center"/>
    </xf>
    <xf numFmtId="0" fontId="252" fillId="0" borderId="0" xfId="0" applyFont="1" applyFill="1" applyBorder="1"/>
    <xf numFmtId="0" fontId="252" fillId="0" borderId="0" xfId="0" applyFont="1" applyFill="1"/>
    <xf numFmtId="0" fontId="222" fillId="50" borderId="68" xfId="0" quotePrefix="1" applyFont="1" applyFill="1" applyBorder="1" applyAlignment="1">
      <alignment horizontal="left" vertical="center" wrapText="1"/>
    </xf>
    <xf numFmtId="217" fontId="222" fillId="50" borderId="68" xfId="2016" applyNumberFormat="1" applyFont="1" applyFill="1" applyBorder="1" applyAlignment="1">
      <alignment horizontal="center" vertical="center"/>
    </xf>
    <xf numFmtId="192" fontId="251" fillId="0" borderId="0" xfId="0" applyNumberFormat="1" applyFont="1" applyFill="1" applyBorder="1"/>
    <xf numFmtId="192" fontId="253" fillId="0" borderId="0" xfId="0" applyNumberFormat="1" applyFont="1" applyFill="1"/>
    <xf numFmtId="0" fontId="253" fillId="0" borderId="0" xfId="0" applyFont="1" applyFill="1"/>
    <xf numFmtId="0" fontId="254" fillId="0" borderId="0" xfId="0" applyFont="1" applyFill="1"/>
    <xf numFmtId="192" fontId="252" fillId="50" borderId="0" xfId="0" applyNumberFormat="1" applyFont="1" applyFill="1" applyBorder="1"/>
    <xf numFmtId="192" fontId="252" fillId="50" borderId="0" xfId="0" applyNumberFormat="1" applyFont="1" applyFill="1"/>
    <xf numFmtId="0" fontId="252" fillId="50" borderId="0" xfId="0" applyFont="1" applyFill="1"/>
    <xf numFmtId="0" fontId="87" fillId="50" borderId="0" xfId="0" applyFont="1" applyFill="1"/>
    <xf numFmtId="0" fontId="255" fillId="50" borderId="0" xfId="0" applyFont="1" applyFill="1"/>
    <xf numFmtId="0" fontId="248" fillId="0" borderId="0" xfId="0" applyFont="1" applyFill="1" applyBorder="1"/>
    <xf numFmtId="0" fontId="256" fillId="0" borderId="0" xfId="0" applyFont="1" applyFill="1" applyBorder="1"/>
    <xf numFmtId="0" fontId="256" fillId="0" borderId="0" xfId="0" applyFont="1" applyFill="1"/>
    <xf numFmtId="310" fontId="219" fillId="50" borderId="68" xfId="2020" applyNumberFormat="1" applyFont="1" applyFill="1" applyBorder="1" applyAlignment="1">
      <alignment horizontal="right"/>
    </xf>
    <xf numFmtId="192" fontId="256" fillId="0" borderId="0" xfId="0" applyNumberFormat="1" applyFont="1" applyFill="1" applyBorder="1"/>
    <xf numFmtId="310" fontId="256" fillId="0" borderId="0" xfId="0" applyNumberFormat="1" applyFont="1" applyFill="1"/>
    <xf numFmtId="311" fontId="219" fillId="50" borderId="68" xfId="2020" applyNumberFormat="1" applyFont="1" applyFill="1" applyBorder="1" applyAlignment="1">
      <alignment horizontal="right"/>
    </xf>
    <xf numFmtId="0" fontId="257" fillId="50" borderId="68" xfId="0" applyFont="1" applyFill="1" applyBorder="1"/>
    <xf numFmtId="0" fontId="257" fillId="50" borderId="68" xfId="0" applyFont="1" applyFill="1" applyBorder="1" applyAlignment="1">
      <alignment horizontal="left" vertical="center" wrapText="1"/>
    </xf>
    <xf numFmtId="0" fontId="257" fillId="50" borderId="68" xfId="0" applyFont="1" applyFill="1" applyBorder="1" applyAlignment="1">
      <alignment horizontal="center"/>
    </xf>
    <xf numFmtId="0" fontId="258" fillId="0" borderId="0" xfId="0" applyFont="1" applyFill="1" applyBorder="1"/>
    <xf numFmtId="0" fontId="259" fillId="0" borderId="0" xfId="0" applyFont="1" applyFill="1"/>
    <xf numFmtId="311" fontId="222" fillId="50" borderId="68" xfId="2020" applyNumberFormat="1" applyFont="1" applyFill="1" applyBorder="1" applyAlignment="1">
      <alignment horizontal="right"/>
    </xf>
    <xf numFmtId="0" fontId="3" fillId="0" borderId="0" xfId="0" applyFont="1" applyFill="1" applyBorder="1"/>
    <xf numFmtId="0" fontId="260" fillId="0" borderId="0" xfId="0" applyFont="1" applyFill="1"/>
    <xf numFmtId="43" fontId="222" fillId="50" borderId="68" xfId="2016" applyFont="1" applyFill="1" applyBorder="1" applyAlignment="1">
      <alignment horizontal="left" vertical="center" wrapText="1"/>
    </xf>
    <xf numFmtId="0" fontId="219" fillId="50" borderId="68" xfId="0" quotePrefix="1" applyFont="1" applyFill="1" applyBorder="1" applyAlignment="1">
      <alignment horizontal="center" vertical="center" wrapText="1"/>
    </xf>
    <xf numFmtId="226" fontId="219" fillId="50" borderId="68" xfId="2016" applyNumberFormat="1" applyFont="1" applyFill="1" applyBorder="1" applyAlignment="1">
      <alignment horizontal="right"/>
    </xf>
    <xf numFmtId="0" fontId="219" fillId="50" borderId="69" xfId="0" quotePrefix="1" applyFont="1" applyFill="1" applyBorder="1" applyAlignment="1">
      <alignment horizontal="center" vertical="center" wrapText="1"/>
    </xf>
    <xf numFmtId="0" fontId="219" fillId="50" borderId="69" xfId="0" quotePrefix="1" applyFont="1" applyFill="1" applyBorder="1" applyAlignment="1">
      <alignment horizontal="left" vertical="center" wrapText="1"/>
    </xf>
    <xf numFmtId="0" fontId="219" fillId="50" borderId="69" xfId="0" applyFont="1" applyFill="1" applyBorder="1" applyAlignment="1">
      <alignment horizontal="center"/>
    </xf>
    <xf numFmtId="226" fontId="219" fillId="50" borderId="69" xfId="2016" applyNumberFormat="1" applyFont="1" applyFill="1" applyBorder="1"/>
    <xf numFmtId="310" fontId="219" fillId="50" borderId="69" xfId="2020" applyNumberFormat="1" applyFont="1" applyFill="1" applyBorder="1" applyAlignment="1">
      <alignment horizontal="right"/>
    </xf>
    <xf numFmtId="311" fontId="219" fillId="50" borderId="69" xfId="2020" applyNumberFormat="1" applyFont="1" applyFill="1" applyBorder="1"/>
    <xf numFmtId="0" fontId="219" fillId="50" borderId="69" xfId="0" applyFont="1" applyFill="1" applyBorder="1"/>
    <xf numFmtId="310" fontId="219" fillId="50" borderId="69" xfId="2020" applyNumberFormat="1" applyFont="1" applyFill="1" applyBorder="1"/>
    <xf numFmtId="0" fontId="245" fillId="0" borderId="0" xfId="0" applyFont="1" applyFill="1" applyAlignment="1">
      <alignment horizontal="center"/>
    </xf>
    <xf numFmtId="217" fontId="243" fillId="0" borderId="0" xfId="0" applyNumberFormat="1" applyFont="1" applyFill="1"/>
    <xf numFmtId="0" fontId="243" fillId="50" borderId="0" xfId="0" applyFont="1" applyFill="1"/>
    <xf numFmtId="313" fontId="243" fillId="0" borderId="0" xfId="0" applyNumberFormat="1" applyFont="1" applyFill="1"/>
    <xf numFmtId="0" fontId="245" fillId="50" borderId="0" xfId="0" applyFont="1" applyFill="1"/>
    <xf numFmtId="0" fontId="222" fillId="0" borderId="0" xfId="918" applyFont="1" applyFill="1" applyAlignment="1">
      <alignment vertical="center"/>
    </xf>
    <xf numFmtId="0" fontId="56" fillId="0" borderId="76" xfId="0" applyFont="1" applyFill="1" applyBorder="1" applyAlignment="1">
      <alignment horizontal="center" vertical="center" wrapText="1"/>
    </xf>
    <xf numFmtId="0" fontId="222" fillId="50" borderId="21" xfId="0" applyFont="1" applyFill="1" applyBorder="1"/>
    <xf numFmtId="0" fontId="222" fillId="50" borderId="21" xfId="0" applyFont="1" applyFill="1" applyBorder="1" applyAlignment="1">
      <alignment horizontal="center"/>
    </xf>
    <xf numFmtId="3" fontId="222" fillId="50" borderId="21" xfId="0" applyNumberFormat="1" applyFont="1" applyFill="1" applyBorder="1" applyAlignment="1">
      <alignment horizontal="center"/>
    </xf>
    <xf numFmtId="311" fontId="222" fillId="50" borderId="21" xfId="2020" applyNumberFormat="1" applyFont="1" applyFill="1" applyBorder="1"/>
    <xf numFmtId="0" fontId="219" fillId="50" borderId="76" xfId="0" applyFont="1" applyFill="1" applyBorder="1" applyAlignment="1">
      <alignment horizontal="center" vertical="center"/>
    </xf>
    <xf numFmtId="0" fontId="219" fillId="50" borderId="76" xfId="0" applyFont="1" applyFill="1" applyBorder="1" applyAlignment="1">
      <alignment horizontal="center" vertical="center" wrapText="1"/>
    </xf>
    <xf numFmtId="310" fontId="219" fillId="50" borderId="76" xfId="0" applyNumberFormat="1" applyFont="1" applyFill="1" applyBorder="1" applyAlignment="1">
      <alignment horizontal="center" vertical="center" wrapText="1"/>
    </xf>
    <xf numFmtId="43" fontId="226" fillId="50" borderId="68" xfId="1000" applyFont="1" applyFill="1" applyBorder="1" applyAlignment="1">
      <alignment vertical="center" wrapText="1"/>
    </xf>
    <xf numFmtId="191" fontId="261" fillId="27" borderId="68" xfId="1000" applyNumberFormat="1" applyFont="1" applyFill="1" applyBorder="1" applyAlignment="1">
      <alignment horizontal="center" vertical="center" wrapText="1"/>
    </xf>
    <xf numFmtId="167" fontId="256" fillId="0" borderId="52" xfId="943" applyNumberFormat="1" applyFont="1" applyBorder="1"/>
    <xf numFmtId="43" fontId="226" fillId="50" borderId="68" xfId="1000" applyFont="1" applyFill="1" applyBorder="1" applyAlignment="1">
      <alignment vertical="center"/>
    </xf>
    <xf numFmtId="43" fontId="225" fillId="50" borderId="68" xfId="1000" applyFont="1" applyFill="1" applyBorder="1" applyAlignment="1">
      <alignment vertical="center"/>
    </xf>
    <xf numFmtId="167" fontId="226" fillId="50" borderId="68" xfId="1000" quotePrefix="1" applyNumberFormat="1" applyFont="1" applyFill="1" applyBorder="1" applyAlignment="1">
      <alignment horizontal="center" vertical="center"/>
    </xf>
    <xf numFmtId="43" fontId="240" fillId="50" borderId="0" xfId="1000" applyFont="1" applyFill="1" applyAlignment="1">
      <alignment vertical="center"/>
    </xf>
    <xf numFmtId="167" fontId="226" fillId="50" borderId="69" xfId="1000" applyNumberFormat="1" applyFont="1" applyFill="1" applyBorder="1" applyAlignment="1">
      <alignment horizontal="center" vertical="center"/>
    </xf>
    <xf numFmtId="43" fontId="226" fillId="50" borderId="69" xfId="1000" applyFont="1" applyFill="1" applyBorder="1" applyAlignment="1">
      <alignment vertical="center" wrapText="1"/>
    </xf>
    <xf numFmtId="0" fontId="222" fillId="50" borderId="68" xfId="0" applyFont="1" applyFill="1" applyBorder="1" applyAlignment="1"/>
    <xf numFmtId="192" fontId="234" fillId="0" borderId="0" xfId="0" applyNumberFormat="1" applyFont="1" applyFill="1" applyBorder="1" applyAlignment="1"/>
    <xf numFmtId="0" fontId="222" fillId="0" borderId="0" xfId="0" applyFont="1" applyFill="1" applyAlignment="1"/>
    <xf numFmtId="0" fontId="251" fillId="0" borderId="0" xfId="0" applyFont="1" applyFill="1" applyAlignment="1"/>
    <xf numFmtId="0" fontId="222" fillId="50" borderId="68" xfId="0" applyFont="1" applyFill="1" applyBorder="1" applyAlignment="1">
      <alignment horizontal="left"/>
    </xf>
    <xf numFmtId="0" fontId="228" fillId="27" borderId="68" xfId="0" applyFont="1" applyFill="1" applyBorder="1" applyAlignment="1">
      <alignment vertical="center"/>
    </xf>
    <xf numFmtId="0" fontId="228" fillId="27" borderId="0" xfId="0" applyFont="1" applyFill="1" applyAlignment="1">
      <alignment vertical="center"/>
    </xf>
    <xf numFmtId="0" fontId="241" fillId="50" borderId="68" xfId="969" applyNumberFormat="1" applyFont="1" applyFill="1" applyBorder="1" applyAlignment="1">
      <alignment horizontal="left" vertical="center" wrapText="1"/>
    </xf>
    <xf numFmtId="43" fontId="226" fillId="50" borderId="72" xfId="1000" applyFont="1" applyFill="1" applyBorder="1" applyAlignment="1">
      <alignment horizontal="center" vertical="center" wrapText="1"/>
    </xf>
    <xf numFmtId="43" fontId="225" fillId="50" borderId="0" xfId="1000" applyFont="1" applyFill="1" applyAlignment="1">
      <alignment horizontal="center"/>
    </xf>
    <xf numFmtId="43" fontId="232" fillId="50" borderId="50" xfId="1000" applyFont="1" applyFill="1" applyBorder="1" applyAlignment="1">
      <alignment horizontal="center"/>
    </xf>
    <xf numFmtId="167" fontId="230" fillId="50" borderId="0" xfId="2016" applyNumberFormat="1" applyFont="1" applyFill="1"/>
    <xf numFmtId="43" fontId="28" fillId="50" borderId="0" xfId="2016" applyFont="1" applyFill="1" applyAlignment="1">
      <alignment horizontal="center"/>
    </xf>
    <xf numFmtId="167" fontId="28" fillId="50" borderId="0" xfId="2016" applyNumberFormat="1" applyFont="1" applyFill="1" applyAlignment="1">
      <alignment horizontal="center"/>
    </xf>
    <xf numFmtId="43" fontId="28" fillId="50" borderId="0" xfId="2016" applyFont="1" applyFill="1"/>
    <xf numFmtId="167" fontId="28" fillId="50" borderId="50" xfId="2016" applyNumberFormat="1" applyFont="1" applyFill="1" applyBorder="1" applyAlignment="1">
      <alignment horizontal="left"/>
    </xf>
    <xf numFmtId="305" fontId="28" fillId="50" borderId="50" xfId="2016" applyNumberFormat="1" applyFont="1" applyFill="1" applyBorder="1"/>
    <xf numFmtId="167" fontId="28" fillId="50" borderId="50" xfId="2016" applyNumberFormat="1" applyFont="1" applyFill="1" applyBorder="1"/>
    <xf numFmtId="43" fontId="230" fillId="50" borderId="50" xfId="2016" applyFont="1" applyFill="1" applyBorder="1" applyAlignment="1">
      <alignment horizontal="center"/>
    </xf>
    <xf numFmtId="43" fontId="230" fillId="50" borderId="50" xfId="2016" applyFont="1" applyFill="1" applyBorder="1"/>
    <xf numFmtId="181" fontId="28" fillId="50" borderId="50" xfId="2016" applyNumberFormat="1" applyFont="1" applyFill="1" applyBorder="1" applyAlignment="1">
      <alignment horizontal="center"/>
    </xf>
    <xf numFmtId="307" fontId="28" fillId="50" borderId="50" xfId="2016" applyNumberFormat="1" applyFont="1" applyFill="1" applyBorder="1"/>
    <xf numFmtId="43" fontId="28" fillId="50" borderId="50" xfId="2016" applyFont="1" applyFill="1" applyBorder="1" applyAlignment="1">
      <alignment horizontal="center"/>
    </xf>
    <xf numFmtId="43" fontId="28" fillId="50" borderId="0" xfId="2016" applyFont="1" applyFill="1" applyAlignment="1">
      <alignment horizontal="left"/>
    </xf>
    <xf numFmtId="43" fontId="28" fillId="50" borderId="0" xfId="2016" applyFont="1" applyFill="1" applyAlignment="1">
      <alignment horizontal="center" vertical="center"/>
    </xf>
    <xf numFmtId="167" fontId="28" fillId="50" borderId="76" xfId="2016" applyNumberFormat="1" applyFont="1" applyFill="1" applyBorder="1" applyAlignment="1">
      <alignment horizontal="center" vertical="center"/>
    </xf>
    <xf numFmtId="43" fontId="28" fillId="50" borderId="76" xfId="2016" applyFont="1" applyFill="1" applyBorder="1" applyAlignment="1">
      <alignment horizontal="center" vertical="center"/>
    </xf>
    <xf numFmtId="167" fontId="28" fillId="50" borderId="76" xfId="2016" applyNumberFormat="1" applyFont="1" applyFill="1" applyBorder="1" applyAlignment="1">
      <alignment vertical="center"/>
    </xf>
    <xf numFmtId="167" fontId="28" fillId="50" borderId="76" xfId="2016" quotePrefix="1" applyNumberFormat="1" applyFont="1" applyFill="1" applyBorder="1" applyAlignment="1">
      <alignment vertical="center"/>
    </xf>
    <xf numFmtId="167" fontId="241" fillId="50" borderId="21" xfId="2016" applyNumberFormat="1" applyFont="1" applyFill="1" applyBorder="1" applyAlignment="1">
      <alignment horizontal="center" vertical="center"/>
    </xf>
    <xf numFmtId="166" fontId="241" fillId="50" borderId="21" xfId="2016" applyNumberFormat="1" applyFont="1" applyFill="1" applyBorder="1" applyAlignment="1">
      <alignment horizontal="left" vertical="center"/>
    </xf>
    <xf numFmtId="167" fontId="241" fillId="50" borderId="21" xfId="2016" applyNumberFormat="1" applyFont="1" applyFill="1" applyBorder="1" applyAlignment="1">
      <alignment horizontal="right" vertical="center"/>
    </xf>
    <xf numFmtId="43" fontId="241" fillId="50" borderId="21" xfId="2016" applyFont="1" applyFill="1" applyBorder="1" applyAlignment="1">
      <alignment horizontal="center" vertical="center"/>
    </xf>
    <xf numFmtId="167" fontId="241" fillId="50" borderId="21" xfId="2016" applyNumberFormat="1" applyFont="1" applyFill="1" applyBorder="1" applyAlignment="1">
      <alignment horizontal="center" vertical="center" wrapText="1"/>
    </xf>
    <xf numFmtId="43" fontId="231" fillId="50" borderId="0" xfId="2016" applyNumberFormat="1" applyFont="1" applyFill="1"/>
    <xf numFmtId="167" fontId="231" fillId="50" borderId="0" xfId="2016" applyNumberFormat="1" applyFont="1" applyFill="1"/>
    <xf numFmtId="167" fontId="241" fillId="50" borderId="68" xfId="2016" applyNumberFormat="1" applyFont="1" applyFill="1" applyBorder="1" applyAlignment="1">
      <alignment horizontal="center" vertical="center"/>
    </xf>
    <xf numFmtId="43" fontId="241" fillId="50" borderId="68" xfId="2016" applyFont="1" applyFill="1" applyBorder="1" applyAlignment="1">
      <alignment horizontal="left" vertical="center"/>
    </xf>
    <xf numFmtId="167" fontId="241" fillId="50" borderId="68" xfId="2016" applyNumberFormat="1" applyFont="1" applyFill="1" applyBorder="1" applyAlignment="1">
      <alignment horizontal="right" vertical="center"/>
    </xf>
    <xf numFmtId="43" fontId="241" fillId="50" borderId="68" xfId="2016" applyFont="1" applyFill="1" applyBorder="1" applyAlignment="1">
      <alignment horizontal="center" vertical="center"/>
    </xf>
    <xf numFmtId="43" fontId="241" fillId="50" borderId="68" xfId="2016" applyFont="1" applyFill="1" applyBorder="1" applyAlignment="1">
      <alignment horizontal="right" vertical="center"/>
    </xf>
    <xf numFmtId="43" fontId="241" fillId="50" borderId="68" xfId="2016" applyFont="1" applyFill="1" applyBorder="1" applyAlignment="1">
      <alignment horizontal="center" vertical="center" wrapText="1"/>
    </xf>
    <xf numFmtId="43" fontId="230" fillId="50" borderId="0" xfId="2016" applyFont="1" applyFill="1"/>
    <xf numFmtId="43" fontId="241" fillId="50" borderId="68" xfId="2016" applyFont="1" applyFill="1" applyBorder="1" applyAlignment="1">
      <alignment horizontal="left" vertical="center" wrapText="1"/>
    </xf>
    <xf numFmtId="167" fontId="241" fillId="50" borderId="68" xfId="2016" quotePrefix="1" applyNumberFormat="1" applyFont="1" applyFill="1" applyBorder="1" applyAlignment="1">
      <alignment horizontal="center" vertical="center"/>
    </xf>
    <xf numFmtId="165" fontId="241" fillId="50" borderId="68" xfId="2016" quotePrefix="1" applyNumberFormat="1" applyFont="1" applyFill="1" applyBorder="1" applyAlignment="1">
      <alignment horizontal="right" vertical="center"/>
    </xf>
    <xf numFmtId="43" fontId="231" fillId="50" borderId="0" xfId="2016" applyFont="1" applyFill="1"/>
    <xf numFmtId="43" fontId="241" fillId="50" borderId="68" xfId="2016" applyFont="1" applyFill="1" applyBorder="1" applyAlignment="1">
      <alignment vertical="center" wrapText="1"/>
    </xf>
    <xf numFmtId="43" fontId="230" fillId="50" borderId="0" xfId="2016" applyFont="1" applyFill="1" applyAlignment="1">
      <alignment vertical="center"/>
    </xf>
    <xf numFmtId="43" fontId="241" fillId="50" borderId="68" xfId="2016" applyFont="1" applyFill="1" applyBorder="1" applyAlignment="1">
      <alignment wrapText="1"/>
    </xf>
    <xf numFmtId="190" fontId="241" fillId="50" borderId="68" xfId="2016" applyNumberFormat="1" applyFont="1" applyFill="1" applyBorder="1" applyAlignment="1">
      <alignment horizontal="center" vertical="center"/>
    </xf>
    <xf numFmtId="43" fontId="239" fillId="50" borderId="0" xfId="2016" applyFont="1" applyFill="1"/>
    <xf numFmtId="43" fontId="230" fillId="50" borderId="52" xfId="2016" applyFont="1" applyFill="1" applyBorder="1" applyAlignment="1">
      <alignment horizontal="right" vertical="center"/>
    </xf>
    <xf numFmtId="0" fontId="241" fillId="50" borderId="68" xfId="2016" applyNumberFormat="1" applyFont="1" applyFill="1" applyBorder="1" applyAlignment="1">
      <alignment horizontal="left" vertical="center" wrapText="1"/>
    </xf>
    <xf numFmtId="43" fontId="241" fillId="50" borderId="68" xfId="2016" quotePrefix="1" applyFont="1" applyFill="1" applyBorder="1" applyAlignment="1">
      <alignment horizontal="left" vertical="center" wrapText="1"/>
    </xf>
    <xf numFmtId="43" fontId="230" fillId="50" borderId="63" xfId="2016" applyFont="1" applyFill="1" applyBorder="1" applyAlignment="1">
      <alignment horizontal="left" vertical="center"/>
    </xf>
    <xf numFmtId="9" fontId="241" fillId="50" borderId="68" xfId="2021" applyFont="1" applyFill="1" applyBorder="1" applyAlignment="1">
      <alignment horizontal="right" vertical="center"/>
    </xf>
    <xf numFmtId="217" fontId="241" fillId="50" borderId="68" xfId="2016" applyNumberFormat="1" applyFont="1" applyFill="1" applyBorder="1" applyAlignment="1">
      <alignment horizontal="right" vertical="center"/>
    </xf>
    <xf numFmtId="166" fontId="241" fillId="50" borderId="68" xfId="2016" applyNumberFormat="1" applyFont="1" applyFill="1" applyBorder="1" applyAlignment="1">
      <alignment horizontal="right" vertical="center"/>
    </xf>
    <xf numFmtId="43" fontId="241" fillId="50" borderId="68" xfId="2016" applyFont="1" applyFill="1" applyBorder="1" applyAlignment="1">
      <alignment horizontal="center" wrapText="1"/>
    </xf>
    <xf numFmtId="167" fontId="241" fillId="50" borderId="68" xfId="2016" quotePrefix="1" applyNumberFormat="1" applyFont="1" applyFill="1" applyBorder="1" applyAlignment="1">
      <alignment horizontal="right" vertical="center"/>
    </xf>
    <xf numFmtId="43" fontId="242" fillId="50" borderId="68" xfId="2016" applyFont="1" applyFill="1" applyBorder="1" applyAlignment="1">
      <alignment horizontal="center" vertical="center" wrapText="1"/>
    </xf>
    <xf numFmtId="43" fontId="241" fillId="50" borderId="0" xfId="2016" applyFont="1" applyFill="1"/>
    <xf numFmtId="167" fontId="241" fillId="50" borderId="69" xfId="2016" applyNumberFormat="1" applyFont="1" applyFill="1" applyBorder="1" applyAlignment="1">
      <alignment horizontal="left" vertical="center"/>
    </xf>
    <xf numFmtId="43" fontId="241" fillId="50" borderId="69" xfId="2016" applyFont="1" applyFill="1" applyBorder="1" applyAlignment="1">
      <alignment horizontal="center" vertical="center"/>
    </xf>
    <xf numFmtId="167" fontId="241" fillId="50" borderId="69" xfId="2016" applyNumberFormat="1" applyFont="1" applyFill="1" applyBorder="1" applyAlignment="1">
      <alignment horizontal="right" vertical="center"/>
    </xf>
    <xf numFmtId="43" fontId="241" fillId="50" borderId="69" xfId="2016" applyFont="1" applyFill="1" applyBorder="1" applyAlignment="1">
      <alignment horizontal="center" vertical="center" wrapText="1"/>
    </xf>
    <xf numFmtId="167" fontId="28" fillId="50" borderId="0" xfId="2016" applyNumberFormat="1" applyFont="1" applyFill="1"/>
    <xf numFmtId="43" fontId="230" fillId="50" borderId="0" xfId="2016" applyFont="1" applyFill="1" applyAlignment="1">
      <alignment horizontal="center"/>
    </xf>
    <xf numFmtId="43" fontId="225" fillId="50" borderId="76" xfId="1000" applyFont="1" applyFill="1" applyBorder="1" applyAlignment="1">
      <alignment horizontal="center" vertical="center" wrapText="1"/>
    </xf>
    <xf numFmtId="167" fontId="226" fillId="50" borderId="30" xfId="2016" applyNumberFormat="1" applyFont="1" applyFill="1" applyBorder="1" applyAlignment="1">
      <alignment vertical="center"/>
    </xf>
    <xf numFmtId="43" fontId="226" fillId="50" borderId="30" xfId="2016" applyNumberFormat="1" applyFont="1" applyFill="1" applyBorder="1" applyAlignment="1">
      <alignment vertical="center"/>
    </xf>
    <xf numFmtId="167" fontId="226" fillId="50" borderId="68" xfId="2016" applyNumberFormat="1" applyFont="1" applyFill="1" applyBorder="1" applyAlignment="1">
      <alignment vertical="center"/>
    </xf>
    <xf numFmtId="43" fontId="226" fillId="50" borderId="68" xfId="2016" applyNumberFormat="1" applyFont="1" applyFill="1" applyBorder="1" applyAlignment="1">
      <alignment vertical="center"/>
    </xf>
    <xf numFmtId="43" fontId="225" fillId="50" borderId="68" xfId="2016" applyNumberFormat="1" applyFont="1" applyFill="1" applyBorder="1" applyAlignment="1">
      <alignment vertical="center"/>
    </xf>
    <xf numFmtId="167" fontId="225" fillId="50" borderId="68" xfId="2016" applyNumberFormat="1" applyFont="1" applyFill="1" applyBorder="1" applyAlignment="1">
      <alignment vertical="center"/>
    </xf>
    <xf numFmtId="43" fontId="232" fillId="50" borderId="68" xfId="2016" applyNumberFormat="1" applyFont="1" applyFill="1" applyBorder="1" applyAlignment="1">
      <alignment vertical="center"/>
    </xf>
    <xf numFmtId="167" fontId="226" fillId="50" borderId="69" xfId="2016" applyNumberFormat="1" applyFont="1" applyFill="1" applyBorder="1" applyAlignment="1">
      <alignment vertical="center"/>
    </xf>
    <xf numFmtId="43" fontId="226" fillId="50" borderId="69" xfId="2016" applyNumberFormat="1" applyFont="1" applyFill="1" applyBorder="1" applyAlignment="1">
      <alignment vertical="center"/>
    </xf>
    <xf numFmtId="0" fontId="229" fillId="0" borderId="0" xfId="0" applyFont="1" applyAlignment="1">
      <alignment vertical="center" wrapText="1"/>
    </xf>
    <xf numFmtId="0" fontId="4" fillId="0" borderId="0" xfId="0" applyFont="1" applyAlignment="1">
      <alignment horizontal="center" vertical="center" wrapText="1"/>
    </xf>
    <xf numFmtId="0" fontId="2" fillId="0" borderId="0" xfId="0" applyFont="1" applyAlignment="1">
      <alignment horizontal="center" vertical="center" wrapText="1"/>
    </xf>
    <xf numFmtId="0" fontId="229" fillId="0" borderId="0" xfId="1219" applyFont="1" applyAlignment="1">
      <alignment horizontal="center" vertical="center"/>
    </xf>
    <xf numFmtId="0" fontId="2" fillId="0" borderId="70" xfId="0" applyFont="1" applyBorder="1" applyAlignment="1">
      <alignment horizontal="center" vertical="center" wrapText="1"/>
    </xf>
    <xf numFmtId="166" fontId="2" fillId="50" borderId="70" xfId="943" applyNumberFormat="1" applyFont="1" applyFill="1" applyBorder="1" applyAlignment="1">
      <alignment horizontal="center" vertical="center" wrapText="1"/>
    </xf>
    <xf numFmtId="0" fontId="4" fillId="0" borderId="50" xfId="0" applyFont="1" applyBorder="1" applyAlignment="1">
      <alignment horizontal="center" vertical="center"/>
    </xf>
    <xf numFmtId="166" fontId="234" fillId="0" borderId="70" xfId="943" applyNumberFormat="1" applyFont="1" applyBorder="1" applyAlignment="1">
      <alignment horizontal="center" vertical="center" wrapText="1"/>
    </xf>
    <xf numFmtId="166" fontId="56" fillId="0" borderId="0" xfId="943" applyNumberFormat="1" applyFont="1" applyAlignment="1">
      <alignment horizontal="center" vertical="center"/>
    </xf>
    <xf numFmtId="166" fontId="234" fillId="0" borderId="0" xfId="943" applyNumberFormat="1" applyFont="1" applyAlignment="1">
      <alignment horizontal="center" vertical="center" wrapText="1"/>
    </xf>
    <xf numFmtId="166" fontId="235" fillId="0" borderId="0" xfId="943" applyNumberFormat="1" applyFont="1" applyAlignment="1">
      <alignment horizontal="center" vertical="center" wrapText="1"/>
    </xf>
    <xf numFmtId="190" fontId="234" fillId="0" borderId="0" xfId="943" applyNumberFormat="1" applyFont="1" applyAlignment="1">
      <alignment horizontal="center" vertical="center"/>
    </xf>
    <xf numFmtId="167" fontId="234" fillId="0" borderId="0" xfId="943" applyNumberFormat="1" applyFont="1" applyAlignment="1">
      <alignment horizontal="left" vertical="center"/>
    </xf>
    <xf numFmtId="167" fontId="56" fillId="0" borderId="0" xfId="943" applyNumberFormat="1" applyFont="1" applyAlignment="1">
      <alignment vertical="center" wrapText="1"/>
    </xf>
    <xf numFmtId="167" fontId="234" fillId="0" borderId="70" xfId="943" applyNumberFormat="1" applyFont="1" applyBorder="1" applyAlignment="1">
      <alignment horizontal="center" vertical="center" wrapText="1"/>
    </xf>
    <xf numFmtId="190" fontId="234" fillId="0" borderId="70" xfId="943" applyNumberFormat="1" applyFont="1" applyBorder="1" applyAlignment="1">
      <alignment horizontal="center" vertical="center" wrapText="1"/>
    </xf>
    <xf numFmtId="167" fontId="229" fillId="0" borderId="0" xfId="943" applyNumberFormat="1" applyFont="1" applyAlignment="1">
      <alignment horizontal="center" vertical="center" wrapText="1"/>
    </xf>
    <xf numFmtId="167" fontId="4" fillId="0" borderId="0" xfId="943" applyNumberFormat="1" applyFont="1" applyAlignment="1">
      <alignment horizontal="center" vertical="center" wrapText="1"/>
    </xf>
    <xf numFmtId="167" fontId="2" fillId="0" borderId="0" xfId="943" applyNumberFormat="1" applyFont="1" applyAlignment="1">
      <alignment horizontal="center" vertical="center" wrapText="1"/>
    </xf>
    <xf numFmtId="167" fontId="229" fillId="0" borderId="0" xfId="943" applyNumberFormat="1" applyFont="1" applyAlignment="1">
      <alignment horizontal="center" vertical="center"/>
    </xf>
    <xf numFmtId="167" fontId="2" fillId="0" borderId="67" xfId="943" applyNumberFormat="1" applyFont="1" applyBorder="1" applyAlignment="1">
      <alignment horizontal="center" vertical="center" wrapText="1"/>
    </xf>
    <xf numFmtId="167" fontId="2" fillId="0" borderId="12" xfId="943" applyNumberFormat="1" applyFont="1" applyBorder="1" applyAlignment="1">
      <alignment horizontal="center" vertical="center"/>
    </xf>
    <xf numFmtId="167" fontId="2" fillId="0" borderId="1" xfId="943" applyNumberFormat="1" applyFont="1" applyBorder="1" applyAlignment="1">
      <alignment horizontal="center" vertical="center" wrapText="1"/>
    </xf>
    <xf numFmtId="167" fontId="2" fillId="0" borderId="57" xfId="943" applyNumberFormat="1" applyFont="1" applyBorder="1" applyAlignment="1">
      <alignment horizontal="center" vertical="center" wrapText="1"/>
    </xf>
    <xf numFmtId="43" fontId="2" fillId="0" borderId="1" xfId="943" applyFont="1" applyBorder="1" applyAlignment="1">
      <alignment horizontal="center" vertical="center" wrapText="1"/>
    </xf>
    <xf numFmtId="43" fontId="2" fillId="0" borderId="57" xfId="943" applyFont="1" applyBorder="1" applyAlignment="1">
      <alignment horizontal="center" vertical="center" wrapText="1"/>
    </xf>
    <xf numFmtId="167" fontId="2" fillId="0" borderId="59" xfId="943" applyNumberFormat="1" applyFont="1" applyBorder="1" applyAlignment="1">
      <alignment horizontal="center" vertical="center" wrapText="1"/>
    </xf>
    <xf numFmtId="167" fontId="2" fillId="0" borderId="60" xfId="943" applyNumberFormat="1" applyFont="1" applyBorder="1" applyAlignment="1">
      <alignment horizontal="center" vertical="center" wrapText="1"/>
    </xf>
    <xf numFmtId="167" fontId="2" fillId="0" borderId="58" xfId="943" applyNumberFormat="1" applyFont="1" applyBorder="1" applyAlignment="1">
      <alignment horizontal="center" vertical="center" wrapText="1"/>
    </xf>
    <xf numFmtId="167" fontId="2" fillId="0" borderId="12" xfId="943" applyNumberFormat="1" applyFont="1" applyBorder="1" applyAlignment="1">
      <alignment horizontal="center" vertical="center" wrapText="1"/>
    </xf>
    <xf numFmtId="167" fontId="2" fillId="0" borderId="10" xfId="943" applyNumberFormat="1" applyFont="1" applyBorder="1" applyAlignment="1">
      <alignment horizontal="center" vertical="center" wrapText="1"/>
    </xf>
    <xf numFmtId="43" fontId="229" fillId="0" borderId="62" xfId="943" applyFont="1" applyBorder="1" applyAlignment="1">
      <alignment horizontal="center" vertical="center" wrapText="1"/>
    </xf>
    <xf numFmtId="43" fontId="229" fillId="0" borderId="56" xfId="943" applyFont="1" applyBorder="1" applyAlignment="1">
      <alignment horizontal="center" vertical="center" wrapText="1"/>
    </xf>
    <xf numFmtId="190" fontId="229" fillId="0" borderId="58" xfId="943" applyNumberFormat="1" applyFont="1" applyBorder="1" applyAlignment="1">
      <alignment horizontal="center" vertical="center" wrapText="1"/>
    </xf>
    <xf numFmtId="190" fontId="229" fillId="0" borderId="10" xfId="943" applyNumberFormat="1" applyFont="1" applyBorder="1" applyAlignment="1">
      <alignment horizontal="center" vertical="center" wrapText="1"/>
    </xf>
    <xf numFmtId="167" fontId="229" fillId="0" borderId="62" xfId="943" applyNumberFormat="1" applyFont="1" applyBorder="1" applyAlignment="1">
      <alignment horizontal="center" vertical="center" wrapText="1"/>
    </xf>
    <xf numFmtId="167" fontId="229" fillId="0" borderId="56" xfId="943" applyNumberFormat="1" applyFont="1" applyBorder="1" applyAlignment="1">
      <alignment horizontal="center" vertical="center" wrapText="1"/>
    </xf>
    <xf numFmtId="167" fontId="229" fillId="0" borderId="27" xfId="943" applyNumberFormat="1" applyFont="1" applyBorder="1" applyAlignment="1">
      <alignment horizontal="center" vertical="center" wrapText="1"/>
    </xf>
    <xf numFmtId="167" fontId="229" fillId="0" borderId="10" xfId="943" applyNumberFormat="1" applyFont="1" applyBorder="1" applyAlignment="1">
      <alignment horizontal="center" vertical="center" wrapText="1"/>
    </xf>
    <xf numFmtId="167" fontId="4" fillId="0" borderId="50" xfId="943" applyNumberFormat="1" applyFont="1" applyBorder="1" applyAlignment="1">
      <alignment horizontal="center" vertical="center"/>
    </xf>
    <xf numFmtId="167" fontId="2" fillId="0" borderId="0" xfId="943" applyNumberFormat="1" applyFont="1" applyAlignment="1">
      <alignment horizontal="center" vertical="center"/>
    </xf>
    <xf numFmtId="167" fontId="229" fillId="0" borderId="0" xfId="943" applyNumberFormat="1" applyFont="1" applyBorder="1" applyAlignment="1">
      <alignment horizontal="center" vertical="center"/>
    </xf>
    <xf numFmtId="167" fontId="2" fillId="0" borderId="0" xfId="943" applyNumberFormat="1" applyFont="1" applyBorder="1" applyAlignment="1">
      <alignment horizontal="center" vertical="center"/>
    </xf>
    <xf numFmtId="0" fontId="228" fillId="0" borderId="0" xfId="0" applyFont="1" applyBorder="1" applyAlignment="1">
      <alignment horizontal="left" vertical="center" wrapText="1"/>
    </xf>
    <xf numFmtId="0" fontId="236" fillId="0" borderId="50" xfId="0" applyFont="1" applyBorder="1" applyAlignment="1">
      <alignment horizontal="right" vertical="center"/>
    </xf>
    <xf numFmtId="0" fontId="210" fillId="0" borderId="0" xfId="0" applyFont="1" applyAlignment="1">
      <alignment horizontal="center" vertical="center" wrapText="1"/>
    </xf>
    <xf numFmtId="0" fontId="228" fillId="27" borderId="27" xfId="0" applyFont="1" applyFill="1" applyBorder="1" applyAlignment="1">
      <alignment horizontal="center" vertical="center" wrapText="1"/>
    </xf>
    <xf numFmtId="0" fontId="228" fillId="27" borderId="10" xfId="0" applyFont="1" applyFill="1" applyBorder="1" applyAlignment="1">
      <alignment horizontal="center" vertical="center" wrapText="1"/>
    </xf>
    <xf numFmtId="0" fontId="228" fillId="27" borderId="53" xfId="0" applyFont="1" applyFill="1" applyBorder="1" applyAlignment="1">
      <alignment horizontal="center" vertical="center" wrapText="1"/>
    </xf>
    <xf numFmtId="0" fontId="228" fillId="27" borderId="54" xfId="0" applyFont="1" applyFill="1" applyBorder="1" applyAlignment="1">
      <alignment horizontal="center" vertical="center" wrapText="1"/>
    </xf>
    <xf numFmtId="0" fontId="228" fillId="0" borderId="67" xfId="0" applyFont="1" applyBorder="1" applyAlignment="1">
      <alignment horizontal="center" vertical="center" wrapText="1"/>
    </xf>
    <xf numFmtId="0" fontId="228" fillId="0" borderId="12" xfId="0" applyFont="1" applyBorder="1" applyAlignment="1">
      <alignment horizontal="center" vertical="center"/>
    </xf>
    <xf numFmtId="0" fontId="228" fillId="0" borderId="0" xfId="0" applyFont="1" applyAlignment="1">
      <alignment horizontal="center" vertical="center"/>
    </xf>
    <xf numFmtId="0" fontId="236" fillId="0" borderId="0" xfId="0" applyFont="1" applyAlignment="1">
      <alignment horizontal="center" vertical="center" wrapText="1"/>
    </xf>
    <xf numFmtId="0" fontId="228" fillId="27" borderId="62" xfId="0" applyFont="1" applyFill="1" applyBorder="1" applyAlignment="1">
      <alignment horizontal="center" vertical="center" wrapText="1"/>
    </xf>
    <xf numFmtId="0" fontId="228" fillId="27" borderId="61" xfId="0" applyFont="1" applyFill="1" applyBorder="1" applyAlignment="1">
      <alignment horizontal="center" vertical="center" wrapText="1"/>
    </xf>
    <xf numFmtId="0" fontId="228" fillId="0" borderId="0" xfId="0" applyFont="1" applyAlignment="1">
      <alignment horizontal="center" vertical="center" wrapText="1"/>
    </xf>
    <xf numFmtId="0" fontId="205" fillId="0" borderId="0" xfId="0" applyFont="1" applyAlignment="1">
      <alignment vertical="center" wrapText="1"/>
    </xf>
    <xf numFmtId="0" fontId="208" fillId="0" borderId="0" xfId="0" applyFont="1" applyAlignment="1">
      <alignment horizontal="center" vertical="center" wrapText="1"/>
    </xf>
    <xf numFmtId="0" fontId="204" fillId="0" borderId="0" xfId="0" applyFont="1" applyAlignment="1">
      <alignment horizontal="center" vertical="center" wrapText="1"/>
    </xf>
    <xf numFmtId="0" fontId="2" fillId="0" borderId="0" xfId="1219" applyFont="1" applyAlignment="1">
      <alignment horizontal="center" vertical="center"/>
    </xf>
    <xf numFmtId="0" fontId="3" fillId="0" borderId="0" xfId="0" applyFont="1" applyAlignment="1">
      <alignment horizontal="center" vertical="center" wrapText="1"/>
    </xf>
    <xf numFmtId="0" fontId="204" fillId="0" borderId="51" xfId="0" applyFont="1" applyBorder="1" applyAlignment="1">
      <alignment horizontal="center" vertical="center" wrapText="1"/>
    </xf>
    <xf numFmtId="0" fontId="204" fillId="0" borderId="48" xfId="0" applyFont="1" applyBorder="1" applyAlignment="1">
      <alignment horizontal="center" vertical="center" wrapText="1"/>
    </xf>
    <xf numFmtId="166" fontId="204" fillId="0" borderId="51" xfId="943" applyNumberFormat="1" applyFont="1" applyBorder="1" applyAlignment="1">
      <alignment horizontal="center" vertical="center" wrapText="1"/>
    </xf>
    <xf numFmtId="166" fontId="204" fillId="0" borderId="48" xfId="943" applyNumberFormat="1" applyFont="1" applyBorder="1" applyAlignment="1">
      <alignment horizontal="center" vertical="center" wrapText="1"/>
    </xf>
    <xf numFmtId="190" fontId="2" fillId="0" borderId="0" xfId="943" applyNumberFormat="1" applyFont="1" applyAlignment="1">
      <alignment horizontal="center" vertical="center"/>
    </xf>
    <xf numFmtId="190" fontId="204" fillId="0" borderId="0" xfId="943" applyNumberFormat="1" applyFont="1" applyAlignment="1">
      <alignment horizontal="center" vertical="center"/>
    </xf>
    <xf numFmtId="167" fontId="204" fillId="0" borderId="51" xfId="943" applyNumberFormat="1" applyFont="1" applyBorder="1" applyAlignment="1">
      <alignment horizontal="center" vertical="center" wrapText="1"/>
    </xf>
    <xf numFmtId="167" fontId="204" fillId="0" borderId="48" xfId="943" applyNumberFormat="1" applyFont="1" applyBorder="1" applyAlignment="1">
      <alignment horizontal="center" vertical="center" wrapText="1"/>
    </xf>
    <xf numFmtId="190" fontId="204" fillId="0" borderId="51" xfId="943" applyNumberFormat="1" applyFont="1" applyBorder="1" applyAlignment="1">
      <alignment horizontal="center" vertical="center" wrapText="1"/>
    </xf>
    <xf numFmtId="190" fontId="204" fillId="0" borderId="48" xfId="943" applyNumberFormat="1" applyFont="1" applyBorder="1" applyAlignment="1">
      <alignment horizontal="center" vertical="center" wrapText="1"/>
    </xf>
    <xf numFmtId="167" fontId="205" fillId="0" borderId="0" xfId="943" applyNumberFormat="1" applyFont="1" applyAlignment="1">
      <alignment vertical="center" wrapText="1"/>
    </xf>
    <xf numFmtId="190" fontId="208" fillId="0" borderId="0" xfId="943" applyNumberFormat="1" applyFont="1" applyAlignment="1">
      <alignment horizontal="center" vertical="center" wrapText="1"/>
    </xf>
    <xf numFmtId="190" fontId="204" fillId="0" borderId="0" xfId="943" applyNumberFormat="1" applyFont="1" applyAlignment="1">
      <alignment horizontal="center" vertical="center" wrapText="1"/>
    </xf>
    <xf numFmtId="43" fontId="230" fillId="50" borderId="76" xfId="2016" applyFont="1" applyFill="1" applyBorder="1" applyAlignment="1">
      <alignment horizontal="center" vertical="center" wrapText="1"/>
    </xf>
    <xf numFmtId="43" fontId="230" fillId="50" borderId="0" xfId="2016" applyFont="1" applyFill="1"/>
    <xf numFmtId="43" fontId="28" fillId="50" borderId="0" xfId="2016" applyFont="1" applyFill="1" applyAlignment="1">
      <alignment horizontal="center"/>
    </xf>
    <xf numFmtId="43" fontId="230" fillId="50" borderId="0" xfId="2016" applyFont="1" applyFill="1" applyAlignment="1">
      <alignment horizontal="center" wrapText="1"/>
    </xf>
    <xf numFmtId="167" fontId="230" fillId="50" borderId="76" xfId="2016" applyNumberFormat="1" applyFont="1" applyFill="1" applyBorder="1" applyAlignment="1">
      <alignment horizontal="center" vertical="center"/>
    </xf>
    <xf numFmtId="43" fontId="230" fillId="50" borderId="76" xfId="2016" applyFont="1" applyFill="1" applyBorder="1" applyAlignment="1">
      <alignment horizontal="center" vertical="center"/>
    </xf>
    <xf numFmtId="167" fontId="230" fillId="50" borderId="76" xfId="2016" applyNumberFormat="1" applyFont="1" applyFill="1" applyBorder="1" applyAlignment="1">
      <alignment horizontal="center" vertical="center" wrapText="1"/>
    </xf>
    <xf numFmtId="43" fontId="28" fillId="50" borderId="76" xfId="2016" applyFont="1" applyFill="1" applyBorder="1" applyAlignment="1">
      <alignment horizontal="center" vertical="center" wrapText="1"/>
    </xf>
    <xf numFmtId="43" fontId="241" fillId="50" borderId="68" xfId="2016" applyFont="1" applyFill="1" applyBorder="1" applyAlignment="1">
      <alignment horizontal="center" vertical="center" wrapText="1"/>
    </xf>
    <xf numFmtId="43" fontId="225" fillId="50" borderId="0" xfId="1000" applyFont="1" applyFill="1" applyAlignment="1">
      <alignment horizontal="center"/>
    </xf>
    <xf numFmtId="43" fontId="226" fillId="50" borderId="0" xfId="1000" applyFont="1" applyFill="1" applyBorder="1" applyAlignment="1">
      <alignment horizontal="center" vertical="center"/>
    </xf>
    <xf numFmtId="43" fontId="232" fillId="50" borderId="50" xfId="1000" applyFont="1" applyFill="1" applyBorder="1" applyAlignment="1">
      <alignment horizontal="center"/>
    </xf>
    <xf numFmtId="43" fontId="232" fillId="50" borderId="0" xfId="1000" applyFont="1" applyFill="1" applyBorder="1" applyAlignment="1">
      <alignment horizontal="center"/>
    </xf>
    <xf numFmtId="43" fontId="226" fillId="50" borderId="78" xfId="1000" applyFont="1" applyFill="1" applyBorder="1" applyAlignment="1">
      <alignment horizontal="center" vertical="center" wrapText="1"/>
    </xf>
    <xf numFmtId="43" fontId="226" fillId="50" borderId="72" xfId="1000" applyFont="1" applyFill="1" applyBorder="1" applyAlignment="1">
      <alignment horizontal="center" vertical="center" wrapText="1"/>
    </xf>
    <xf numFmtId="167" fontId="226" fillId="50" borderId="76" xfId="1000" applyNumberFormat="1" applyFont="1" applyFill="1" applyBorder="1" applyAlignment="1">
      <alignment horizontal="center" vertical="center" wrapText="1"/>
    </xf>
    <xf numFmtId="43" fontId="226" fillId="50" borderId="76" xfId="1000" applyFont="1" applyFill="1" applyBorder="1" applyAlignment="1">
      <alignment horizontal="center" vertical="center" wrapText="1"/>
    </xf>
    <xf numFmtId="43" fontId="225" fillId="50" borderId="76" xfId="1000" applyFont="1" applyFill="1" applyBorder="1" applyAlignment="1">
      <alignment horizontal="center" vertical="center" wrapText="1"/>
    </xf>
    <xf numFmtId="43" fontId="226" fillId="50" borderId="78" xfId="1000" applyFont="1" applyFill="1" applyBorder="1" applyAlignment="1">
      <alignment horizontal="center" vertical="center"/>
    </xf>
    <xf numFmtId="43" fontId="226" fillId="50" borderId="72" xfId="1000" applyFont="1" applyFill="1" applyBorder="1" applyAlignment="1">
      <alignment horizontal="center" vertical="center"/>
    </xf>
    <xf numFmtId="43" fontId="226" fillId="50" borderId="76" xfId="1000" applyFont="1" applyFill="1" applyBorder="1" applyAlignment="1">
      <alignment horizontal="center" vertical="center"/>
    </xf>
    <xf numFmtId="166" fontId="225" fillId="50" borderId="76" xfId="1000" applyNumberFormat="1" applyFont="1" applyFill="1" applyBorder="1" applyAlignment="1">
      <alignment horizontal="center" vertical="center" wrapText="1"/>
    </xf>
    <xf numFmtId="43" fontId="225" fillId="50" borderId="77" xfId="1000" applyFont="1" applyFill="1" applyBorder="1" applyAlignment="1">
      <alignment horizontal="center" vertical="center" wrapText="1"/>
    </xf>
    <xf numFmtId="43" fontId="225" fillId="50" borderId="10" xfId="1000" applyFont="1" applyFill="1" applyBorder="1" applyAlignment="1">
      <alignment horizontal="center" vertical="center" wrapText="1"/>
    </xf>
    <xf numFmtId="43" fontId="225" fillId="50" borderId="79" xfId="1000" applyFont="1" applyFill="1" applyBorder="1" applyAlignment="1">
      <alignment horizontal="center" vertical="center" wrapText="1"/>
    </xf>
    <xf numFmtId="0" fontId="222" fillId="0" borderId="70" xfId="918" quotePrefix="1" applyFont="1" applyFill="1" applyBorder="1" applyAlignment="1">
      <alignment horizontal="center" vertical="center"/>
    </xf>
    <xf numFmtId="0" fontId="222" fillId="50" borderId="58" xfId="918" applyNumberFormat="1" applyFont="1" applyFill="1" applyBorder="1" applyAlignment="1">
      <alignment horizontal="center" vertical="center" wrapText="1"/>
    </xf>
    <xf numFmtId="0" fontId="227" fillId="50" borderId="58" xfId="918" applyFont="1" applyFill="1" applyBorder="1" applyAlignment="1">
      <alignment horizontal="center" vertical="center"/>
    </xf>
    <xf numFmtId="0" fontId="227" fillId="50" borderId="10" xfId="918" applyFont="1" applyFill="1" applyBorder="1" applyAlignment="1">
      <alignment horizontal="center" vertical="center"/>
    </xf>
    <xf numFmtId="0" fontId="222" fillId="50" borderId="58" xfId="918" applyNumberFormat="1" applyFont="1" applyFill="1" applyBorder="1" applyAlignment="1">
      <alignment horizontal="center" vertical="center"/>
    </xf>
    <xf numFmtId="0" fontId="222" fillId="27" borderId="67" xfId="918" applyNumberFormat="1" applyFont="1" applyFill="1" applyBorder="1" applyAlignment="1">
      <alignment horizontal="center" vertical="center" wrapText="1"/>
    </xf>
    <xf numFmtId="0" fontId="222" fillId="27" borderId="12" xfId="918" applyNumberFormat="1" applyFont="1" applyFill="1" applyBorder="1" applyAlignment="1">
      <alignment horizontal="center" vertical="center" wrapText="1"/>
    </xf>
    <xf numFmtId="0" fontId="222" fillId="27" borderId="10" xfId="918" applyNumberFormat="1" applyFont="1" applyFill="1" applyBorder="1" applyAlignment="1">
      <alignment horizontal="center" vertical="center" wrapText="1"/>
    </xf>
    <xf numFmtId="0" fontId="222" fillId="27" borderId="58" xfId="918" applyNumberFormat="1" applyFont="1" applyFill="1" applyBorder="1" applyAlignment="1">
      <alignment horizontal="center" vertical="center" wrapText="1"/>
    </xf>
    <xf numFmtId="0" fontId="222" fillId="27" borderId="64" xfId="918" applyNumberFormat="1" applyFont="1" applyFill="1" applyBorder="1" applyAlignment="1">
      <alignment horizontal="center" vertical="center"/>
    </xf>
    <xf numFmtId="0" fontId="222" fillId="27" borderId="65" xfId="918" applyNumberFormat="1" applyFont="1" applyFill="1" applyBorder="1" applyAlignment="1">
      <alignment horizontal="center" vertical="center"/>
    </xf>
    <xf numFmtId="0" fontId="222" fillId="27" borderId="66" xfId="918" applyNumberFormat="1" applyFont="1" applyFill="1" applyBorder="1" applyAlignment="1">
      <alignment horizontal="center" vertical="center"/>
    </xf>
    <xf numFmtId="0" fontId="222" fillId="50" borderId="10" xfId="918" applyNumberFormat="1" applyFont="1" applyFill="1" applyBorder="1" applyAlignment="1">
      <alignment horizontal="center" vertical="center"/>
    </xf>
    <xf numFmtId="0" fontId="222" fillId="50" borderId="62" xfId="918" applyNumberFormat="1" applyFont="1" applyFill="1" applyBorder="1" applyAlignment="1">
      <alignment horizontal="center" vertical="center" wrapText="1"/>
    </xf>
    <xf numFmtId="0" fontId="222" fillId="50" borderId="61" xfId="918" applyNumberFormat="1" applyFont="1" applyFill="1" applyBorder="1" applyAlignment="1">
      <alignment horizontal="center" vertical="center" wrapText="1"/>
    </xf>
    <xf numFmtId="0" fontId="222" fillId="50" borderId="56" xfId="918" applyNumberFormat="1" applyFont="1" applyFill="1" applyBorder="1" applyAlignment="1">
      <alignment horizontal="center" vertical="center" wrapText="1"/>
    </xf>
    <xf numFmtId="0" fontId="222" fillId="50" borderId="55" xfId="918" applyNumberFormat="1" applyFont="1" applyFill="1" applyBorder="1" applyAlignment="1">
      <alignment horizontal="center" vertical="center" wrapText="1"/>
    </xf>
    <xf numFmtId="0" fontId="219" fillId="0" borderId="0" xfId="918" applyFont="1" applyFill="1" applyAlignment="1">
      <alignment horizontal="right"/>
    </xf>
    <xf numFmtId="0" fontId="237" fillId="0" borderId="0" xfId="918" applyNumberFormat="1" applyFont="1" applyFill="1" applyBorder="1" applyAlignment="1">
      <alignment horizontal="center"/>
    </xf>
    <xf numFmtId="0" fontId="222" fillId="0" borderId="0" xfId="918" applyFont="1" applyFill="1" applyAlignment="1">
      <alignment horizontal="left" vertical="center"/>
    </xf>
    <xf numFmtId="0" fontId="220" fillId="0" borderId="50" xfId="918" applyNumberFormat="1" applyFont="1" applyFill="1" applyBorder="1" applyAlignment="1">
      <alignment horizontal="right"/>
    </xf>
    <xf numFmtId="0" fontId="2" fillId="50" borderId="78" xfId="0" applyFont="1" applyFill="1" applyBorder="1" applyAlignment="1">
      <alignment horizontal="center" vertical="center" wrapText="1"/>
    </xf>
    <xf numFmtId="0" fontId="2" fillId="50" borderId="79" xfId="0" applyFont="1" applyFill="1" applyBorder="1" applyAlignment="1">
      <alignment horizontal="center" vertical="center" wrapText="1"/>
    </xf>
    <xf numFmtId="0" fontId="244" fillId="0" borderId="0" xfId="0" applyFont="1" applyFill="1" applyAlignment="1">
      <alignment horizontal="center"/>
    </xf>
    <xf numFmtId="0" fontId="246" fillId="0" borderId="0" xfId="0" applyFont="1" applyFill="1" applyAlignment="1">
      <alignment horizontal="center"/>
    </xf>
    <xf numFmtId="0" fontId="2" fillId="0" borderId="71"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71"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34" fillId="0" borderId="62" xfId="0" applyFont="1" applyFill="1" applyBorder="1" applyAlignment="1">
      <alignment horizontal="center" vertical="center" wrapText="1"/>
    </xf>
    <xf numFmtId="0" fontId="234" fillId="0" borderId="73" xfId="0" applyFont="1" applyFill="1" applyBorder="1" applyAlignment="1">
      <alignment horizontal="center" vertical="center" wrapText="1"/>
    </xf>
    <xf numFmtId="0" fontId="234" fillId="0" borderId="74" xfId="0" applyFont="1" applyFill="1" applyBorder="1" applyAlignment="1">
      <alignment horizontal="center" vertical="center" wrapText="1"/>
    </xf>
    <xf numFmtId="0" fontId="234" fillId="0" borderId="52" xfId="0" applyFont="1" applyFill="1" applyBorder="1" applyAlignment="1">
      <alignment horizontal="center" vertical="center" wrapText="1"/>
    </xf>
    <xf numFmtId="0" fontId="234" fillId="0" borderId="0" xfId="0" applyFont="1" applyFill="1" applyBorder="1" applyAlignment="1">
      <alignment horizontal="center" vertical="center" wrapText="1"/>
    </xf>
    <xf numFmtId="0" fontId="234" fillId="0" borderId="75" xfId="0" applyFont="1" applyFill="1" applyBorder="1" applyAlignment="1">
      <alignment horizontal="center" vertical="center" wrapText="1"/>
    </xf>
    <xf numFmtId="0" fontId="2" fillId="0" borderId="73" xfId="0" applyFont="1" applyFill="1" applyBorder="1" applyAlignment="1">
      <alignment horizontal="center" vertical="center" wrapText="1"/>
    </xf>
    <xf numFmtId="0" fontId="2" fillId="0" borderId="74" xfId="0" applyFont="1" applyFill="1" applyBorder="1" applyAlignment="1">
      <alignment horizontal="center" vertical="center" wrapText="1"/>
    </xf>
    <xf numFmtId="0" fontId="2" fillId="0" borderId="50" xfId="0" applyFont="1" applyFill="1" applyBorder="1" applyAlignment="1">
      <alignment horizontal="center" vertical="center" wrapText="1"/>
    </xf>
    <xf numFmtId="0" fontId="2" fillId="0" borderId="55" xfId="0" applyFont="1" applyFill="1" applyBorder="1" applyAlignment="1">
      <alignment horizontal="center" vertical="center" wrapText="1"/>
    </xf>
    <xf numFmtId="0" fontId="234" fillId="0" borderId="77" xfId="0" applyFont="1" applyFill="1" applyBorder="1" applyAlignment="1">
      <alignment horizontal="center" vertical="center" wrapText="1"/>
    </xf>
    <xf numFmtId="0" fontId="234" fillId="0" borderId="10" xfId="0" applyFont="1" applyFill="1" applyBorder="1" applyAlignment="1">
      <alignment horizontal="center" vertical="center" wrapText="1"/>
    </xf>
    <xf numFmtId="0" fontId="2" fillId="0" borderId="77" xfId="0" applyFont="1" applyFill="1" applyBorder="1" applyAlignment="1">
      <alignment horizontal="center" vertical="center" wrapText="1"/>
    </xf>
    <xf numFmtId="0" fontId="2" fillId="0" borderId="76" xfId="0" applyFont="1" applyFill="1" applyBorder="1" applyAlignment="1">
      <alignment horizontal="center" vertical="center" wrapText="1"/>
    </xf>
  </cellXfs>
  <cellStyles count="2022">
    <cellStyle name="_x0001_" xfId="1"/>
    <cellStyle name="          _x000d__x000a_shell=progman.exe_x000d__x000a_m" xfId="2"/>
    <cellStyle name="          _x000d__x000a_shell=progman.exe_x000d__x000a_m 2" xfId="3"/>
    <cellStyle name="#,##0" xfId="4"/>
    <cellStyle name="." xfId="5"/>
    <cellStyle name="._Book1" xfId="6"/>
    <cellStyle name="._VBPL kiểm toán Đầu tư XDCB 2010" xfId="7"/>
    <cellStyle name=".d©y" xfId="8"/>
    <cellStyle name="??" xfId="9"/>
    <cellStyle name="?? [ - ??1" xfId="10"/>
    <cellStyle name="?? [ - ??2" xfId="11"/>
    <cellStyle name="?? [ - ??3" xfId="12"/>
    <cellStyle name="?? [ - ??4" xfId="13"/>
    <cellStyle name="?? [ - ??5" xfId="14"/>
    <cellStyle name="?? [ - ??6" xfId="15"/>
    <cellStyle name="?? [ - ??7" xfId="16"/>
    <cellStyle name="?? [ - ??8" xfId="17"/>
    <cellStyle name="?? [0.00]_        " xfId="18"/>
    <cellStyle name="?? [0]" xfId="19"/>
    <cellStyle name="?_x001d_??%U©÷u&amp;H©÷9_x0008_? s_x000a__x0007__x0001__x0001_" xfId="20"/>
    <cellStyle name="???? [0.00]_      " xfId="21"/>
    <cellStyle name="??????" xfId="22"/>
    <cellStyle name="??????????????????? [0]_FTC_OFFER" xfId="23"/>
    <cellStyle name="???????????????????_FTC_OFFER" xfId="24"/>
    <cellStyle name="????_      " xfId="25"/>
    <cellStyle name="???[0]_?? DI" xfId="26"/>
    <cellStyle name="???_?? DI" xfId="27"/>
    <cellStyle name="??[0]_BRE" xfId="28"/>
    <cellStyle name="??_      " xfId="29"/>
    <cellStyle name="??A? [0]_laroux_1_¢¬???¢â? " xfId="30"/>
    <cellStyle name="??A?_laroux_1_¢¬???¢â? " xfId="31"/>
    <cellStyle name="?¡±¢¥?_?¨ù??¢´¢¥_¢¬???¢â? " xfId="32"/>
    <cellStyle name="?ðÇ%U?&amp;H?_x0008_?s_x000a__x0007__x0001__x0001_" xfId="33"/>
    <cellStyle name="[0]_Chi phÝ kh¸c_V" xfId="34"/>
    <cellStyle name="_1 TONG HOP - CA NA" xfId="35"/>
    <cellStyle name="_130307 So sanh thuc hien 2012 - du toan 2012 moi (pan khac)" xfId="36"/>
    <cellStyle name="_130313 Mau  bieu bao cao nguon luc cua dia phuong sua" xfId="37"/>
    <cellStyle name="_130818 Tong hop Danh gia thu 2013" xfId="38"/>
    <cellStyle name="_130818 Tong hop Danh gia thu 2013_140921 bu giam thu ND 209" xfId="39"/>
    <cellStyle name="_130818 Tong hop Danh gia thu 2013_140921 bu giam thu ND 209_Phu luc so 5 - sua ngay 04-01" xfId="40"/>
    <cellStyle name="_Bang Chi tieu (2)" xfId="41"/>
    <cellStyle name="_Bang Chi tieu (2) 2" xfId="42"/>
    <cellStyle name="_BAO GIA NGAY 24-10-08 (co dam)" xfId="43"/>
    <cellStyle name="_Bao gia TB Kon Dao 2010" xfId="44"/>
    <cellStyle name="_Biểu KH 5 năm gửi UB sửa biểu VHXH" xfId="47"/>
    <cellStyle name="_Bieu tong hop nhu cau ung_Mien Trung" xfId="45"/>
    <cellStyle name="_Bieu ung von 2011 NSNN - TPCP vung DBSClong (10-6-2010)" xfId="46"/>
    <cellStyle name="_Book1" xfId="48"/>
    <cellStyle name="_Book1_1" xfId="49"/>
    <cellStyle name="_Book1_2" xfId="50"/>
    <cellStyle name="_Book1_3" xfId="51"/>
    <cellStyle name="_Book1_BC-QT-WB-dthao" xfId="52"/>
    <cellStyle name="_Book1_Book1" xfId="53"/>
    <cellStyle name="_Book1_DT truong thinh phu" xfId="54"/>
    <cellStyle name="_Book1_Kh ql62 (2010) 11-09" xfId="56"/>
    <cellStyle name="_Book1_khoiluongbdacdoa" xfId="57"/>
    <cellStyle name="_Book1_Kiem Tra Don Gia" xfId="55"/>
    <cellStyle name="_Book1_TH KHAI TOAN THU THIEM cac tuyen TT noi" xfId="58"/>
    <cellStyle name="_C.cong+B.luong-Sanluong" xfId="59"/>
    <cellStyle name="_DG 2012-DT2013 - Theo sac thue -sua" xfId="60"/>
    <cellStyle name="_DG 2012-DT2013 - Theo sac thue -sua_120907 Thu tang them 4500" xfId="61"/>
    <cellStyle name="_DG 2012-DT2013 - Theo sac thue -sua_27-8Tong hop PA uoc 2012-DT 2013 -PA 420.000 ty-490.000 ty chuyen doi" xfId="62"/>
    <cellStyle name="_DO-D1500-KHONG CO TRONG DT" xfId="63"/>
    <cellStyle name="_DT truong thinh phu" xfId="64"/>
    <cellStyle name="_DTDT BL-DL" xfId="65"/>
    <cellStyle name="_du toan lan 3" xfId="66"/>
    <cellStyle name="_Duyet TK thay đôi" xfId="67"/>
    <cellStyle name="_GOITHAUSO2" xfId="68"/>
    <cellStyle name="_GOITHAUSO3" xfId="69"/>
    <cellStyle name="_GOITHAUSO4" xfId="70"/>
    <cellStyle name="_GTXD GOI 2" xfId="71"/>
    <cellStyle name="_GTXD GOI1" xfId="72"/>
    <cellStyle name="_GTXD GOI3" xfId="73"/>
    <cellStyle name="_HaHoa_TDT_DienCSang" xfId="74"/>
    <cellStyle name="_HaHoa_TDT_DienCSang 2" xfId="75"/>
    <cellStyle name="_HaHoa19-5-07" xfId="76"/>
    <cellStyle name="_HaHoa19-5-07 2" xfId="77"/>
    <cellStyle name="_Huong CHI tieu Nhiem vu CTMTQG 2014(1)" xfId="78"/>
    <cellStyle name="_Kh ql62 (2010) 11-09" xfId="497"/>
    <cellStyle name="_KH.DTC.gd2016-2020 tinh (T2-2015)" xfId="498"/>
    <cellStyle name="_khoiluongbdacdoa" xfId="499"/>
    <cellStyle name="_Kiem Tra Don Gia" xfId="79"/>
    <cellStyle name="_KT (2)" xfId="80"/>
    <cellStyle name="_KT (2)_1" xfId="81"/>
    <cellStyle name="_KT (2)_1_Book1" xfId="82"/>
    <cellStyle name="_KT (2)_1_Lora-tungchau" xfId="83"/>
    <cellStyle name="_KT (2)_1_Qt-HT3PQ1(CauKho)" xfId="84"/>
    <cellStyle name="_KT (2)_1_Qt-HT3PQ1(CauKho)_Book1" xfId="85"/>
    <cellStyle name="_KT (2)_1_Qt-HT3PQ1(CauKho)_Don gia quy 3 nam 2003 - Ban Dien Luc" xfId="86"/>
    <cellStyle name="_KT (2)_1_Qt-HT3PQ1(CauKho)_Kiem Tra Don Gia" xfId="87"/>
    <cellStyle name="_KT (2)_1_Qt-HT3PQ1(CauKho)_Kiem Tra Don Gia 2" xfId="88"/>
    <cellStyle name="_KT (2)_1_Qt-HT3PQ1(CauKho)_NC-VL2-2003" xfId="89"/>
    <cellStyle name="_KT (2)_1_Qt-HT3PQ1(CauKho)_NC-VL2-2003_1" xfId="90"/>
    <cellStyle name="_KT (2)_1_Qt-HT3PQ1(CauKho)_XL4Test5" xfId="91"/>
    <cellStyle name="_KT (2)_1_quy luong con lai nam 2004" xfId="92"/>
    <cellStyle name="_KT (2)_1_" xfId="93"/>
    <cellStyle name="_KT (2)_2" xfId="94"/>
    <cellStyle name="_KT (2)_2_Book1" xfId="95"/>
    <cellStyle name="_KT (2)_2_DTDuong dong tien -sua tham tra 2009 - luong 650" xfId="96"/>
    <cellStyle name="_KT (2)_2_quy luong con lai nam 2004" xfId="97"/>
    <cellStyle name="_KT (2)_2_TG-TH" xfId="98"/>
    <cellStyle name="_KT (2)_2_TG-TH_BANG TONG HOP TINH HINH THANH QUYET TOAN (MOI I)" xfId="99"/>
    <cellStyle name="_KT (2)_2_TG-TH_BAO CAO KLCT PT2000" xfId="100"/>
    <cellStyle name="_KT (2)_2_TG-TH_BAO CAO PT2000" xfId="101"/>
    <cellStyle name="_KT (2)_2_TG-TH_BAO CAO PT2000_Book1" xfId="102"/>
    <cellStyle name="_KT (2)_2_TG-TH_Bao cao XDCB 2001 - T11 KH dieu chinh 20-11-THAI" xfId="103"/>
    <cellStyle name="_KT (2)_2_TG-TH_BAO GIA NGAY 24-10-08 (co dam)" xfId="104"/>
    <cellStyle name="_KT (2)_2_TG-TH_Biểu KH 5 năm gửi UB sửa biểu VHXH" xfId="105"/>
    <cellStyle name="_KT (2)_2_TG-TH_Book1" xfId="106"/>
    <cellStyle name="_KT (2)_2_TG-TH_Book1_1" xfId="107"/>
    <cellStyle name="_KT (2)_2_TG-TH_Book1_1_Book1" xfId="108"/>
    <cellStyle name="_KT (2)_2_TG-TH_Book1_1_DanhMucDonGiaVTTB_Dien_TAM" xfId="109"/>
    <cellStyle name="_KT (2)_2_TG-TH_Book1_1_khoiluongbdacdoa" xfId="110"/>
    <cellStyle name="_KT (2)_2_TG-TH_Book1_2" xfId="111"/>
    <cellStyle name="_KT (2)_2_TG-TH_Book1_2_Book1" xfId="112"/>
    <cellStyle name="_KT (2)_2_TG-TH_Book1_3" xfId="113"/>
    <cellStyle name="_KT (2)_2_TG-TH_Book1_3_Book1" xfId="114"/>
    <cellStyle name="_KT (2)_2_TG-TH_Book1_3_DT truong thinh phu" xfId="115"/>
    <cellStyle name="_KT (2)_2_TG-TH_Book1_3_XL4Test5" xfId="116"/>
    <cellStyle name="_KT (2)_2_TG-TH_Book1_4" xfId="117"/>
    <cellStyle name="_KT (2)_2_TG-TH_Book1_Book1" xfId="118"/>
    <cellStyle name="_KT (2)_2_TG-TH_Book1_DanhMucDonGiaVTTB_Dien_TAM" xfId="119"/>
    <cellStyle name="_KT (2)_2_TG-TH_Book1_khoiluongbdacdoa" xfId="121"/>
    <cellStyle name="_KT (2)_2_TG-TH_Book1_Kiem Tra Don Gia" xfId="120"/>
    <cellStyle name="_KT (2)_2_TG-TH_Book1_Tong hop 3 tinh (11_5)-TTH-QN-QT" xfId="122"/>
    <cellStyle name="_KT (2)_2_TG-TH_Book1_" xfId="123"/>
    <cellStyle name="_KT (2)_2_TG-TH_CAU Khanh Nam(Thi Cong)" xfId="124"/>
    <cellStyle name="_KT (2)_2_TG-TH_DAU NOI PL-CL TAI PHU LAMHC" xfId="125"/>
    <cellStyle name="_KT (2)_2_TG-TH_Dcdtoan-bcnckt " xfId="126"/>
    <cellStyle name="_KT (2)_2_TG-TH_DN_MTP" xfId="127"/>
    <cellStyle name="_KT (2)_2_TG-TH_Dongia2-2003" xfId="128"/>
    <cellStyle name="_KT (2)_2_TG-TH_Dongia2-2003_DT truong thinh phu" xfId="129"/>
    <cellStyle name="_KT (2)_2_TG-TH_DT truong thinh phu" xfId="130"/>
    <cellStyle name="_KT (2)_2_TG-TH_DTCDT MR.2N110.HOCMON.TDTOAN.CCUNG" xfId="131"/>
    <cellStyle name="_KT (2)_2_TG-TH_DTDuong dong tien -sua tham tra 2009 - luong 650" xfId="132"/>
    <cellStyle name="_KT (2)_2_TG-TH_DU TRU VAT TU" xfId="133"/>
    <cellStyle name="_KT (2)_2_TG-TH_khoiluongbdacdoa" xfId="135"/>
    <cellStyle name="_KT (2)_2_TG-TH_Kiem Tra Don Gia" xfId="134"/>
    <cellStyle name="_KT (2)_2_TG-TH_Lora-tungchau" xfId="136"/>
    <cellStyle name="_KT (2)_2_TG-TH_moi" xfId="137"/>
    <cellStyle name="_KT (2)_2_TG-TH_PGIA-phieu tham tra Kho bac" xfId="138"/>
    <cellStyle name="_KT (2)_2_TG-TH_PT02-02" xfId="139"/>
    <cellStyle name="_KT (2)_2_TG-TH_PT02-02_Book1" xfId="140"/>
    <cellStyle name="_KT (2)_2_TG-TH_PT02-03" xfId="141"/>
    <cellStyle name="_KT (2)_2_TG-TH_PT02-03_Book1" xfId="142"/>
    <cellStyle name="_KT (2)_2_TG-TH_Qt-HT3PQ1(CauKho)" xfId="143"/>
    <cellStyle name="_KT (2)_2_TG-TH_Qt-HT3PQ1(CauKho)_Book1" xfId="144"/>
    <cellStyle name="_KT (2)_2_TG-TH_Qt-HT3PQ1(CauKho)_Don gia quy 3 nam 2003 - Ban Dien Luc" xfId="145"/>
    <cellStyle name="_KT (2)_2_TG-TH_Qt-HT3PQ1(CauKho)_Kiem Tra Don Gia" xfId="146"/>
    <cellStyle name="_KT (2)_2_TG-TH_Qt-HT3PQ1(CauKho)_Kiem Tra Don Gia 2" xfId="147"/>
    <cellStyle name="_KT (2)_2_TG-TH_Qt-HT3PQ1(CauKho)_NC-VL2-2003" xfId="148"/>
    <cellStyle name="_KT (2)_2_TG-TH_Qt-HT3PQ1(CauKho)_NC-VL2-2003_1" xfId="149"/>
    <cellStyle name="_KT (2)_2_TG-TH_Qt-HT3PQ1(CauKho)_XL4Test5" xfId="150"/>
    <cellStyle name="_KT (2)_2_TG-TH_QT-LCTP-AE" xfId="151"/>
    <cellStyle name="_KT (2)_2_TG-TH_quy luong con lai nam 2004" xfId="152"/>
    <cellStyle name="_KT (2)_2_TG-TH_Sheet2" xfId="153"/>
    <cellStyle name="_KT (2)_2_TG-TH_TEL OUT 2004" xfId="154"/>
    <cellStyle name="_KT (2)_2_TG-TH_Tong hop 3 tinh (11_5)-TTH-QN-QT" xfId="155"/>
    <cellStyle name="_KT (2)_2_TG-TH_XL4Poppy" xfId="156"/>
    <cellStyle name="_KT (2)_2_TG-TH_XL4Test5" xfId="157"/>
    <cellStyle name="_KT (2)_2_TG-TH_ÿÿÿÿÿ" xfId="158"/>
    <cellStyle name="_KT (2)_2_TG-TH_" xfId="159"/>
    <cellStyle name="_KT (2)_3" xfId="160"/>
    <cellStyle name="_KT (2)_3_TG-TH" xfId="161"/>
    <cellStyle name="_KT (2)_3_TG-TH_Book1" xfId="162"/>
    <cellStyle name="_KT (2)_3_TG-TH_Book1_1" xfId="163"/>
    <cellStyle name="_KT (2)_3_TG-TH_Book1_BC-QT-WB-dthao" xfId="164"/>
    <cellStyle name="_KT (2)_3_TG-TH_Book1_Book1" xfId="165"/>
    <cellStyle name="_KT (2)_3_TG-TH_Book1_Kiem Tra Don Gia" xfId="166"/>
    <cellStyle name="_KT (2)_3_TG-TH_khoiluongbdacdoa" xfId="168"/>
    <cellStyle name="_KT (2)_3_TG-TH_Kiem Tra Don Gia" xfId="167"/>
    <cellStyle name="_KT (2)_3_TG-TH_Lora-tungchau" xfId="169"/>
    <cellStyle name="_KT (2)_3_TG-TH_Lora-tungchau_Book1" xfId="170"/>
    <cellStyle name="_KT (2)_3_TG-TH_Lora-tungchau_Kiem Tra Don Gia" xfId="171"/>
    <cellStyle name="_KT (2)_3_TG-TH_PERSONAL" xfId="172"/>
    <cellStyle name="_KT (2)_3_TG-TH_PERSONAL_Book1" xfId="173"/>
    <cellStyle name="_KT (2)_3_TG-TH_PERSONAL_HTQ.8 GD1" xfId="174"/>
    <cellStyle name="_KT (2)_3_TG-TH_PERSONAL_HTQ.8 GD1_Book1" xfId="175"/>
    <cellStyle name="_KT (2)_3_TG-TH_PERSONAL_HTQ.8 GD1_Don gia quy 3 nam 2003 - Ban Dien Luc" xfId="176"/>
    <cellStyle name="_KT (2)_3_TG-TH_PERSONAL_HTQ.8 GD1_NC-VL2-2003" xfId="177"/>
    <cellStyle name="_KT (2)_3_TG-TH_PERSONAL_HTQ.8 GD1_NC-VL2-2003_1" xfId="178"/>
    <cellStyle name="_KT (2)_3_TG-TH_PERSONAL_HTQ.8 GD1_XL4Test5" xfId="179"/>
    <cellStyle name="_KT (2)_3_TG-TH_PERSONAL_khoiluongbdacdoa" xfId="180"/>
    <cellStyle name="_KT (2)_3_TG-TH_PERSONAL_Tong hop KHCB 2001" xfId="181"/>
    <cellStyle name="_KT (2)_3_TG-TH_PERSONAL_" xfId="182"/>
    <cellStyle name="_KT (2)_3_TG-TH_Qt-HT3PQ1(CauKho)" xfId="183"/>
    <cellStyle name="_KT (2)_3_TG-TH_Qt-HT3PQ1(CauKho)_Book1" xfId="184"/>
    <cellStyle name="_KT (2)_3_TG-TH_Qt-HT3PQ1(CauKho)_Don gia quy 3 nam 2003 - Ban Dien Luc" xfId="185"/>
    <cellStyle name="_KT (2)_3_TG-TH_Qt-HT3PQ1(CauKho)_Kiem Tra Don Gia" xfId="186"/>
    <cellStyle name="_KT (2)_3_TG-TH_Qt-HT3PQ1(CauKho)_Kiem Tra Don Gia 2" xfId="187"/>
    <cellStyle name="_KT (2)_3_TG-TH_Qt-HT3PQ1(CauKho)_NC-VL2-2003" xfId="188"/>
    <cellStyle name="_KT (2)_3_TG-TH_Qt-HT3PQ1(CauKho)_NC-VL2-2003_1" xfId="189"/>
    <cellStyle name="_KT (2)_3_TG-TH_Qt-HT3PQ1(CauKho)_XL4Test5" xfId="190"/>
    <cellStyle name="_KT (2)_3_TG-TH_QT-LCTP-AE" xfId="191"/>
    <cellStyle name="_KT (2)_3_TG-TH_quy luong con lai nam 2004" xfId="192"/>
    <cellStyle name="_KT (2)_3_TG-TH_" xfId="193"/>
    <cellStyle name="_KT (2)_4" xfId="194"/>
    <cellStyle name="_KT (2)_4_BANG TONG HOP TINH HINH THANH QUYET TOAN (MOI I)" xfId="195"/>
    <cellStyle name="_KT (2)_4_BAO CAO KLCT PT2000" xfId="196"/>
    <cellStyle name="_KT (2)_4_BAO CAO PT2000" xfId="197"/>
    <cellStyle name="_KT (2)_4_BAO CAO PT2000_Book1" xfId="198"/>
    <cellStyle name="_KT (2)_4_Bao cao XDCB 2001 - T11 KH dieu chinh 20-11-THAI" xfId="199"/>
    <cellStyle name="_KT (2)_4_BAO GIA NGAY 24-10-08 (co dam)" xfId="200"/>
    <cellStyle name="_KT (2)_4_Biểu KH 5 năm gửi UB sửa biểu VHXH" xfId="201"/>
    <cellStyle name="_KT (2)_4_Book1" xfId="202"/>
    <cellStyle name="_KT (2)_4_Book1_1" xfId="203"/>
    <cellStyle name="_KT (2)_4_Book1_1_Book1" xfId="204"/>
    <cellStyle name="_KT (2)_4_Book1_1_DanhMucDonGiaVTTB_Dien_TAM" xfId="205"/>
    <cellStyle name="_KT (2)_4_Book1_1_khoiluongbdacdoa" xfId="206"/>
    <cellStyle name="_KT (2)_4_Book1_2" xfId="207"/>
    <cellStyle name="_KT (2)_4_Book1_2_Book1" xfId="208"/>
    <cellStyle name="_KT (2)_4_Book1_3" xfId="209"/>
    <cellStyle name="_KT (2)_4_Book1_3_Book1" xfId="210"/>
    <cellStyle name="_KT (2)_4_Book1_3_DT truong thinh phu" xfId="211"/>
    <cellStyle name="_KT (2)_4_Book1_3_XL4Test5" xfId="212"/>
    <cellStyle name="_KT (2)_4_Book1_4" xfId="213"/>
    <cellStyle name="_KT (2)_4_Book1_Book1" xfId="214"/>
    <cellStyle name="_KT (2)_4_Book1_DanhMucDonGiaVTTB_Dien_TAM" xfId="215"/>
    <cellStyle name="_KT (2)_4_Book1_khoiluongbdacdoa" xfId="217"/>
    <cellStyle name="_KT (2)_4_Book1_Kiem Tra Don Gia" xfId="216"/>
    <cellStyle name="_KT (2)_4_Book1_Tong hop 3 tinh (11_5)-TTH-QN-QT" xfId="218"/>
    <cellStyle name="_KT (2)_4_Book1_" xfId="219"/>
    <cellStyle name="_KT (2)_4_CAU Khanh Nam(Thi Cong)" xfId="220"/>
    <cellStyle name="_KT (2)_4_DAU NOI PL-CL TAI PHU LAMHC" xfId="221"/>
    <cellStyle name="_KT (2)_4_Dcdtoan-bcnckt " xfId="222"/>
    <cellStyle name="_KT (2)_4_DN_MTP" xfId="223"/>
    <cellStyle name="_KT (2)_4_Dongia2-2003" xfId="224"/>
    <cellStyle name="_KT (2)_4_Dongia2-2003_DT truong thinh phu" xfId="225"/>
    <cellStyle name="_KT (2)_4_DT truong thinh phu" xfId="226"/>
    <cellStyle name="_KT (2)_4_DTCDT MR.2N110.HOCMON.TDTOAN.CCUNG" xfId="227"/>
    <cellStyle name="_KT (2)_4_DTDuong dong tien -sua tham tra 2009 - luong 650" xfId="228"/>
    <cellStyle name="_KT (2)_4_DU TRU VAT TU" xfId="229"/>
    <cellStyle name="_KT (2)_4_khoiluongbdacdoa" xfId="231"/>
    <cellStyle name="_KT (2)_4_Kiem Tra Don Gia" xfId="230"/>
    <cellStyle name="_KT (2)_4_Lora-tungchau" xfId="232"/>
    <cellStyle name="_KT (2)_4_moi" xfId="233"/>
    <cellStyle name="_KT (2)_4_PGIA-phieu tham tra Kho bac" xfId="234"/>
    <cellStyle name="_KT (2)_4_PT02-02" xfId="235"/>
    <cellStyle name="_KT (2)_4_PT02-02_Book1" xfId="236"/>
    <cellStyle name="_KT (2)_4_PT02-03" xfId="237"/>
    <cellStyle name="_KT (2)_4_PT02-03_Book1" xfId="238"/>
    <cellStyle name="_KT (2)_4_Qt-HT3PQ1(CauKho)" xfId="239"/>
    <cellStyle name="_KT (2)_4_Qt-HT3PQ1(CauKho)_Book1" xfId="240"/>
    <cellStyle name="_KT (2)_4_Qt-HT3PQ1(CauKho)_Don gia quy 3 nam 2003 - Ban Dien Luc" xfId="241"/>
    <cellStyle name="_KT (2)_4_Qt-HT3PQ1(CauKho)_Kiem Tra Don Gia" xfId="242"/>
    <cellStyle name="_KT (2)_4_Qt-HT3PQ1(CauKho)_Kiem Tra Don Gia 2" xfId="243"/>
    <cellStyle name="_KT (2)_4_Qt-HT3PQ1(CauKho)_NC-VL2-2003" xfId="244"/>
    <cellStyle name="_KT (2)_4_Qt-HT3PQ1(CauKho)_NC-VL2-2003_1" xfId="245"/>
    <cellStyle name="_KT (2)_4_Qt-HT3PQ1(CauKho)_XL4Test5" xfId="246"/>
    <cellStyle name="_KT (2)_4_QT-LCTP-AE" xfId="247"/>
    <cellStyle name="_KT (2)_4_quy luong con lai nam 2004" xfId="248"/>
    <cellStyle name="_KT (2)_4_Sheet2" xfId="249"/>
    <cellStyle name="_KT (2)_4_TEL OUT 2004" xfId="250"/>
    <cellStyle name="_KT (2)_4_TG-TH" xfId="251"/>
    <cellStyle name="_KT (2)_4_TG-TH_Book1" xfId="252"/>
    <cellStyle name="_KT (2)_4_TG-TH_DTDuong dong tien -sua tham tra 2009 - luong 650" xfId="253"/>
    <cellStyle name="_KT (2)_4_TG-TH_quy luong con lai nam 2004" xfId="254"/>
    <cellStyle name="_KT (2)_4_Tong hop 3 tinh (11_5)-TTH-QN-QT" xfId="255"/>
    <cellStyle name="_KT (2)_4_XL4Poppy" xfId="256"/>
    <cellStyle name="_KT (2)_4_XL4Test5" xfId="257"/>
    <cellStyle name="_KT (2)_4_ÿÿÿÿÿ" xfId="258"/>
    <cellStyle name="_KT (2)_4_" xfId="259"/>
    <cellStyle name="_KT (2)_5" xfId="260"/>
    <cellStyle name="_KT (2)_5_BANG TONG HOP TINH HINH THANH QUYET TOAN (MOI I)" xfId="261"/>
    <cellStyle name="_KT (2)_5_BAO CAO KLCT PT2000" xfId="262"/>
    <cellStyle name="_KT (2)_5_BAO CAO PT2000" xfId="263"/>
    <cellStyle name="_KT (2)_5_BAO CAO PT2000_Book1" xfId="264"/>
    <cellStyle name="_KT (2)_5_Bao cao XDCB 2001 - T11 KH dieu chinh 20-11-THAI" xfId="265"/>
    <cellStyle name="_KT (2)_5_BAO GIA NGAY 24-10-08 (co dam)" xfId="266"/>
    <cellStyle name="_KT (2)_5_Biểu KH 5 năm gửi UB sửa biểu VHXH" xfId="267"/>
    <cellStyle name="_KT (2)_5_Book1" xfId="268"/>
    <cellStyle name="_KT (2)_5_Book1_1" xfId="269"/>
    <cellStyle name="_KT (2)_5_Book1_1_Book1" xfId="270"/>
    <cellStyle name="_KT (2)_5_Book1_1_DanhMucDonGiaVTTB_Dien_TAM" xfId="271"/>
    <cellStyle name="_KT (2)_5_Book1_1_khoiluongbdacdoa" xfId="272"/>
    <cellStyle name="_KT (2)_5_Book1_2" xfId="273"/>
    <cellStyle name="_KT (2)_5_Book1_2_Book1" xfId="274"/>
    <cellStyle name="_KT (2)_5_Book1_3" xfId="275"/>
    <cellStyle name="_KT (2)_5_Book1_3_Book1" xfId="276"/>
    <cellStyle name="_KT (2)_5_Book1_3_DT truong thinh phu" xfId="277"/>
    <cellStyle name="_KT (2)_5_Book1_3_XL4Test5" xfId="278"/>
    <cellStyle name="_KT (2)_5_Book1_4" xfId="279"/>
    <cellStyle name="_KT (2)_5_Book1_BC-QT-WB-dthao" xfId="280"/>
    <cellStyle name="_KT (2)_5_Book1_Book1" xfId="281"/>
    <cellStyle name="_KT (2)_5_Book1_DanhMucDonGiaVTTB_Dien_TAM" xfId="282"/>
    <cellStyle name="_KT (2)_5_Book1_khoiluongbdacdoa" xfId="284"/>
    <cellStyle name="_KT (2)_5_Book1_Kiem Tra Don Gia" xfId="283"/>
    <cellStyle name="_KT (2)_5_Book1_Tong hop 3 tinh (11_5)-TTH-QN-QT" xfId="285"/>
    <cellStyle name="_KT (2)_5_Book1_" xfId="286"/>
    <cellStyle name="_KT (2)_5_CAU Khanh Nam(Thi Cong)" xfId="287"/>
    <cellStyle name="_KT (2)_5_DAU NOI PL-CL TAI PHU LAMHC" xfId="288"/>
    <cellStyle name="_KT (2)_5_Dcdtoan-bcnckt " xfId="289"/>
    <cellStyle name="_KT (2)_5_DN_MTP" xfId="290"/>
    <cellStyle name="_KT (2)_5_Dongia2-2003" xfId="291"/>
    <cellStyle name="_KT (2)_5_Dongia2-2003_DT truong thinh phu" xfId="292"/>
    <cellStyle name="_KT (2)_5_DT truong thinh phu" xfId="293"/>
    <cellStyle name="_KT (2)_5_DTCDT MR.2N110.HOCMON.TDTOAN.CCUNG" xfId="294"/>
    <cellStyle name="_KT (2)_5_DTDuong dong tien -sua tham tra 2009 - luong 650" xfId="295"/>
    <cellStyle name="_KT (2)_5_DU TRU VAT TU" xfId="296"/>
    <cellStyle name="_KT (2)_5_khoiluongbdacdoa" xfId="298"/>
    <cellStyle name="_KT (2)_5_Kiem Tra Don Gia" xfId="297"/>
    <cellStyle name="_KT (2)_5_Lora-tungchau" xfId="299"/>
    <cellStyle name="_KT (2)_5_moi" xfId="300"/>
    <cellStyle name="_KT (2)_5_PGIA-phieu tham tra Kho bac" xfId="301"/>
    <cellStyle name="_KT (2)_5_PT02-02" xfId="302"/>
    <cellStyle name="_KT (2)_5_PT02-02_Book1" xfId="303"/>
    <cellStyle name="_KT (2)_5_PT02-03" xfId="304"/>
    <cellStyle name="_KT (2)_5_PT02-03_Book1" xfId="305"/>
    <cellStyle name="_KT (2)_5_Qt-HT3PQ1(CauKho)" xfId="306"/>
    <cellStyle name="_KT (2)_5_Qt-HT3PQ1(CauKho)_Book1" xfId="307"/>
    <cellStyle name="_KT (2)_5_Qt-HT3PQ1(CauKho)_Don gia quy 3 nam 2003 - Ban Dien Luc" xfId="308"/>
    <cellStyle name="_KT (2)_5_Qt-HT3PQ1(CauKho)_Kiem Tra Don Gia" xfId="309"/>
    <cellStyle name="_KT (2)_5_Qt-HT3PQ1(CauKho)_Kiem Tra Don Gia 2" xfId="310"/>
    <cellStyle name="_KT (2)_5_Qt-HT3PQ1(CauKho)_NC-VL2-2003" xfId="311"/>
    <cellStyle name="_KT (2)_5_Qt-HT3PQ1(CauKho)_NC-VL2-2003_1" xfId="312"/>
    <cellStyle name="_KT (2)_5_Qt-HT3PQ1(CauKho)_XL4Test5" xfId="313"/>
    <cellStyle name="_KT (2)_5_QT-LCTP-AE" xfId="314"/>
    <cellStyle name="_KT (2)_5_Sheet2" xfId="315"/>
    <cellStyle name="_KT (2)_5_TEL OUT 2004" xfId="316"/>
    <cellStyle name="_KT (2)_5_Tong hop 3 tinh (11_5)-TTH-QN-QT" xfId="317"/>
    <cellStyle name="_KT (2)_5_XL4Poppy" xfId="318"/>
    <cellStyle name="_KT (2)_5_XL4Test5" xfId="319"/>
    <cellStyle name="_KT (2)_5_ÿÿÿÿÿ" xfId="320"/>
    <cellStyle name="_KT (2)_5_" xfId="321"/>
    <cellStyle name="_KT (2)_Book1" xfId="322"/>
    <cellStyle name="_KT (2)_Book1_1" xfId="323"/>
    <cellStyle name="_KT (2)_Book1_BC-QT-WB-dthao" xfId="324"/>
    <cellStyle name="_KT (2)_Book1_Book1" xfId="325"/>
    <cellStyle name="_KT (2)_Book1_Kiem Tra Don Gia" xfId="326"/>
    <cellStyle name="_KT (2)_khoiluongbdacdoa" xfId="328"/>
    <cellStyle name="_KT (2)_Kiem Tra Don Gia" xfId="327"/>
    <cellStyle name="_KT (2)_Lora-tungchau" xfId="329"/>
    <cellStyle name="_KT (2)_Lora-tungchau_Book1" xfId="330"/>
    <cellStyle name="_KT (2)_Lora-tungchau_Kiem Tra Don Gia" xfId="331"/>
    <cellStyle name="_KT (2)_PERSONAL" xfId="332"/>
    <cellStyle name="_KT (2)_PERSONAL_Book1" xfId="333"/>
    <cellStyle name="_KT (2)_PERSONAL_HTQ.8 GD1" xfId="334"/>
    <cellStyle name="_KT (2)_PERSONAL_HTQ.8 GD1_Book1" xfId="335"/>
    <cellStyle name="_KT (2)_PERSONAL_HTQ.8 GD1_Don gia quy 3 nam 2003 - Ban Dien Luc" xfId="336"/>
    <cellStyle name="_KT (2)_PERSONAL_HTQ.8 GD1_NC-VL2-2003" xfId="337"/>
    <cellStyle name="_KT (2)_PERSONAL_HTQ.8 GD1_NC-VL2-2003_1" xfId="338"/>
    <cellStyle name="_KT (2)_PERSONAL_HTQ.8 GD1_XL4Test5" xfId="339"/>
    <cellStyle name="_KT (2)_PERSONAL_khoiluongbdacdoa" xfId="340"/>
    <cellStyle name="_KT (2)_PERSONAL_Tong hop KHCB 2001" xfId="341"/>
    <cellStyle name="_KT (2)_PERSONAL_" xfId="342"/>
    <cellStyle name="_KT (2)_Qt-HT3PQ1(CauKho)" xfId="343"/>
    <cellStyle name="_KT (2)_Qt-HT3PQ1(CauKho)_Book1" xfId="344"/>
    <cellStyle name="_KT (2)_Qt-HT3PQ1(CauKho)_Don gia quy 3 nam 2003 - Ban Dien Luc" xfId="345"/>
    <cellStyle name="_KT (2)_Qt-HT3PQ1(CauKho)_Kiem Tra Don Gia" xfId="346"/>
    <cellStyle name="_KT (2)_Qt-HT3PQ1(CauKho)_Kiem Tra Don Gia 2" xfId="347"/>
    <cellStyle name="_KT (2)_Qt-HT3PQ1(CauKho)_NC-VL2-2003" xfId="348"/>
    <cellStyle name="_KT (2)_Qt-HT3PQ1(CauKho)_NC-VL2-2003_1" xfId="349"/>
    <cellStyle name="_KT (2)_Qt-HT3PQ1(CauKho)_XL4Test5" xfId="350"/>
    <cellStyle name="_KT (2)_QT-LCTP-AE" xfId="351"/>
    <cellStyle name="_KT (2)_quy luong con lai nam 2004" xfId="352"/>
    <cellStyle name="_KT (2)_TG-TH" xfId="353"/>
    <cellStyle name="_KT (2)_" xfId="354"/>
    <cellStyle name="_KT_TG" xfId="355"/>
    <cellStyle name="_KT_TG_1" xfId="356"/>
    <cellStyle name="_KT_TG_1_BANG TONG HOP TINH HINH THANH QUYET TOAN (MOI I)" xfId="357"/>
    <cellStyle name="_KT_TG_1_BAO CAO KLCT PT2000" xfId="358"/>
    <cellStyle name="_KT_TG_1_BAO CAO PT2000" xfId="359"/>
    <cellStyle name="_KT_TG_1_BAO CAO PT2000_Book1" xfId="360"/>
    <cellStyle name="_KT_TG_1_Bao cao XDCB 2001 - T11 KH dieu chinh 20-11-THAI" xfId="361"/>
    <cellStyle name="_KT_TG_1_BAO GIA NGAY 24-10-08 (co dam)" xfId="362"/>
    <cellStyle name="_KT_TG_1_Biểu KH 5 năm gửi UB sửa biểu VHXH" xfId="363"/>
    <cellStyle name="_KT_TG_1_Book1" xfId="364"/>
    <cellStyle name="_KT_TG_1_Book1_1" xfId="365"/>
    <cellStyle name="_KT_TG_1_Book1_1_Book1" xfId="366"/>
    <cellStyle name="_KT_TG_1_Book1_1_DanhMucDonGiaVTTB_Dien_TAM" xfId="367"/>
    <cellStyle name="_KT_TG_1_Book1_1_khoiluongbdacdoa" xfId="368"/>
    <cellStyle name="_KT_TG_1_Book1_2" xfId="369"/>
    <cellStyle name="_KT_TG_1_Book1_2_Book1" xfId="370"/>
    <cellStyle name="_KT_TG_1_Book1_3" xfId="371"/>
    <cellStyle name="_KT_TG_1_Book1_3_Book1" xfId="372"/>
    <cellStyle name="_KT_TG_1_Book1_3_DT truong thinh phu" xfId="373"/>
    <cellStyle name="_KT_TG_1_Book1_3_XL4Test5" xfId="374"/>
    <cellStyle name="_KT_TG_1_Book1_4" xfId="375"/>
    <cellStyle name="_KT_TG_1_Book1_BC-QT-WB-dthao" xfId="376"/>
    <cellStyle name="_KT_TG_1_Book1_Book1" xfId="377"/>
    <cellStyle name="_KT_TG_1_Book1_DanhMucDonGiaVTTB_Dien_TAM" xfId="378"/>
    <cellStyle name="_KT_TG_1_Book1_khoiluongbdacdoa" xfId="380"/>
    <cellStyle name="_KT_TG_1_Book1_Kiem Tra Don Gia" xfId="379"/>
    <cellStyle name="_KT_TG_1_Book1_Tong hop 3 tinh (11_5)-TTH-QN-QT" xfId="381"/>
    <cellStyle name="_KT_TG_1_Book1_" xfId="382"/>
    <cellStyle name="_KT_TG_1_CAU Khanh Nam(Thi Cong)" xfId="383"/>
    <cellStyle name="_KT_TG_1_DAU NOI PL-CL TAI PHU LAMHC" xfId="384"/>
    <cellStyle name="_KT_TG_1_Dcdtoan-bcnckt " xfId="385"/>
    <cellStyle name="_KT_TG_1_DN_MTP" xfId="386"/>
    <cellStyle name="_KT_TG_1_Dongia2-2003" xfId="387"/>
    <cellStyle name="_KT_TG_1_Dongia2-2003_DT truong thinh phu" xfId="388"/>
    <cellStyle name="_KT_TG_1_DT truong thinh phu" xfId="389"/>
    <cellStyle name="_KT_TG_1_DTCDT MR.2N110.HOCMON.TDTOAN.CCUNG" xfId="390"/>
    <cellStyle name="_KT_TG_1_DTDuong dong tien -sua tham tra 2009 - luong 650" xfId="391"/>
    <cellStyle name="_KT_TG_1_DU TRU VAT TU" xfId="392"/>
    <cellStyle name="_KT_TG_1_khoiluongbdacdoa" xfId="394"/>
    <cellStyle name="_KT_TG_1_Kiem Tra Don Gia" xfId="393"/>
    <cellStyle name="_KT_TG_1_Lora-tungchau" xfId="395"/>
    <cellStyle name="_KT_TG_1_moi" xfId="396"/>
    <cellStyle name="_KT_TG_1_PGIA-phieu tham tra Kho bac" xfId="397"/>
    <cellStyle name="_KT_TG_1_PT02-02" xfId="398"/>
    <cellStyle name="_KT_TG_1_PT02-02_Book1" xfId="399"/>
    <cellStyle name="_KT_TG_1_PT02-03" xfId="400"/>
    <cellStyle name="_KT_TG_1_PT02-03_Book1" xfId="401"/>
    <cellStyle name="_KT_TG_1_Qt-HT3PQ1(CauKho)" xfId="402"/>
    <cellStyle name="_KT_TG_1_Qt-HT3PQ1(CauKho)_Book1" xfId="403"/>
    <cellStyle name="_KT_TG_1_Qt-HT3PQ1(CauKho)_Don gia quy 3 nam 2003 - Ban Dien Luc" xfId="404"/>
    <cellStyle name="_KT_TG_1_Qt-HT3PQ1(CauKho)_Kiem Tra Don Gia" xfId="405"/>
    <cellStyle name="_KT_TG_1_Qt-HT3PQ1(CauKho)_Kiem Tra Don Gia 2" xfId="406"/>
    <cellStyle name="_KT_TG_1_Qt-HT3PQ1(CauKho)_NC-VL2-2003" xfId="407"/>
    <cellStyle name="_KT_TG_1_Qt-HT3PQ1(CauKho)_NC-VL2-2003_1" xfId="408"/>
    <cellStyle name="_KT_TG_1_Qt-HT3PQ1(CauKho)_XL4Test5" xfId="409"/>
    <cellStyle name="_KT_TG_1_QT-LCTP-AE" xfId="410"/>
    <cellStyle name="_KT_TG_1_Sheet2" xfId="411"/>
    <cellStyle name="_KT_TG_1_TEL OUT 2004" xfId="412"/>
    <cellStyle name="_KT_TG_1_Tong hop 3 tinh (11_5)-TTH-QN-QT" xfId="413"/>
    <cellStyle name="_KT_TG_1_XL4Poppy" xfId="414"/>
    <cellStyle name="_KT_TG_1_XL4Test5" xfId="415"/>
    <cellStyle name="_KT_TG_1_ÿÿÿÿÿ" xfId="416"/>
    <cellStyle name="_KT_TG_1_" xfId="417"/>
    <cellStyle name="_KT_TG_2" xfId="418"/>
    <cellStyle name="_KT_TG_2_BANG TONG HOP TINH HINH THANH QUYET TOAN (MOI I)" xfId="419"/>
    <cellStyle name="_KT_TG_2_BAO CAO KLCT PT2000" xfId="420"/>
    <cellStyle name="_KT_TG_2_BAO CAO PT2000" xfId="421"/>
    <cellStyle name="_KT_TG_2_BAO CAO PT2000_Book1" xfId="422"/>
    <cellStyle name="_KT_TG_2_Bao cao XDCB 2001 - T11 KH dieu chinh 20-11-THAI" xfId="423"/>
    <cellStyle name="_KT_TG_2_BAO GIA NGAY 24-10-08 (co dam)" xfId="424"/>
    <cellStyle name="_KT_TG_2_Biểu KH 5 năm gửi UB sửa biểu VHXH" xfId="425"/>
    <cellStyle name="_KT_TG_2_Book1" xfId="426"/>
    <cellStyle name="_KT_TG_2_Book1_1" xfId="427"/>
    <cellStyle name="_KT_TG_2_Book1_1_Book1" xfId="428"/>
    <cellStyle name="_KT_TG_2_Book1_1_DanhMucDonGiaVTTB_Dien_TAM" xfId="429"/>
    <cellStyle name="_KT_TG_2_Book1_1_khoiluongbdacdoa" xfId="430"/>
    <cellStyle name="_KT_TG_2_Book1_2" xfId="431"/>
    <cellStyle name="_KT_TG_2_Book1_2_Book1" xfId="432"/>
    <cellStyle name="_KT_TG_2_Book1_3" xfId="433"/>
    <cellStyle name="_KT_TG_2_Book1_3_Book1" xfId="434"/>
    <cellStyle name="_KT_TG_2_Book1_3_DT truong thinh phu" xfId="435"/>
    <cellStyle name="_KT_TG_2_Book1_3_XL4Test5" xfId="436"/>
    <cellStyle name="_KT_TG_2_Book1_4" xfId="437"/>
    <cellStyle name="_KT_TG_2_Book1_Book1" xfId="438"/>
    <cellStyle name="_KT_TG_2_Book1_DanhMucDonGiaVTTB_Dien_TAM" xfId="439"/>
    <cellStyle name="_KT_TG_2_Book1_khoiluongbdacdoa" xfId="441"/>
    <cellStyle name="_KT_TG_2_Book1_Kiem Tra Don Gia" xfId="440"/>
    <cellStyle name="_KT_TG_2_Book1_Tong hop 3 tinh (11_5)-TTH-QN-QT" xfId="442"/>
    <cellStyle name="_KT_TG_2_Book1_" xfId="443"/>
    <cellStyle name="_KT_TG_2_CAU Khanh Nam(Thi Cong)" xfId="444"/>
    <cellStyle name="_KT_TG_2_DAU NOI PL-CL TAI PHU LAMHC" xfId="445"/>
    <cellStyle name="_KT_TG_2_Dcdtoan-bcnckt " xfId="446"/>
    <cellStyle name="_KT_TG_2_DN_MTP" xfId="447"/>
    <cellStyle name="_KT_TG_2_Dongia2-2003" xfId="448"/>
    <cellStyle name="_KT_TG_2_Dongia2-2003_DT truong thinh phu" xfId="449"/>
    <cellStyle name="_KT_TG_2_DT truong thinh phu" xfId="450"/>
    <cellStyle name="_KT_TG_2_DTCDT MR.2N110.HOCMON.TDTOAN.CCUNG" xfId="451"/>
    <cellStyle name="_KT_TG_2_DTDuong dong tien -sua tham tra 2009 - luong 650" xfId="452"/>
    <cellStyle name="_KT_TG_2_DU TRU VAT TU" xfId="453"/>
    <cellStyle name="_KT_TG_2_khoiluongbdacdoa" xfId="455"/>
    <cellStyle name="_KT_TG_2_Kiem Tra Don Gia" xfId="454"/>
    <cellStyle name="_KT_TG_2_Lora-tungchau" xfId="456"/>
    <cellStyle name="_KT_TG_2_moi" xfId="457"/>
    <cellStyle name="_KT_TG_2_PGIA-phieu tham tra Kho bac" xfId="458"/>
    <cellStyle name="_KT_TG_2_PT02-02" xfId="459"/>
    <cellStyle name="_KT_TG_2_PT02-02_Book1" xfId="460"/>
    <cellStyle name="_KT_TG_2_PT02-03" xfId="461"/>
    <cellStyle name="_KT_TG_2_PT02-03_Book1" xfId="462"/>
    <cellStyle name="_KT_TG_2_Qt-HT3PQ1(CauKho)" xfId="463"/>
    <cellStyle name="_KT_TG_2_Qt-HT3PQ1(CauKho)_Book1" xfId="464"/>
    <cellStyle name="_KT_TG_2_Qt-HT3PQ1(CauKho)_Don gia quy 3 nam 2003 - Ban Dien Luc" xfId="465"/>
    <cellStyle name="_KT_TG_2_Qt-HT3PQ1(CauKho)_Kiem Tra Don Gia" xfId="466"/>
    <cellStyle name="_KT_TG_2_Qt-HT3PQ1(CauKho)_Kiem Tra Don Gia 2" xfId="467"/>
    <cellStyle name="_KT_TG_2_Qt-HT3PQ1(CauKho)_NC-VL2-2003" xfId="468"/>
    <cellStyle name="_KT_TG_2_Qt-HT3PQ1(CauKho)_NC-VL2-2003_1" xfId="469"/>
    <cellStyle name="_KT_TG_2_Qt-HT3PQ1(CauKho)_XL4Test5" xfId="470"/>
    <cellStyle name="_KT_TG_2_QT-LCTP-AE" xfId="471"/>
    <cellStyle name="_KT_TG_2_quy luong con lai nam 2004" xfId="472"/>
    <cellStyle name="_KT_TG_2_Sheet2" xfId="473"/>
    <cellStyle name="_KT_TG_2_TEL OUT 2004" xfId="474"/>
    <cellStyle name="_KT_TG_2_Tong hop 3 tinh (11_5)-TTH-QN-QT" xfId="475"/>
    <cellStyle name="_KT_TG_2_XL4Poppy" xfId="476"/>
    <cellStyle name="_KT_TG_2_XL4Test5" xfId="477"/>
    <cellStyle name="_KT_TG_2_ÿÿÿÿÿ" xfId="478"/>
    <cellStyle name="_KT_TG_2_" xfId="479"/>
    <cellStyle name="_KT_TG_3" xfId="480"/>
    <cellStyle name="_KT_TG_4" xfId="481"/>
    <cellStyle name="_KT_TG_4_Book1" xfId="482"/>
    <cellStyle name="_KT_TG_4_Lora-tungchau" xfId="483"/>
    <cellStyle name="_KT_TG_4_Qt-HT3PQ1(CauKho)" xfId="484"/>
    <cellStyle name="_KT_TG_4_Qt-HT3PQ1(CauKho)_Book1" xfId="485"/>
    <cellStyle name="_KT_TG_4_Qt-HT3PQ1(CauKho)_Don gia quy 3 nam 2003 - Ban Dien Luc" xfId="486"/>
    <cellStyle name="_KT_TG_4_Qt-HT3PQ1(CauKho)_Kiem Tra Don Gia" xfId="487"/>
    <cellStyle name="_KT_TG_4_Qt-HT3PQ1(CauKho)_Kiem Tra Don Gia 2" xfId="488"/>
    <cellStyle name="_KT_TG_4_Qt-HT3PQ1(CauKho)_NC-VL2-2003" xfId="489"/>
    <cellStyle name="_KT_TG_4_Qt-HT3PQ1(CauKho)_NC-VL2-2003_1" xfId="490"/>
    <cellStyle name="_KT_TG_4_Qt-HT3PQ1(CauKho)_XL4Test5" xfId="491"/>
    <cellStyle name="_KT_TG_4_quy luong con lai nam 2004" xfId="492"/>
    <cellStyle name="_KT_TG_4_" xfId="493"/>
    <cellStyle name="_KT_TG_Book1" xfId="494"/>
    <cellStyle name="_KT_TG_DTDuong dong tien -sua tham tra 2009 - luong 650" xfId="495"/>
    <cellStyle name="_KT_TG_quy luong con lai nam 2004" xfId="496"/>
    <cellStyle name="_Lora-tungchau" xfId="500"/>
    <cellStyle name="_Lora-tungchau_Book1" xfId="501"/>
    <cellStyle name="_Lora-tungchau_Kiem Tra Don Gia" xfId="502"/>
    <cellStyle name="_MauThanTKKT-goi7-DonGia2143(vl t7)" xfId="503"/>
    <cellStyle name="_Nhu cau von ung truoc 2011 Tha h Hoa + Nge An gui TW" xfId="504"/>
    <cellStyle name="_PERSONAL" xfId="505"/>
    <cellStyle name="_PERSONAL_Book1" xfId="506"/>
    <cellStyle name="_PERSONAL_HTQ.8 GD1" xfId="507"/>
    <cellStyle name="_PERSONAL_HTQ.8 GD1_Book1" xfId="508"/>
    <cellStyle name="_PERSONAL_HTQ.8 GD1_Don gia quy 3 nam 2003 - Ban Dien Luc" xfId="509"/>
    <cellStyle name="_PERSONAL_HTQ.8 GD1_NC-VL2-2003" xfId="510"/>
    <cellStyle name="_PERSONAL_HTQ.8 GD1_NC-VL2-2003_1" xfId="511"/>
    <cellStyle name="_PERSONAL_HTQ.8 GD1_XL4Test5" xfId="512"/>
    <cellStyle name="_PERSONAL_khoiluongbdacdoa" xfId="513"/>
    <cellStyle name="_PERSONAL_Tong hop KHCB 2001" xfId="514"/>
    <cellStyle name="_PERSONAL_" xfId="515"/>
    <cellStyle name="_Phu luc kem BC gui VP Bo (18.2)" xfId="516"/>
    <cellStyle name="_Q TOAN  SCTX QL.62 QUI I ( oanh)" xfId="517"/>
    <cellStyle name="_Q TOAN  SCTX QL.62 QUI II ( oanh)" xfId="518"/>
    <cellStyle name="_QT SCTXQL62_QT1 (Cty QL)" xfId="519"/>
    <cellStyle name="_Qt-HT3PQ1(CauKho)" xfId="520"/>
    <cellStyle name="_Qt-HT3PQ1(CauKho)_Book1" xfId="521"/>
    <cellStyle name="_Qt-HT3PQ1(CauKho)_Don gia quy 3 nam 2003 - Ban Dien Luc" xfId="522"/>
    <cellStyle name="_Qt-HT3PQ1(CauKho)_Kiem Tra Don Gia" xfId="523"/>
    <cellStyle name="_Qt-HT3PQ1(CauKho)_Kiem Tra Don Gia 2" xfId="524"/>
    <cellStyle name="_Qt-HT3PQ1(CauKho)_NC-VL2-2003" xfId="525"/>
    <cellStyle name="_Qt-HT3PQ1(CauKho)_NC-VL2-2003_1" xfId="526"/>
    <cellStyle name="_Qt-HT3PQ1(CauKho)_XL4Test5" xfId="527"/>
    <cellStyle name="_QT-LCTP-AE" xfId="528"/>
    <cellStyle name="_quy luong con lai nam 2004" xfId="529"/>
    <cellStyle name="_Sheet1" xfId="530"/>
    <cellStyle name="_Sheet2" xfId="531"/>
    <cellStyle name="_TG-TH" xfId="532"/>
    <cellStyle name="_TG-TH_1" xfId="533"/>
    <cellStyle name="_TG-TH_1_BANG TONG HOP TINH HINH THANH QUYET TOAN (MOI I)" xfId="534"/>
    <cellStyle name="_TG-TH_1_BAO CAO KLCT PT2000" xfId="535"/>
    <cellStyle name="_TG-TH_1_BAO CAO PT2000" xfId="536"/>
    <cellStyle name="_TG-TH_1_BAO CAO PT2000_Book1" xfId="537"/>
    <cellStyle name="_TG-TH_1_Bao cao XDCB 2001 - T11 KH dieu chinh 20-11-THAI" xfId="538"/>
    <cellStyle name="_TG-TH_1_BAO GIA NGAY 24-10-08 (co dam)" xfId="539"/>
    <cellStyle name="_TG-TH_1_Biểu KH 5 năm gửi UB sửa biểu VHXH" xfId="540"/>
    <cellStyle name="_TG-TH_1_Book1" xfId="541"/>
    <cellStyle name="_TG-TH_1_Book1_1" xfId="542"/>
    <cellStyle name="_TG-TH_1_Book1_1_Book1" xfId="543"/>
    <cellStyle name="_TG-TH_1_Book1_1_DanhMucDonGiaVTTB_Dien_TAM" xfId="544"/>
    <cellStyle name="_TG-TH_1_Book1_1_khoiluongbdacdoa" xfId="545"/>
    <cellStyle name="_TG-TH_1_Book1_2" xfId="546"/>
    <cellStyle name="_TG-TH_1_Book1_2_Book1" xfId="547"/>
    <cellStyle name="_TG-TH_1_Book1_3" xfId="548"/>
    <cellStyle name="_TG-TH_1_Book1_3_Book1" xfId="549"/>
    <cellStyle name="_TG-TH_1_Book1_3_DT truong thinh phu" xfId="550"/>
    <cellStyle name="_TG-TH_1_Book1_3_XL4Test5" xfId="551"/>
    <cellStyle name="_TG-TH_1_Book1_4" xfId="552"/>
    <cellStyle name="_TG-TH_1_Book1_BC-QT-WB-dthao" xfId="553"/>
    <cellStyle name="_TG-TH_1_Book1_Book1" xfId="554"/>
    <cellStyle name="_TG-TH_1_Book1_DanhMucDonGiaVTTB_Dien_TAM" xfId="555"/>
    <cellStyle name="_TG-TH_1_Book1_khoiluongbdacdoa" xfId="557"/>
    <cellStyle name="_TG-TH_1_Book1_Kiem Tra Don Gia" xfId="556"/>
    <cellStyle name="_TG-TH_1_Book1_Tong hop 3 tinh (11_5)-TTH-QN-QT" xfId="558"/>
    <cellStyle name="_TG-TH_1_Book1_" xfId="559"/>
    <cellStyle name="_TG-TH_1_CAU Khanh Nam(Thi Cong)" xfId="560"/>
    <cellStyle name="_TG-TH_1_DAU NOI PL-CL TAI PHU LAMHC" xfId="561"/>
    <cellStyle name="_TG-TH_1_Dcdtoan-bcnckt " xfId="562"/>
    <cellStyle name="_TG-TH_1_DN_MTP" xfId="563"/>
    <cellStyle name="_TG-TH_1_Dongia2-2003" xfId="564"/>
    <cellStyle name="_TG-TH_1_Dongia2-2003_DT truong thinh phu" xfId="565"/>
    <cellStyle name="_TG-TH_1_DT truong thinh phu" xfId="566"/>
    <cellStyle name="_TG-TH_1_DTCDT MR.2N110.HOCMON.TDTOAN.CCUNG" xfId="567"/>
    <cellStyle name="_TG-TH_1_DTDuong dong tien -sua tham tra 2009 - luong 650" xfId="568"/>
    <cellStyle name="_TG-TH_1_DU TRU VAT TU" xfId="569"/>
    <cellStyle name="_TG-TH_1_khoiluongbdacdoa" xfId="571"/>
    <cellStyle name="_TG-TH_1_Kiem Tra Don Gia" xfId="570"/>
    <cellStyle name="_TG-TH_1_Lora-tungchau" xfId="572"/>
    <cellStyle name="_TG-TH_1_moi" xfId="573"/>
    <cellStyle name="_TG-TH_1_PGIA-phieu tham tra Kho bac" xfId="574"/>
    <cellStyle name="_TG-TH_1_PT02-02" xfId="575"/>
    <cellStyle name="_TG-TH_1_PT02-02_Book1" xfId="576"/>
    <cellStyle name="_TG-TH_1_PT02-03" xfId="577"/>
    <cellStyle name="_TG-TH_1_PT02-03_Book1" xfId="578"/>
    <cellStyle name="_TG-TH_1_Qt-HT3PQ1(CauKho)" xfId="579"/>
    <cellStyle name="_TG-TH_1_Qt-HT3PQ1(CauKho)_Book1" xfId="580"/>
    <cellStyle name="_TG-TH_1_Qt-HT3PQ1(CauKho)_Don gia quy 3 nam 2003 - Ban Dien Luc" xfId="581"/>
    <cellStyle name="_TG-TH_1_Qt-HT3PQ1(CauKho)_Kiem Tra Don Gia" xfId="582"/>
    <cellStyle name="_TG-TH_1_Qt-HT3PQ1(CauKho)_Kiem Tra Don Gia 2" xfId="583"/>
    <cellStyle name="_TG-TH_1_Qt-HT3PQ1(CauKho)_NC-VL2-2003" xfId="584"/>
    <cellStyle name="_TG-TH_1_Qt-HT3PQ1(CauKho)_NC-VL2-2003_1" xfId="585"/>
    <cellStyle name="_TG-TH_1_Qt-HT3PQ1(CauKho)_XL4Test5" xfId="586"/>
    <cellStyle name="_TG-TH_1_QT-LCTP-AE" xfId="587"/>
    <cellStyle name="_TG-TH_1_Sheet2" xfId="588"/>
    <cellStyle name="_TG-TH_1_TEL OUT 2004" xfId="589"/>
    <cellStyle name="_TG-TH_1_Tong hop 3 tinh (11_5)-TTH-QN-QT" xfId="590"/>
    <cellStyle name="_TG-TH_1_XL4Poppy" xfId="591"/>
    <cellStyle name="_TG-TH_1_XL4Test5" xfId="592"/>
    <cellStyle name="_TG-TH_1_ÿÿÿÿÿ" xfId="593"/>
    <cellStyle name="_TG-TH_1_" xfId="594"/>
    <cellStyle name="_TG-TH_2" xfId="595"/>
    <cellStyle name="_TG-TH_2_BANG TONG HOP TINH HINH THANH QUYET TOAN (MOI I)" xfId="596"/>
    <cellStyle name="_TG-TH_2_BAO CAO KLCT PT2000" xfId="597"/>
    <cellStyle name="_TG-TH_2_BAO CAO PT2000" xfId="598"/>
    <cellStyle name="_TG-TH_2_BAO CAO PT2000_Book1" xfId="599"/>
    <cellStyle name="_TG-TH_2_Bao cao XDCB 2001 - T11 KH dieu chinh 20-11-THAI" xfId="600"/>
    <cellStyle name="_TG-TH_2_BAO GIA NGAY 24-10-08 (co dam)" xfId="601"/>
    <cellStyle name="_TG-TH_2_Biểu KH 5 năm gửi UB sửa biểu VHXH" xfId="602"/>
    <cellStyle name="_TG-TH_2_Book1" xfId="603"/>
    <cellStyle name="_TG-TH_2_Book1_1" xfId="604"/>
    <cellStyle name="_TG-TH_2_Book1_1_Book1" xfId="605"/>
    <cellStyle name="_TG-TH_2_Book1_1_DanhMucDonGiaVTTB_Dien_TAM" xfId="606"/>
    <cellStyle name="_TG-TH_2_Book1_1_khoiluongbdacdoa" xfId="607"/>
    <cellStyle name="_TG-TH_2_Book1_2" xfId="608"/>
    <cellStyle name="_TG-TH_2_Book1_2_Book1" xfId="609"/>
    <cellStyle name="_TG-TH_2_Book1_3" xfId="610"/>
    <cellStyle name="_TG-TH_2_Book1_3_Book1" xfId="611"/>
    <cellStyle name="_TG-TH_2_Book1_3_DT truong thinh phu" xfId="612"/>
    <cellStyle name="_TG-TH_2_Book1_3_XL4Test5" xfId="613"/>
    <cellStyle name="_TG-TH_2_Book1_4" xfId="614"/>
    <cellStyle name="_TG-TH_2_Book1_Book1" xfId="615"/>
    <cellStyle name="_TG-TH_2_Book1_DanhMucDonGiaVTTB_Dien_TAM" xfId="616"/>
    <cellStyle name="_TG-TH_2_Book1_khoiluongbdacdoa" xfId="618"/>
    <cellStyle name="_TG-TH_2_Book1_Kiem Tra Don Gia" xfId="617"/>
    <cellStyle name="_TG-TH_2_Book1_Tong hop 3 tinh (11_5)-TTH-QN-QT" xfId="619"/>
    <cellStyle name="_TG-TH_2_Book1_" xfId="620"/>
    <cellStyle name="_TG-TH_2_CAU Khanh Nam(Thi Cong)" xfId="621"/>
    <cellStyle name="_TG-TH_2_DAU NOI PL-CL TAI PHU LAMHC" xfId="622"/>
    <cellStyle name="_TG-TH_2_Dcdtoan-bcnckt " xfId="623"/>
    <cellStyle name="_TG-TH_2_DN_MTP" xfId="624"/>
    <cellStyle name="_TG-TH_2_Dongia2-2003" xfId="625"/>
    <cellStyle name="_TG-TH_2_Dongia2-2003_DT truong thinh phu" xfId="626"/>
    <cellStyle name="_TG-TH_2_DT truong thinh phu" xfId="627"/>
    <cellStyle name="_TG-TH_2_DTCDT MR.2N110.HOCMON.TDTOAN.CCUNG" xfId="628"/>
    <cellStyle name="_TG-TH_2_DTDuong dong tien -sua tham tra 2009 - luong 650" xfId="629"/>
    <cellStyle name="_TG-TH_2_DU TRU VAT TU" xfId="630"/>
    <cellStyle name="_TG-TH_2_khoiluongbdacdoa" xfId="632"/>
    <cellStyle name="_TG-TH_2_Kiem Tra Don Gia" xfId="631"/>
    <cellStyle name="_TG-TH_2_Lora-tungchau" xfId="633"/>
    <cellStyle name="_TG-TH_2_moi" xfId="634"/>
    <cellStyle name="_TG-TH_2_PGIA-phieu tham tra Kho bac" xfId="635"/>
    <cellStyle name="_TG-TH_2_PT02-02" xfId="636"/>
    <cellStyle name="_TG-TH_2_PT02-02_Book1" xfId="637"/>
    <cellStyle name="_TG-TH_2_PT02-03" xfId="638"/>
    <cellStyle name="_TG-TH_2_PT02-03_Book1" xfId="639"/>
    <cellStyle name="_TG-TH_2_Qt-HT3PQ1(CauKho)" xfId="640"/>
    <cellStyle name="_TG-TH_2_Qt-HT3PQ1(CauKho)_Book1" xfId="641"/>
    <cellStyle name="_TG-TH_2_Qt-HT3PQ1(CauKho)_Don gia quy 3 nam 2003 - Ban Dien Luc" xfId="642"/>
    <cellStyle name="_TG-TH_2_Qt-HT3PQ1(CauKho)_Kiem Tra Don Gia" xfId="643"/>
    <cellStyle name="_TG-TH_2_Qt-HT3PQ1(CauKho)_Kiem Tra Don Gia 2" xfId="644"/>
    <cellStyle name="_TG-TH_2_Qt-HT3PQ1(CauKho)_NC-VL2-2003" xfId="645"/>
    <cellStyle name="_TG-TH_2_Qt-HT3PQ1(CauKho)_NC-VL2-2003_1" xfId="646"/>
    <cellStyle name="_TG-TH_2_Qt-HT3PQ1(CauKho)_XL4Test5" xfId="647"/>
    <cellStyle name="_TG-TH_2_QT-LCTP-AE" xfId="648"/>
    <cellStyle name="_TG-TH_2_quy luong con lai nam 2004" xfId="649"/>
    <cellStyle name="_TG-TH_2_Sheet2" xfId="650"/>
    <cellStyle name="_TG-TH_2_TEL OUT 2004" xfId="651"/>
    <cellStyle name="_TG-TH_2_Tong hop 3 tinh (11_5)-TTH-QN-QT" xfId="652"/>
    <cellStyle name="_TG-TH_2_XL4Poppy" xfId="653"/>
    <cellStyle name="_TG-TH_2_XL4Test5" xfId="654"/>
    <cellStyle name="_TG-TH_2_ÿÿÿÿÿ" xfId="655"/>
    <cellStyle name="_TG-TH_2_" xfId="656"/>
    <cellStyle name="_TG-TH_3" xfId="657"/>
    <cellStyle name="_TG-TH_3_Book1" xfId="658"/>
    <cellStyle name="_TG-TH_3_Lora-tungchau" xfId="659"/>
    <cellStyle name="_TG-TH_3_Qt-HT3PQ1(CauKho)" xfId="660"/>
    <cellStyle name="_TG-TH_3_Qt-HT3PQ1(CauKho)_Book1" xfId="661"/>
    <cellStyle name="_TG-TH_3_Qt-HT3PQ1(CauKho)_Don gia quy 3 nam 2003 - Ban Dien Luc" xfId="662"/>
    <cellStyle name="_TG-TH_3_Qt-HT3PQ1(CauKho)_Kiem Tra Don Gia" xfId="663"/>
    <cellStyle name="_TG-TH_3_Qt-HT3PQ1(CauKho)_Kiem Tra Don Gia 2" xfId="664"/>
    <cellStyle name="_TG-TH_3_Qt-HT3PQ1(CauKho)_NC-VL2-2003" xfId="665"/>
    <cellStyle name="_TG-TH_3_Qt-HT3PQ1(CauKho)_NC-VL2-2003_1" xfId="666"/>
    <cellStyle name="_TG-TH_3_Qt-HT3PQ1(CauKho)_XL4Test5" xfId="667"/>
    <cellStyle name="_TG-TH_3_quy luong con lai nam 2004" xfId="668"/>
    <cellStyle name="_TG-TH_3_" xfId="669"/>
    <cellStyle name="_TG-TH_4" xfId="670"/>
    <cellStyle name="_TG-TH_4_Book1" xfId="671"/>
    <cellStyle name="_TG-TH_4_DTDuong dong tien -sua tham tra 2009 - luong 650" xfId="672"/>
    <cellStyle name="_TG-TH_4_quy luong con lai nam 2004" xfId="673"/>
    <cellStyle name="_TH KHAI TOAN THU THIEM cac tuyen TT noi" xfId="678"/>
    <cellStyle name="_TKP" xfId="674"/>
    <cellStyle name="_Tong dutoan PP LAHAI" xfId="675"/>
    <cellStyle name="_Tong hop 3 tinh (11_5)-TTH-QN-QT" xfId="676"/>
    <cellStyle name="_Tong hop may cheu nganh 1" xfId="677"/>
    <cellStyle name="_ung 2011 - 11-6-Thanh hoa-Nghe an" xfId="679"/>
    <cellStyle name="_ung truoc 2011 NSTW Thanh Hoa + Nge An gui Thu 12-5" xfId="680"/>
    <cellStyle name="_ung truoc cua long an (6-5-2010)" xfId="681"/>
    <cellStyle name="_ung von chinh thuc doan kiem tra TAY NAM BO" xfId="682"/>
    <cellStyle name="_Ung von nam 2011 vung TNB - Doan Cong tac (12-5-2010)" xfId="683"/>
    <cellStyle name="_Ung von nam 2011 vung TNB - Doan Cong tac (12-5-2010)_Copy of ghep 3 bieu trinh LD BO 28-6 (TPCP)" xfId="684"/>
    <cellStyle name="_ÿÿÿÿÿ" xfId="685"/>
    <cellStyle name="_ÿÿÿÿÿ_Kh ql62 (2010) 11-09" xfId="686"/>
    <cellStyle name="_" xfId="687"/>
    <cellStyle name="_ 2" xfId="688"/>
    <cellStyle name="__1" xfId="689"/>
    <cellStyle name="__1 2" xfId="690"/>
    <cellStyle name="__Bao gia TB Kon Dao 2010" xfId="691"/>
    <cellStyle name="~1" xfId="692"/>
    <cellStyle name="’Ê‰Ý [0.00]_laroux" xfId="693"/>
    <cellStyle name="’Ê‰Ý_laroux" xfId="694"/>
    <cellStyle name="•W?_Format" xfId="695"/>
    <cellStyle name="•W€_¯–ì" xfId="696"/>
    <cellStyle name="•W_¯–ì" xfId="697"/>
    <cellStyle name="W_MARINE" xfId="698"/>
    <cellStyle name="0" xfId="699"/>
    <cellStyle name="0.0" xfId="700"/>
    <cellStyle name="0.00" xfId="701"/>
    <cellStyle name="1" xfId="702"/>
    <cellStyle name="1_17 bieu (hung cap nhap)" xfId="703"/>
    <cellStyle name="1_2-Ha GiangBB2011-V1" xfId="704"/>
    <cellStyle name="1_50-BB Vung tau 2011" xfId="705"/>
    <cellStyle name="1_52-Long An2011.BB-V1" xfId="706"/>
    <cellStyle name="1_7 noi 48 goi C5 9 vi na" xfId="707"/>
    <cellStyle name="1_BANG KE VAT TU" xfId="708"/>
    <cellStyle name="1_Bao cao doan cong tac cua Bo thang 4-2010" xfId="709"/>
    <cellStyle name="1_Bao cao giai ngan von dau tu nam 2009 (theo doi)" xfId="710"/>
    <cellStyle name="1_Bao cao giai ngan von dau tu nam 2009 (theo doi)_Bao cao doan cong tac cua Bo thang 4-2010" xfId="711"/>
    <cellStyle name="1_Bao cao giai ngan von dau tu nam 2009 (theo doi)_Ke hoach 2009 (theo doi) -1" xfId="712"/>
    <cellStyle name="1_Bao cao KP tu chu" xfId="713"/>
    <cellStyle name="1_BAO GIA NGAY 24-10-08 (co dam)" xfId="714"/>
    <cellStyle name="1_Bao gia TB Kon Dao 2010" xfId="715"/>
    <cellStyle name="1_BC 8 thang 2009 ve CT trong diem 5nam" xfId="716"/>
    <cellStyle name="1_BC 8 thang 2009 ve CT trong diem 5nam_Bao cao doan cong tac cua Bo thang 4-2010" xfId="717"/>
    <cellStyle name="1_BC 8 thang 2009 ve CT trong diem 5nam_bieu 01" xfId="718"/>
    <cellStyle name="1_BC 8 thang 2009 ve CT trong diem 5nam_bieu 01_Bao cao doan cong tac cua Bo thang 4-2010" xfId="719"/>
    <cellStyle name="1_BC nam 2007 (UB)" xfId="720"/>
    <cellStyle name="1_BC nam 2007 (UB)_Bao cao doan cong tac cua Bo thang 4-2010" xfId="721"/>
    <cellStyle name="1_bieu 1" xfId="722"/>
    <cellStyle name="1_bieu 2" xfId="723"/>
    <cellStyle name="1_bieu 4" xfId="724"/>
    <cellStyle name="1_bieu tong hop" xfId="725"/>
    <cellStyle name="1_Book1" xfId="726"/>
    <cellStyle name="1_Book1_1" xfId="727"/>
    <cellStyle name="1_Book1_1_VBPL kiểm toán Đầu tư XDCB 2010" xfId="728"/>
    <cellStyle name="1_Book1_Bao cao doan cong tac cua Bo thang 4-2010" xfId="729"/>
    <cellStyle name="1_Book1_BL vu" xfId="730"/>
    <cellStyle name="1_Book1_Book1" xfId="731"/>
    <cellStyle name="1_Book1_Gia - Thanh An" xfId="732"/>
    <cellStyle name="1_Book1_VBPL kiểm toán Đầu tư XDCB 2010" xfId="733"/>
    <cellStyle name="1_Book2" xfId="734"/>
    <cellStyle name="1_Book2_Bao cao doan cong tac cua Bo thang 4-2010" xfId="735"/>
    <cellStyle name="1_Cau thuy dien Ban La (Cu Anh)" xfId="736"/>
    <cellStyle name="1_Copy of ghep 3 bieu trinh LD BO 28-6 (TPCP)" xfId="737"/>
    <cellStyle name="1_Danh sach gui BC thuc hien KH2009" xfId="738"/>
    <cellStyle name="1_Danh sach gui BC thuc hien KH2009_Bao cao doan cong tac cua Bo thang 4-2010" xfId="739"/>
    <cellStyle name="1_Danh sach gui BC thuc hien KH2009_Ke hoach 2009 (theo doi) -1" xfId="740"/>
    <cellStyle name="1_Don gia Du thau ( XL19)" xfId="741"/>
    <cellStyle name="1_DT972000" xfId="742"/>
    <cellStyle name="1_dtCau Km3+429,21TL685" xfId="743"/>
    <cellStyle name="1_Dtdchinh2397" xfId="744"/>
    <cellStyle name="1_Dtdchinh2397 2" xfId="745"/>
    <cellStyle name="1_Du thau" xfId="748"/>
    <cellStyle name="1_Du toan 558 (Km17+508.12 - Km 22)" xfId="746"/>
    <cellStyle name="1_du toan lan 3" xfId="747"/>
    <cellStyle name="1_Gia - Thanh An" xfId="749"/>
    <cellStyle name="1_Gia_VLQL48_duyet " xfId="750"/>
    <cellStyle name="1_GIA-DUTHAUsuaNS" xfId="751"/>
    <cellStyle name="1_KH 2007 (theo doi)" xfId="755"/>
    <cellStyle name="1_KH 2007 (theo doi)_Bao cao doan cong tac cua Bo thang 4-2010" xfId="756"/>
    <cellStyle name="1_Kh ql62 (2010) 11-09" xfId="757"/>
    <cellStyle name="1_khoiluongbdacdoa" xfId="758"/>
    <cellStyle name="1_KL km 0-km3+300 dieu chinh 4-2008" xfId="752"/>
    <cellStyle name="1_KLNM 1303" xfId="753"/>
    <cellStyle name="1_KlQdinhduyet" xfId="754"/>
    <cellStyle name="1_LuuNgay17-03-2009Đơn KN Cục thuế" xfId="759"/>
    <cellStyle name="1_NTHOC" xfId="760"/>
    <cellStyle name="1_NTHOC_Tong hop theo doi von TPCP" xfId="761"/>
    <cellStyle name="1_NTHOC_Tong hop theo doi von TPCP_Bao cao kiem toan kh 2010" xfId="762"/>
    <cellStyle name="1_NTHOC_Tong hop theo doi von TPCP_Ke hoach 2010 (theo doi)2" xfId="763"/>
    <cellStyle name="1_NTHOC_Tong hop theo doi von TPCP_QD UBND tinh" xfId="764"/>
    <cellStyle name="1_NTHOC_Tong hop theo doi von TPCP_Worksheet in D: My Documents Luc Van ban xu ly Nam 2011 Bao cao ra soat tam ung TPCP" xfId="765"/>
    <cellStyle name="1_QT Thue GTGT 2008" xfId="766"/>
    <cellStyle name="1_Ra soat Giai ngan 2007 (dang lam)" xfId="767"/>
    <cellStyle name="1_Theo doi von TPCP (dang lam)" xfId="769"/>
    <cellStyle name="1_Thong ke cong" xfId="770"/>
    <cellStyle name="1_thong ke giao dan sinh" xfId="771"/>
    <cellStyle name="1_TonghopKL_BOY-sual2" xfId="768"/>
    <cellStyle name="1_TRUNG PMU 5" xfId="772"/>
    <cellStyle name="1_VBPL kiểm toán Đầu tư XDCB 2010" xfId="773"/>
    <cellStyle name="1_ÿÿÿÿÿ" xfId="774"/>
    <cellStyle name="1_ÿÿÿÿÿ_Bieu tong hop nhu cau ung 2011 da chon loc -Mien nui" xfId="775"/>
    <cellStyle name="1_ÿÿÿÿÿ_Kh ql62 (2010) 11-09" xfId="776"/>
    <cellStyle name="1_ÿÿÿÿÿ_mau bieu doan giam sat 2010 (version 2)" xfId="777"/>
    <cellStyle name="1_ÿÿÿÿÿ_mau bieu doan giam sat 2010 (version 2) 2" xfId="778"/>
    <cellStyle name="1_ÿÿÿÿÿ_VBPL kiểm toán Đầu tư XDCB 2010" xfId="779"/>
    <cellStyle name="1_" xfId="780"/>
    <cellStyle name="15" xfId="781"/>
    <cellStyle name="18" xfId="782"/>
    <cellStyle name="¹éºÐÀ²_      " xfId="783"/>
    <cellStyle name="2" xfId="784"/>
    <cellStyle name="2_7 noi 48 goi C5 9 vi na" xfId="785"/>
    <cellStyle name="2_BL vu" xfId="786"/>
    <cellStyle name="2_Book1" xfId="787"/>
    <cellStyle name="2_Book1_1" xfId="788"/>
    <cellStyle name="2_Book1_Bao cao kiem toan kh 2010" xfId="789"/>
    <cellStyle name="2_Book1_Ke hoach 2010 (theo doi)2" xfId="790"/>
    <cellStyle name="2_Book1_QD UBND tinh" xfId="791"/>
    <cellStyle name="2_Book1_VBPL kiểm toán Đầu tư XDCB 2010" xfId="792"/>
    <cellStyle name="2_Book1_Worksheet in D: My Documents Luc Van ban xu ly Nam 2011 Bao cao ra soat tam ung TPCP" xfId="793"/>
    <cellStyle name="2_Cau thuy dien Ban La (Cu Anh)" xfId="794"/>
    <cellStyle name="2_Dtdchinh2397" xfId="795"/>
    <cellStyle name="2_Dtdchinh2397 2" xfId="796"/>
    <cellStyle name="2_Du toan 558 (Km17+508.12 - Km 22)" xfId="797"/>
    <cellStyle name="2_Gia_VLQL48_duyet " xfId="798"/>
    <cellStyle name="2_KLNM 1303" xfId="799"/>
    <cellStyle name="2_KlQdinhduyet" xfId="800"/>
    <cellStyle name="2_NTHOC" xfId="801"/>
    <cellStyle name="2_NTHOC_Tong hop theo doi von TPCP" xfId="802"/>
    <cellStyle name="2_NTHOC_Tong hop theo doi von TPCP_Bao cao kiem toan kh 2010" xfId="803"/>
    <cellStyle name="2_NTHOC_Tong hop theo doi von TPCP_Ke hoach 2010 (theo doi)2" xfId="804"/>
    <cellStyle name="2_NTHOC_Tong hop theo doi von TPCP_QD UBND tinh" xfId="805"/>
    <cellStyle name="2_NTHOC_Tong hop theo doi von TPCP_Worksheet in D: My Documents Luc Van ban xu ly Nam 2011 Bao cao ra soat tam ung TPCP" xfId="806"/>
    <cellStyle name="2_Thong ke cong" xfId="812"/>
    <cellStyle name="2_thong ke giao dan sinh" xfId="813"/>
    <cellStyle name="2_Tong hop theo doi von TPCP" xfId="807"/>
    <cellStyle name="2_Tong hop theo doi von TPCP_Bao cao kiem toan kh 2010" xfId="808"/>
    <cellStyle name="2_Tong hop theo doi von TPCP_Ke hoach 2010 (theo doi)2" xfId="809"/>
    <cellStyle name="2_Tong hop theo doi von TPCP_QD UBND tinh" xfId="810"/>
    <cellStyle name="2_Tong hop theo doi von TPCP_Worksheet in D: My Documents Luc Van ban xu ly Nam 2011 Bao cao ra soat tam ung TPCP" xfId="811"/>
    <cellStyle name="2_TRUNG PMU 5" xfId="814"/>
    <cellStyle name="2_VBPL kiểm toán Đầu tư XDCB 2010" xfId="815"/>
    <cellStyle name="2_ÿÿÿÿÿ" xfId="816"/>
    <cellStyle name="2_ÿÿÿÿÿ_Bieu tong hop nhu cau ung 2011 da chon loc -Mien nui" xfId="817"/>
    <cellStyle name="2_ÿÿÿÿÿ_mau bieu doan giam sat 2010 (version 2)" xfId="818"/>
    <cellStyle name="2_ÿÿÿÿÿ_mau bieu doan giam sat 2010 (version 2) 2" xfId="819"/>
    <cellStyle name="20" xfId="820"/>
    <cellStyle name="20 2" xfId="821"/>
    <cellStyle name="20% - Accent1 2" xfId="822"/>
    <cellStyle name="20% - Accent2 2" xfId="823"/>
    <cellStyle name="20% - Accent3 2" xfId="824"/>
    <cellStyle name="20% - Accent4 2" xfId="825"/>
    <cellStyle name="20% - Accent5 2" xfId="826"/>
    <cellStyle name="20% - Accent6 2" xfId="827"/>
    <cellStyle name="20% - Nhấn1" xfId="828"/>
    <cellStyle name="20% - Nhấn2" xfId="829"/>
    <cellStyle name="20% - Nhấn3" xfId="830"/>
    <cellStyle name="20% - Nhấn4" xfId="831"/>
    <cellStyle name="20% - Nhấn5" xfId="832"/>
    <cellStyle name="20% - Nhấn6" xfId="833"/>
    <cellStyle name="-2001" xfId="834"/>
    <cellStyle name="-2001 2" xfId="835"/>
    <cellStyle name="3" xfId="836"/>
    <cellStyle name="3_7 noi 48 goi C5 9 vi na" xfId="837"/>
    <cellStyle name="3_Book1" xfId="838"/>
    <cellStyle name="3_Book1_1" xfId="839"/>
    <cellStyle name="3_Cau thuy dien Ban La (Cu Anh)" xfId="840"/>
    <cellStyle name="3_Dtdchinh2397" xfId="841"/>
    <cellStyle name="3_Dtdchinh2397 2" xfId="842"/>
    <cellStyle name="3_Du toan 558 (Km17+508.12 - Km 22)" xfId="843"/>
    <cellStyle name="3_Gia_VLQL48_duyet " xfId="844"/>
    <cellStyle name="3_KLNM 1303" xfId="845"/>
    <cellStyle name="3_KlQdinhduyet" xfId="846"/>
    <cellStyle name="3_Thong ke cong" xfId="847"/>
    <cellStyle name="3_thong ke giao dan sinh" xfId="848"/>
    <cellStyle name="3_VBPL kiểm toán Đầu tư XDCB 2010" xfId="849"/>
    <cellStyle name="3_ÿÿÿÿÿ" xfId="850"/>
    <cellStyle name="4" xfId="851"/>
    <cellStyle name="4_7 noi 48 goi C5 9 vi na" xfId="852"/>
    <cellStyle name="4_Book1" xfId="853"/>
    <cellStyle name="4_Book1_1" xfId="854"/>
    <cellStyle name="4_Cau thuy dien Ban La (Cu Anh)" xfId="855"/>
    <cellStyle name="4_Dtdchinh2397" xfId="856"/>
    <cellStyle name="4_Dtdchinh2397 2" xfId="857"/>
    <cellStyle name="4_Du toan 558 (Km17+508.12 - Km 22)" xfId="858"/>
    <cellStyle name="4_Gia_VLQL48_duyet " xfId="859"/>
    <cellStyle name="4_KLNM 1303" xfId="860"/>
    <cellStyle name="4_KlQdinhduyet" xfId="861"/>
    <cellStyle name="4_Thong ke cong" xfId="862"/>
    <cellStyle name="4_thong ke giao dan sinh" xfId="863"/>
    <cellStyle name="4_ÿÿÿÿÿ" xfId="864"/>
    <cellStyle name="40% - Accent1 2" xfId="865"/>
    <cellStyle name="40% - Accent2 2" xfId="866"/>
    <cellStyle name="40% - Accent3 2" xfId="867"/>
    <cellStyle name="40% - Accent4 2" xfId="868"/>
    <cellStyle name="40% - Accent5 2" xfId="869"/>
    <cellStyle name="40% - Accent6 2" xfId="870"/>
    <cellStyle name="40% - Nhấn1" xfId="871"/>
    <cellStyle name="40% - Nhấn2" xfId="872"/>
    <cellStyle name="40% - Nhấn3" xfId="873"/>
    <cellStyle name="40% - Nhấn4" xfId="874"/>
    <cellStyle name="40% - Nhấn5" xfId="875"/>
    <cellStyle name="40% - Nhấn6" xfId="876"/>
    <cellStyle name="6" xfId="877"/>
    <cellStyle name="6_Bieu mau ung 2011-Mien Trung-TPCP-11-6" xfId="878"/>
    <cellStyle name="6_Copy of ghep 3 bieu trinh LD BO 28-6 (TPCP)" xfId="879"/>
    <cellStyle name="6_DTDuong dong tien -sua tham tra 2009 - luong 650" xfId="880"/>
    <cellStyle name="6_DTDuong dong tien -sua tham tra 2009 - luong 650 2" xfId="881"/>
    <cellStyle name="6_Nhu cau tam ung NSNN&amp;TPCP&amp;ODA theo tieu chi cua Bo (CV410_BKH-TH)_vung Tay Nguyen (11.6.2010)" xfId="882"/>
    <cellStyle name="60% - Accent1 2" xfId="883"/>
    <cellStyle name="60% - Accent2 2" xfId="884"/>
    <cellStyle name="60% - Accent3 2" xfId="885"/>
    <cellStyle name="60% - Accent4 2" xfId="886"/>
    <cellStyle name="60% - Accent5 2" xfId="887"/>
    <cellStyle name="60% - Accent6 2" xfId="888"/>
    <cellStyle name="60% - Nhấn1" xfId="889"/>
    <cellStyle name="60% - Nhấn2" xfId="890"/>
    <cellStyle name="60% - Nhấn3" xfId="891"/>
    <cellStyle name="60% - Nhấn4" xfId="892"/>
    <cellStyle name="60% - Nhấn5" xfId="893"/>
    <cellStyle name="60% - Nhấn6" xfId="894"/>
    <cellStyle name="9" xfId="895"/>
    <cellStyle name="Accent1 2" xfId="896"/>
    <cellStyle name="Accent2 2" xfId="897"/>
    <cellStyle name="Accent3 2" xfId="898"/>
    <cellStyle name="Accent4 2" xfId="899"/>
    <cellStyle name="Accent5 2" xfId="900"/>
    <cellStyle name="Accent6 2" xfId="901"/>
    <cellStyle name="ÅëÈ­ [0]_      " xfId="902"/>
    <cellStyle name="AeE­ [0]_INQUIRY ¿?¾÷AßAø " xfId="903"/>
    <cellStyle name="ÅëÈ­ [0]_laroux" xfId="904"/>
    <cellStyle name="ÅëÈ­_      " xfId="905"/>
    <cellStyle name="AeE­_INQUIRY ¿?¾÷AßAø " xfId="906"/>
    <cellStyle name="ÅëÈ­_laroux" xfId="907"/>
    <cellStyle name="args.style" xfId="908"/>
    <cellStyle name="args.style 2" xfId="909"/>
    <cellStyle name="at" xfId="910"/>
    <cellStyle name="ÄÞ¸¶ [0]_      " xfId="911"/>
    <cellStyle name="AÞ¸¶ [0]_INQUIRY ¿?¾÷AßAø " xfId="912"/>
    <cellStyle name="ÄÞ¸¶ [0]_L601CPT" xfId="913"/>
    <cellStyle name="ÄÞ¸¶_      " xfId="914"/>
    <cellStyle name="AÞ¸¶_INQUIRY ¿?¾÷AßAø " xfId="915"/>
    <cellStyle name="ÄÞ¸¶_L601CPT" xfId="916"/>
    <cellStyle name="AutoFormat Options" xfId="917"/>
    <cellStyle name="AutoFormat-Optionen" xfId="918"/>
    <cellStyle name="AutoFormat-Optionen 2" xfId="919"/>
    <cellStyle name="AutoFormat-Optionen 2 2" xfId="920"/>
    <cellStyle name="Bad 2" xfId="921"/>
    <cellStyle name="Body" xfId="922"/>
    <cellStyle name="C?AØ_¿?¾÷CoE² " xfId="923"/>
    <cellStyle name="C~1" xfId="924"/>
    <cellStyle name="Ç¥ÁØ_      " xfId="925"/>
    <cellStyle name="C￥AØ_¿μ¾÷CoE² " xfId="926"/>
    <cellStyle name="Ç¥ÁØ_±³°¢¼ö·®" xfId="927"/>
    <cellStyle name="C￥AØ_Sheet1_¿μ¾÷CoE² " xfId="928"/>
    <cellStyle name="Calc Currency (0)" xfId="929"/>
    <cellStyle name="Calc Currency (0) 2" xfId="930"/>
    <cellStyle name="Calc Currency (2)" xfId="931"/>
    <cellStyle name="Calc Percent (0)" xfId="932"/>
    <cellStyle name="Calc Percent (1)" xfId="933"/>
    <cellStyle name="Calc Percent (2)" xfId="934"/>
    <cellStyle name="Calc Percent (2) 2" xfId="935"/>
    <cellStyle name="Calc Units (0)" xfId="936"/>
    <cellStyle name="Calc Units (1)" xfId="937"/>
    <cellStyle name="Calc Units (2)" xfId="938"/>
    <cellStyle name="Calculation 2" xfId="939"/>
    <cellStyle name="category" xfId="940"/>
    <cellStyle name="Cerrency_Sheet2_XANGDAU" xfId="941"/>
    <cellStyle name="Check Cell 2" xfId="1024"/>
    <cellStyle name="Chi phÝ kh¸c_Book1" xfId="1025"/>
    <cellStyle name="chu" xfId="1026"/>
    <cellStyle name="Chuẩn 3" xfId="1027"/>
    <cellStyle name="CHUONG" xfId="1028"/>
    <cellStyle name="Co?ma_Sheet1" xfId="942"/>
    <cellStyle name="Comma" xfId="943" builtinId="3"/>
    <cellStyle name="Comma  - Style1" xfId="944"/>
    <cellStyle name="Comma  - Style2" xfId="945"/>
    <cellStyle name="Comma  - Style3" xfId="946"/>
    <cellStyle name="Comma  - Style4" xfId="947"/>
    <cellStyle name="Comma  - Style5" xfId="948"/>
    <cellStyle name="Comma  - Style6" xfId="949"/>
    <cellStyle name="Comma  - Style7" xfId="950"/>
    <cellStyle name="Comma  - Style8" xfId="951"/>
    <cellStyle name="Comma [0] 11" xfId="952"/>
    <cellStyle name="Comma [0] 2" xfId="953"/>
    <cellStyle name="Comma [0] 3" xfId="954"/>
    <cellStyle name="Comma [0] 4" xfId="955"/>
    <cellStyle name="Comma [0] 4 2 2 2" xfId="956"/>
    <cellStyle name="Comma [0] 4 2 2 2 2" xfId="957"/>
    <cellStyle name="Comma [0] 4 3 2" xfId="958"/>
    <cellStyle name="Comma [0] 5" xfId="959"/>
    <cellStyle name="Comma [00]" xfId="960"/>
    <cellStyle name="Comma 10" xfId="961"/>
    <cellStyle name="Comma 10 10" xfId="962"/>
    <cellStyle name="Comma 10 2" xfId="963"/>
    <cellStyle name="Comma 10 3" xfId="964"/>
    <cellStyle name="Comma 11" xfId="965"/>
    <cellStyle name="Comma 12" xfId="966"/>
    <cellStyle name="Comma 13" xfId="2016"/>
    <cellStyle name="Comma 14" xfId="967"/>
    <cellStyle name="Comma 15" xfId="968"/>
    <cellStyle name="Comma 2" xfId="969"/>
    <cellStyle name="Comma 2 2" xfId="970"/>
    <cellStyle name="Comma 2 2 2" xfId="971"/>
    <cellStyle name="Comma 2 2 3" xfId="972"/>
    <cellStyle name="Comma 2 2 4" xfId="973"/>
    <cellStyle name="Comma 2 28" xfId="974"/>
    <cellStyle name="Comma 2 3" xfId="975"/>
    <cellStyle name="Comma 2 4" xfId="976"/>
    <cellStyle name="Comma 2 5" xfId="977"/>
    <cellStyle name="Comma 2 7" xfId="978"/>
    <cellStyle name="Comma 2_bieu 1" xfId="979"/>
    <cellStyle name="Comma 2_VBPL kiểm toán Đầu tư XDCB 2010 2" xfId="2020"/>
    <cellStyle name="Comma 22 3" xfId="980"/>
    <cellStyle name="Comma 23" xfId="981"/>
    <cellStyle name="Comma 24" xfId="982"/>
    <cellStyle name="Comma 28" xfId="983"/>
    <cellStyle name="Comma 3" xfId="984"/>
    <cellStyle name="Comma 3 2" xfId="985"/>
    <cellStyle name="Comma 3_BC 6 thang_Phu Luc" xfId="986"/>
    <cellStyle name="Comma 4" xfId="987"/>
    <cellStyle name="Comma 4 2" xfId="988"/>
    <cellStyle name="Comma 4 20" xfId="989"/>
    <cellStyle name="Comma 4_Bieu mau KH 2011 (gui Vu DP)" xfId="990"/>
    <cellStyle name="Comma 40" xfId="991"/>
    <cellStyle name="Comma 41" xfId="992"/>
    <cellStyle name="Comma 44" xfId="993"/>
    <cellStyle name="Comma 5" xfId="994"/>
    <cellStyle name="Comma 5 2" xfId="995"/>
    <cellStyle name="Comma 6" xfId="996"/>
    <cellStyle name="Comma 7" xfId="997"/>
    <cellStyle name="Comma 7 2" xfId="998"/>
    <cellStyle name="Comma 8" xfId="999"/>
    <cellStyle name="Comma 9" xfId="1000"/>
    <cellStyle name="comma zerodec" xfId="1001"/>
    <cellStyle name="comma zerodec 2" xfId="1002"/>
    <cellStyle name="Comma0" xfId="1003"/>
    <cellStyle name="Comma0 - Modelo1" xfId="1004"/>
    <cellStyle name="Comma0 - Style1" xfId="1005"/>
    <cellStyle name="Comma0_Dat TP Kon Tum Ko Dung QD" xfId="1006"/>
    <cellStyle name="Comma1 - Modelo2" xfId="1007"/>
    <cellStyle name="Comma1 - Style2" xfId="1008"/>
    <cellStyle name="cong" xfId="1009"/>
    <cellStyle name="Copied" xfId="1010"/>
    <cellStyle name="Cࡵrrency_Sheet1_PRODUCTĠ" xfId="1011"/>
    <cellStyle name="Currency [00]" xfId="1012"/>
    <cellStyle name="Currency0" xfId="1013"/>
    <cellStyle name="Currency0 2" xfId="1014"/>
    <cellStyle name="Currency0 2 2" xfId="1015"/>
    <cellStyle name="Currency0 2 3" xfId="1016"/>
    <cellStyle name="Currency0 2 4" xfId="1017"/>
    <cellStyle name="Currency0 2_Khoi cong moi 1" xfId="1018"/>
    <cellStyle name="Currency0 3" xfId="1019"/>
    <cellStyle name="Currency0 4" xfId="1020"/>
    <cellStyle name="Currency0_Book1" xfId="1021"/>
    <cellStyle name="Currency1" xfId="1022"/>
    <cellStyle name="Currency1 2" xfId="1023"/>
    <cellStyle name="D1" xfId="1029"/>
    <cellStyle name="D1 2" xfId="1030"/>
    <cellStyle name="Date" xfId="1031"/>
    <cellStyle name="Date Short" xfId="1032"/>
    <cellStyle name="Date Short 2" xfId="1033"/>
    <cellStyle name="Date_17 bieu (hung cap nhap)" xfId="1034"/>
    <cellStyle name="Dấu phảy [0] 2 2" xfId="1036"/>
    <cellStyle name="Đầu ra" xfId="1150"/>
    <cellStyle name="Đầu vào" xfId="1151"/>
    <cellStyle name="DAUDE" xfId="1035"/>
    <cellStyle name="Đề mục 1" xfId="1152"/>
    <cellStyle name="Đề mục 2" xfId="1153"/>
    <cellStyle name="Đề mục 3" xfId="1154"/>
    <cellStyle name="Đề mục 4" xfId="1155"/>
    <cellStyle name="Decimal" xfId="1037"/>
    <cellStyle name="Decimal 2" xfId="1038"/>
    <cellStyle name="Decimal 3" xfId="1039"/>
    <cellStyle name="Decimal 4" xfId="1040"/>
    <cellStyle name="DELTA" xfId="1041"/>
    <cellStyle name="DELTA 2" xfId="1042"/>
    <cellStyle name="Dezimal [0]_35ERI8T2gbIEMixb4v26icuOo" xfId="1043"/>
    <cellStyle name="Dezimal_35ERI8T2gbIEMixb4v26icuOo" xfId="1044"/>
    <cellStyle name="Dg" xfId="1045"/>
    <cellStyle name="Dgia" xfId="1046"/>
    <cellStyle name="Dgia 2" xfId="1047"/>
    <cellStyle name="Dia" xfId="1048"/>
    <cellStyle name="Dollar (zero dec)" xfId="1049"/>
    <cellStyle name="Dollar (zero dec) 2" xfId="1050"/>
    <cellStyle name="Don gia" xfId="1051"/>
    <cellStyle name="Don gia 2" xfId="1052"/>
    <cellStyle name="DuToanBXD" xfId="1053"/>
    <cellStyle name="Dziesi?tny [0]_Invoices2001Slovakia" xfId="1054"/>
    <cellStyle name="Dziesi?tny_Invoices2001Slovakia" xfId="1055"/>
    <cellStyle name="Dziesietny [0]_Invoices2001Slovakia" xfId="1056"/>
    <cellStyle name="Dziesiętny [0]_Invoices2001Slovakia" xfId="1057"/>
    <cellStyle name="Dziesietny [0]_Invoices2001Slovakia_01_Nha so 1_Dien" xfId="1058"/>
    <cellStyle name="Dziesiętny [0]_Invoices2001Slovakia_01_Nha so 1_Dien" xfId="1059"/>
    <cellStyle name="Dziesietny [0]_Invoices2001Slovakia_01_Nha so 1_Dien 2" xfId="1060"/>
    <cellStyle name="Dziesiętny [0]_Invoices2001Slovakia_01_Nha so 1_Dien 2" xfId="1061"/>
    <cellStyle name="Dziesietny [0]_Invoices2001Slovakia_10_Nha so 10_Dien1" xfId="1062"/>
    <cellStyle name="Dziesiętny [0]_Invoices2001Slovakia_10_Nha so 10_Dien1" xfId="1063"/>
    <cellStyle name="Dziesietny [0]_Invoices2001Slovakia_10_Nha so 10_Dien1 2" xfId="1064"/>
    <cellStyle name="Dziesiętny [0]_Invoices2001Slovakia_10_Nha so 10_Dien1 2" xfId="1065"/>
    <cellStyle name="Dziesietny [0]_Invoices2001Slovakia_Book1" xfId="1066"/>
    <cellStyle name="Dziesiętny [0]_Invoices2001Slovakia_Book1" xfId="1067"/>
    <cellStyle name="Dziesietny [0]_Invoices2001Slovakia_Book1_1" xfId="1068"/>
    <cellStyle name="Dziesiętny [0]_Invoices2001Slovakia_Book1_1" xfId="1069"/>
    <cellStyle name="Dziesietny [0]_Invoices2001Slovakia_Book1_1 2" xfId="1070"/>
    <cellStyle name="Dziesiętny [0]_Invoices2001Slovakia_Book1_1 2" xfId="1071"/>
    <cellStyle name="Dziesietny [0]_Invoices2001Slovakia_Book1_1_Book1" xfId="1072"/>
    <cellStyle name="Dziesiętny [0]_Invoices2001Slovakia_Book1_1_Book1" xfId="1073"/>
    <cellStyle name="Dziesietny [0]_Invoices2001Slovakia_Book1_1_Book1 2" xfId="1074"/>
    <cellStyle name="Dziesiętny [0]_Invoices2001Slovakia_Book1_1_Book1 2" xfId="1075"/>
    <cellStyle name="Dziesietny [0]_Invoices2001Slovakia_Book1_2" xfId="1076"/>
    <cellStyle name="Dziesiętny [0]_Invoices2001Slovakia_Book1_2" xfId="1077"/>
    <cellStyle name="Dziesietny [0]_Invoices2001Slovakia_Book1_2 2" xfId="1078"/>
    <cellStyle name="Dziesiętny [0]_Invoices2001Slovakia_Book1_2 2" xfId="1079"/>
    <cellStyle name="Dziesietny [0]_Invoices2001Slovakia_Book1_Nhu cau von ung truoc 2011 Tha h Hoa + Nge An gui TW" xfId="1080"/>
    <cellStyle name="Dziesiętny [0]_Invoices2001Slovakia_Book1_Nhu cau von ung truoc 2011 Tha h Hoa + Nge An gui TW" xfId="1081"/>
    <cellStyle name="Dziesietny [0]_Invoices2001Slovakia_Book1_Tong hop Cac tuyen(9-1-06)" xfId="1082"/>
    <cellStyle name="Dziesiętny [0]_Invoices2001Slovakia_Book1_Tong hop Cac tuyen(9-1-06)" xfId="1083"/>
    <cellStyle name="Dziesietny [0]_Invoices2001Slovakia_Book1_ung 2011 - 11-6-Thanh hoa-Nghe an" xfId="1084"/>
    <cellStyle name="Dziesiętny [0]_Invoices2001Slovakia_Book1_ung 2011 - 11-6-Thanh hoa-Nghe an" xfId="1085"/>
    <cellStyle name="Dziesietny [0]_Invoices2001Slovakia_Book1_ung truoc 2011 NSTW Thanh Hoa + Nge An gui Thu 12-5" xfId="1086"/>
    <cellStyle name="Dziesiętny [0]_Invoices2001Slovakia_Book1_ung truoc 2011 NSTW Thanh Hoa + Nge An gui Thu 12-5" xfId="1087"/>
    <cellStyle name="Dziesietny [0]_Invoices2001Slovakia_d-uong+TDT" xfId="1088"/>
    <cellStyle name="Dziesiętny [0]_Invoices2001Slovakia_Nhµ ®Ó xe" xfId="1089"/>
    <cellStyle name="Dziesietny [0]_Invoices2001Slovakia_Nha bao ve(28-7-05)" xfId="1090"/>
    <cellStyle name="Dziesiętny [0]_Invoices2001Slovakia_Nha bao ve(28-7-05)" xfId="1091"/>
    <cellStyle name="Dziesietny [0]_Invoices2001Slovakia_NHA de xe nguyen du" xfId="1092"/>
    <cellStyle name="Dziesiętny [0]_Invoices2001Slovakia_NHA de xe nguyen du" xfId="1093"/>
    <cellStyle name="Dziesietny [0]_Invoices2001Slovakia_Nhalamviec VTC(25-1-05)" xfId="1094"/>
    <cellStyle name="Dziesiętny [0]_Invoices2001Slovakia_Nhalamviec VTC(25-1-05)" xfId="1095"/>
    <cellStyle name="Dziesietny [0]_Invoices2001Slovakia_Nhu cau von ung truoc 2011 Tha h Hoa + Nge An gui TW" xfId="1096"/>
    <cellStyle name="Dziesiętny [0]_Invoices2001Slovakia_TDT KHANH HOA" xfId="1097"/>
    <cellStyle name="Dziesietny [0]_Invoices2001Slovakia_TDT KHANH HOA_Tong hop Cac tuyen(9-1-06)" xfId="1098"/>
    <cellStyle name="Dziesiętny [0]_Invoices2001Slovakia_TDT KHANH HOA_Tong hop Cac tuyen(9-1-06)" xfId="1099"/>
    <cellStyle name="Dziesietny [0]_Invoices2001Slovakia_TDT quangngai" xfId="1100"/>
    <cellStyle name="Dziesiętny [0]_Invoices2001Slovakia_TDT quangngai" xfId="1101"/>
    <cellStyle name="Dziesietny [0]_Invoices2001Slovakia_TMDT(10-5-06)" xfId="1102"/>
    <cellStyle name="Dziesietny_Invoices2001Slovakia" xfId="1103"/>
    <cellStyle name="Dziesiętny_Invoices2001Slovakia" xfId="1104"/>
    <cellStyle name="Dziesietny_Invoices2001Slovakia_01_Nha so 1_Dien" xfId="1105"/>
    <cellStyle name="Dziesiętny_Invoices2001Slovakia_01_Nha so 1_Dien" xfId="1106"/>
    <cellStyle name="Dziesietny_Invoices2001Slovakia_01_Nha so 1_Dien 2" xfId="1107"/>
    <cellStyle name="Dziesiętny_Invoices2001Slovakia_01_Nha so 1_Dien 2" xfId="1108"/>
    <cellStyle name="Dziesietny_Invoices2001Slovakia_10_Nha so 10_Dien1" xfId="1109"/>
    <cellStyle name="Dziesiętny_Invoices2001Slovakia_10_Nha so 10_Dien1" xfId="1110"/>
    <cellStyle name="Dziesietny_Invoices2001Slovakia_10_Nha so 10_Dien1 2" xfId="1111"/>
    <cellStyle name="Dziesiętny_Invoices2001Slovakia_10_Nha so 10_Dien1 2" xfId="1112"/>
    <cellStyle name="Dziesietny_Invoices2001Slovakia_Book1" xfId="1113"/>
    <cellStyle name="Dziesiętny_Invoices2001Slovakia_Book1" xfId="1114"/>
    <cellStyle name="Dziesietny_Invoices2001Slovakia_Book1_1" xfId="1115"/>
    <cellStyle name="Dziesiętny_Invoices2001Slovakia_Book1_1" xfId="1116"/>
    <cellStyle name="Dziesietny_Invoices2001Slovakia_Book1_1 2" xfId="1117"/>
    <cellStyle name="Dziesiętny_Invoices2001Slovakia_Book1_1 2" xfId="1118"/>
    <cellStyle name="Dziesietny_Invoices2001Slovakia_Book1_1_Book1" xfId="1119"/>
    <cellStyle name="Dziesiętny_Invoices2001Slovakia_Book1_1_Book1" xfId="1120"/>
    <cellStyle name="Dziesietny_Invoices2001Slovakia_Book1_1_Book1 2" xfId="1121"/>
    <cellStyle name="Dziesiętny_Invoices2001Slovakia_Book1_1_Book1 2" xfId="1122"/>
    <cellStyle name="Dziesietny_Invoices2001Slovakia_Book1_2" xfId="1123"/>
    <cellStyle name="Dziesiętny_Invoices2001Slovakia_Book1_2" xfId="1124"/>
    <cellStyle name="Dziesietny_Invoices2001Slovakia_Book1_2 2" xfId="1125"/>
    <cellStyle name="Dziesiętny_Invoices2001Slovakia_Book1_2 2" xfId="1126"/>
    <cellStyle name="Dziesietny_Invoices2001Slovakia_Book1_Nhu cau von ung truoc 2011 Tha h Hoa + Nge An gui TW" xfId="1127"/>
    <cellStyle name="Dziesiętny_Invoices2001Slovakia_Book1_Nhu cau von ung truoc 2011 Tha h Hoa + Nge An gui TW" xfId="1128"/>
    <cellStyle name="Dziesietny_Invoices2001Slovakia_Book1_Tong hop Cac tuyen(9-1-06)" xfId="1129"/>
    <cellStyle name="Dziesiętny_Invoices2001Slovakia_Book1_Tong hop Cac tuyen(9-1-06)" xfId="1130"/>
    <cellStyle name="Dziesietny_Invoices2001Slovakia_Book1_ung 2011 - 11-6-Thanh hoa-Nghe an" xfId="1131"/>
    <cellStyle name="Dziesiętny_Invoices2001Slovakia_Book1_ung 2011 - 11-6-Thanh hoa-Nghe an" xfId="1132"/>
    <cellStyle name="Dziesietny_Invoices2001Slovakia_Book1_ung truoc 2011 NSTW Thanh Hoa + Nge An gui Thu 12-5" xfId="1133"/>
    <cellStyle name="Dziesiętny_Invoices2001Slovakia_Book1_ung truoc 2011 NSTW Thanh Hoa + Nge An gui Thu 12-5" xfId="1134"/>
    <cellStyle name="Dziesietny_Invoices2001Slovakia_d-uong+TDT" xfId="1135"/>
    <cellStyle name="Dziesiętny_Invoices2001Slovakia_Nhµ ®Ó xe" xfId="1136"/>
    <cellStyle name="Dziesietny_Invoices2001Slovakia_Nha bao ve(28-7-05)" xfId="1137"/>
    <cellStyle name="Dziesiętny_Invoices2001Slovakia_Nha bao ve(28-7-05)" xfId="1138"/>
    <cellStyle name="Dziesietny_Invoices2001Slovakia_NHA de xe nguyen du" xfId="1139"/>
    <cellStyle name="Dziesiętny_Invoices2001Slovakia_NHA de xe nguyen du" xfId="1140"/>
    <cellStyle name="Dziesietny_Invoices2001Slovakia_Nhalamviec VTC(25-1-05)" xfId="1141"/>
    <cellStyle name="Dziesiętny_Invoices2001Slovakia_Nhalamviec VTC(25-1-05)" xfId="1142"/>
    <cellStyle name="Dziesietny_Invoices2001Slovakia_Nhu cau von ung truoc 2011 Tha h Hoa + Nge An gui TW" xfId="1143"/>
    <cellStyle name="Dziesiętny_Invoices2001Slovakia_TDT KHANH HOA" xfId="1144"/>
    <cellStyle name="Dziesietny_Invoices2001Slovakia_TDT KHANH HOA_Tong hop Cac tuyen(9-1-06)" xfId="1145"/>
    <cellStyle name="Dziesiętny_Invoices2001Slovakia_TDT KHANH HOA_Tong hop Cac tuyen(9-1-06)" xfId="1146"/>
    <cellStyle name="Dziesietny_Invoices2001Slovakia_TDT quangngai" xfId="1147"/>
    <cellStyle name="Dziesiętny_Invoices2001Slovakia_TDT quangngai" xfId="1148"/>
    <cellStyle name="Dziesietny_Invoices2001Slovakia_TMDT(10-5-06)" xfId="1149"/>
    <cellStyle name="e" xfId="1156"/>
    <cellStyle name="Encabez1" xfId="1157"/>
    <cellStyle name="Encabez2" xfId="1158"/>
    <cellStyle name="Enter Currency (0)" xfId="1159"/>
    <cellStyle name="Enter Currency (2)" xfId="1160"/>
    <cellStyle name="Enter Units (0)" xfId="1161"/>
    <cellStyle name="Enter Units (1)" xfId="1162"/>
    <cellStyle name="Enter Units (2)" xfId="1163"/>
    <cellStyle name="Entered" xfId="1164"/>
    <cellStyle name="En-tete1" xfId="1165"/>
    <cellStyle name="En-tete2" xfId="1166"/>
    <cellStyle name="Euro" xfId="1167"/>
    <cellStyle name="Euro 2" xfId="1168"/>
    <cellStyle name="Excel Built-in Normal" xfId="1169"/>
    <cellStyle name="Explanatory Text 2" xfId="1170"/>
    <cellStyle name="f" xfId="1171"/>
    <cellStyle name="F2" xfId="1172"/>
    <cellStyle name="F3" xfId="1173"/>
    <cellStyle name="F4" xfId="1174"/>
    <cellStyle name="F5" xfId="1175"/>
    <cellStyle name="F6" xfId="1176"/>
    <cellStyle name="F7" xfId="1177"/>
    <cellStyle name="F8" xfId="1178"/>
    <cellStyle name="Fijo" xfId="1179"/>
    <cellStyle name="Financier" xfId="1180"/>
    <cellStyle name="Financiero" xfId="1181"/>
    <cellStyle name="Fixe" xfId="1182"/>
    <cellStyle name="Fixe 2" xfId="1183"/>
    <cellStyle name="Fixed" xfId="1184"/>
    <cellStyle name="Font Britannic16" xfId="1185"/>
    <cellStyle name="Font Britannic18" xfId="1186"/>
    <cellStyle name="Font CenturyCond 18" xfId="1187"/>
    <cellStyle name="Font Cond20" xfId="1188"/>
    <cellStyle name="Font LucidaSans16" xfId="1189"/>
    <cellStyle name="Font NewCenturyCond18" xfId="1190"/>
    <cellStyle name="Font Ottawa14" xfId="1191"/>
    <cellStyle name="Font Ottawa16" xfId="1192"/>
    <cellStyle name="Formulas" xfId="1193"/>
    <cellStyle name="Ghi chú" xfId="1194"/>
    <cellStyle name="Ghi chú 2" xfId="1195"/>
    <cellStyle name="gia" xfId="1199"/>
    <cellStyle name="Good 2" xfId="1196"/>
    <cellStyle name="Grey" xfId="1197"/>
    <cellStyle name="Group" xfId="1198"/>
    <cellStyle name="H" xfId="1200"/>
    <cellStyle name="ha" xfId="1201"/>
    <cellStyle name="HAI" xfId="1202"/>
    <cellStyle name="Head 1" xfId="1203"/>
    <cellStyle name="HEADER" xfId="1204"/>
    <cellStyle name="Header1" xfId="1205"/>
    <cellStyle name="Header2" xfId="1206"/>
    <cellStyle name="Heading 1 2" xfId="1207"/>
    <cellStyle name="Heading 2 2" xfId="1208"/>
    <cellStyle name="Heading 3 2" xfId="1209"/>
    <cellStyle name="Heading 4 2" xfId="1210"/>
    <cellStyle name="HEADING1" xfId="1211"/>
    <cellStyle name="HEADING2" xfId="1212"/>
    <cellStyle name="HEADINGS" xfId="1213"/>
    <cellStyle name="HEADINGSTOP" xfId="1214"/>
    <cellStyle name="headoption" xfId="1215"/>
    <cellStyle name="hoa" xfId="1216"/>
    <cellStyle name="Hoa-Scholl" xfId="1217"/>
    <cellStyle name="HUY" xfId="1218"/>
    <cellStyle name="Hyperlink" xfId="1219" builtinId="8"/>
    <cellStyle name="i phÝ kh¸c_B¶ng 2" xfId="1220"/>
    <cellStyle name="I.3" xfId="1221"/>
    <cellStyle name="I.3 2" xfId="1222"/>
    <cellStyle name="i·0" xfId="1223"/>
    <cellStyle name="ï-¾È»ê_BiÓu TB" xfId="1224"/>
    <cellStyle name="Input [yellow]" xfId="1225"/>
    <cellStyle name="Input 2" xfId="1226"/>
    <cellStyle name="k" xfId="1227"/>
    <cellStyle name="k_TONG HOP KINH PHI" xfId="1228"/>
    <cellStyle name="k_ÿÿÿÿÿ" xfId="1229"/>
    <cellStyle name="k_ÿÿÿÿÿ_1" xfId="1230"/>
    <cellStyle name="k_ÿÿÿÿÿ_2" xfId="1231"/>
    <cellStyle name="kh¸c_Bang Chi tieu" xfId="1234"/>
    <cellStyle name="khanh" xfId="1235"/>
    <cellStyle name="khoa2" xfId="1236"/>
    <cellStyle name="khung" xfId="1237"/>
    <cellStyle name="khung 2" xfId="1238"/>
    <cellStyle name="Kiểm tra Ô" xfId="1232"/>
    <cellStyle name="KL" xfId="1233"/>
    <cellStyle name="LAS - XD 354" xfId="1239"/>
    <cellStyle name="LAS - XD 354 2" xfId="1240"/>
    <cellStyle name="Ledger 17 x 11 in" xfId="1241"/>
    <cellStyle name="Ledger 17 x 11 in 2" xfId="1242"/>
    <cellStyle name="Ledger 17 x 11 in 3" xfId="1243"/>
    <cellStyle name="Ledger 17 x 11 in_bieu 1" xfId="1244"/>
    <cellStyle name="left" xfId="1245"/>
    <cellStyle name="Line" xfId="1246"/>
    <cellStyle name="Link Currency (0)" xfId="1247"/>
    <cellStyle name="Link Currency (2)" xfId="1248"/>
    <cellStyle name="Link Units (0)" xfId="1249"/>
    <cellStyle name="Link Units (1)" xfId="1250"/>
    <cellStyle name="Link Units (2)" xfId="1251"/>
    <cellStyle name="Linked Cell 2" xfId="1252"/>
    <cellStyle name="MAU" xfId="1253"/>
    <cellStyle name="Migliaia (0)_CALPREZZ" xfId="1254"/>
    <cellStyle name="Migliaia_ PESO ELETTR." xfId="1255"/>
    <cellStyle name="Millares [0]_10 AVERIAS MASIVAS + ANT" xfId="1256"/>
    <cellStyle name="Millares_Well Timing" xfId="1257"/>
    <cellStyle name="Milliers [0]_      " xfId="1258"/>
    <cellStyle name="Milliers_      " xfId="1259"/>
    <cellStyle name="Model" xfId="1260"/>
    <cellStyle name="moi" xfId="1261"/>
    <cellStyle name="Moneda [0]_Well Timing" xfId="1262"/>
    <cellStyle name="Moneda_Well Timing" xfId="1263"/>
    <cellStyle name="Monetaire" xfId="1264"/>
    <cellStyle name="Monétaire [0]_      " xfId="1265"/>
    <cellStyle name="Monétaire_      " xfId="1266"/>
    <cellStyle name="n" xfId="1267"/>
    <cellStyle name="n_17 bieu (hung cap nhap)" xfId="1268"/>
    <cellStyle name="n_Bao cao doan cong tac cua Bo thang 4-2010" xfId="1269"/>
    <cellStyle name="n_goi 4 - qt" xfId="1270"/>
    <cellStyle name="n_VBPL kiểm toán Đầu tư XDCB 2010" xfId="1271"/>
    <cellStyle name="Neutral 2" xfId="1272"/>
    <cellStyle name="New" xfId="1273"/>
    <cellStyle name="New 2" xfId="1274"/>
    <cellStyle name="New Times Roman" xfId="1275"/>
    <cellStyle name="New Times Roman 2" xfId="1276"/>
    <cellStyle name="nga" xfId="1364"/>
    <cellStyle name="nga 2" xfId="1365"/>
    <cellStyle name="Nhấn1" xfId="1366"/>
    <cellStyle name="Nhấn2" xfId="1367"/>
    <cellStyle name="Nhấn3" xfId="1368"/>
    <cellStyle name="Nhấn4" xfId="1369"/>
    <cellStyle name="Nhấn5" xfId="1370"/>
    <cellStyle name="Nhấn6" xfId="1371"/>
    <cellStyle name="no dec" xfId="1277"/>
    <cellStyle name="ÑONVÒ" xfId="1278"/>
    <cellStyle name="Normal" xfId="0" builtinId="0"/>
    <cellStyle name="Normal - ??1" xfId="1279"/>
    <cellStyle name="Normal - Style1" xfId="1280"/>
    <cellStyle name="Normal - Style1 2" xfId="1281"/>
    <cellStyle name="Normal - Style1 2 2" xfId="1282"/>
    <cellStyle name="Normal - Style1 2 3" xfId="1283"/>
    <cellStyle name="Normal - Style1 2 4" xfId="1284"/>
    <cellStyle name="Normal - Style1 2_Khoi cong moi 1" xfId="1285"/>
    <cellStyle name="Normal - Style1 3" xfId="1286"/>
    <cellStyle name="Normal - Style1 4" xfId="1287"/>
    <cellStyle name="Normal - Style1_Bao cao kiem toan kh 2010" xfId="1288"/>
    <cellStyle name="Normal - 유형1" xfId="1289"/>
    <cellStyle name="Normal 10" xfId="1290"/>
    <cellStyle name="Normal 10 2 2" xfId="1291"/>
    <cellStyle name="Normal 10 2 3" xfId="2017"/>
    <cellStyle name="Normal 10 3" xfId="1292"/>
    <cellStyle name="Normal 11" xfId="1293"/>
    <cellStyle name="Normal 11 3" xfId="1294"/>
    <cellStyle name="Normal 12" xfId="1295"/>
    <cellStyle name="Normal 12 2" xfId="1296"/>
    <cellStyle name="Normal 13" xfId="1297"/>
    <cellStyle name="Normal 13 2" xfId="1298"/>
    <cellStyle name="Normal 14 2" xfId="1299"/>
    <cellStyle name="Normal 15" xfId="1300"/>
    <cellStyle name="Normal 16 2" xfId="1301"/>
    <cellStyle name="Normal 17" xfId="1302"/>
    <cellStyle name="Normal 19" xfId="1303"/>
    <cellStyle name="Normal 2" xfId="1304"/>
    <cellStyle name="Normal 2 2" xfId="1305"/>
    <cellStyle name="Normal 2 2 2" xfId="1306"/>
    <cellStyle name="Normal 2 2 2 2" xfId="1307"/>
    <cellStyle name="Normal 2 3" xfId="1308"/>
    <cellStyle name="Normal 2 3 2" xfId="1309"/>
    <cellStyle name="Normal 2 4" xfId="1310"/>
    <cellStyle name="Normal 2 5" xfId="1311"/>
    <cellStyle name="Normal 2 6" xfId="1312"/>
    <cellStyle name="Normal 2 6 2" xfId="1313"/>
    <cellStyle name="Normal 2 7 3" xfId="1314"/>
    <cellStyle name="Normal 2_160507 Bieu mau NSDP ND sua ND73" xfId="1315"/>
    <cellStyle name="Normal 20" xfId="1316"/>
    <cellStyle name="Normal 22" xfId="1317"/>
    <cellStyle name="Normal 22 2 2" xfId="1318"/>
    <cellStyle name="Normal 23" xfId="1319"/>
    <cellStyle name="Normal 23 2" xfId="1320"/>
    <cellStyle name="Normal 24" xfId="1321"/>
    <cellStyle name="Normal 25" xfId="1322"/>
    <cellStyle name="Normal 26" xfId="1323"/>
    <cellStyle name="Normal 27" xfId="1324"/>
    <cellStyle name="Normal 28" xfId="1325"/>
    <cellStyle name="Normal 29" xfId="1326"/>
    <cellStyle name="Normal 3" xfId="1327"/>
    <cellStyle name="Normal 3 2" xfId="1328"/>
    <cellStyle name="Normal 3 2 4" xfId="1329"/>
    <cellStyle name="Normal 3 3" xfId="1330"/>
    <cellStyle name="Normal 3 4" xfId="1331"/>
    <cellStyle name="Normal 3_17 bieu (hung cap nhap)" xfId="1332"/>
    <cellStyle name="Normal 30" xfId="1333"/>
    <cellStyle name="Normal 31" xfId="1334"/>
    <cellStyle name="Normal 32" xfId="1335"/>
    <cellStyle name="Normal 4" xfId="1336"/>
    <cellStyle name="Normal 4 2" xfId="1337"/>
    <cellStyle name="Normal 4_160513 Bieu mau NSDP ND sua ND73" xfId="1338"/>
    <cellStyle name="Normal 43" xfId="1339"/>
    <cellStyle name="Normal 43 2" xfId="2018"/>
    <cellStyle name="Normal 5" xfId="1340"/>
    <cellStyle name="Normal 5 2" xfId="1341"/>
    <cellStyle name="Normal 5 2 3" xfId="1342"/>
    <cellStyle name="Normal 5 3" xfId="1343"/>
    <cellStyle name="Normal 5_VBPL kiểm toán Đầu tư XDCB 2010" xfId="1344"/>
    <cellStyle name="Normal 6" xfId="1345"/>
    <cellStyle name="Normal 6 2" xfId="1346"/>
    <cellStyle name="Normal 6 3 2" xfId="1347"/>
    <cellStyle name="Normal 6 4" xfId="1348"/>
    <cellStyle name="Normal 6 6 2" xfId="2019"/>
    <cellStyle name="Normal 6_Bieu mau KH 2011 (gui Vu DP)" xfId="1349"/>
    <cellStyle name="Normal 7" xfId="1350"/>
    <cellStyle name="Normal 7 2" xfId="1351"/>
    <cellStyle name="Normal 8" xfId="1352"/>
    <cellStyle name="Normal 9" xfId="1353"/>
    <cellStyle name="Normal 9 2" xfId="1354"/>
    <cellStyle name="Normal 9 3" xfId="1355"/>
    <cellStyle name="Normal 9_BieuHD2016-2020Tquang2(OK)" xfId="1356"/>
    <cellStyle name="Normal1" xfId="1357"/>
    <cellStyle name="Normal8" xfId="1358"/>
    <cellStyle name="NORMAL-ADB" xfId="1359"/>
    <cellStyle name="Normale_ PESO ELETTR." xfId="1360"/>
    <cellStyle name="Normalny_Cennik obowiazuje od 06-08-2001 r (1)" xfId="1361"/>
    <cellStyle name="Note 2" xfId="1362"/>
    <cellStyle name="NWM" xfId="1363"/>
    <cellStyle name="Ô Được nối kết" xfId="1384"/>
    <cellStyle name="Ò_x000d_Normal_123569" xfId="1372"/>
    <cellStyle name="Œ…‹æØ‚è [0.00]_††††† " xfId="1373"/>
    <cellStyle name="Œ…‹æØ‚è_††††† " xfId="1374"/>
    <cellStyle name="oft Excel]_x000d__x000a_Comment=open=/f ‚ðw’è‚·‚é‚ÆAƒ†[ƒU[’è‹`ŠÖ”‚ðŠÖ”“\‚è•t‚¯‚Ìˆê——‚É“o˜^‚·‚é‚±‚Æ‚ª‚Å‚«‚Ü‚·B_x000d__x000a_Maximized" xfId="1375"/>
    <cellStyle name="oft Excel]_x000d__x000a_Comment=open=/f ‚ðŽw’è‚·‚é‚ÆAƒ†[ƒU[’è‹`ŠÖ”‚ðŠÖ”“\‚è•t‚¯‚Ìˆê——‚É“o˜^‚·‚é‚±‚Æ‚ª‚Å‚«‚Ü‚·B_x000d__x000a_Maximized" xfId="1376"/>
    <cellStyle name="oft Excel]_x000d__x000a_Comment=open=/f ‚ðŽw’è‚·‚é‚ÆAƒ†[ƒU[’è‹`ŠÖ”‚ðŠÖ”“\‚è•t‚¯‚Ìˆê——‚É“o˜^‚·‚é‚±‚Æ‚ª‚Å‚«‚Ü‚·B_x000d__x000a_Maximized 2" xfId="1377"/>
    <cellStyle name="oft Excel]_x000d__x000a_Comment=The open=/f lines load custom functions into the Paste Function list._x000d__x000a_Maximized=2_x000d__x000a_Basics=1_x000d__x000a_A" xfId="1378"/>
    <cellStyle name="oft Excel]_x000d__x000a_Comment=The open=/f lines load custom functions into the Paste Function list._x000d__x000a_Maximized=3_x000d__x000a_Basics=1_x000d__x000a_A" xfId="1379"/>
    <cellStyle name="oft Excel]_x000d__x000a_Comment=The open=/f lines load custom functions into the Paste Function list._x000d__x000a_Maximized=3_x000d__x000a_Basics=1_x000d__x000a_A 2" xfId="1380"/>
    <cellStyle name="omma [0]_Mktg Prog" xfId="1381"/>
    <cellStyle name="ormal_Sheet1_1" xfId="1382"/>
    <cellStyle name="Output 2" xfId="1383"/>
    <cellStyle name="p" xfId="1385"/>
    <cellStyle name="paint" xfId="1386"/>
    <cellStyle name="Pattern" xfId="1387"/>
    <cellStyle name="Pattern 2" xfId="1388"/>
    <cellStyle name="per.style" xfId="1389"/>
    <cellStyle name="per.style 2" xfId="1390"/>
    <cellStyle name="Percent" xfId="1391" builtinId="5"/>
    <cellStyle name="Percent [0]" xfId="1392"/>
    <cellStyle name="Percent [0] 2" xfId="1393"/>
    <cellStyle name="Percent [00]" xfId="1394"/>
    <cellStyle name="Percent [00] 2" xfId="1395"/>
    <cellStyle name="Percent [2]" xfId="1396"/>
    <cellStyle name="Percent [2] 2" xfId="1397"/>
    <cellStyle name="Percent 10" xfId="1398"/>
    <cellStyle name="Percent 2" xfId="1399"/>
    <cellStyle name="Percent 3" xfId="1400"/>
    <cellStyle name="Percent 4" xfId="2021"/>
    <cellStyle name="Percent 6 2" xfId="1401"/>
    <cellStyle name="PERCENTAGE" xfId="1402"/>
    <cellStyle name="PHONG" xfId="1413"/>
    <cellStyle name="Pourcentage" xfId="1403"/>
    <cellStyle name="PrePop Currency (0)" xfId="1404"/>
    <cellStyle name="PrePop Currency (2)" xfId="1405"/>
    <cellStyle name="PrePop Units (0)" xfId="1406"/>
    <cellStyle name="PrePop Units (1)" xfId="1407"/>
    <cellStyle name="PrePop Units (2)" xfId="1408"/>
    <cellStyle name="pricing" xfId="1409"/>
    <cellStyle name="PSChar" xfId="1410"/>
    <cellStyle name="PSChar 2" xfId="1411"/>
    <cellStyle name="PSHeading" xfId="1412"/>
    <cellStyle name="regstoresfromspecstores" xfId="1414"/>
    <cellStyle name="RevList" xfId="1415"/>
    <cellStyle name="rlink_tiªn l­în_x001b_Hyperlink_TONG HOP KINH PHI" xfId="1416"/>
    <cellStyle name="rmal_ADAdot" xfId="1417"/>
    <cellStyle name="S—_x0008_" xfId="1418"/>
    <cellStyle name="s]_x000d__x000a_spooler=yes_x000d__x000a_load=_x000d__x000a_Beep=yes_x000d__x000a_NullPort=None_x000d__x000a_BorderWidth=3_x000d__x000a_CursorBlinkRate=1200_x000d__x000a_DoubleClickSpeed=452_x000d__x000a_Programs=co" xfId="1419"/>
    <cellStyle name="s]_x000d__x000a_spooler=yes_x000d__x000a_load=_x000d__x000a_Beep=yes_x000d__x000a_NullPort=None_x000d__x000a_BorderWidth=3_x000d__x000a_CursorBlinkRate=1200_x000d__x000a_DoubleClickSpeed=452_x000d__x000a_Programs=co 2" xfId="1420"/>
    <cellStyle name="SAPBEXaggData" xfId="1421"/>
    <cellStyle name="SAPBEXaggDataEmph" xfId="1422"/>
    <cellStyle name="SAPBEXaggItem" xfId="1423"/>
    <cellStyle name="SAPBEXchaText" xfId="1424"/>
    <cellStyle name="SAPBEXexcBad7" xfId="1425"/>
    <cellStyle name="SAPBEXexcBad8" xfId="1426"/>
    <cellStyle name="SAPBEXexcBad9" xfId="1427"/>
    <cellStyle name="SAPBEXexcCritical4" xfId="1428"/>
    <cellStyle name="SAPBEXexcCritical5" xfId="1429"/>
    <cellStyle name="SAPBEXexcCritical6" xfId="1430"/>
    <cellStyle name="SAPBEXexcGood1" xfId="1431"/>
    <cellStyle name="SAPBEXexcGood2" xfId="1432"/>
    <cellStyle name="SAPBEXexcGood3" xfId="1433"/>
    <cellStyle name="SAPBEXfilterDrill" xfId="1434"/>
    <cellStyle name="SAPBEXfilterItem" xfId="1435"/>
    <cellStyle name="SAPBEXfilterText" xfId="1436"/>
    <cellStyle name="SAPBEXformats" xfId="1437"/>
    <cellStyle name="SAPBEXheaderItem" xfId="1438"/>
    <cellStyle name="SAPBEXheaderItem 2" xfId="1439"/>
    <cellStyle name="SAPBEXheaderText" xfId="1440"/>
    <cellStyle name="SAPBEXheaderText 2" xfId="1441"/>
    <cellStyle name="SAPBEXresData" xfId="1442"/>
    <cellStyle name="SAPBEXresDataEmph" xfId="1443"/>
    <cellStyle name="SAPBEXresItem" xfId="1444"/>
    <cellStyle name="SAPBEXstdData" xfId="1445"/>
    <cellStyle name="SAPBEXstdDataEmph" xfId="1446"/>
    <cellStyle name="SAPBEXstdItem" xfId="1447"/>
    <cellStyle name="SAPBEXtitle" xfId="1448"/>
    <cellStyle name="SAPBEXundefined" xfId="1449"/>
    <cellStyle name="serJet 1200 Series PCL 6" xfId="1450"/>
    <cellStyle name="SHADEDSTORES" xfId="1451"/>
    <cellStyle name="so" xfId="1452"/>
    <cellStyle name="SO%" xfId="1453"/>
    <cellStyle name="so_Book1" xfId="1454"/>
    <cellStyle name="songuyen" xfId="1455"/>
    <cellStyle name="specstores" xfId="1456"/>
    <cellStyle name="Standard" xfId="1457"/>
    <cellStyle name="STT" xfId="1458"/>
    <cellStyle name="STT 2" xfId="1459"/>
    <cellStyle name="STTDG" xfId="1460"/>
    <cellStyle name="style" xfId="1461"/>
    <cellStyle name="Style 1" xfId="1462"/>
    <cellStyle name="Style 10" xfId="1463"/>
    <cellStyle name="Style 10 2" xfId="1464"/>
    <cellStyle name="Style 100" xfId="1465"/>
    <cellStyle name="Style 101" xfId="1466"/>
    <cellStyle name="Style 102" xfId="1467"/>
    <cellStyle name="Style 103" xfId="1468"/>
    <cellStyle name="Style 104" xfId="1469"/>
    <cellStyle name="Style 105" xfId="1470"/>
    <cellStyle name="Style 106" xfId="1471"/>
    <cellStyle name="Style 107" xfId="1472"/>
    <cellStyle name="Style 108" xfId="1473"/>
    <cellStyle name="Style 109" xfId="1474"/>
    <cellStyle name="Style 11" xfId="1475"/>
    <cellStyle name="Style 11 2" xfId="1476"/>
    <cellStyle name="Style 110" xfId="1477"/>
    <cellStyle name="Style 111" xfId="1478"/>
    <cellStyle name="Style 112" xfId="1479"/>
    <cellStyle name="Style 113" xfId="1480"/>
    <cellStyle name="Style 114" xfId="1481"/>
    <cellStyle name="Style 115" xfId="1482"/>
    <cellStyle name="Style 116" xfId="1483"/>
    <cellStyle name="Style 117" xfId="1484"/>
    <cellStyle name="Style 118" xfId="1485"/>
    <cellStyle name="Style 118 2" xfId="1486"/>
    <cellStyle name="Style 119" xfId="1487"/>
    <cellStyle name="Style 12" xfId="1488"/>
    <cellStyle name="Style 12 2" xfId="1489"/>
    <cellStyle name="Style 120" xfId="1490"/>
    <cellStyle name="Style 121" xfId="1491"/>
    <cellStyle name="Style 122" xfId="1492"/>
    <cellStyle name="Style 123" xfId="1493"/>
    <cellStyle name="Style 124" xfId="1494"/>
    <cellStyle name="Style 125" xfId="1495"/>
    <cellStyle name="Style 126" xfId="1496"/>
    <cellStyle name="Style 127" xfId="1497"/>
    <cellStyle name="Style 128" xfId="1498"/>
    <cellStyle name="Style 129" xfId="1499"/>
    <cellStyle name="Style 13" xfId="1500"/>
    <cellStyle name="Style 13 2" xfId="1501"/>
    <cellStyle name="Style 130" xfId="1502"/>
    <cellStyle name="Style 131" xfId="1503"/>
    <cellStyle name="Style 132" xfId="1504"/>
    <cellStyle name="Style 133" xfId="1505"/>
    <cellStyle name="Style 134" xfId="1506"/>
    <cellStyle name="Style 135" xfId="1507"/>
    <cellStyle name="Style 136" xfId="1508"/>
    <cellStyle name="Style 137" xfId="1509"/>
    <cellStyle name="Style 138" xfId="1510"/>
    <cellStyle name="Style 139" xfId="1511"/>
    <cellStyle name="Style 14" xfId="1512"/>
    <cellStyle name="Style 14 2" xfId="1513"/>
    <cellStyle name="Style 140" xfId="1514"/>
    <cellStyle name="Style 141" xfId="1515"/>
    <cellStyle name="Style 142" xfId="1516"/>
    <cellStyle name="Style 143" xfId="1517"/>
    <cellStyle name="Style 144" xfId="1518"/>
    <cellStyle name="Style 145" xfId="1519"/>
    <cellStyle name="Style 146" xfId="1520"/>
    <cellStyle name="Style 147" xfId="1521"/>
    <cellStyle name="Style 148" xfId="1522"/>
    <cellStyle name="Style 149" xfId="1523"/>
    <cellStyle name="Style 15" xfId="1524"/>
    <cellStyle name="Style 15 2" xfId="1525"/>
    <cellStyle name="Style 150" xfId="1526"/>
    <cellStyle name="Style 151" xfId="1527"/>
    <cellStyle name="Style 152" xfId="1528"/>
    <cellStyle name="Style 153" xfId="1529"/>
    <cellStyle name="Style 154" xfId="1530"/>
    <cellStyle name="Style 155" xfId="1531"/>
    <cellStyle name="Style 155 2" xfId="1532"/>
    <cellStyle name="Style 156" xfId="1533"/>
    <cellStyle name="Style 157" xfId="1534"/>
    <cellStyle name="Style 158" xfId="1535"/>
    <cellStyle name="Style 159" xfId="1536"/>
    <cellStyle name="Style 16" xfId="1537"/>
    <cellStyle name="Style 160" xfId="1538"/>
    <cellStyle name="Style 161" xfId="1539"/>
    <cellStyle name="Style 162" xfId="1540"/>
    <cellStyle name="Style 163" xfId="1541"/>
    <cellStyle name="Style 17" xfId="1542"/>
    <cellStyle name="Style 18" xfId="1543"/>
    <cellStyle name="Style 19" xfId="1544"/>
    <cellStyle name="Style 2" xfId="1545"/>
    <cellStyle name="Style 2 2" xfId="1546"/>
    <cellStyle name="Style 20" xfId="1547"/>
    <cellStyle name="Style 21" xfId="1548"/>
    <cellStyle name="Style 22" xfId="1549"/>
    <cellStyle name="Style 23" xfId="1550"/>
    <cellStyle name="Style 24" xfId="1551"/>
    <cellStyle name="Style 25" xfId="1552"/>
    <cellStyle name="Style 26" xfId="1553"/>
    <cellStyle name="Style 27" xfId="1554"/>
    <cellStyle name="Style 28" xfId="1555"/>
    <cellStyle name="Style 29" xfId="1556"/>
    <cellStyle name="Style 3" xfId="1557"/>
    <cellStyle name="Style 30" xfId="1558"/>
    <cellStyle name="Style 31" xfId="1559"/>
    <cellStyle name="Style 32" xfId="1560"/>
    <cellStyle name="Style 33" xfId="1561"/>
    <cellStyle name="Style 34" xfId="1562"/>
    <cellStyle name="Style 35" xfId="1563"/>
    <cellStyle name="Style 36" xfId="1564"/>
    <cellStyle name="Style 37" xfId="1565"/>
    <cellStyle name="Style 38" xfId="1566"/>
    <cellStyle name="Style 39" xfId="1567"/>
    <cellStyle name="Style 4" xfId="1568"/>
    <cellStyle name="Style 40" xfId="1569"/>
    <cellStyle name="Style 41" xfId="1570"/>
    <cellStyle name="Style 42" xfId="1571"/>
    <cellStyle name="Style 43" xfId="1572"/>
    <cellStyle name="Style 44" xfId="1573"/>
    <cellStyle name="Style 45" xfId="1574"/>
    <cellStyle name="Style 46" xfId="1575"/>
    <cellStyle name="Style 47" xfId="1576"/>
    <cellStyle name="Style 48" xfId="1577"/>
    <cellStyle name="Style 49" xfId="1578"/>
    <cellStyle name="Style 5" xfId="1579"/>
    <cellStyle name="Style 50" xfId="1580"/>
    <cellStyle name="Style 51" xfId="1581"/>
    <cellStyle name="Style 51 2" xfId="1582"/>
    <cellStyle name="Style 52" xfId="1583"/>
    <cellStyle name="Style 53" xfId="1584"/>
    <cellStyle name="Style 54" xfId="1585"/>
    <cellStyle name="Style 55" xfId="1586"/>
    <cellStyle name="Style 56" xfId="1587"/>
    <cellStyle name="Style 57" xfId="1588"/>
    <cellStyle name="Style 58" xfId="1589"/>
    <cellStyle name="Style 59" xfId="1590"/>
    <cellStyle name="Style 6" xfId="1591"/>
    <cellStyle name="Style 60" xfId="1592"/>
    <cellStyle name="Style 61" xfId="1593"/>
    <cellStyle name="Style 62" xfId="1594"/>
    <cellStyle name="Style 63" xfId="1595"/>
    <cellStyle name="Style 63 2" xfId="1596"/>
    <cellStyle name="Style 64" xfId="1597"/>
    <cellStyle name="Style 64 2" xfId="1598"/>
    <cellStyle name="Style 65" xfId="1599"/>
    <cellStyle name="Style 65 2" xfId="1600"/>
    <cellStyle name="Style 66" xfId="1601"/>
    <cellStyle name="Style 66 2" xfId="1602"/>
    <cellStyle name="Style 67" xfId="1603"/>
    <cellStyle name="Style 67 2" xfId="1604"/>
    <cellStyle name="Style 68" xfId="1605"/>
    <cellStyle name="Style 68 2" xfId="1606"/>
    <cellStyle name="Style 69" xfId="1607"/>
    <cellStyle name="Style 7" xfId="1608"/>
    <cellStyle name="Style 70" xfId="1609"/>
    <cellStyle name="Style 71" xfId="1610"/>
    <cellStyle name="Style 72" xfId="1611"/>
    <cellStyle name="Style 73" xfId="1612"/>
    <cellStyle name="Style 74" xfId="1613"/>
    <cellStyle name="Style 75" xfId="1614"/>
    <cellStyle name="Style 76" xfId="1615"/>
    <cellStyle name="Style 77" xfId="1616"/>
    <cellStyle name="Style 78" xfId="1617"/>
    <cellStyle name="Style 79" xfId="1618"/>
    <cellStyle name="Style 8" xfId="1619"/>
    <cellStyle name="Style 80" xfId="1620"/>
    <cellStyle name="Style 81" xfId="1621"/>
    <cellStyle name="Style 82" xfId="1622"/>
    <cellStyle name="Style 83" xfId="1623"/>
    <cellStyle name="Style 84" xfId="1624"/>
    <cellStyle name="Style 85" xfId="1625"/>
    <cellStyle name="Style 86" xfId="1626"/>
    <cellStyle name="Style 87" xfId="1627"/>
    <cellStyle name="Style 88" xfId="1628"/>
    <cellStyle name="Style 89" xfId="1629"/>
    <cellStyle name="Style 9" xfId="1630"/>
    <cellStyle name="Style 90" xfId="1631"/>
    <cellStyle name="Style 91" xfId="1632"/>
    <cellStyle name="Style 92" xfId="1633"/>
    <cellStyle name="Style 93" xfId="1634"/>
    <cellStyle name="Style 94" xfId="1635"/>
    <cellStyle name="Style 95" xfId="1636"/>
    <cellStyle name="Style 96" xfId="1637"/>
    <cellStyle name="Style 97" xfId="1638"/>
    <cellStyle name="Style 98" xfId="1639"/>
    <cellStyle name="Style 99" xfId="1640"/>
    <cellStyle name="Style Date" xfId="1641"/>
    <cellStyle name="style_1" xfId="1642"/>
    <cellStyle name="subhead" xfId="1643"/>
    <cellStyle name="Subtotal" xfId="1644"/>
    <cellStyle name="symbol" xfId="1645"/>
    <cellStyle name="T" xfId="1646"/>
    <cellStyle name="T_50-BB Vung tau 2011" xfId="1647"/>
    <cellStyle name="T_50-BB Vung tau 2011_120907 Thu tang them 4500" xfId="1648"/>
    <cellStyle name="T_50-BB Vung tau 2011_27-8Tong hop PA uoc 2012-DT 2013 -PA 420.000 ty-490.000 ty chuyen doi" xfId="1649"/>
    <cellStyle name="T_BANG LUONG MOI KSDH va KSDC (co phu cap khu vuc)" xfId="1650"/>
    <cellStyle name="T_bao cao" xfId="1651"/>
    <cellStyle name="T_Bao cao so lieu kiem toan nam 2007 sua" xfId="1652"/>
    <cellStyle name="T_Bao cao so lieu kiem toan nam 2007 sua 2" xfId="1653"/>
    <cellStyle name="T_BBTNG-06" xfId="1654"/>
    <cellStyle name="T_BC CTMT-2008 Ttinh" xfId="1655"/>
    <cellStyle name="T_BC CTMT-2008 Ttinh 2" xfId="1656"/>
    <cellStyle name="T_BC CTMT-2008 Ttinh_bieu tong hop" xfId="1657"/>
    <cellStyle name="T_BC CTMT-2008 Ttinh_Tong hop ra soat von ung 2011 -Chau" xfId="1658"/>
    <cellStyle name="T_BC CTMT-2008 Ttinh_Tong hop -Yte-Giao thong-Thuy loi-24-6" xfId="1659"/>
    <cellStyle name="T_Bc_tuan_1_CKy_6_KONTUM" xfId="1660"/>
    <cellStyle name="T_Bc_tuan_1_CKy_6_KONTUM 2" xfId="1661"/>
    <cellStyle name="T_Bc_tuan_1_CKy_6_KONTUM_Book1" xfId="1662"/>
    <cellStyle name="T_Bc_tuan_1_CKy_6_KONTUM_Book1 2" xfId="1663"/>
    <cellStyle name="T_bieu 1" xfId="1664"/>
    <cellStyle name="T_bieu 2" xfId="1665"/>
    <cellStyle name="T_bieu 4" xfId="1666"/>
    <cellStyle name="T_Bieu mau danh muc du an thuoc CTMTQG nam 2008" xfId="1667"/>
    <cellStyle name="T_Bieu mau danh muc du an thuoc CTMTQG nam 2008 2" xfId="1668"/>
    <cellStyle name="T_Bieu mau danh muc du an thuoc CTMTQG nam 2008_bieu tong hop" xfId="1669"/>
    <cellStyle name="T_Bieu mau danh muc du an thuoc CTMTQG nam 2008_Tong hop ra soat von ung 2011 -Chau" xfId="1670"/>
    <cellStyle name="T_Bieu mau danh muc du an thuoc CTMTQG nam 2008_Tong hop -Yte-Giao thong-Thuy loi-24-6" xfId="1671"/>
    <cellStyle name="T_Bieu tong hop nhu cau ung 2011 da chon loc -Mien nui" xfId="1672"/>
    <cellStyle name="T_Bieu tong hop nhu cau ung 2011 da chon loc -Mien nui 2" xfId="1673"/>
    <cellStyle name="T_Book1" xfId="1674"/>
    <cellStyle name="T_Book1_1" xfId="1675"/>
    <cellStyle name="T_Book1_1 2" xfId="1676"/>
    <cellStyle name="T_Book1_1_Bieu mau ung 2011-Mien Trung-TPCP-11-6" xfId="1677"/>
    <cellStyle name="T_Book1_1_bieu tong hop" xfId="1678"/>
    <cellStyle name="T_Book1_1_Bieu tong hop nhu cau ung 2011 da chon loc -Mien nui" xfId="1679"/>
    <cellStyle name="T_Book1_1_Bieu tong hop nhu cau ung 2011 da chon loc -Mien nui 2" xfId="1680"/>
    <cellStyle name="T_Book1_1_Book1" xfId="1681"/>
    <cellStyle name="T_Book1_1_CPK" xfId="1682"/>
    <cellStyle name="T_Book1_1_CPK 2" xfId="1683"/>
    <cellStyle name="T_Book1_1_Khoi luong cac hang muc chi tiet-702" xfId="1688"/>
    <cellStyle name="T_Book1_1_Khoi luong cac hang muc chi tiet-702 2" xfId="1689"/>
    <cellStyle name="T_Book1_1_khoiluongbdacdoa" xfId="1690"/>
    <cellStyle name="T_Book1_1_KL NT dap nen Dot 3" xfId="1684"/>
    <cellStyle name="T_Book1_1_KL NT dap nen Dot 3 2" xfId="1685"/>
    <cellStyle name="T_Book1_1_KL NT Dot 3" xfId="1686"/>
    <cellStyle name="T_Book1_1_KL NT Dot 3 2" xfId="1687"/>
    <cellStyle name="T_Book1_1_mau KL vach son" xfId="1691"/>
    <cellStyle name="T_Book1_1_mau KL vach son 2" xfId="1692"/>
    <cellStyle name="T_Book1_1_Nhu cau tam ung NSNN&amp;TPCP&amp;ODA theo tieu chi cua Bo (CV410_BKH-TH)_vung Tay Nguyen (11.6.2010)" xfId="1693"/>
    <cellStyle name="T_Book1_1_Thiet bi" xfId="1696"/>
    <cellStyle name="T_Book1_1_Thiet bi 2" xfId="1697"/>
    <cellStyle name="T_Book1_1_Thong ke cong" xfId="1698"/>
    <cellStyle name="T_Book1_1_Tong hop ra soat von ung 2011 -Chau" xfId="1694"/>
    <cellStyle name="T_Book1_1_Tong hop -Yte-Giao thong-Thuy loi-24-6" xfId="1695"/>
    <cellStyle name="T_Book1_2" xfId="1699"/>
    <cellStyle name="T_Book1_2_DTDuong dong tien -sua tham tra 2009 - luong 650" xfId="1700"/>
    <cellStyle name="T_Book1_Bao cao kiem toan kh 2010" xfId="1701"/>
    <cellStyle name="T_Book1_Bao cao kiem toan kh 2010 2" xfId="1702"/>
    <cellStyle name="T_Book1_Bieu mau danh muc du an thuoc CTMTQG nam 2008" xfId="1703"/>
    <cellStyle name="T_Book1_Bieu mau danh muc du an thuoc CTMTQG nam 2008 2" xfId="1704"/>
    <cellStyle name="T_Book1_Bieu mau danh muc du an thuoc CTMTQG nam 2008_bieu tong hop" xfId="1705"/>
    <cellStyle name="T_Book1_Bieu mau danh muc du an thuoc CTMTQG nam 2008_Tong hop ra soat von ung 2011 -Chau" xfId="1706"/>
    <cellStyle name="T_Book1_Bieu mau danh muc du an thuoc CTMTQG nam 2008_Tong hop -Yte-Giao thong-Thuy loi-24-6" xfId="1707"/>
    <cellStyle name="T_Book1_Bieu tong hop nhu cau ung 2011 da chon loc -Mien nui" xfId="1708"/>
    <cellStyle name="T_Book1_Bieu tong hop nhu cau ung 2011 da chon loc -Mien nui 2" xfId="1709"/>
    <cellStyle name="T_Book1_Book1" xfId="1710"/>
    <cellStyle name="T_Book1_Book1 2" xfId="1711"/>
    <cellStyle name="T_Book1_Book1_1" xfId="1712"/>
    <cellStyle name="T_Book1_Book1_1 2" xfId="1713"/>
    <cellStyle name="T_Book1_CPK" xfId="1714"/>
    <cellStyle name="T_Book1_DT492" xfId="1715"/>
    <cellStyle name="T_Book1_DT492 2" xfId="1716"/>
    <cellStyle name="T_Book1_DT972000" xfId="1717"/>
    <cellStyle name="T_Book1_DT972000 2" xfId="1718"/>
    <cellStyle name="T_Book1_DTDuong dong tien -sua tham tra 2009 - luong 650" xfId="1719"/>
    <cellStyle name="T_Book1_Du an khoi cong moi nam 2010" xfId="1720"/>
    <cellStyle name="T_Book1_Du an khoi cong moi nam 2010 2" xfId="1721"/>
    <cellStyle name="T_Book1_Du an khoi cong moi nam 2010_bieu tong hop" xfId="1722"/>
    <cellStyle name="T_Book1_Du an khoi cong moi nam 2010_Tong hop ra soat von ung 2011 -Chau" xfId="1723"/>
    <cellStyle name="T_Book1_Du an khoi cong moi nam 2010_Tong hop -Yte-Giao thong-Thuy loi-24-6" xfId="1724"/>
    <cellStyle name="T_Book1_Du toan khao sat (bo sung 2009)" xfId="1725"/>
    <cellStyle name="T_Book1_Du toan khao sat (bo sung 2009) 2" xfId="1726"/>
    <cellStyle name="T_Book1_Hang Tom goi9 9-07(Cau 12 sua)" xfId="1727"/>
    <cellStyle name="T_Book1_HECO-NR78-Gui a-Vinh(15-5-07)" xfId="1728"/>
    <cellStyle name="T_Book1_HECO-NR78-Gui a-Vinh(15-5-07) 2" xfId="1729"/>
    <cellStyle name="T_Book1_Ke hoach 2010 (theo doi)2" xfId="1730"/>
    <cellStyle name="T_Book1_Ke hoach 2010 (theo doi)2 2" xfId="1731"/>
    <cellStyle name="T_Book1_Ket qua phan bo von nam 2008" xfId="1732"/>
    <cellStyle name="T_Book1_Ket qua phan bo von nam 2008 2" xfId="1733"/>
    <cellStyle name="T_Book1_KH XDCB_2008 lan 2 sua ngay 10-11" xfId="1736"/>
    <cellStyle name="T_Book1_KH XDCB_2008 lan 2 sua ngay 10-11 2" xfId="1737"/>
    <cellStyle name="T_Book1_Khoi luong cac hang muc chi tiet-702" xfId="1738"/>
    <cellStyle name="T_Book1_Khoi luong chinh Hang Tom" xfId="1739"/>
    <cellStyle name="T_Book1_khoiluongbdacdoa" xfId="1740"/>
    <cellStyle name="T_Book1_khoiluongbdacdoa 2" xfId="1741"/>
    <cellStyle name="T_Book1_KL NT dap nen Dot 3" xfId="1734"/>
    <cellStyle name="T_Book1_KL NT Dot 3" xfId="1735"/>
    <cellStyle name="T_Book1_mau bieu doan giam sat 2010 (version 2)" xfId="1742"/>
    <cellStyle name="T_Book1_mau bieu doan giam sat 2010 (version 2) 2" xfId="1743"/>
    <cellStyle name="T_Book1_mau KL vach son" xfId="1744"/>
    <cellStyle name="T_Book1_Nhu cau von ung truoc 2011 Tha h Hoa + Nge An gui TW" xfId="1745"/>
    <cellStyle name="T_Book1_Nhu cau von ung truoc 2011 Tha h Hoa + Nge An gui TW 2" xfId="1746"/>
    <cellStyle name="T_Book1_QD UBND tinh" xfId="1747"/>
    <cellStyle name="T_Book1_QD UBND tinh 2" xfId="1748"/>
    <cellStyle name="T_Book1_San sat hach moi" xfId="1749"/>
    <cellStyle name="T_Book1_San sat hach moi 2" xfId="1750"/>
    <cellStyle name="T_Book1_Thiet bi" xfId="1752"/>
    <cellStyle name="T_Book1_Thong ke cong" xfId="1753"/>
    <cellStyle name="T_Book1_Thong ke cong 2" xfId="1754"/>
    <cellStyle name="T_Book1_Tong hop 3 tinh (11_5)-TTH-QN-QT" xfId="1751"/>
    <cellStyle name="T_Book1_ung 2011 - 11-6-Thanh hoa-Nghe an" xfId="1755"/>
    <cellStyle name="T_Book1_ung 2011 - 11-6-Thanh hoa-Nghe an 2" xfId="1756"/>
    <cellStyle name="T_Book1_ung truoc 2011 NSTW Thanh Hoa + Nge An gui Thu 12-5" xfId="1757"/>
    <cellStyle name="T_Book1_ung truoc 2011 NSTW Thanh Hoa + Nge An gui Thu 12-5 2" xfId="1758"/>
    <cellStyle name="T_Book1_VBPL kiểm toán Đầu tư XDCB 2010" xfId="1759"/>
    <cellStyle name="T_Book1_Worksheet in D: My Documents Luc Van ban xu ly Nam 2011 Bao cao ra soat tam ung TPCP" xfId="1760"/>
    <cellStyle name="T_Book1_Worksheet in D: My Documents Luc Van ban xu ly Nam 2011 Bao cao ra soat tam ung TPCP 2" xfId="1761"/>
    <cellStyle name="T_CDKT" xfId="1762"/>
    <cellStyle name="T_CDKT 2" xfId="1763"/>
    <cellStyle name="T_Chuan bi dau tu nam 2008" xfId="1789"/>
    <cellStyle name="T_Chuan bi dau tu nam 2008 2" xfId="1790"/>
    <cellStyle name="T_Chuan bi dau tu nam 2008_bieu tong hop" xfId="1791"/>
    <cellStyle name="T_Chuan bi dau tu nam 2008_Tong hop ra soat von ung 2011 -Chau" xfId="1792"/>
    <cellStyle name="T_Chuan bi dau tu nam 2008_Tong hop -Yte-Giao thong-Thuy loi-24-6" xfId="1793"/>
    <cellStyle name="T_Copy of Bao cao  XDCB 7 thang nam 2008_So KH&amp;DT SUA" xfId="1764"/>
    <cellStyle name="T_Copy of Bao cao  XDCB 7 thang nam 2008_So KH&amp;DT SUA 2" xfId="1765"/>
    <cellStyle name="T_Copy of Bao cao  XDCB 7 thang nam 2008_So KH&amp;DT SUA_bieu tong hop" xfId="1766"/>
    <cellStyle name="T_Copy of Bao cao  XDCB 7 thang nam 2008_So KH&amp;DT SUA_Tong hop ra soat von ung 2011 -Chau" xfId="1767"/>
    <cellStyle name="T_Copy of Bao cao  XDCB 7 thang nam 2008_So KH&amp;DT SUA_Tong hop -Yte-Giao thong-Thuy loi-24-6" xfId="1768"/>
    <cellStyle name="T_Copy of KS Du an dau tu" xfId="1769"/>
    <cellStyle name="T_Copy of KS Du an dau tu 2" xfId="1770"/>
    <cellStyle name="T_Cost for DD (summary)" xfId="1771"/>
    <cellStyle name="T_Cost for DD (summary) 2" xfId="1772"/>
    <cellStyle name="T_CPK" xfId="1773"/>
    <cellStyle name="T_CPK 2" xfId="1774"/>
    <cellStyle name="T_CTMTQG 2008" xfId="1775"/>
    <cellStyle name="T_CTMTQG 2008 2" xfId="1776"/>
    <cellStyle name="T_CTMTQG 2008_Bieu mau danh muc du an thuoc CTMTQG nam 2008" xfId="1777"/>
    <cellStyle name="T_CTMTQG 2008_Bieu mau danh muc du an thuoc CTMTQG nam 2008 2" xfId="1778"/>
    <cellStyle name="T_CTMTQG 2008_Hi-Tong hop KQ phan bo KH nam 08- LD fong giao 15-11-08" xfId="1779"/>
    <cellStyle name="T_CTMTQG 2008_Hi-Tong hop KQ phan bo KH nam 08- LD fong giao 15-11-08 2" xfId="1780"/>
    <cellStyle name="T_CTMTQG 2008_Ket qua thuc hien nam 2008" xfId="1781"/>
    <cellStyle name="T_CTMTQG 2008_Ket qua thuc hien nam 2008 2" xfId="1782"/>
    <cellStyle name="T_CTMTQG 2008_KH XDCB_2008 lan 1" xfId="1783"/>
    <cellStyle name="T_CTMTQG 2008_KH XDCB_2008 lan 1 2" xfId="1784"/>
    <cellStyle name="T_CTMTQG 2008_KH XDCB_2008 lan 1 sua ngay 27-10" xfId="1785"/>
    <cellStyle name="T_CTMTQG 2008_KH XDCB_2008 lan 1 sua ngay 27-10 2" xfId="1786"/>
    <cellStyle name="T_CTMTQG 2008_KH XDCB_2008 lan 2 sua ngay 10-11" xfId="1787"/>
    <cellStyle name="T_CTMTQG 2008_KH XDCB_2008 lan 2 sua ngay 10-11 2" xfId="1788"/>
    <cellStyle name="T_DT972000" xfId="1794"/>
    <cellStyle name="T_DTDuong dong tien -sua tham tra 2009 - luong 650" xfId="1795"/>
    <cellStyle name="T_DTDuong dong tien -sua tham tra 2009 - luong 650 2" xfId="1796"/>
    <cellStyle name="T_dtTL598G1." xfId="1797"/>
    <cellStyle name="T_Du an khoi cong moi nam 2010" xfId="1798"/>
    <cellStyle name="T_Du an khoi cong moi nam 2010 2" xfId="1799"/>
    <cellStyle name="T_Du an khoi cong moi nam 2010_bieu tong hop" xfId="1800"/>
    <cellStyle name="T_Du an khoi cong moi nam 2010_Tong hop ra soat von ung 2011 -Chau" xfId="1801"/>
    <cellStyle name="T_Du an khoi cong moi nam 2010_Tong hop -Yte-Giao thong-Thuy loi-24-6" xfId="1802"/>
    <cellStyle name="T_DU AN TKQH VA CHUAN BI DAU TU NAM 2007 sua ngay 9-11" xfId="1803"/>
    <cellStyle name="T_DU AN TKQH VA CHUAN BI DAU TU NAM 2007 sua ngay 9-11 2" xfId="1804"/>
    <cellStyle name="T_DU AN TKQH VA CHUAN BI DAU TU NAM 2007 sua ngay 9-11_Bieu mau danh muc du an thuoc CTMTQG nam 2008" xfId="1805"/>
    <cellStyle name="T_DU AN TKQH VA CHUAN BI DAU TU NAM 2007 sua ngay 9-11_Bieu mau danh muc du an thuoc CTMTQG nam 2008 2" xfId="1806"/>
    <cellStyle name="T_DU AN TKQH VA CHUAN BI DAU TU NAM 2007 sua ngay 9-11_Bieu mau danh muc du an thuoc CTMTQG nam 2008_bieu tong hop" xfId="1807"/>
    <cellStyle name="T_DU AN TKQH VA CHUAN BI DAU TU NAM 2007 sua ngay 9-11_Bieu mau danh muc du an thuoc CTMTQG nam 2008_Tong hop ra soat von ung 2011 -Chau" xfId="1808"/>
    <cellStyle name="T_DU AN TKQH VA CHUAN BI DAU TU NAM 2007 sua ngay 9-11_Bieu mau danh muc du an thuoc CTMTQG nam 2008_Tong hop -Yte-Giao thong-Thuy loi-24-6" xfId="1809"/>
    <cellStyle name="T_DU AN TKQH VA CHUAN BI DAU TU NAM 2007 sua ngay 9-11_Du an khoi cong moi nam 2010" xfId="1810"/>
    <cellStyle name="T_DU AN TKQH VA CHUAN BI DAU TU NAM 2007 sua ngay 9-11_Du an khoi cong moi nam 2010 2" xfId="1811"/>
    <cellStyle name="T_DU AN TKQH VA CHUAN BI DAU TU NAM 2007 sua ngay 9-11_Du an khoi cong moi nam 2010_bieu tong hop" xfId="1812"/>
    <cellStyle name="T_DU AN TKQH VA CHUAN BI DAU TU NAM 2007 sua ngay 9-11_Du an khoi cong moi nam 2010_Tong hop ra soat von ung 2011 -Chau" xfId="1813"/>
    <cellStyle name="T_DU AN TKQH VA CHUAN BI DAU TU NAM 2007 sua ngay 9-11_Du an khoi cong moi nam 2010_Tong hop -Yte-Giao thong-Thuy loi-24-6" xfId="1814"/>
    <cellStyle name="T_DU AN TKQH VA CHUAN BI DAU TU NAM 2007 sua ngay 9-11_Ket qua phan bo von nam 2008" xfId="1815"/>
    <cellStyle name="T_DU AN TKQH VA CHUAN BI DAU TU NAM 2007 sua ngay 9-11_Ket qua phan bo von nam 2008 2" xfId="1816"/>
    <cellStyle name="T_DU AN TKQH VA CHUAN BI DAU TU NAM 2007 sua ngay 9-11_KH XDCB_2008 lan 2 sua ngay 10-11" xfId="1817"/>
    <cellStyle name="T_DU AN TKQH VA CHUAN BI DAU TU NAM 2007 sua ngay 9-11_KH XDCB_2008 lan 2 sua ngay 10-11 2" xfId="1818"/>
    <cellStyle name="T_du toan dieu chinh  20-8-2006" xfId="1819"/>
    <cellStyle name="T_Du toan khao sat (bo sung 2009)" xfId="1820"/>
    <cellStyle name="T_du toan lan 3" xfId="1821"/>
    <cellStyle name="T_du toan lan 3 2" xfId="1822"/>
    <cellStyle name="T_Ke hoach KTXH  nam 2009_PKT thang 11 nam 2008" xfId="1823"/>
    <cellStyle name="T_Ke hoach KTXH  nam 2009_PKT thang 11 nam 2008 2" xfId="1824"/>
    <cellStyle name="T_Ke hoach KTXH  nam 2009_PKT thang 11 nam 2008_bieu tong hop" xfId="1825"/>
    <cellStyle name="T_Ke hoach KTXH  nam 2009_PKT thang 11 nam 2008_Tong hop ra soat von ung 2011 -Chau" xfId="1826"/>
    <cellStyle name="T_Ke hoach KTXH  nam 2009_PKT thang 11 nam 2008_Tong hop -Yte-Giao thong-Thuy loi-24-6" xfId="1827"/>
    <cellStyle name="T_Ket qua dau thau" xfId="1828"/>
    <cellStyle name="T_Ket qua dau thau 2" xfId="1829"/>
    <cellStyle name="T_Ket qua dau thau_bieu tong hop" xfId="1830"/>
    <cellStyle name="T_Ket qua dau thau_Tong hop ra soat von ung 2011 -Chau" xfId="1831"/>
    <cellStyle name="T_Ket qua dau thau_Tong hop -Yte-Giao thong-Thuy loi-24-6" xfId="1832"/>
    <cellStyle name="T_Ket qua phan bo von nam 2008" xfId="1833"/>
    <cellStyle name="T_Ket qua phan bo von nam 2008 2" xfId="1834"/>
    <cellStyle name="T_KH XDCB_2008 lan 2 sua ngay 10-11" xfId="1839"/>
    <cellStyle name="T_KH XDCB_2008 lan 2 sua ngay 10-11 2" xfId="1840"/>
    <cellStyle name="T_Khao satD1" xfId="1841"/>
    <cellStyle name="T_Khoi luong cac hang muc chi tiet-702" xfId="1842"/>
    <cellStyle name="T_Khoi luong cac hang muc chi tiet-702 2" xfId="1843"/>
    <cellStyle name="T_KL NT dap nen Dot 3" xfId="1835"/>
    <cellStyle name="T_KL NT Dot 3" xfId="1836"/>
    <cellStyle name="T_Kl VL ranh" xfId="1837"/>
    <cellStyle name="T_KLNMD1" xfId="1838"/>
    <cellStyle name="T_mau bieu doan giam sat 2010 (version 2)" xfId="1844"/>
    <cellStyle name="T_mau bieu doan giam sat 2010 (version 2) 2" xfId="1845"/>
    <cellStyle name="T_mau KL vach son" xfId="1846"/>
    <cellStyle name="T_mau KL vach son 2" xfId="1847"/>
    <cellStyle name="T_Me_Tri_6_07" xfId="1848"/>
    <cellStyle name="T_N2 thay dat (N1-1)" xfId="1849"/>
    <cellStyle name="T_Phuong an can doi nam 2008" xfId="1850"/>
    <cellStyle name="T_Phuong an can doi nam 2008 2" xfId="1851"/>
    <cellStyle name="T_Phuong an can doi nam 2008_bieu tong hop" xfId="1852"/>
    <cellStyle name="T_Phuong an can doi nam 2008_Tong hop ra soat von ung 2011 -Chau" xfId="1853"/>
    <cellStyle name="T_Phuong an can doi nam 2008_Tong hop -Yte-Giao thong-Thuy loi-24-6" xfId="1854"/>
    <cellStyle name="T_San sat hach moi" xfId="1855"/>
    <cellStyle name="T_Seagame(BTL)" xfId="1856"/>
    <cellStyle name="T_So GTVT" xfId="1857"/>
    <cellStyle name="T_So GTVT_bieu tong hop" xfId="1858"/>
    <cellStyle name="T_So GTVT_bieu tong hop 2" xfId="1859"/>
    <cellStyle name="T_So GTVT_Tong hop ra soat von ung 2011 -Chau" xfId="1860"/>
    <cellStyle name="T_So GTVT_Tong hop ra soat von ung 2011 -Chau 2" xfId="1861"/>
    <cellStyle name="T_So GTVT_Tong hop -Yte-Giao thong-Thuy loi-24-6" xfId="1862"/>
    <cellStyle name="T_So GTVT_Tong hop -Yte-Giao thong-Thuy loi-24-6 2" xfId="1863"/>
    <cellStyle name="T_SS BVTC cau va cong tuyen Le Chan" xfId="1864"/>
    <cellStyle name="T_Tay Bac 1" xfId="1865"/>
    <cellStyle name="T_Tay Bac 1 2" xfId="1866"/>
    <cellStyle name="T_Tay Bac 1_Bao cao kiem toan kh 2010" xfId="1867"/>
    <cellStyle name="T_Tay Bac 1_Book1" xfId="1868"/>
    <cellStyle name="T_Tay Bac 1_Ke hoach 2010 (theo doi)2" xfId="1869"/>
    <cellStyle name="T_Tay Bac 1_QD UBND tinh" xfId="1870"/>
    <cellStyle name="T_Tay Bac 1_Worksheet in D: My Documents Luc Van ban xu ly Nam 2011 Bao cao ra soat tam ung TPCP" xfId="1871"/>
    <cellStyle name="T_TDT + duong(8-5-07)" xfId="1872"/>
    <cellStyle name="T_tham_tra_du_toan" xfId="1888"/>
    <cellStyle name="T_Thiet bi" xfId="1889"/>
    <cellStyle name="T_Thiet bi 2" xfId="1890"/>
    <cellStyle name="T_THKL 1303" xfId="1891"/>
    <cellStyle name="T_Thong ke" xfId="1892"/>
    <cellStyle name="T_Thong ke cong" xfId="1893"/>
    <cellStyle name="T_thong ke giao dan sinh" xfId="1894"/>
    <cellStyle name="T_tien2004" xfId="1873"/>
    <cellStyle name="T_TKE-ChoDon-sua" xfId="1874"/>
    <cellStyle name="T_Tong hop 3 tinh (11_5)-TTH-QN-QT" xfId="1875"/>
    <cellStyle name="T_Tong hop 3 tinh (11_5)-TTH-QN-QT 2" xfId="1876"/>
    <cellStyle name="T_Tong hop khoi luong Dot 3" xfId="1877"/>
    <cellStyle name="T_Tong hop theo doi von TPCP" xfId="1878"/>
    <cellStyle name="T_Tong hop theo doi von TPCP 2" xfId="1879"/>
    <cellStyle name="T_Tong hop theo doi von TPCP_Bao cao kiem toan kh 2010" xfId="1880"/>
    <cellStyle name="T_Tong hop theo doi von TPCP_Bao cao kiem toan kh 2010 2" xfId="1881"/>
    <cellStyle name="T_Tong hop theo doi von TPCP_Ke hoach 2010 (theo doi)2" xfId="1882"/>
    <cellStyle name="T_Tong hop theo doi von TPCP_Ke hoach 2010 (theo doi)2 2" xfId="1883"/>
    <cellStyle name="T_Tong hop theo doi von TPCP_QD UBND tinh" xfId="1884"/>
    <cellStyle name="T_Tong hop theo doi von TPCP_QD UBND tinh 2" xfId="1885"/>
    <cellStyle name="T_Tong hop theo doi von TPCP_Worksheet in D: My Documents Luc Van ban xu ly Nam 2011 Bao cao ra soat tam ung TPCP" xfId="1886"/>
    <cellStyle name="T_Tong hop theo doi von TPCP_Worksheet in D: My Documents Luc Van ban xu ly Nam 2011 Bao cao ra soat tam ung TPCP 2" xfId="1887"/>
    <cellStyle name="T_VBPL kiểm toán Đầu tư XDCB 2010" xfId="1895"/>
    <cellStyle name="T_Worksheet in D: ... Hoan thien 5goi theo KL cu 28-06 4.Cong 5goi Coc 33-Km1+490.13 Cong coc 33-km1+490.13" xfId="1896"/>
    <cellStyle name="T_ÿÿÿÿÿ" xfId="1897"/>
    <cellStyle name="Text" xfId="1898"/>
    <cellStyle name="Text Indent A" xfId="1899"/>
    <cellStyle name="Text Indent A 2" xfId="1900"/>
    <cellStyle name="Text Indent B" xfId="1901"/>
    <cellStyle name="Text Indent B 2" xfId="1902"/>
    <cellStyle name="Text Indent C" xfId="1903"/>
    <cellStyle name="Text Indent C 2" xfId="1904"/>
    <cellStyle name="Text_Bao cao doan cong tac cua Bo thang 4-2010" xfId="1905"/>
    <cellStyle name="th" xfId="1923"/>
    <cellStyle name="than" xfId="1924"/>
    <cellStyle name="thanh" xfId="1925"/>
    <cellStyle name="þ_x001d_ð¤_x000c_¯þ_x0014__x000d_¨þU_x0001_À_x0004_ _x0015__x000f__x0001__x0001_" xfId="1926"/>
    <cellStyle name="þ_x001d_ð¤_x000c_¯þ_x0014__x000d_¨þU_x0001_À_x0004_ _x0015__x000f__x0001__x0001_ 2" xfId="1927"/>
    <cellStyle name="þ_x001d_ð·_x000c_æþ'_x000d_ßþU_x0001_Ø_x0005_ü_x0014__x0007__x0001__x0001_" xfId="1928"/>
    <cellStyle name="þ_x001d_ðÇ%Uý—&amp;Hý9_x0008_Ÿ s_x000a__x0007__x0001__x0001_" xfId="1929"/>
    <cellStyle name="þ_x001d_ðÇ%Uý—&amp;Hý9_x0008_Ÿ s_x000a__x0007__x0001__x0001_ 2" xfId="1930"/>
    <cellStyle name="þ_x001d_ðK_x000c_Fý_x001b__x000d_9ýU_x0001_Ð_x0008_¦)_x0007__x0001__x0001_" xfId="1931"/>
    <cellStyle name="þ_x001d_ðK_x000c_Fý_x001b__x000d_9ýU_x0001_Ð_x0008_¦)_x0007__x0001__x0001_ 2" xfId="1932"/>
    <cellStyle name="thuong-10" xfId="1933"/>
    <cellStyle name="thuong-11" xfId="1934"/>
    <cellStyle name="Thuyet minh" xfId="1935"/>
    <cellStyle name="Tien1" xfId="1906"/>
    <cellStyle name="Tiêu đề" xfId="1907"/>
    <cellStyle name="Times New Roman" xfId="1908"/>
    <cellStyle name="Tính toán" xfId="1909"/>
    <cellStyle name="tit1" xfId="1910"/>
    <cellStyle name="tit2" xfId="1911"/>
    <cellStyle name="tit3" xfId="1912"/>
    <cellStyle name="tit4" xfId="1913"/>
    <cellStyle name="Title 2" xfId="1914"/>
    <cellStyle name="Tổng" xfId="1917"/>
    <cellStyle name="Tongcong" xfId="1915"/>
    <cellStyle name="Tốt" xfId="1918"/>
    <cellStyle name="Total 2" xfId="1916"/>
    <cellStyle name="trang" xfId="1936"/>
    <cellStyle name="Trung tính" xfId="1937"/>
    <cellStyle name="tt1" xfId="1919"/>
    <cellStyle name="Tuan" xfId="1920"/>
    <cellStyle name="Tusental (0)_pldt" xfId="1921"/>
    <cellStyle name="Tusental_pldt" xfId="1922"/>
    <cellStyle name="u" xfId="1938"/>
    <cellStyle name="ux_3_¼­¿ï-¾È»ê" xfId="1939"/>
    <cellStyle name="Valuta (0)_CALPREZZ" xfId="1940"/>
    <cellStyle name="Valuta_ PESO ELETTR." xfId="1941"/>
    <cellStyle name="Văn bản Cảnh báo" xfId="1943"/>
    <cellStyle name="Văn bản Giải thích" xfId="1944"/>
    <cellStyle name="VANG1" xfId="1942"/>
    <cellStyle name="viet" xfId="1945"/>
    <cellStyle name="viet2" xfId="1946"/>
    <cellStyle name="Vietnam 1" xfId="1947"/>
    <cellStyle name="VN new romanNormal" xfId="1948"/>
    <cellStyle name="vn time 10" xfId="1949"/>
    <cellStyle name="Vn Time 13" xfId="1950"/>
    <cellStyle name="Vn Time 13 2" xfId="1951"/>
    <cellStyle name="Vn Time 14" xfId="1952"/>
    <cellStyle name="VN time new roman" xfId="1953"/>
    <cellStyle name="vn_time" xfId="1954"/>
    <cellStyle name="vnbo" xfId="1955"/>
    <cellStyle name="vnhead1" xfId="1959"/>
    <cellStyle name="vnhead2" xfId="1960"/>
    <cellStyle name="vnhead3" xfId="1961"/>
    <cellStyle name="vnhead4" xfId="1962"/>
    <cellStyle name="vntxt1" xfId="1956"/>
    <cellStyle name="vntxt1 2" xfId="1957"/>
    <cellStyle name="vntxt2" xfId="1958"/>
    <cellStyle name="W?hrung [0]_35ERI8T2gbIEMixb4v26icuOo" xfId="1963"/>
    <cellStyle name="W?hrung_35ERI8T2gbIEMixb4v26icuOo" xfId="1964"/>
    <cellStyle name="Währung [0]_68574_Materialbedarfsliste" xfId="1965"/>
    <cellStyle name="Währung_68574_Materialbedarfsliste" xfId="1966"/>
    <cellStyle name="Walutowy [0]_Invoices2001Slovakia" xfId="1967"/>
    <cellStyle name="Walutowy_Invoices2001Slovakia" xfId="1968"/>
    <cellStyle name="Warning Text 2" xfId="1969"/>
    <cellStyle name="wrap" xfId="1970"/>
    <cellStyle name="Wไhrung [0]_35ERI8T2gbIEMixb4v26icuOo" xfId="1971"/>
    <cellStyle name="Wไhrung_35ERI8T2gbIEMixb4v26icuOo" xfId="1972"/>
    <cellStyle name="Xấu" xfId="1973"/>
    <cellStyle name="xuan" xfId="1974"/>
    <cellStyle name="y" xfId="1975"/>
    <cellStyle name="y 2" xfId="1976"/>
    <cellStyle name="Ý kh¸c_B¶ng 1 (2)" xfId="1977"/>
    <cellStyle name="เครื่องหมายสกุลเงิน [0]_FTC_OFFER" xfId="1978"/>
    <cellStyle name="เครื่องหมายสกุลเงิน_FTC_OFFER" xfId="1979"/>
    <cellStyle name="ปกติ_FTC_OFFER" xfId="1980"/>
    <cellStyle name=" [0.00]_ Att. 1- Cover" xfId="1981"/>
    <cellStyle name="_ Att. 1- Cover" xfId="1982"/>
    <cellStyle name="?_ Att. 1- Cover" xfId="1983"/>
    <cellStyle name="똿뗦먛귟 [0.00]_PRODUCT DETAIL Q1" xfId="1984"/>
    <cellStyle name="똿뗦먛귟_PRODUCT DETAIL Q1" xfId="1985"/>
    <cellStyle name="믅됞 [0.00]_PRODUCT DETAIL Q1" xfId="1986"/>
    <cellStyle name="믅됞_PRODUCT DETAIL Q1" xfId="1987"/>
    <cellStyle name="백분율_††††† " xfId="1988"/>
    <cellStyle name="뷭?_BOOKSHIP" xfId="1989"/>
    <cellStyle name="안건회계법인" xfId="1990"/>
    <cellStyle name="콤마 [ - 유형1" xfId="1991"/>
    <cellStyle name="콤마 [ - 유형2" xfId="1992"/>
    <cellStyle name="콤마 [ - 유형3" xfId="1993"/>
    <cellStyle name="콤마 [ - 유형4" xfId="1994"/>
    <cellStyle name="콤마 [ - 유형5" xfId="1995"/>
    <cellStyle name="콤마 [ - 유형6" xfId="1996"/>
    <cellStyle name="콤마 [ - 유형7" xfId="1997"/>
    <cellStyle name="콤마 [ - 유형8" xfId="1998"/>
    <cellStyle name="콤마 [0]_ 비목별 월별기술 " xfId="1999"/>
    <cellStyle name="콤마_ 비목별 월별기술 " xfId="2000"/>
    <cellStyle name="통화 [0]_††††† " xfId="2001"/>
    <cellStyle name="통화_††††† " xfId="2002"/>
    <cellStyle name="표준_ 97년 경영분석(안)" xfId="2003"/>
    <cellStyle name="표줠_Sheet1_1_총괄표 (수출입) (2)" xfId="2004"/>
    <cellStyle name="一般_00Q3902REV.1" xfId="2005"/>
    <cellStyle name="千分位[0]_00Q3902REV.1" xfId="2006"/>
    <cellStyle name="千分位_00Q3902REV.1" xfId="2007"/>
    <cellStyle name="桁区切り [0.00]_BE-BQ" xfId="2008"/>
    <cellStyle name="桁区切り_BE-BQ" xfId="2009"/>
    <cellStyle name="標準_(A1)BOQ " xfId="2010"/>
    <cellStyle name="貨幣 [0]_00Q3902REV.1" xfId="2011"/>
    <cellStyle name="貨幣[0]_BRE" xfId="2012"/>
    <cellStyle name="貨幣_00Q3902REV.1" xfId="2013"/>
    <cellStyle name="通貨 [0.00]_BE-BQ" xfId="2014"/>
    <cellStyle name="通貨_BE-BQ" xfId="201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3" Type="http://schemas.openxmlformats.org/officeDocument/2006/relationships/worksheet" Target="worksheets/sheet3.xml"/><Relationship Id="rId21" Type="http://schemas.openxmlformats.org/officeDocument/2006/relationships/externalLink" Target="externalLinks/externalLink9.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externalLink" Target="externalLinks/externalLink8.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7.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y%20PC\Downloads\BC%20PGD\T&#7843;i%20v&#7873;%202013-2014\BC%20cuoi%20nam\Hoc%20tap\Thuctap\moi1\PT%20KIEN\KIEN\tnhoche\Cong%20trinh\Son%20La\Du%20toan\Congviec\Tam.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DT-THL7.xl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Worksheet%20in%20Thn-ChsTQ"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2018\c&#244;ng%20tr&#236;nh\n&#7841;o%20v&#233;t\BangGiaCaMay_TT01-2015.xls"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DUTOAN1"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Administrator\Downloads\DAT2021_HY.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Administrator\Downloads\BIEU%20Lap%20DT%202022_%20ND%2031_TT342%20thu.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T&#249;ng\Documents\Zalo%20Received%20Files\_BAO%20CAO%20THU%20CHI%20%20UTH%20nam_.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Users\Administrator\Downloads\DU%20TOAN%20GIAO%20DUC%202022%20_thao%20thay%20doi16_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m"/>
      <sheetName val="Du_lieu"/>
      <sheetName val="KH-Q1,Q2,01"/>
      <sheetName val="TONGKE3p "/>
      <sheetName val="TDTKP"/>
      <sheetName val="DON GIA"/>
      <sheetName val="TONG HOP VL-NC"/>
      <sheetName val="TNHCHINH"/>
      <sheetName val="CHITIET VL-NC-TT -1p"/>
      <sheetName val="TDTKP1"/>
      <sheetName val="phuluc1"/>
      <sheetName val="TONG HOP VL-NC TT"/>
      <sheetName val="KPVC-BD "/>
      <sheetName val="#REF"/>
      <sheetName val="gvl"/>
      <sheetName val="Tiepdia"/>
      <sheetName val="CHITIET VL-NC-TT-3p"/>
      <sheetName val="VCV-BE-TONG"/>
      <sheetName val="chitiet"/>
      <sheetName val="VC"/>
      <sheetName val="CHITIET VL-NC"/>
      <sheetName val="THPDMoi  (2)"/>
      <sheetName val="t-h HA THE"/>
      <sheetName val="giathanh1"/>
      <sheetName val="TONGKE-HT"/>
      <sheetName val="LKVL-CK-HT-GD1"/>
      <sheetName val="TH VL, NC, DDHT Thanhphuoc"/>
      <sheetName val="dongia (2)"/>
      <sheetName val="DG"/>
      <sheetName val="DONGIA"/>
      <sheetName val="chitimc"/>
      <sheetName val="dtxl"/>
      <sheetName val="gtrinh"/>
      <sheetName val="lam-moi"/>
      <sheetName val="TH XL"/>
      <sheetName val="thao-go"/>
      <sheetName val="BAOGIATHANG"/>
      <sheetName val="vanchuyen TC"/>
      <sheetName val="DAODAT"/>
      <sheetName val="dongiaX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gct"/>
      <sheetName val="dtct"/>
      <sheetName val="gvl"/>
      <sheetName val="Sheet10"/>
      <sheetName val="Sheet11"/>
      <sheetName val="Sheet12"/>
      <sheetName val="Sheet13"/>
      <sheetName val="Sheet14"/>
      <sheetName val="Sheet15"/>
      <sheetName val="Sheet16"/>
      <sheetName val="Dinh muc du toan"/>
      <sheetName val="Config"/>
      <sheetName val="AutoClose"/>
      <sheetName val="total"/>
      <sheetName val="(viet)"/>
      <sheetName val="dictionary"/>
      <sheetName val="New(eng)"/>
      <sheetName val="RFI(eng)SW-sun"/>
      <sheetName val="RFI(eng)HVP-sun"/>
      <sheetName val="RFI(eng)SW"/>
      <sheetName val="RFI(eng)SW (2)"/>
      <sheetName val="RFI(eng)HVP"/>
      <sheetName val="RFI(eng)Lab."/>
      <sheetName val="RFI -add"/>
      <sheetName val="TSCD DUNG CHUNG "/>
      <sheetName val="KHKHAUHAOTSCHUNG"/>
      <sheetName val="TSCDTOAN NHA MAY"/>
      <sheetName val="CPSXTOAN BO SP"/>
      <sheetName val="PBCPCHUNG CHO CAC DTUONG"/>
      <sheetName val="XL4Poppy"/>
      <sheetName val="VLieu"/>
      <sheetName val="CT"/>
      <sheetName val="DToan"/>
      <sheetName val="TH"/>
      <sheetName val="Tong hop"/>
      <sheetName val="Cuoc V.chuyen"/>
      <sheetName val="Sheet7"/>
      <sheetName val="Sheet8"/>
      <sheetName val="Sheet9"/>
      <sheetName val="vatlieu"/>
      <sheetName val="vattu"/>
      <sheetName val="CHITIET"/>
      <sheetName val="DONGIA"/>
      <sheetName val="DT02"/>
      <sheetName val="DTgoi1"/>
      <sheetName val="DTgoi2"/>
      <sheetName val="DTgoi3"/>
      <sheetName val="DTgoi4"/>
      <sheetName val="DTgoi5"/>
      <sheetName val="DTgoi6"/>
      <sheetName val="Tong hop goi thau"/>
      <sheetName val="DT-tn"/>
      <sheetName val="TH02"/>
      <sheetName val="THgoi1"/>
      <sheetName val="THgoi2"/>
      <sheetName val="THgoi3"/>
      <sheetName val="KLgoi11"/>
      <sheetName val="THgoi4"/>
      <sheetName val="THgoi5"/>
      <sheetName val="THgoi6"/>
      <sheetName val="chitiet02"/>
      <sheetName val="THKL1"/>
      <sheetName val="chitiet1"/>
      <sheetName val="TH-KL"/>
      <sheetName val="kl-chitiet"/>
      <sheetName val="Sheet1"/>
      <sheetName val="1"/>
      <sheetName val="00000000"/>
      <sheetName val="XL4Test5"/>
      <sheetName val="cvb"/>
      <sheetName val="VC"/>
      <sheetName val="ThDT"/>
      <sheetName val="dg dat"/>
      <sheetName val="vtran"/>
      <sheetName val="tran"/>
      <sheetName val="khac"/>
      <sheetName val="Gia VL"/>
      <sheetName val="GiaNC"/>
      <sheetName val="Gia may"/>
      <sheetName val="giavua"/>
      <sheetName val="tap"/>
      <sheetName val="dmvt"/>
      <sheetName val="cv"/>
      <sheetName val="m"/>
      <sheetName val="vl"/>
      <sheetName val="TH An ca"/>
      <sheetName val="XN SL An ca"/>
      <sheetName val="Dang ky an ca"/>
      <sheetName val="Dang ky an ca T2"/>
      <sheetName val="Sheet2"/>
      <sheetName val="Sheet3"/>
      <sheetName val="C47-456"/>
      <sheetName val="C46"/>
      <sheetName val="C47-PII"/>
      <sheetName val="NC"/>
      <sheetName val="TSo"/>
      <sheetName val="PC"/>
      <sheetName val="Vua"/>
      <sheetName val="KL"/>
      <sheetName val="DGduong"/>
      <sheetName val="DT"/>
      <sheetName val="Thu"/>
      <sheetName val="XXXXXXXX"/>
      <sheetName val="DTduong"/>
      <sheetName val="Nhahat"/>
      <sheetName val="Sheet4"/>
      <sheetName val="Sheet5"/>
      <sheetName val="Sheet6"/>
      <sheetName val="bg+th45"/>
      <sheetName val="4-5"/>
      <sheetName val="bg+th34"/>
      <sheetName val="3-4"/>
      <sheetName val="bg+th23"/>
      <sheetName val="2-3"/>
      <sheetName val="bg+th12"/>
      <sheetName val="1-2"/>
      <sheetName val="bg+th"/>
      <sheetName val="ptvl"/>
      <sheetName val="0-1"/>
      <sheetName val="XL4Uest5"/>
      <sheetName val="T2"/>
      <sheetName val="T3"/>
      <sheetName val="T4"/>
      <sheetName val="T5"/>
      <sheetName val="THop"/>
      <sheetName val="THKD"/>
      <sheetName val="10000000"/>
      <sheetName val="20000000"/>
      <sheetName val="30000000"/>
      <sheetName val="40000000"/>
      <sheetName val="50000000"/>
      <sheetName val="60000000"/>
      <sheetName val="dgth"/>
      <sheetName val="thkl"/>
      <sheetName val="thkl (2)"/>
      <sheetName val="LK2"/>
      <sheetName val="He so"/>
      <sheetName val="PL Vua"/>
      <sheetName val="DPD"/>
      <sheetName val="dgmo-tru"/>
      <sheetName val="dgdam"/>
      <sheetName val="Dam-Mo-Tru"/>
      <sheetName val="GTXLc"/>
      <sheetName val="CPXLk"/>
      <sheetName val="KPTH"/>
      <sheetName val="Bang KL ket cau"/>
      <sheetName val="DT-THL7"/>
      <sheetName val="tra-vat-lieu"/>
      <sheetName val="10.1.20"/>
      <sheetName val="10.2.20"/>
      <sheetName val="11.7.30"/>
      <sheetName val="Nhan cong KS"/>
      <sheetName val="01.2.20"/>
      <sheetName val="01.2.30"/>
      <sheetName val="08.6.00"/>
      <sheetName val="12.1.30"/>
      <sheetName val="12.1.70"/>
      <sheetName val="12.1.50"/>
      <sheetName val="17.1.30"/>
      <sheetName val="17.1.20"/>
      <sheetName val="07.3.10"/>
      <sheetName val="03.1.00"/>
      <sheetName val="09.3.00"/>
      <sheetName val="Tinh Qmax (Xoko)"/>
      <sheetName val="Hinh thai"/>
      <sheetName val="Khau do Kasin"/>
      <sheetName val="Khau do cau nho"/>
      <sheetName val="Tinh Qmax"/>
      <sheetName val="H2%"/>
      <sheetName val="H~Q~V"/>
      <sheetName val="Tra K"/>
      <sheetName val="b_ tra"/>
      <sheetName val="DGXDCB_DD"/>
      <sheetName val="PBCPCHUNG CHO CAC ETUONG"/>
      <sheetName val="Lç khoan LK1"/>
      <sheetName val="Thdien"/>
      <sheetName val="DTdien"/>
      <sheetName val="DG "/>
      <sheetName val="TNHCHINH"/>
      <sheetName val="Thuc thanh"/>
      <sheetName val="NewPOS"/>
      <sheetName val="Bcaonhanh"/>
      <sheetName val="Tonghop"/>
      <sheetName val="chitieth.chinh"/>
      <sheetName val="trinhEVN29.8"/>
      <sheetName val="hieuchinh30.11"/>
      <sheetName val="KTP"/>
      <sheetName val="KLM"/>
      <sheetName val="hinhhoc"/>
      <sheetName val="PA_coso"/>
      <sheetName val="PA_von"/>
      <sheetName val="PA_nhucau"/>
      <sheetName val="PA_TH"/>
      <sheetName val="XL35"/>
      <sheetName val="DZ-35"/>
      <sheetName val="TN_35"/>
      <sheetName val="CT-DZ"/>
      <sheetName val="TC"/>
      <sheetName val="TH_BA"/>
      <sheetName val="TBA"/>
      <sheetName val="TNT"/>
      <sheetName val="CT_TBA"/>
      <sheetName val="KB"/>
      <sheetName val="CT_BT"/>
      <sheetName val="KS"/>
      <sheetName val="BT"/>
      <sheetName val="CP_BT"/>
      <sheetName val="DB"/>
      <sheetName val="Ky thu , Ky tho"/>
      <sheetName val="ThCtiet Hanh Lang  KG, KT, KP"/>
      <sheetName val="TH Hanh Lang  KG, KT, KP "/>
      <sheetName val="ThCtiet lap dung cot KG,KT, KP"/>
      <sheetName val="TH Ky Anh"/>
      <sheetName val="Th Ct iet KL,KH,KT,Kvan"/>
      <sheetName val=" THop  KL,KH,KT,Kvan "/>
      <sheetName val=" THop  KL,KH,KT,Kvan  (2)"/>
      <sheetName val="Lap dung cot, san bai"/>
      <sheetName val="00000001"/>
      <sheetName val="00000002"/>
      <sheetName val="S`eet12"/>
      <sheetName val="Du_lieu"/>
      <sheetName val="phan tich DG"/>
      <sheetName val="gia vat lieu"/>
      <sheetName val="gia xe may"/>
      <sheetName val="gia nhan cong"/>
    </sheetNames>
    <sheetDataSet>
      <sheetData sheetId="0"/>
      <sheetData sheetId="1"/>
      <sheetData sheetId="2" refreshError="1">
        <row r="9">
          <cell r="N9">
            <v>118182</v>
          </cell>
        </row>
        <row r="16">
          <cell r="N16">
            <v>759</v>
          </cell>
        </row>
        <row r="17">
          <cell r="N17">
            <v>55000</v>
          </cell>
        </row>
        <row r="38">
          <cell r="N38">
            <v>4.5</v>
          </cell>
        </row>
      </sheetData>
      <sheetData sheetId="3"/>
      <sheetData sheetId="4"/>
      <sheetData sheetId="5"/>
      <sheetData sheetId="6"/>
      <sheetData sheetId="7"/>
      <sheetData sheetId="8"/>
      <sheetData sheetId="9"/>
      <sheetData sheetId="10"/>
      <sheetData sheetId="11" refreshError="1"/>
      <sheetData sheetId="12" refreshError="1"/>
      <sheetData sheetId="13" refreshError="1"/>
      <sheetData sheetId="14" refreshError="1"/>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efreshError="1"/>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refreshError="1"/>
      <sheetData sheetId="69" refreshError="1"/>
      <sheetData sheetId="70" refreshError="1"/>
      <sheetData sheetId="71"/>
      <sheetData sheetId="72" refreshError="1"/>
      <sheetData sheetId="73" refreshError="1"/>
      <sheetData sheetId="74" refreshError="1"/>
      <sheetData sheetId="75" refreshError="1"/>
      <sheetData sheetId="76" refreshError="1"/>
      <sheetData sheetId="77" refreshError="1"/>
      <sheetData sheetId="78"/>
      <sheetData sheetId="79"/>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sheetData sheetId="92"/>
      <sheetData sheetId="93"/>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refreshError="1"/>
      <sheetData sheetId="220" refreshError="1"/>
      <sheetData sheetId="221"/>
      <sheetData sheetId="222"/>
      <sheetData sheetId="223"/>
      <sheetData sheetId="22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NG HOP KL"/>
      <sheetName val="kldamchu"/>
      <sheetName val="damngang"/>
      <sheetName val="CTdamchu"/>
      <sheetName val="BMC"/>
      <sheetName val="THN- CHSANG"/>
      <sheetName val="LCTV"/>
      <sheetName val="COTTHEPMO"/>
      <sheetName val="COC 40x40S"/>
      <sheetName val="KHANGCHAN"/>
      <sheetName val="Bdan"/>
      <sheetName val="SANDAODONGCOC"/>
      <sheetName val="LDAM"/>
      <sheetName val="QUANGTREO"/>
    </sheetNames>
    <sheetDataSet>
      <sheetData sheetId="0"/>
      <sheetData sheetId="1" refreshError="1"/>
      <sheetData sheetId="2" refreshError="1"/>
      <sheetData sheetId="3" refreshError="1"/>
      <sheetData sheetId="4" refreshError="1"/>
      <sheetData sheetId="5" refreshError="1"/>
      <sheetData sheetId="6" refreshError="1"/>
      <sheetData sheetId="7" refreshError="1">
        <row r="6">
          <cell r="J6">
            <v>8</v>
          </cell>
        </row>
      </sheetData>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hanCong"/>
      <sheetName val="GiaCaMay"/>
    </sheetNames>
    <sheetDataSet>
      <sheetData sheetId="0" refreshError="1">
        <row r="9">
          <cell r="G9">
            <v>186519</v>
          </cell>
        </row>
        <row r="19">
          <cell r="G19">
            <v>220154</v>
          </cell>
        </row>
        <row r="29">
          <cell r="G29">
            <v>259904</v>
          </cell>
        </row>
        <row r="39">
          <cell r="G39">
            <v>306788</v>
          </cell>
        </row>
        <row r="49">
          <cell r="G49">
            <v>362846</v>
          </cell>
        </row>
        <row r="59">
          <cell r="G59">
            <v>428077</v>
          </cell>
        </row>
        <row r="127">
          <cell r="G127">
            <v>222192</v>
          </cell>
        </row>
        <row r="128">
          <cell r="G128">
            <v>261942</v>
          </cell>
        </row>
        <row r="129">
          <cell r="G129">
            <v>310865</v>
          </cell>
        </row>
        <row r="132">
          <cell r="G132">
            <v>255827</v>
          </cell>
        </row>
        <row r="133">
          <cell r="G133">
            <v>299654</v>
          </cell>
        </row>
        <row r="134">
          <cell r="G134">
            <v>350615</v>
          </cell>
        </row>
        <row r="137">
          <cell r="G137">
            <v>304750</v>
          </cell>
        </row>
        <row r="139">
          <cell r="G139">
            <v>418904</v>
          </cell>
        </row>
        <row r="140">
          <cell r="G140">
            <v>491269</v>
          </cell>
        </row>
        <row r="144">
          <cell r="G144">
            <v>380173</v>
          </cell>
        </row>
        <row r="145">
          <cell r="G145">
            <v>398519</v>
          </cell>
        </row>
        <row r="146">
          <cell r="G146">
            <v>323096</v>
          </cell>
        </row>
        <row r="151">
          <cell r="G151">
            <v>421962</v>
          </cell>
        </row>
        <row r="152">
          <cell r="G152">
            <v>444385</v>
          </cell>
        </row>
        <row r="154">
          <cell r="G154">
            <v>383231</v>
          </cell>
        </row>
        <row r="155">
          <cell r="G155">
            <v>298635</v>
          </cell>
        </row>
        <row r="159">
          <cell r="G159">
            <v>222192</v>
          </cell>
        </row>
        <row r="160">
          <cell r="G160">
            <v>255827</v>
          </cell>
        </row>
        <row r="161">
          <cell r="G161">
            <v>288442</v>
          </cell>
        </row>
        <row r="162">
          <cell r="G162">
            <v>208942</v>
          </cell>
        </row>
        <row r="163">
          <cell r="G163">
            <v>239519</v>
          </cell>
        </row>
        <row r="164">
          <cell r="G164">
            <v>271115</v>
          </cell>
        </row>
        <row r="165">
          <cell r="G165">
            <v>304750</v>
          </cell>
        </row>
        <row r="170">
          <cell r="G170">
            <v>356731</v>
          </cell>
        </row>
        <row r="171">
          <cell r="G171">
            <v>380173</v>
          </cell>
        </row>
        <row r="173">
          <cell r="G173">
            <v>378135</v>
          </cell>
        </row>
        <row r="175">
          <cell r="G175">
            <v>356731</v>
          </cell>
        </row>
        <row r="177">
          <cell r="G177">
            <v>445404</v>
          </cell>
        </row>
        <row r="179">
          <cell r="G179">
            <v>424000</v>
          </cell>
        </row>
        <row r="180">
          <cell r="G180">
            <v>445404</v>
          </cell>
        </row>
        <row r="182">
          <cell r="G182">
            <v>438269</v>
          </cell>
        </row>
        <row r="184">
          <cell r="G184">
            <v>398519</v>
          </cell>
        </row>
        <row r="186">
          <cell r="G186">
            <v>497385</v>
          </cell>
        </row>
        <row r="187">
          <cell r="G187">
            <v>528981</v>
          </cell>
        </row>
        <row r="188">
          <cell r="G188">
            <v>480058</v>
          </cell>
        </row>
        <row r="189">
          <cell r="G189">
            <v>516750</v>
          </cell>
        </row>
        <row r="191">
          <cell r="G191">
            <v>444385</v>
          </cell>
        </row>
        <row r="193">
          <cell r="G193">
            <v>501462</v>
          </cell>
        </row>
        <row r="195">
          <cell r="G195">
            <v>477000</v>
          </cell>
        </row>
        <row r="199">
          <cell r="G199">
            <v>551404</v>
          </cell>
        </row>
        <row r="201">
          <cell r="G201">
            <v>528981</v>
          </cell>
        </row>
        <row r="202">
          <cell r="G202">
            <v>445404</v>
          </cell>
        </row>
        <row r="203">
          <cell r="G203">
            <v>477000</v>
          </cell>
        </row>
        <row r="204">
          <cell r="G204">
            <v>477000</v>
          </cell>
        </row>
        <row r="205">
          <cell r="G205">
            <v>501462</v>
          </cell>
        </row>
        <row r="206">
          <cell r="G206">
            <v>424000</v>
          </cell>
        </row>
        <row r="207">
          <cell r="G207">
            <v>445404</v>
          </cell>
        </row>
        <row r="210">
          <cell r="G210">
            <v>586058</v>
          </cell>
        </row>
        <row r="212">
          <cell r="G212">
            <v>551404</v>
          </cell>
        </row>
        <row r="214">
          <cell r="G214">
            <v>501462</v>
          </cell>
        </row>
        <row r="215">
          <cell r="G215">
            <v>501462</v>
          </cell>
        </row>
        <row r="216">
          <cell r="G216">
            <v>528981</v>
          </cell>
        </row>
        <row r="218">
          <cell r="G218">
            <v>477000</v>
          </cell>
        </row>
        <row r="221">
          <cell r="G221">
            <v>334308</v>
          </cell>
        </row>
        <row r="224">
          <cell r="G224">
            <v>475981</v>
          </cell>
        </row>
      </sheetData>
      <sheetData sheetId="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u toan"/>
      <sheetName val="Phan tich vat tu"/>
      <sheetName val="Tong hop vat tu"/>
      <sheetName val="Gia tri vat tu"/>
      <sheetName val="Chenh lech vat tu"/>
      <sheetName val="Chi phi van chuyen"/>
      <sheetName val="Don gia chi tiet"/>
      <sheetName val="Du thau"/>
      <sheetName val="Tong hop kinh phi"/>
      <sheetName val="Tu van Thiet ke"/>
      <sheetName val="Tien do thi cong"/>
      <sheetName val="Bia du toan"/>
      <sheetName val="Tro giup"/>
      <sheetName val="Config"/>
      <sheetName val="Gia giao VL den HT"/>
      <sheetName val="Gia VL den HT"/>
      <sheetName val="Tong hop DTXD CT"/>
      <sheetName val="Du toan XDCT"/>
      <sheetName val="Tong hop CPXD"/>
      <sheetName val="Tong hop CPTB"/>
      <sheetName val="Tong hop CPK"/>
      <sheetName val="Tu van Thiet ke 1"/>
      <sheetName val="Macro1"/>
      <sheetName val="Macro2"/>
      <sheetName val="Macro3"/>
      <sheetName val="StartUp"/>
      <sheetName val="HS_TDT"/>
      <sheetName val="DMCP"/>
      <sheetName val="~         "/>
      <sheetName val="Cong van 1751"/>
      <sheetName val="Biaky"/>
      <sheetName val="HelpMe"/>
      <sheetName val="TH_DT"/>
      <sheetName val="Dtoan"/>
      <sheetName val="CLVL"/>
      <sheetName val="PTVL"/>
      <sheetName val="Tiendo"/>
      <sheetName val="CS_TDGCT"/>
      <sheetName val="VL"/>
      <sheetName val="VLBTN"/>
      <sheetName val="Coso"/>
      <sheetName val="CapCT"/>
      <sheetName val="Tra2"/>
      <sheetName val="Tra1"/>
      <sheetName val="DieuchinhTKe"/>
      <sheetName val="Tra2_GT"/>
      <sheetName val="Tra1_GT"/>
      <sheetName val="DieuchinhTKe(GT)"/>
      <sheetName val="Bia ngoai"/>
      <sheetName val="Bia trong"/>
      <sheetName val="Thuyetminh"/>
      <sheetName val="TongHopDutoan_GT"/>
      <sheetName val="TonghopDutoan_DD"/>
      <sheetName val="Tra2_DD"/>
      <sheetName val="Tra1_DD"/>
      <sheetName val="DieuchinhTKe(DD)"/>
      <sheetName val="TonghopDutoan_TL"/>
      <sheetName val="THChiphiXD_TBi"/>
      <sheetName val="XL4Test5"/>
      <sheetName val="Thuyet Minh"/>
      <sheetName val="DGCPV"/>
      <sheetName val="THKP"/>
      <sheetName val="THKP Khao sat"/>
      <sheetName val="QLDA1751"/>
      <sheetName val="QLDA1"/>
      <sheetName val="Data"/>
      <sheetName val="XL4Poppy"/>
      <sheetName val="GVLCCT"/>
      <sheetName val="GNC"/>
      <sheetName val="GMXD"/>
      <sheetName val="QLDA"/>
      <sheetName val="Luat XD"/>
      <sheetName val="Mau DGCT"/>
      <sheetName val="Bia Quyet Toan"/>
      <sheetName val="Tra thep hinh"/>
      <sheetName val="Sheet2"/>
      <sheetName val="CPV"/>
      <sheetName val="DUTOAN1"/>
      <sheetName val="QD 957-2009"/>
      <sheetName val="ngoi dong"/>
      <sheetName val="TH tu van"/>
      <sheetName val="xxxxxxxx"/>
      <sheetName val="Vat lieu den chan CT"/>
      <sheetName val="Cuoc VC"/>
      <sheetName val="CanCu"/>
      <sheetName val="GDT"/>
      <sheetName val="DGCT"/>
      <sheetName val="GiaVLDT"/>
      <sheetName val="Vua"/>
      <sheetName val="Phan tich hao phi"/>
      <sheetName val="TH hao phi"/>
      <sheetName val="vcbo"/>
      <sheetName val="Sheet1"/>
      <sheetName val="Config&quot;"/>
      <sheetName val="Phan tich ca may"/>
      <sheetName val="Chenh lech ca may"/>
      <sheetName val="Chiet tinh ca may"/>
      <sheetName val="Tong hop kinh phi tinh ca may"/>
      <sheetName val="TLg LX, LT"/>
      <sheetName val="Bia du toan (2)"/>
      <sheetName val="Van chuyen vat lieu TC"/>
      <sheetName val="Gia vat lieu"/>
      <sheetName val="Chi phi vat lieu"/>
      <sheetName val="Bu nhien lieu"/>
      <sheetName val="00000000"/>
      <sheetName val="Chiet tinh don gia CM"/>
      <sheetName val="Tong hop kinh phi co Bu GCM"/>
      <sheetName val="Tong hop DTCT"/>
      <sheetName val="Tong hop DT CPXD TH"/>
      <sheetName val="TLg Laitau"/>
      <sheetName val="TLg CN&amp;Laixe"/>
      <sheetName val="TLg Laitau (2)"/>
      <sheetName val="TLg CN&amp;Laixe (2)"/>
      <sheetName val="Du toan (2)"/>
      <sheetName val="Tong hop kinh phi (2)"/>
      <sheetName val="Config (2)"/>
      <sheetName val="chi tiet TBA 220,4"/>
      <sheetName val="TH 160"/>
      <sheetName val="Bia  160"/>
      <sheetName val="TH-TBA THAO DO"/>
      <sheetName val="bia THAODO TBA"/>
      <sheetName val="TH thao do 35"/>
      <sheetName val="bia 35 thao do"/>
      <sheetName val="Phuluc 3"/>
      <sheetName val="Phuluc 3.a"/>
      <sheetName val="Phu luc 3.b"/>
      <sheetName val="Phuluc 1"/>
      <sheetName val="CPTV"/>
      <sheetName val="chiet tinh"/>
      <sheetName val="Phu luc 2"/>
      <sheetName val="SL dau tien"/>
      <sheetName val="th CT"/>
      <sheetName val="TKP"/>
      <sheetName val="TH"/>
      <sheetName val="TH dz 22"/>
      <sheetName val="bia 22KV"/>
      <sheetName val="BIA TNGHIEM 22"/>
      <sheetName val="chi tiet dz 22 kv"/>
      <sheetName val="vt 22"/>
      <sheetName val="SLVC-22"/>
      <sheetName val="VCDD_22"/>
      <sheetName val="TONG KE DZ 22 KV"/>
      <sheetName val="trungchuyen DZ"/>
      <sheetName val="DG vat tu"/>
      <sheetName val="TH_NHADIEU KHIEN"/>
      <sheetName val="chi tiet TBA"/>
      <sheetName val="VT_TB TBA"/>
      <sheetName val="TH NT+NT"/>
      <sheetName val="chitietdatdao"/>
      <sheetName val="Bia TBA"/>
      <sheetName val="Bia XD TBA"/>
      <sheetName val="Bia NT+NT TBA"/>
      <sheetName val="Bia Kho Tam"/>
      <sheetName val="Bia PQ Tuyen"/>
      <sheetName val="PQ tuyen"/>
      <sheetName val="CPDB"/>
      <sheetName val="DM 66"/>
      <sheetName val="HSDC GOC"/>
      <sheetName val="DLNS"/>
      <sheetName val="DGVCTC 67"/>
      <sheetName val="vc vat tu CHUNG "/>
      <sheetName val="Gvlcht"/>
      <sheetName val="GT 1m3 BT"/>
      <sheetName val="T T CL VC DZ 22"/>
      <sheetName val="DG 89"/>
      <sheetName val="SLVC TBA"/>
      <sheetName val="VCDD_TBA"/>
      <sheetName val="DM 67"/>
      <sheetName val="DM 85"/>
      <sheetName val="TB"/>
      <sheetName val="Bia lot"/>
      <sheetName val="Bao cao KH"/>
      <sheetName val="Vat tu"/>
      <sheetName val="May"/>
      <sheetName val="Nhan cong"/>
      <sheetName val="TT phi khac"/>
      <sheetName val="Chi phi lan trai"/>
      <sheetName val="Chi phi chung"/>
      <sheetName val="P.A.K.D"/>
      <sheetName val="Bia P.A.K.D"/>
      <sheetName val="Work-Condition"/>
      <sheetName val="Tong hop"/>
      <sheetName val="Xay dung"/>
      <sheetName val="ca may"/>
      <sheetName val="VT"/>
      <sheetName val="NC"/>
      <sheetName val="MTP"/>
      <sheetName val="Bang tra Chi phi khac"/>
      <sheetName val="Chenh lech VT 2"/>
      <sheetName val="Van chuyen 2"/>
      <sheetName val="Khao sat dia hinh"/>
      <sheetName val="Tong hop kinh phi 2"/>
      <sheetName val="Tu van thuyet ke"/>
      <sheetName val="Phan tic( 6a4 4u"/>
      <sheetName val="TM quyet toan"/>
      <sheetName val="Thuyet minh "/>
      <sheetName val="Khoi luong quyet toan"/>
      <sheetName val="Bang Khoi luong"/>
      <sheetName val="Phu luc 02"/>
      <sheetName val="ct"/>
      <sheetName val="Chenh lech va4 tu"/>
      <sheetName val="Tu van Thhet k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1">
          <cell r="A1" t="str">
            <v>Dutoan2001</v>
          </cell>
        </row>
      </sheetData>
      <sheetData sheetId="13" refreshError="1"/>
      <sheetData sheetId="14"/>
      <sheetData sheetId="15"/>
      <sheetData sheetId="16"/>
      <sheetData sheetId="17"/>
      <sheetData sheetId="18"/>
      <sheetData sheetId="19"/>
      <sheetData sheetId="20"/>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sheetData sheetId="185"/>
      <sheetData sheetId="186"/>
      <sheetData sheetId="187"/>
      <sheetData sheetId="188"/>
      <sheetData sheetId="189"/>
      <sheetData sheetId="190"/>
      <sheetData sheetId="191"/>
      <sheetData sheetId="192"/>
      <sheetData sheetId="193" refreshError="1"/>
      <sheetData sheetId="194" refreshError="1"/>
      <sheetData sheetId="195" refreshError="1"/>
      <sheetData sheetId="196" refreshError="1"/>
      <sheetData sheetId="197" refreshError="1"/>
      <sheetData sheetId="198" refreshError="1"/>
      <sheetData sheetId="199"/>
      <sheetData sheetId="200" refreshError="1"/>
      <sheetData sheetId="20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
      <sheetName val="DAT2021_HY"/>
    </sheetNames>
    <definedNames>
      <definedName name="PtichDTL" refersTo="#REF!"/>
      <definedName name="vclcat" refersTo="#REF!"/>
    </definedNames>
    <sheetDataSet>
      <sheetData sheetId="0"/>
      <sheetData sheetId="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12"/>
      <sheetName val="b13"/>
      <sheetName val="b14"/>
      <sheetName val="b15"/>
      <sheetName val="bieu 16"/>
      <sheetName val="b17"/>
      <sheetName val="BIEU 29_TT342"/>
      <sheetName val="B31_TT342"/>
      <sheetName val="BIEU 32_TT342"/>
      <sheetName val="Sheet1"/>
      <sheetName val="Sheet2"/>
    </sheetNames>
    <sheetDataSet>
      <sheetData sheetId="0" refreshError="1"/>
      <sheetData sheetId="1" refreshError="1"/>
      <sheetData sheetId="2" refreshError="1"/>
      <sheetData sheetId="3">
        <row r="34">
          <cell r="E34">
            <v>6774.31</v>
          </cell>
          <cell r="G34">
            <v>0</v>
          </cell>
        </row>
      </sheetData>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15G"/>
      <sheetName val="b16G"/>
      <sheetName val="b17G"/>
      <sheetName val="B29"/>
      <sheetName val="b31"/>
      <sheetName val="32"/>
      <sheetName val="CDoi"/>
      <sheetName val="TH"/>
      <sheetName val="B05 UB"/>
      <sheetName val="XA"/>
      <sheetName val="01"/>
      <sheetName val="02"/>
      <sheetName val="Sheet1"/>
      <sheetName val="THU NSX"/>
      <sheetName val="THU NSNN"/>
      <sheetName val="NS huyen"/>
      <sheetName val="Chi tiet chi"/>
      <sheetName val="TH chi"/>
      <sheetName val="CHI NSX"/>
      <sheetName val="B32"/>
      <sheetName val="MTQG"/>
      <sheetName val="luong"/>
      <sheetName val="GD"/>
      <sheetName val="luong GD"/>
      <sheetName val="hoc phi"/>
      <sheetName val="PS"/>
      <sheetName val="Ngoai"/>
      <sheetName val="UTH dat 2022"/>
    </sheetNames>
    <sheetDataSet>
      <sheetData sheetId="0"/>
      <sheetData sheetId="1"/>
      <sheetData sheetId="2"/>
      <sheetData sheetId="3"/>
      <sheetData sheetId="4"/>
      <sheetData sheetId="5"/>
      <sheetData sheetId="6">
        <row r="23">
          <cell r="AA23">
            <v>327714.09982</v>
          </cell>
        </row>
      </sheetData>
      <sheetData sheetId="7">
        <row r="13">
          <cell r="I13">
            <v>371514.74982000003</v>
          </cell>
        </row>
      </sheetData>
      <sheetData sheetId="8">
        <row r="11">
          <cell r="W11">
            <v>73171.16</v>
          </cell>
        </row>
      </sheetData>
      <sheetData sheetId="9">
        <row r="13">
          <cell r="H13">
            <v>6316.0382800000007</v>
          </cell>
        </row>
        <row r="158">
          <cell r="D158">
            <v>1214</v>
          </cell>
        </row>
      </sheetData>
      <sheetData sheetId="10"/>
      <sheetData sheetId="11"/>
      <sheetData sheetId="12"/>
      <sheetData sheetId="13">
        <row r="24">
          <cell r="D24">
            <v>2789</v>
          </cell>
        </row>
      </sheetData>
      <sheetData sheetId="14">
        <row r="11">
          <cell r="W11">
            <v>102465.75</v>
          </cell>
        </row>
      </sheetData>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ểu số 1 (Tong hop)"/>
      <sheetName val="Quy luong 2022"/>
      <sheetName val="Biểu số 2e"/>
      <sheetName val="4b"/>
      <sheetName val="học phí"/>
      <sheetName val="MN"/>
      <sheetName val="TH"/>
      <sheetName val="THCS"/>
      <sheetName val="Sữa học đường"/>
    </sheetNames>
    <sheetDataSet>
      <sheetData sheetId="0" refreshError="1"/>
      <sheetData sheetId="1" refreshError="1">
        <row r="13">
          <cell r="C13">
            <v>28</v>
          </cell>
        </row>
        <row r="55">
          <cell r="C55">
            <v>30</v>
          </cell>
        </row>
        <row r="94">
          <cell r="C94">
            <v>19</v>
          </cell>
        </row>
        <row r="118">
          <cell r="C118">
            <v>19</v>
          </cell>
        </row>
        <row r="143">
          <cell r="C143">
            <v>15</v>
          </cell>
        </row>
        <row r="163">
          <cell r="C163">
            <v>28</v>
          </cell>
        </row>
        <row r="202">
          <cell r="C202">
            <v>16</v>
          </cell>
        </row>
        <row r="224">
          <cell r="C224">
            <v>15</v>
          </cell>
        </row>
        <row r="246">
          <cell r="C246">
            <v>14</v>
          </cell>
        </row>
        <row r="264">
          <cell r="C264">
            <v>14</v>
          </cell>
        </row>
        <row r="283">
          <cell r="C283">
            <v>23</v>
          </cell>
        </row>
        <row r="310">
          <cell r="C310">
            <v>19</v>
          </cell>
        </row>
        <row r="336">
          <cell r="C336">
            <v>26</v>
          </cell>
        </row>
        <row r="370">
          <cell r="C370">
            <v>19</v>
          </cell>
        </row>
        <row r="396">
          <cell r="C396">
            <v>39</v>
          </cell>
        </row>
        <row r="443">
          <cell r="C443">
            <v>21</v>
          </cell>
        </row>
        <row r="470">
          <cell r="C470">
            <v>31</v>
          </cell>
        </row>
        <row r="506">
          <cell r="C506">
            <v>20</v>
          </cell>
        </row>
        <row r="532">
          <cell r="C532">
            <v>22</v>
          </cell>
        </row>
        <row r="564">
          <cell r="C564">
            <v>36</v>
          </cell>
        </row>
        <row r="606">
          <cell r="C606">
            <v>30</v>
          </cell>
        </row>
        <row r="645">
          <cell r="C645">
            <v>31</v>
          </cell>
        </row>
        <row r="683">
          <cell r="C683">
            <v>39</v>
          </cell>
        </row>
        <row r="737">
          <cell r="C737">
            <v>42</v>
          </cell>
        </row>
        <row r="792">
          <cell r="C792">
            <v>31</v>
          </cell>
        </row>
        <row r="832">
          <cell r="C832">
            <v>33</v>
          </cell>
        </row>
        <row r="873">
          <cell r="C873">
            <v>37</v>
          </cell>
        </row>
        <row r="920">
          <cell r="C920">
            <v>30</v>
          </cell>
        </row>
        <row r="957">
          <cell r="C957">
            <v>53</v>
          </cell>
        </row>
        <row r="1022">
          <cell r="C1022">
            <v>22</v>
          </cell>
        </row>
        <row r="1055">
          <cell r="C1055">
            <v>30</v>
          </cell>
        </row>
        <row r="1100">
          <cell r="C1100">
            <v>28</v>
          </cell>
        </row>
        <row r="1137">
          <cell r="C1137">
            <v>27</v>
          </cell>
        </row>
        <row r="1171">
          <cell r="C1171">
            <v>26</v>
          </cell>
        </row>
        <row r="1206">
          <cell r="C1206">
            <v>19</v>
          </cell>
        </row>
        <row r="1234">
          <cell r="C1234">
            <v>35</v>
          </cell>
        </row>
        <row r="1277">
          <cell r="C1277">
            <v>40</v>
          </cell>
        </row>
      </sheetData>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83"/>
  <sheetViews>
    <sheetView tabSelected="1" view="pageBreakPreview" topLeftCell="A69" zoomScale="130" zoomScaleSheetLayoutView="130" workbookViewId="0">
      <selection activeCell="C99" sqref="C99"/>
    </sheetView>
  </sheetViews>
  <sheetFormatPr defaultColWidth="9.140625" defaultRowHeight="15"/>
  <cols>
    <col min="1" max="1" width="5.140625" style="108" customWidth="1"/>
    <col min="2" max="2" width="45.7109375" style="108" customWidth="1"/>
    <col min="3" max="3" width="9.85546875" style="109" customWidth="1"/>
    <col min="4" max="4" width="9.28515625" style="110" customWidth="1"/>
    <col min="5" max="5" width="9" style="110" customWidth="1"/>
    <col min="6" max="6" width="10" style="111" customWidth="1"/>
    <col min="7" max="7" width="10" style="108" customWidth="1"/>
    <col min="8" max="8" width="12.140625" style="108" customWidth="1"/>
    <col min="9" max="9" width="10" style="108" customWidth="1"/>
    <col min="10" max="16384" width="9.140625" style="108"/>
  </cols>
  <sheetData>
    <row r="1" spans="1:9" s="105" customFormat="1">
      <c r="A1" s="1" t="s">
        <v>0</v>
      </c>
      <c r="C1" s="106"/>
      <c r="D1" s="107"/>
      <c r="E1" s="107"/>
      <c r="F1" s="537" t="s">
        <v>1</v>
      </c>
      <c r="G1" s="537"/>
      <c r="H1" s="537"/>
      <c r="I1" s="537"/>
    </row>
    <row r="2" spans="1:9">
      <c r="A2" s="536" t="s">
        <v>2</v>
      </c>
      <c r="B2" s="536"/>
      <c r="C2" s="536"/>
      <c r="D2" s="536"/>
      <c r="E2" s="536"/>
      <c r="F2" s="536"/>
      <c r="G2" s="536"/>
      <c r="H2" s="536"/>
    </row>
    <row r="3" spans="1:9">
      <c r="G3" s="14"/>
      <c r="H3" s="540" t="s">
        <v>3</v>
      </c>
      <c r="I3" s="540"/>
    </row>
    <row r="4" spans="1:9" ht="28.5" customHeight="1">
      <c r="A4" s="538" t="s">
        <v>4</v>
      </c>
      <c r="B4" s="538" t="s">
        <v>5</v>
      </c>
      <c r="C4" s="539" t="s">
        <v>6</v>
      </c>
      <c r="D4" s="538" t="s">
        <v>7</v>
      </c>
      <c r="E4" s="538"/>
      <c r="F4" s="538"/>
      <c r="G4" s="538" t="s">
        <v>8</v>
      </c>
      <c r="H4" s="538"/>
      <c r="I4" s="538" t="s">
        <v>700</v>
      </c>
    </row>
    <row r="5" spans="1:9" ht="63" customHeight="1">
      <c r="A5" s="538"/>
      <c r="B5" s="538"/>
      <c r="C5" s="539"/>
      <c r="D5" s="309" t="s">
        <v>574</v>
      </c>
      <c r="E5" s="309" t="s">
        <v>571</v>
      </c>
      <c r="F5" s="310" t="s">
        <v>10</v>
      </c>
      <c r="G5" s="311" t="s">
        <v>572</v>
      </c>
      <c r="H5" s="311" t="s">
        <v>701</v>
      </c>
      <c r="I5" s="538"/>
    </row>
    <row r="6" spans="1:9">
      <c r="A6" s="311" t="s">
        <v>11</v>
      </c>
      <c r="B6" s="311" t="s">
        <v>12</v>
      </c>
      <c r="C6" s="310">
        <v>1</v>
      </c>
      <c r="D6" s="310">
        <v>2</v>
      </c>
      <c r="E6" s="310">
        <v>3</v>
      </c>
      <c r="F6" s="310">
        <v>4</v>
      </c>
      <c r="G6" s="310">
        <v>5</v>
      </c>
      <c r="H6" s="310">
        <v>6</v>
      </c>
      <c r="I6" s="310">
        <v>7</v>
      </c>
    </row>
    <row r="7" spans="1:9">
      <c r="A7" s="307"/>
      <c r="B7" s="308" t="s">
        <v>13</v>
      </c>
      <c r="C7" s="198">
        <f t="shared" ref="C7:H7" si="0">C8+C79</f>
        <v>163652.948087</v>
      </c>
      <c r="D7" s="198">
        <f t="shared" si="0"/>
        <v>144370</v>
      </c>
      <c r="E7" s="198">
        <f t="shared" si="0"/>
        <v>144370</v>
      </c>
      <c r="F7" s="198">
        <f>F8+F79</f>
        <v>140275.24361400001</v>
      </c>
      <c r="G7" s="198">
        <f t="shared" si="0"/>
        <v>117820</v>
      </c>
      <c r="H7" s="198">
        <f t="shared" si="0"/>
        <v>216220</v>
      </c>
      <c r="I7" s="198">
        <f t="shared" ref="I7" si="1">I8+I79</f>
        <v>129820</v>
      </c>
    </row>
    <row r="8" spans="1:9">
      <c r="A8" s="114" t="s">
        <v>14</v>
      </c>
      <c r="B8" s="116" t="s">
        <v>15</v>
      </c>
      <c r="C8" s="115">
        <f t="shared" ref="C8:H8" si="2">C9+C24+C36+C42+C43+C46+C47+C54+C69+C70+C72+C75+C76</f>
        <v>163652.948087</v>
      </c>
      <c r="D8" s="115">
        <f t="shared" si="2"/>
        <v>144370</v>
      </c>
      <c r="E8" s="115">
        <f t="shared" si="2"/>
        <v>144370</v>
      </c>
      <c r="F8" s="115">
        <f>F9+F24+F36+F42+F43+F46+F47+F54+F69+F70+F72+F75+F76</f>
        <v>140275.24361400001</v>
      </c>
      <c r="G8" s="115">
        <f t="shared" si="2"/>
        <v>117820</v>
      </c>
      <c r="H8" s="115">
        <f t="shared" si="2"/>
        <v>216220</v>
      </c>
      <c r="I8" s="115">
        <f t="shared" ref="I8" si="3">I9+I24+I36+I42+I43+I46+I47+I54+I69+I70+I72+I75+I76</f>
        <v>129820</v>
      </c>
    </row>
    <row r="9" spans="1:9">
      <c r="A9" s="113">
        <v>1</v>
      </c>
      <c r="B9" s="117" t="s">
        <v>16</v>
      </c>
      <c r="C9" s="118">
        <f t="shared" ref="C9:H9" si="4">C10+C18</f>
        <v>9190.5780000000013</v>
      </c>
      <c r="D9" s="118">
        <f t="shared" si="4"/>
        <v>8440</v>
      </c>
      <c r="E9" s="118">
        <f t="shared" si="4"/>
        <v>8440</v>
      </c>
      <c r="F9" s="118">
        <f>F10+F18</f>
        <v>9090.096614</v>
      </c>
      <c r="G9" s="118">
        <f t="shared" si="4"/>
        <v>9050</v>
      </c>
      <c r="H9" s="118">
        <f t="shared" si="4"/>
        <v>9050</v>
      </c>
      <c r="I9" s="118">
        <f t="shared" ref="I9" si="5">I10+I18</f>
        <v>9050</v>
      </c>
    </row>
    <row r="10" spans="1:9" ht="30">
      <c r="A10" s="113" t="s">
        <v>17</v>
      </c>
      <c r="B10" s="117" t="s">
        <v>18</v>
      </c>
      <c r="C10" s="118">
        <f t="shared" ref="C10:H10" si="6">C11+C13+C14+C16</f>
        <v>8789.2970000000005</v>
      </c>
      <c r="D10" s="118">
        <f t="shared" si="6"/>
        <v>8090</v>
      </c>
      <c r="E10" s="118">
        <f t="shared" si="6"/>
        <v>8090</v>
      </c>
      <c r="F10" s="118">
        <f>F11+F13+F14+F16</f>
        <v>8540.0093240000006</v>
      </c>
      <c r="G10" s="118">
        <f t="shared" si="6"/>
        <v>8540</v>
      </c>
      <c r="H10" s="118">
        <f t="shared" si="6"/>
        <v>8540</v>
      </c>
      <c r="I10" s="118">
        <f t="shared" ref="I10" si="7">I11+I13+I14+I16</f>
        <v>8540</v>
      </c>
    </row>
    <row r="11" spans="1:9">
      <c r="A11" s="113"/>
      <c r="B11" s="117" t="s">
        <v>19</v>
      </c>
      <c r="C11" s="119">
        <v>8772.5709999999999</v>
      </c>
      <c r="D11" s="118">
        <v>8070</v>
      </c>
      <c r="E11" s="118">
        <v>8070</v>
      </c>
      <c r="F11" s="118">
        <v>8525</v>
      </c>
      <c r="G11" s="118">
        <f>8525</f>
        <v>8525</v>
      </c>
      <c r="H11" s="118">
        <f>8525</f>
        <v>8525</v>
      </c>
      <c r="I11" s="118">
        <f>8525</f>
        <v>8525</v>
      </c>
    </row>
    <row r="12" spans="1:9" ht="30" hidden="1">
      <c r="A12" s="113"/>
      <c r="B12" s="120" t="s">
        <v>20</v>
      </c>
      <c r="C12" s="118"/>
      <c r="D12" s="118"/>
      <c r="E12" s="118"/>
      <c r="F12" s="118"/>
      <c r="G12" s="118"/>
      <c r="H12" s="118"/>
      <c r="I12" s="118"/>
    </row>
    <row r="13" spans="1:9" hidden="1">
      <c r="A13" s="113"/>
      <c r="B13" s="117" t="s">
        <v>21</v>
      </c>
      <c r="C13" s="118"/>
      <c r="D13" s="118"/>
      <c r="E13" s="118"/>
      <c r="F13" s="118"/>
      <c r="G13" s="118"/>
      <c r="H13" s="118"/>
      <c r="I13" s="118"/>
    </row>
    <row r="14" spans="1:9" ht="21" hidden="1" customHeight="1">
      <c r="A14" s="113"/>
      <c r="B14" s="117" t="s">
        <v>22</v>
      </c>
      <c r="C14" s="118"/>
      <c r="D14" s="118"/>
      <c r="E14" s="118"/>
      <c r="F14" s="118"/>
      <c r="G14" s="118"/>
      <c r="H14" s="118"/>
      <c r="I14" s="118"/>
    </row>
    <row r="15" spans="1:9" ht="33.75" hidden="1" customHeight="1">
      <c r="A15" s="113"/>
      <c r="B15" s="120" t="s">
        <v>23</v>
      </c>
      <c r="C15" s="118"/>
      <c r="D15" s="118"/>
      <c r="E15" s="118"/>
      <c r="F15" s="118"/>
      <c r="G15" s="118"/>
      <c r="H15" s="118"/>
      <c r="I15" s="118"/>
    </row>
    <row r="16" spans="1:9">
      <c r="A16" s="113"/>
      <c r="B16" s="117" t="s">
        <v>24</v>
      </c>
      <c r="C16" s="119">
        <v>16.725999999999999</v>
      </c>
      <c r="D16" s="118">
        <v>20</v>
      </c>
      <c r="E16" s="118">
        <v>20</v>
      </c>
      <c r="F16" s="118">
        <v>15.009323999999999</v>
      </c>
      <c r="G16" s="118">
        <v>15</v>
      </c>
      <c r="H16" s="118">
        <v>15</v>
      </c>
      <c r="I16" s="118">
        <v>15</v>
      </c>
    </row>
    <row r="17" spans="1:9">
      <c r="A17" s="113"/>
      <c r="B17" s="120" t="s">
        <v>25</v>
      </c>
      <c r="C17" s="118"/>
      <c r="D17" s="118"/>
      <c r="E17" s="118"/>
      <c r="F17" s="118"/>
      <c r="G17" s="118"/>
      <c r="H17" s="118"/>
      <c r="I17" s="118"/>
    </row>
    <row r="18" spans="1:9" ht="30">
      <c r="A18" s="113" t="s">
        <v>26</v>
      </c>
      <c r="B18" s="117" t="s">
        <v>27</v>
      </c>
      <c r="C18" s="118">
        <f t="shared" ref="C18:H18" si="8">C19+C20+C21+C23</f>
        <v>401.28100000000001</v>
      </c>
      <c r="D18" s="118">
        <f t="shared" si="8"/>
        <v>350</v>
      </c>
      <c r="E18" s="118">
        <f t="shared" si="8"/>
        <v>350</v>
      </c>
      <c r="F18" s="118">
        <f>F19+F20+F21+F23</f>
        <v>550.08729000000005</v>
      </c>
      <c r="G18" s="118">
        <f t="shared" si="8"/>
        <v>510</v>
      </c>
      <c r="H18" s="118">
        <f t="shared" si="8"/>
        <v>510</v>
      </c>
      <c r="I18" s="118">
        <f t="shared" ref="I18" si="9">I19+I20+I21+I23</f>
        <v>510</v>
      </c>
    </row>
    <row r="19" spans="1:9">
      <c r="A19" s="113"/>
      <c r="B19" s="117" t="s">
        <v>19</v>
      </c>
      <c r="C19" s="118">
        <v>147.16499999999999</v>
      </c>
      <c r="D19" s="118">
        <v>170</v>
      </c>
      <c r="E19" s="118">
        <v>170</v>
      </c>
      <c r="F19" s="118">
        <v>259.85000000000002</v>
      </c>
      <c r="G19" s="118">
        <f>210</f>
        <v>210</v>
      </c>
      <c r="H19" s="118">
        <f>210</f>
        <v>210</v>
      </c>
      <c r="I19" s="118">
        <f>210</f>
        <v>210</v>
      </c>
    </row>
    <row r="20" spans="1:9">
      <c r="A20" s="113"/>
      <c r="B20" s="117" t="s">
        <v>21</v>
      </c>
      <c r="C20" s="118">
        <v>202.119</v>
      </c>
      <c r="D20" s="118">
        <v>130</v>
      </c>
      <c r="E20" s="118">
        <v>130</v>
      </c>
      <c r="F20" s="118">
        <v>250</v>
      </c>
      <c r="G20" s="118">
        <f>220+30</f>
        <v>250</v>
      </c>
      <c r="H20" s="118">
        <f>220+30</f>
        <v>250</v>
      </c>
      <c r="I20" s="118">
        <f>220+30</f>
        <v>250</v>
      </c>
    </row>
    <row r="21" spans="1:9" ht="21" customHeight="1">
      <c r="A21" s="113"/>
      <c r="B21" s="117" t="s">
        <v>22</v>
      </c>
      <c r="C21" s="118"/>
      <c r="D21" s="118"/>
      <c r="E21" s="118"/>
      <c r="F21" s="118"/>
      <c r="G21" s="118"/>
      <c r="H21" s="118"/>
      <c r="I21" s="118"/>
    </row>
    <row r="22" spans="1:9" ht="32.25" customHeight="1">
      <c r="A22" s="113"/>
      <c r="B22" s="120" t="s">
        <v>23</v>
      </c>
      <c r="C22" s="118"/>
      <c r="D22" s="118"/>
      <c r="E22" s="118"/>
      <c r="F22" s="118"/>
      <c r="G22" s="118"/>
      <c r="H22" s="118"/>
      <c r="I22" s="118"/>
    </row>
    <row r="23" spans="1:9">
      <c r="A23" s="113"/>
      <c r="B23" s="117" t="s">
        <v>24</v>
      </c>
      <c r="C23" s="118">
        <v>51.997</v>
      </c>
      <c r="D23" s="118">
        <v>50</v>
      </c>
      <c r="E23" s="118">
        <v>50</v>
      </c>
      <c r="F23" s="118">
        <v>40.237290000000002</v>
      </c>
      <c r="G23" s="118">
        <f>20+30</f>
        <v>50</v>
      </c>
      <c r="H23" s="118">
        <f>20+30</f>
        <v>50</v>
      </c>
      <c r="I23" s="118">
        <f>20+30</f>
        <v>50</v>
      </c>
    </row>
    <row r="24" spans="1:9" ht="30">
      <c r="A24" s="113">
        <v>2</v>
      </c>
      <c r="B24" s="117" t="s">
        <v>28</v>
      </c>
      <c r="C24" s="118">
        <f>C25+C27+C29+C30+C32+C34</f>
        <v>0</v>
      </c>
      <c r="D24" s="118">
        <f t="shared" ref="D24" si="10">D25+D27+D29+D30+D32+D34</f>
        <v>0</v>
      </c>
      <c r="E24" s="118">
        <f t="shared" ref="E24:H24" si="11">E25+E27+E29+E30+E32+E34</f>
        <v>0</v>
      </c>
      <c r="F24" s="118">
        <f t="shared" si="11"/>
        <v>77.385000000000005</v>
      </c>
      <c r="G24" s="118">
        <f t="shared" ref="G24" si="12">G25+G27+G29+G30+G32+G34</f>
        <v>0</v>
      </c>
      <c r="H24" s="118">
        <f t="shared" si="11"/>
        <v>0</v>
      </c>
      <c r="I24" s="118">
        <f t="shared" ref="I24" si="13">I25+I27+I29+I30+I32+I34</f>
        <v>0</v>
      </c>
    </row>
    <row r="25" spans="1:9">
      <c r="A25" s="113"/>
      <c r="B25" s="117" t="s">
        <v>19</v>
      </c>
      <c r="C25" s="121"/>
      <c r="D25" s="118"/>
      <c r="E25" s="118"/>
      <c r="F25" s="122">
        <v>77.385000000000005</v>
      </c>
      <c r="G25" s="118"/>
      <c r="H25" s="118"/>
      <c r="I25" s="118"/>
    </row>
    <row r="26" spans="1:9" ht="30" hidden="1">
      <c r="A26" s="113"/>
      <c r="B26" s="120" t="s">
        <v>29</v>
      </c>
      <c r="C26" s="118"/>
      <c r="D26" s="118"/>
      <c r="E26" s="118"/>
      <c r="F26" s="118"/>
      <c r="G26" s="118"/>
      <c r="H26" s="118"/>
      <c r="I26" s="118"/>
    </row>
    <row r="27" spans="1:9" hidden="1">
      <c r="A27" s="113"/>
      <c r="B27" s="117" t="s">
        <v>21</v>
      </c>
      <c r="C27" s="121"/>
      <c r="D27" s="118"/>
      <c r="E27" s="118"/>
      <c r="F27" s="118"/>
      <c r="G27" s="118"/>
      <c r="H27" s="118"/>
      <c r="I27" s="118"/>
    </row>
    <row r="28" spans="1:9" ht="30" hidden="1">
      <c r="A28" s="113"/>
      <c r="B28" s="120" t="s">
        <v>29</v>
      </c>
      <c r="C28" s="118"/>
      <c r="D28" s="118"/>
      <c r="E28" s="118"/>
      <c r="F28" s="118"/>
      <c r="G28" s="118"/>
      <c r="H28" s="118"/>
      <c r="I28" s="118"/>
    </row>
    <row r="29" spans="1:9" hidden="1">
      <c r="A29" s="113"/>
      <c r="B29" s="117" t="s">
        <v>30</v>
      </c>
      <c r="C29" s="118"/>
      <c r="D29" s="118"/>
      <c r="E29" s="118"/>
      <c r="F29" s="118"/>
      <c r="G29" s="118"/>
      <c r="H29" s="118"/>
      <c r="I29" s="118"/>
    </row>
    <row r="30" spans="1:9" hidden="1">
      <c r="A30" s="113"/>
      <c r="B30" s="117" t="s">
        <v>31</v>
      </c>
      <c r="C30" s="121"/>
      <c r="D30" s="118"/>
      <c r="E30" s="118"/>
      <c r="F30" s="118"/>
      <c r="G30" s="118"/>
      <c r="H30" s="118"/>
      <c r="I30" s="118"/>
    </row>
    <row r="31" spans="1:9" ht="45" hidden="1">
      <c r="A31" s="113"/>
      <c r="B31" s="120" t="s">
        <v>23</v>
      </c>
      <c r="C31" s="118"/>
      <c r="D31" s="118"/>
      <c r="E31" s="118"/>
      <c r="F31" s="118"/>
      <c r="G31" s="118"/>
      <c r="H31" s="118"/>
      <c r="I31" s="118"/>
    </row>
    <row r="32" spans="1:9" hidden="1">
      <c r="A32" s="113"/>
      <c r="B32" s="117" t="s">
        <v>24</v>
      </c>
      <c r="C32" s="121"/>
      <c r="D32" s="118"/>
      <c r="E32" s="118"/>
      <c r="F32" s="118"/>
      <c r="G32" s="118"/>
      <c r="H32" s="118"/>
      <c r="I32" s="118"/>
    </row>
    <row r="33" spans="1:9" hidden="1">
      <c r="A33" s="113"/>
      <c r="B33" s="120" t="s">
        <v>25</v>
      </c>
      <c r="C33" s="118"/>
      <c r="D33" s="118"/>
      <c r="E33" s="118"/>
      <c r="F33" s="118"/>
      <c r="G33" s="118"/>
      <c r="H33" s="118"/>
      <c r="I33" s="118"/>
    </row>
    <row r="34" spans="1:9" hidden="1">
      <c r="A34" s="113"/>
      <c r="B34" s="117" t="s">
        <v>32</v>
      </c>
      <c r="C34" s="118"/>
      <c r="D34" s="118"/>
      <c r="E34" s="118"/>
      <c r="F34" s="118"/>
      <c r="G34" s="118"/>
      <c r="H34" s="118"/>
      <c r="I34" s="118"/>
    </row>
    <row r="35" spans="1:9" ht="30" hidden="1">
      <c r="A35" s="113"/>
      <c r="B35" s="120" t="s">
        <v>29</v>
      </c>
      <c r="C35" s="118"/>
      <c r="D35" s="118"/>
      <c r="E35" s="118"/>
      <c r="F35" s="118"/>
      <c r="G35" s="118"/>
      <c r="H35" s="118"/>
      <c r="I35" s="118"/>
    </row>
    <row r="36" spans="1:9">
      <c r="A36" s="113">
        <v>3</v>
      </c>
      <c r="B36" s="117" t="s">
        <v>33</v>
      </c>
      <c r="C36" s="118">
        <f>SUM(C37:C41)</f>
        <v>107273.40169100001</v>
      </c>
      <c r="D36" s="118">
        <f t="shared" ref="D36:I36" si="14">D37+D38+D39+D41</f>
        <v>71500</v>
      </c>
      <c r="E36" s="118">
        <f t="shared" si="14"/>
        <v>71500</v>
      </c>
      <c r="F36" s="118">
        <f t="shared" si="14"/>
        <v>84789.372000000003</v>
      </c>
      <c r="G36" s="118">
        <f t="shared" si="14"/>
        <v>81640</v>
      </c>
      <c r="H36" s="118">
        <f t="shared" si="14"/>
        <v>90640</v>
      </c>
      <c r="I36" s="118">
        <f t="shared" si="14"/>
        <v>90640</v>
      </c>
    </row>
    <row r="37" spans="1:9">
      <c r="A37" s="113"/>
      <c r="B37" s="117" t="s">
        <v>19</v>
      </c>
      <c r="C37" s="118">
        <v>106079.198</v>
      </c>
      <c r="D37" s="118">
        <v>70620</v>
      </c>
      <c r="E37" s="118">
        <v>70620</v>
      </c>
      <c r="F37" s="118">
        <v>83600</v>
      </c>
      <c r="G37" s="118">
        <f>59500+21000</f>
        <v>80500</v>
      </c>
      <c r="H37" s="118">
        <f>59500+30000</f>
        <v>89500</v>
      </c>
      <c r="I37" s="118">
        <f>59500+30000</f>
        <v>89500</v>
      </c>
    </row>
    <row r="38" spans="1:9">
      <c r="A38" s="113"/>
      <c r="B38" s="117" t="s">
        <v>21</v>
      </c>
      <c r="C38" s="118">
        <v>234.691</v>
      </c>
      <c r="D38" s="118">
        <v>200</v>
      </c>
      <c r="E38" s="118">
        <v>200</v>
      </c>
      <c r="F38" s="118">
        <v>494.3</v>
      </c>
      <c r="G38" s="118">
        <f>20+400</f>
        <v>420</v>
      </c>
      <c r="H38" s="118">
        <f>20+400</f>
        <v>420</v>
      </c>
      <c r="I38" s="118">
        <f>20+400</f>
        <v>420</v>
      </c>
    </row>
    <row r="39" spans="1:9">
      <c r="A39" s="113"/>
      <c r="B39" s="117" t="s">
        <v>31</v>
      </c>
      <c r="C39" s="118">
        <v>33.875691000000003</v>
      </c>
      <c r="D39" s="118">
        <v>40</v>
      </c>
      <c r="E39" s="118">
        <v>40</v>
      </c>
      <c r="F39" s="118">
        <v>40</v>
      </c>
      <c r="G39" s="118">
        <v>40</v>
      </c>
      <c r="H39" s="118">
        <v>40</v>
      </c>
      <c r="I39" s="118">
        <v>40</v>
      </c>
    </row>
    <row r="40" spans="1:9" ht="33" customHeight="1">
      <c r="A40" s="113"/>
      <c r="B40" s="120" t="s">
        <v>23</v>
      </c>
      <c r="C40" s="118"/>
      <c r="D40" s="118"/>
      <c r="E40" s="118"/>
      <c r="F40" s="118"/>
      <c r="G40" s="118"/>
      <c r="H40" s="118"/>
      <c r="I40" s="118"/>
    </row>
    <row r="41" spans="1:9">
      <c r="A41" s="113"/>
      <c r="B41" s="117" t="s">
        <v>24</v>
      </c>
      <c r="C41" s="118">
        <v>925.63699999999994</v>
      </c>
      <c r="D41" s="118">
        <v>640</v>
      </c>
      <c r="E41" s="118">
        <v>640</v>
      </c>
      <c r="F41" s="118">
        <v>655.072</v>
      </c>
      <c r="G41" s="118">
        <f>120+560</f>
        <v>680</v>
      </c>
      <c r="H41" s="118">
        <f>120+560</f>
        <v>680</v>
      </c>
      <c r="I41" s="118">
        <f>120+560</f>
        <v>680</v>
      </c>
    </row>
    <row r="42" spans="1:9">
      <c r="A42" s="113">
        <v>4</v>
      </c>
      <c r="B42" s="117" t="s">
        <v>34</v>
      </c>
      <c r="C42" s="118">
        <v>4010.489</v>
      </c>
      <c r="D42" s="118">
        <v>5500</v>
      </c>
      <c r="E42" s="118">
        <v>5500</v>
      </c>
      <c r="F42" s="118">
        <v>5500</v>
      </c>
      <c r="G42" s="118">
        <f>1300+4000</f>
        <v>5300</v>
      </c>
      <c r="H42" s="118">
        <f>1300+4000</f>
        <v>5300</v>
      </c>
      <c r="I42" s="118">
        <f>1300+4000</f>
        <v>5300</v>
      </c>
    </row>
    <row r="43" spans="1:9">
      <c r="A43" s="113">
        <v>5</v>
      </c>
      <c r="B43" s="117" t="s">
        <v>35</v>
      </c>
      <c r="C43" s="118"/>
      <c r="D43" s="118"/>
      <c r="E43" s="118"/>
      <c r="F43" s="118"/>
      <c r="G43" s="118"/>
      <c r="H43" s="118"/>
      <c r="I43" s="118"/>
    </row>
    <row r="44" spans="1:9">
      <c r="A44" s="113"/>
      <c r="B44" s="120" t="s">
        <v>36</v>
      </c>
      <c r="C44" s="118"/>
      <c r="D44" s="118"/>
      <c r="E44" s="118"/>
      <c r="F44" s="118"/>
      <c r="G44" s="118"/>
      <c r="H44" s="118"/>
      <c r="I44" s="118"/>
    </row>
    <row r="45" spans="1:9">
      <c r="A45" s="113"/>
      <c r="B45" s="120" t="s">
        <v>37</v>
      </c>
      <c r="C45" s="118"/>
      <c r="D45" s="118"/>
      <c r="E45" s="118"/>
      <c r="F45" s="118"/>
      <c r="G45" s="118"/>
      <c r="H45" s="118"/>
      <c r="I45" s="118"/>
    </row>
    <row r="46" spans="1:9">
      <c r="A46" s="113">
        <v>6</v>
      </c>
      <c r="B46" s="117" t="s">
        <v>38</v>
      </c>
      <c r="C46" s="118">
        <v>3591.6485359999997</v>
      </c>
      <c r="D46" s="118">
        <v>4500</v>
      </c>
      <c r="E46" s="118">
        <v>4500</v>
      </c>
      <c r="F46" s="118">
        <v>4500</v>
      </c>
      <c r="G46" s="118">
        <f>4500</f>
        <v>4500</v>
      </c>
      <c r="H46" s="118">
        <f>4500</f>
        <v>4500</v>
      </c>
      <c r="I46" s="118">
        <f>4500</f>
        <v>4500</v>
      </c>
    </row>
    <row r="47" spans="1:9">
      <c r="A47" s="113">
        <v>7</v>
      </c>
      <c r="B47" s="117" t="s">
        <v>39</v>
      </c>
      <c r="C47" s="118">
        <f>C48+C49+C50+C52</f>
        <v>1295.8047919999999</v>
      </c>
      <c r="D47" s="118">
        <v>1250</v>
      </c>
      <c r="E47" s="118">
        <v>1250</v>
      </c>
      <c r="F47" s="118">
        <f>F48+F49+F50+F52</f>
        <v>1250</v>
      </c>
      <c r="G47" s="118">
        <f>50+1300</f>
        <v>1350</v>
      </c>
      <c r="H47" s="118">
        <f>50+1300</f>
        <v>1350</v>
      </c>
      <c r="I47" s="118">
        <f>50+1300</f>
        <v>1350</v>
      </c>
    </row>
    <row r="48" spans="1:9">
      <c r="A48" s="123" t="s">
        <v>255</v>
      </c>
      <c r="B48" s="117" t="s">
        <v>40</v>
      </c>
      <c r="C48" s="118">
        <v>241.51794799999999</v>
      </c>
      <c r="D48" s="118"/>
      <c r="E48" s="118"/>
      <c r="F48" s="118">
        <v>106</v>
      </c>
      <c r="G48" s="118">
        <f>50</f>
        <v>50</v>
      </c>
      <c r="H48" s="118">
        <f>50</f>
        <v>50</v>
      </c>
      <c r="I48" s="118">
        <f>50</f>
        <v>50</v>
      </c>
    </row>
    <row r="49" spans="1:9">
      <c r="A49" s="123" t="s">
        <v>255</v>
      </c>
      <c r="B49" s="117" t="s">
        <v>41</v>
      </c>
      <c r="C49" s="118">
        <v>85.222120000000004</v>
      </c>
      <c r="D49" s="118"/>
      <c r="E49" s="118"/>
      <c r="F49" s="118"/>
      <c r="G49" s="118"/>
      <c r="H49" s="118"/>
      <c r="I49" s="118"/>
    </row>
    <row r="50" spans="1:9">
      <c r="A50" s="123" t="s">
        <v>255</v>
      </c>
      <c r="B50" s="117" t="s">
        <v>42</v>
      </c>
      <c r="C50" s="118">
        <v>738.32272399999999</v>
      </c>
      <c r="D50" s="118">
        <v>1250</v>
      </c>
      <c r="E50" s="118">
        <v>1250</v>
      </c>
      <c r="F50" s="118">
        <f>790+34</f>
        <v>824</v>
      </c>
      <c r="G50" s="118">
        <v>1000</v>
      </c>
      <c r="H50" s="118">
        <v>1000</v>
      </c>
      <c r="I50" s="118">
        <v>1000</v>
      </c>
    </row>
    <row r="51" spans="1:9" ht="30">
      <c r="A51" s="113"/>
      <c r="B51" s="120" t="s">
        <v>44</v>
      </c>
      <c r="C51" s="118">
        <v>455.75744400000002</v>
      </c>
      <c r="D51" s="118">
        <v>300</v>
      </c>
      <c r="E51" s="118">
        <v>300</v>
      </c>
      <c r="F51" s="118">
        <v>300</v>
      </c>
      <c r="G51" s="118">
        <v>300</v>
      </c>
      <c r="H51" s="118">
        <v>300</v>
      </c>
      <c r="I51" s="118">
        <v>300</v>
      </c>
    </row>
    <row r="52" spans="1:9">
      <c r="A52" s="123" t="s">
        <v>255</v>
      </c>
      <c r="B52" s="117" t="s">
        <v>43</v>
      </c>
      <c r="C52" s="118">
        <v>230.74199999999999</v>
      </c>
      <c r="D52" s="118"/>
      <c r="E52" s="118"/>
      <c r="F52" s="118">
        <v>320</v>
      </c>
      <c r="G52" s="118">
        <v>300</v>
      </c>
      <c r="H52" s="118">
        <v>300</v>
      </c>
      <c r="I52" s="118">
        <v>300</v>
      </c>
    </row>
    <row r="53" spans="1:9">
      <c r="A53" s="113"/>
      <c r="B53" s="120"/>
      <c r="C53" s="118"/>
      <c r="D53" s="118"/>
      <c r="E53" s="118"/>
      <c r="F53" s="118"/>
      <c r="G53" s="118"/>
      <c r="H53" s="118"/>
      <c r="I53" s="118"/>
    </row>
    <row r="54" spans="1:9" ht="30">
      <c r="A54" s="113">
        <v>8</v>
      </c>
      <c r="B54" s="117" t="s">
        <v>45</v>
      </c>
      <c r="C54" s="118">
        <f t="shared" ref="C54:H54" si="15">SUM(C55:C59)+C62+C65+C68</f>
        <v>37039.20061</v>
      </c>
      <c r="D54" s="118">
        <f t="shared" si="15"/>
        <v>51750</v>
      </c>
      <c r="E54" s="118">
        <f t="shared" si="15"/>
        <v>51750</v>
      </c>
      <c r="F54" s="118">
        <f>SUM(F55:F59)+F62+F65+F68</f>
        <v>33471.620000000003</v>
      </c>
      <c r="G54" s="118">
        <f t="shared" si="15"/>
        <v>14380</v>
      </c>
      <c r="H54" s="118">
        <f t="shared" si="15"/>
        <v>103780</v>
      </c>
      <c r="I54" s="118">
        <f t="shared" ref="I54" si="16">SUM(I55:I59)+I62+I65+I68</f>
        <v>17380</v>
      </c>
    </row>
    <row r="55" spans="1:9" hidden="1">
      <c r="A55" s="113"/>
      <c r="B55" s="117" t="s">
        <v>46</v>
      </c>
      <c r="C55" s="118"/>
      <c r="D55" s="118"/>
      <c r="E55" s="118"/>
      <c r="F55" s="118"/>
      <c r="G55" s="118"/>
      <c r="H55" s="118"/>
      <c r="I55" s="118"/>
    </row>
    <row r="56" spans="1:9">
      <c r="A56" s="113"/>
      <c r="B56" s="117" t="s">
        <v>47</v>
      </c>
      <c r="C56" s="118">
        <v>16.72174</v>
      </c>
      <c r="D56" s="118">
        <v>30</v>
      </c>
      <c r="E56" s="118">
        <v>30</v>
      </c>
      <c r="F56" s="118">
        <v>19.239999999999998</v>
      </c>
      <c r="G56" s="118">
        <v>30</v>
      </c>
      <c r="H56" s="118">
        <v>30</v>
      </c>
      <c r="I56" s="118">
        <v>30</v>
      </c>
    </row>
    <row r="57" spans="1:9">
      <c r="A57" s="113"/>
      <c r="B57" s="117" t="s">
        <v>48</v>
      </c>
      <c r="C57" s="118">
        <v>321.15845200000001</v>
      </c>
      <c r="D57" s="118">
        <v>1720</v>
      </c>
      <c r="E57" s="118">
        <v>1720</v>
      </c>
      <c r="F57" s="118">
        <v>1760</v>
      </c>
      <c r="G57" s="118">
        <f>2100+250</f>
        <v>2350</v>
      </c>
      <c r="H57" s="118">
        <f>2100+250</f>
        <v>2350</v>
      </c>
      <c r="I57" s="118">
        <f>2100+250</f>
        <v>2350</v>
      </c>
    </row>
    <row r="58" spans="1:9">
      <c r="A58" s="113"/>
      <c r="B58" s="117" t="s">
        <v>49</v>
      </c>
      <c r="C58" s="118">
        <v>36701.320418000003</v>
      </c>
      <c r="D58" s="118">
        <v>50000</v>
      </c>
      <c r="E58" s="118">
        <v>50000</v>
      </c>
      <c r="F58" s="118">
        <v>31692.38</v>
      </c>
      <c r="G58" s="118">
        <v>12000</v>
      </c>
      <c r="H58" s="118">
        <v>101400</v>
      </c>
      <c r="I58" s="118">
        <v>15000</v>
      </c>
    </row>
    <row r="59" spans="1:9" hidden="1">
      <c r="A59" s="113"/>
      <c r="B59" s="117" t="s">
        <v>50</v>
      </c>
      <c r="C59" s="118"/>
      <c r="D59" s="118"/>
      <c r="E59" s="118"/>
      <c r="F59" s="118"/>
      <c r="G59" s="118"/>
      <c r="H59" s="118"/>
      <c r="I59" s="118"/>
    </row>
    <row r="60" spans="1:9" ht="30" hidden="1">
      <c r="A60" s="113"/>
      <c r="B60" s="120" t="s">
        <v>51</v>
      </c>
      <c r="C60" s="118"/>
      <c r="D60" s="118"/>
      <c r="E60" s="118"/>
      <c r="F60" s="118"/>
      <c r="G60" s="118"/>
      <c r="H60" s="118"/>
      <c r="I60" s="118"/>
    </row>
    <row r="61" spans="1:9" ht="30" hidden="1">
      <c r="A61" s="113"/>
      <c r="B61" s="120" t="s">
        <v>52</v>
      </c>
      <c r="C61" s="118"/>
      <c r="D61" s="118"/>
      <c r="E61" s="118"/>
      <c r="F61" s="118"/>
      <c r="G61" s="118"/>
      <c r="H61" s="118"/>
      <c r="I61" s="118"/>
    </row>
    <row r="62" spans="1:9" ht="45" hidden="1">
      <c r="A62" s="113"/>
      <c r="B62" s="117" t="s">
        <v>53</v>
      </c>
      <c r="C62" s="118"/>
      <c r="D62" s="118"/>
      <c r="E62" s="118"/>
      <c r="F62" s="118"/>
      <c r="G62" s="118"/>
      <c r="H62" s="118"/>
      <c r="I62" s="118"/>
    </row>
    <row r="63" spans="1:9" ht="30" hidden="1">
      <c r="A63" s="113"/>
      <c r="B63" s="120" t="s">
        <v>54</v>
      </c>
      <c r="C63" s="118"/>
      <c r="D63" s="118"/>
      <c r="E63" s="118"/>
      <c r="F63" s="118"/>
      <c r="G63" s="118"/>
      <c r="H63" s="118"/>
      <c r="I63" s="118"/>
    </row>
    <row r="64" spans="1:9" ht="30" hidden="1">
      <c r="A64" s="113"/>
      <c r="B64" s="120" t="s">
        <v>55</v>
      </c>
      <c r="C64" s="118"/>
      <c r="D64" s="118"/>
      <c r="E64" s="118"/>
      <c r="F64" s="118"/>
      <c r="G64" s="118"/>
      <c r="H64" s="118"/>
      <c r="I64" s="118"/>
    </row>
    <row r="65" spans="1:9" ht="30" hidden="1">
      <c r="A65" s="113"/>
      <c r="B65" s="117" t="s">
        <v>56</v>
      </c>
      <c r="C65" s="118"/>
      <c r="D65" s="118"/>
      <c r="E65" s="118"/>
      <c r="F65" s="118"/>
      <c r="G65" s="118"/>
      <c r="H65" s="118"/>
      <c r="I65" s="118"/>
    </row>
    <row r="66" spans="1:9" ht="30" hidden="1">
      <c r="A66" s="113"/>
      <c r="B66" s="120" t="s">
        <v>57</v>
      </c>
      <c r="C66" s="118"/>
      <c r="D66" s="118"/>
      <c r="E66" s="118"/>
      <c r="F66" s="118"/>
      <c r="G66" s="118"/>
      <c r="H66" s="118"/>
      <c r="I66" s="118"/>
    </row>
    <row r="67" spans="1:9" ht="30" hidden="1">
      <c r="A67" s="113"/>
      <c r="B67" s="120" t="s">
        <v>58</v>
      </c>
      <c r="C67" s="118"/>
      <c r="D67" s="118"/>
      <c r="E67" s="118"/>
      <c r="F67" s="118"/>
      <c r="G67" s="118"/>
      <c r="H67" s="118"/>
      <c r="I67" s="118"/>
    </row>
    <row r="68" spans="1:9" ht="30" hidden="1">
      <c r="A68" s="113"/>
      <c r="B68" s="117" t="s">
        <v>59</v>
      </c>
      <c r="C68" s="118"/>
      <c r="D68" s="118"/>
      <c r="E68" s="118"/>
      <c r="F68" s="118"/>
      <c r="G68" s="118"/>
      <c r="H68" s="118"/>
      <c r="I68" s="118"/>
    </row>
    <row r="69" spans="1:9">
      <c r="A69" s="113">
        <v>9</v>
      </c>
      <c r="B69" s="117" t="s">
        <v>60</v>
      </c>
      <c r="C69" s="118"/>
      <c r="D69" s="118"/>
      <c r="E69" s="118"/>
      <c r="F69" s="118"/>
      <c r="G69" s="118"/>
      <c r="H69" s="118"/>
      <c r="I69" s="118"/>
    </row>
    <row r="70" spans="1:9">
      <c r="A70" s="113">
        <v>10</v>
      </c>
      <c r="B70" s="117" t="s">
        <v>61</v>
      </c>
      <c r="C70" s="118">
        <v>1084.592809</v>
      </c>
      <c r="D70" s="118">
        <v>1380</v>
      </c>
      <c r="E70" s="118">
        <v>1380</v>
      </c>
      <c r="F70" s="118">
        <v>1424.16</v>
      </c>
      <c r="G70" s="118">
        <f>120+1300</f>
        <v>1420</v>
      </c>
      <c r="H70" s="118">
        <f>120+1300</f>
        <v>1420</v>
      </c>
      <c r="I70" s="118">
        <f>120+1300</f>
        <v>1420</v>
      </c>
    </row>
    <row r="71" spans="1:9" ht="18" customHeight="1">
      <c r="A71" s="113"/>
      <c r="B71" s="120" t="s">
        <v>62</v>
      </c>
      <c r="C71" s="118">
        <v>589.81465200000002</v>
      </c>
      <c r="D71" s="118">
        <f>400+40</f>
        <v>440</v>
      </c>
      <c r="E71" s="118">
        <f>400+40</f>
        <v>440</v>
      </c>
      <c r="F71" s="118">
        <f>400+71</f>
        <v>471</v>
      </c>
      <c r="G71" s="118">
        <v>470</v>
      </c>
      <c r="H71" s="118">
        <v>470</v>
      </c>
      <c r="I71" s="118">
        <v>470</v>
      </c>
    </row>
    <row r="72" spans="1:9">
      <c r="A72" s="113">
        <v>11</v>
      </c>
      <c r="B72" s="117" t="s">
        <v>63</v>
      </c>
      <c r="C72" s="118">
        <v>167.23264900000001</v>
      </c>
      <c r="D72" s="118">
        <v>50</v>
      </c>
      <c r="E72" s="118">
        <v>50</v>
      </c>
      <c r="F72" s="118">
        <f>F73+F74</f>
        <v>172.61</v>
      </c>
      <c r="G72" s="118">
        <f>G73+G74</f>
        <v>180</v>
      </c>
      <c r="H72" s="118">
        <f>H73+H74</f>
        <v>180</v>
      </c>
      <c r="I72" s="118">
        <f>I73+I74</f>
        <v>180</v>
      </c>
    </row>
    <row r="73" spans="1:9" ht="18" customHeight="1">
      <c r="A73" s="113"/>
      <c r="B73" s="120" t="s">
        <v>64</v>
      </c>
      <c r="C73" s="118"/>
      <c r="D73" s="118"/>
      <c r="E73" s="118"/>
      <c r="F73" s="118"/>
      <c r="G73" s="118"/>
      <c r="H73" s="118"/>
      <c r="I73" s="118"/>
    </row>
    <row r="74" spans="1:9">
      <c r="A74" s="113"/>
      <c r="B74" s="120" t="s">
        <v>65</v>
      </c>
      <c r="C74" s="118">
        <f>C72</f>
        <v>167.23264900000001</v>
      </c>
      <c r="D74" s="118">
        <v>50</v>
      </c>
      <c r="E74" s="118">
        <v>50</v>
      </c>
      <c r="F74" s="118">
        <v>172.61</v>
      </c>
      <c r="G74" s="118">
        <f>130+50</f>
        <v>180</v>
      </c>
      <c r="H74" s="118">
        <f>130+50</f>
        <v>180</v>
      </c>
      <c r="I74" s="118">
        <f>130+50</f>
        <v>180</v>
      </c>
    </row>
    <row r="75" spans="1:9" ht="21.75" customHeight="1">
      <c r="A75" s="113">
        <v>12</v>
      </c>
      <c r="B75" s="117" t="s">
        <v>66</v>
      </c>
      <c r="C75" s="118"/>
      <c r="D75" s="118"/>
      <c r="E75" s="118"/>
      <c r="F75" s="118"/>
      <c r="G75" s="118"/>
      <c r="H75" s="118"/>
      <c r="I75" s="118"/>
    </row>
    <row r="76" spans="1:9" ht="21.75" customHeight="1">
      <c r="A76" s="113">
        <v>13</v>
      </c>
      <c r="B76" s="117" t="s">
        <v>67</v>
      </c>
      <c r="C76" s="118">
        <f>C77+C78</f>
        <v>0</v>
      </c>
      <c r="D76" s="118">
        <f>D77+D78</f>
        <v>0</v>
      </c>
      <c r="E76" s="118">
        <f>E77+E78</f>
        <v>0</v>
      </c>
      <c r="F76" s="118">
        <f>F77+F78</f>
        <v>0</v>
      </c>
      <c r="G76" s="118"/>
      <c r="H76" s="118"/>
      <c r="I76" s="118"/>
    </row>
    <row r="77" spans="1:9">
      <c r="A77" s="113"/>
      <c r="B77" s="117" t="s">
        <v>68</v>
      </c>
      <c r="C77" s="118"/>
      <c r="D77" s="118"/>
      <c r="E77" s="118"/>
      <c r="F77" s="118"/>
      <c r="G77" s="118"/>
      <c r="H77" s="118"/>
      <c r="I77" s="118"/>
    </row>
    <row r="78" spans="1:9">
      <c r="A78" s="113"/>
      <c r="B78" s="117" t="s">
        <v>69</v>
      </c>
      <c r="C78" s="118"/>
      <c r="D78" s="118"/>
      <c r="E78" s="118"/>
      <c r="F78" s="118"/>
      <c r="G78" s="118"/>
      <c r="H78" s="118"/>
      <c r="I78" s="118"/>
    </row>
    <row r="79" spans="1:9">
      <c r="A79" s="114" t="s">
        <v>70</v>
      </c>
      <c r="B79" s="116" t="s">
        <v>71</v>
      </c>
      <c r="C79" s="118"/>
      <c r="D79" s="118"/>
      <c r="E79" s="118"/>
      <c r="F79" s="118"/>
      <c r="G79" s="118"/>
      <c r="H79" s="118"/>
      <c r="I79" s="118"/>
    </row>
    <row r="80" spans="1:9">
      <c r="A80" s="1"/>
      <c r="B80" s="124"/>
    </row>
    <row r="81" spans="1:8">
      <c r="A81" s="534"/>
      <c r="B81" s="125"/>
      <c r="D81" s="109"/>
      <c r="E81" s="535"/>
      <c r="F81" s="535"/>
      <c r="G81" s="535"/>
      <c r="H81" s="535"/>
    </row>
    <row r="82" spans="1:8">
      <c r="A82" s="534"/>
      <c r="B82" s="126"/>
      <c r="D82" s="109"/>
      <c r="E82" s="536"/>
      <c r="F82" s="536"/>
      <c r="G82" s="536"/>
      <c r="H82" s="536"/>
    </row>
    <row r="83" spans="1:8">
      <c r="A83" s="534"/>
      <c r="B83" s="125"/>
      <c r="D83" s="109"/>
      <c r="E83" s="535"/>
      <c r="F83" s="535"/>
      <c r="G83" s="535"/>
      <c r="H83" s="535"/>
    </row>
  </sheetData>
  <mergeCells count="13">
    <mergeCell ref="A81:A83"/>
    <mergeCell ref="E81:H81"/>
    <mergeCell ref="E82:H82"/>
    <mergeCell ref="E83:H83"/>
    <mergeCell ref="F1:I1"/>
    <mergeCell ref="A2:H2"/>
    <mergeCell ref="A4:A5"/>
    <mergeCell ref="B4:B5"/>
    <mergeCell ref="C4:C5"/>
    <mergeCell ref="G4:H4"/>
    <mergeCell ref="D4:F4"/>
    <mergeCell ref="H3:I3"/>
    <mergeCell ref="I4:I5"/>
  </mergeCells>
  <hyperlinks>
    <hyperlink ref="F1:H1" location="'PL tong hop'!A1" display="Mẫu biểu số 01/TT342"/>
  </hyperlinks>
  <printOptions horizontalCentered="1"/>
  <pageMargins left="0.2" right="0.2" top="0.5" bottom="0.2" header="0.31496062992126" footer="0.31496062992126"/>
  <pageSetup paperSize="9" scale="8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C96"/>
  <sheetViews>
    <sheetView view="pageBreakPreview" zoomScaleSheetLayoutView="100" workbookViewId="0">
      <selection activeCell="AA3" sqref="AA3:AB3"/>
    </sheetView>
  </sheetViews>
  <sheetFormatPr defaultRowHeight="12"/>
  <cols>
    <col min="1" max="1" width="6" style="274" customWidth="1"/>
    <col min="2" max="2" width="36.7109375" style="274" customWidth="1"/>
    <col min="3" max="3" width="11.5703125" style="274" customWidth="1"/>
    <col min="4" max="4" width="12.7109375" style="274" customWidth="1"/>
    <col min="5" max="5" width="9.28515625" style="274" bestFit="1" customWidth="1"/>
    <col min="6" max="6" width="12" style="274" customWidth="1"/>
    <col min="7" max="15" width="12.5703125" style="274" bestFit="1" customWidth="1"/>
    <col min="16" max="16" width="14.85546875" style="274" customWidth="1"/>
    <col min="17" max="17" width="13.28515625" style="274" customWidth="1"/>
    <col min="18" max="18" width="12.5703125" style="274" bestFit="1" customWidth="1"/>
    <col min="19" max="19" width="11.28515625" style="274" customWidth="1"/>
    <col min="20" max="20" width="11.42578125" style="274" customWidth="1"/>
    <col min="21" max="21" width="11.28515625" style="274" customWidth="1"/>
    <col min="22" max="22" width="12.140625" style="274" customWidth="1"/>
    <col min="23" max="23" width="11" style="274" customWidth="1"/>
    <col min="24" max="24" width="12" style="274" customWidth="1"/>
    <col min="25" max="25" width="10.7109375" style="274" customWidth="1"/>
    <col min="26" max="26" width="13.28515625" style="274" customWidth="1"/>
    <col min="27" max="27" width="12.7109375" style="274" customWidth="1"/>
    <col min="28" max="28" width="12.140625" style="274" customWidth="1"/>
    <col min="29" max="16384" width="9.140625" style="274"/>
  </cols>
  <sheetData>
    <row r="1" spans="1:29" s="81" customFormat="1">
      <c r="A1" s="78"/>
      <c r="B1" s="78"/>
      <c r="C1" s="79"/>
      <c r="D1" s="80"/>
      <c r="G1" s="464"/>
      <c r="I1" s="464"/>
      <c r="K1" s="618"/>
      <c r="L1" s="618"/>
      <c r="M1" s="618"/>
      <c r="N1" s="618" t="s">
        <v>525</v>
      </c>
      <c r="O1" s="618"/>
      <c r="P1" s="82"/>
      <c r="Q1" s="82"/>
      <c r="R1" s="83"/>
      <c r="S1" s="83"/>
      <c r="T1" s="83"/>
      <c r="U1" s="83"/>
      <c r="V1" s="464"/>
      <c r="W1" s="80"/>
      <c r="X1" s="464"/>
      <c r="Y1" s="80"/>
      <c r="Z1" s="618"/>
      <c r="AA1" s="618"/>
      <c r="AB1" s="618"/>
    </row>
    <row r="2" spans="1:29" s="81" customFormat="1" ht="19.5" customHeight="1">
      <c r="A2" s="619" t="s">
        <v>797</v>
      </c>
      <c r="B2" s="619"/>
      <c r="C2" s="619"/>
      <c r="D2" s="619"/>
      <c r="E2" s="619"/>
      <c r="F2" s="619"/>
      <c r="G2" s="619"/>
      <c r="H2" s="619"/>
      <c r="I2" s="619"/>
      <c r="J2" s="619"/>
      <c r="K2" s="619"/>
      <c r="L2" s="619"/>
      <c r="M2" s="619"/>
      <c r="N2" s="619"/>
      <c r="O2" s="619"/>
      <c r="P2" s="285"/>
      <c r="Q2" s="285"/>
      <c r="R2" s="285"/>
      <c r="S2" s="285"/>
      <c r="T2" s="285"/>
      <c r="U2" s="285"/>
      <c r="V2" s="285"/>
      <c r="W2" s="285"/>
      <c r="X2" s="285"/>
      <c r="Y2" s="285"/>
      <c r="Z2" s="285"/>
      <c r="AA2" s="84"/>
      <c r="AB2" s="84"/>
    </row>
    <row r="3" spans="1:29" s="81" customFormat="1">
      <c r="A3" s="85"/>
      <c r="B3" s="86"/>
      <c r="C3" s="87"/>
      <c r="D3" s="88"/>
      <c r="E3" s="89"/>
      <c r="F3" s="90"/>
      <c r="G3" s="90"/>
      <c r="H3" s="86"/>
      <c r="I3" s="86"/>
      <c r="J3" s="86"/>
      <c r="K3" s="86"/>
      <c r="L3" s="86"/>
      <c r="M3" s="465"/>
      <c r="N3" s="620" t="s">
        <v>3</v>
      </c>
      <c r="O3" s="620"/>
      <c r="P3" s="621"/>
      <c r="Q3" s="621"/>
      <c r="Y3" s="86"/>
      <c r="Z3" s="465"/>
      <c r="AA3" s="620" t="s">
        <v>3</v>
      </c>
      <c r="AB3" s="620"/>
    </row>
    <row r="4" spans="1:29" s="78" customFormat="1" ht="18.75" customHeight="1">
      <c r="A4" s="624" t="s">
        <v>4</v>
      </c>
      <c r="B4" s="625" t="s">
        <v>237</v>
      </c>
      <c r="C4" s="622" t="s">
        <v>79</v>
      </c>
      <c r="D4" s="623"/>
      <c r="E4" s="623"/>
      <c r="F4" s="622" t="s">
        <v>526</v>
      </c>
      <c r="G4" s="623"/>
      <c r="H4" s="622" t="s">
        <v>527</v>
      </c>
      <c r="I4" s="623"/>
      <c r="J4" s="622" t="s">
        <v>528</v>
      </c>
      <c r="K4" s="623"/>
      <c r="L4" s="622" t="s">
        <v>517</v>
      </c>
      <c r="M4" s="623"/>
      <c r="N4" s="625" t="s">
        <v>982</v>
      </c>
      <c r="O4" s="625"/>
      <c r="P4" s="625" t="s">
        <v>983</v>
      </c>
      <c r="Q4" s="625"/>
      <c r="R4" s="623" t="s">
        <v>530</v>
      </c>
      <c r="S4" s="623"/>
      <c r="T4" s="463"/>
      <c r="U4" s="622" t="s">
        <v>531</v>
      </c>
      <c r="V4" s="623"/>
      <c r="W4" s="622" t="s">
        <v>532</v>
      </c>
      <c r="X4" s="623"/>
      <c r="Y4" s="627" t="s">
        <v>533</v>
      </c>
      <c r="Z4" s="628"/>
      <c r="AA4" s="629" t="s">
        <v>534</v>
      </c>
      <c r="AB4" s="629"/>
      <c r="AC4" s="91"/>
    </row>
    <row r="5" spans="1:29" s="93" customFormat="1" ht="24.75" customHeight="1">
      <c r="A5" s="624"/>
      <c r="B5" s="625"/>
      <c r="C5" s="630" t="s">
        <v>81</v>
      </c>
      <c r="D5" s="631" t="s">
        <v>647</v>
      </c>
      <c r="E5" s="524" t="s">
        <v>535</v>
      </c>
      <c r="F5" s="626" t="s">
        <v>81</v>
      </c>
      <c r="G5" s="631" t="s">
        <v>647</v>
      </c>
      <c r="H5" s="626" t="s">
        <v>81</v>
      </c>
      <c r="I5" s="626" t="s">
        <v>647</v>
      </c>
      <c r="J5" s="626" t="s">
        <v>81</v>
      </c>
      <c r="K5" s="626" t="s">
        <v>647</v>
      </c>
      <c r="L5" s="626" t="s">
        <v>81</v>
      </c>
      <c r="M5" s="626" t="s">
        <v>647</v>
      </c>
      <c r="N5" s="626" t="s">
        <v>81</v>
      </c>
      <c r="O5" s="626" t="s">
        <v>647</v>
      </c>
      <c r="P5" s="626" t="s">
        <v>81</v>
      </c>
      <c r="Q5" s="626" t="s">
        <v>647</v>
      </c>
      <c r="R5" s="633" t="s">
        <v>81</v>
      </c>
      <c r="S5" s="626" t="s">
        <v>647</v>
      </c>
      <c r="T5" s="524" t="s">
        <v>535</v>
      </c>
      <c r="U5" s="626" t="s">
        <v>81</v>
      </c>
      <c r="V5" s="626" t="s">
        <v>647</v>
      </c>
      <c r="W5" s="626" t="s">
        <v>81</v>
      </c>
      <c r="X5" s="626" t="s">
        <v>647</v>
      </c>
      <c r="Y5" s="626" t="s">
        <v>81</v>
      </c>
      <c r="Z5" s="626" t="s">
        <v>647</v>
      </c>
      <c r="AA5" s="626" t="s">
        <v>81</v>
      </c>
      <c r="AB5" s="626" t="s">
        <v>647</v>
      </c>
      <c r="AC5" s="92"/>
    </row>
    <row r="6" spans="1:29" s="93" customFormat="1" ht="19.5" customHeight="1">
      <c r="A6" s="624"/>
      <c r="B6" s="625"/>
      <c r="C6" s="630"/>
      <c r="D6" s="632"/>
      <c r="E6" s="524" t="s">
        <v>536</v>
      </c>
      <c r="F6" s="626"/>
      <c r="G6" s="632"/>
      <c r="H6" s="626"/>
      <c r="I6" s="626"/>
      <c r="J6" s="626"/>
      <c r="K6" s="626"/>
      <c r="L6" s="626"/>
      <c r="M6" s="626"/>
      <c r="N6" s="626"/>
      <c r="O6" s="626"/>
      <c r="P6" s="626"/>
      <c r="Q6" s="626"/>
      <c r="R6" s="633"/>
      <c r="S6" s="626"/>
      <c r="T6" s="524" t="s">
        <v>536</v>
      </c>
      <c r="U6" s="626"/>
      <c r="V6" s="626"/>
      <c r="W6" s="626"/>
      <c r="X6" s="626"/>
      <c r="Y6" s="626"/>
      <c r="Z6" s="626"/>
      <c r="AA6" s="626"/>
      <c r="AB6" s="626"/>
    </row>
    <row r="7" spans="1:29" s="78" customFormat="1" ht="26.25" customHeight="1">
      <c r="A7" s="94"/>
      <c r="B7" s="95" t="s">
        <v>537</v>
      </c>
      <c r="C7" s="525">
        <f>C8</f>
        <v>62412.728999999999</v>
      </c>
      <c r="D7" s="526">
        <f>D8</f>
        <v>62361.728999999999</v>
      </c>
      <c r="E7" s="526">
        <f t="shared" ref="E7:AB7" si="0">E8</f>
        <v>51</v>
      </c>
      <c r="F7" s="526">
        <f t="shared" si="0"/>
        <v>6316.0389999999998</v>
      </c>
      <c r="G7" s="526">
        <f t="shared" si="0"/>
        <v>6316.0389999999998</v>
      </c>
      <c r="H7" s="526">
        <f t="shared" si="0"/>
        <v>5597.2759999999998</v>
      </c>
      <c r="I7" s="526">
        <f t="shared" si="0"/>
        <v>5597.2759999999998</v>
      </c>
      <c r="J7" s="526">
        <f t="shared" si="0"/>
        <v>4342.7169999999996</v>
      </c>
      <c r="K7" s="526">
        <f t="shared" si="0"/>
        <v>4342.7169999999996</v>
      </c>
      <c r="L7" s="526">
        <f t="shared" si="0"/>
        <v>4504.6229999999996</v>
      </c>
      <c r="M7" s="526">
        <f t="shared" si="0"/>
        <v>4504.6229999999996</v>
      </c>
      <c r="N7" s="526">
        <f t="shared" si="0"/>
        <v>4361.26</v>
      </c>
      <c r="O7" s="526">
        <f t="shared" si="0"/>
        <v>4361.26</v>
      </c>
      <c r="P7" s="526">
        <f t="shared" si="0"/>
        <v>4745.24</v>
      </c>
      <c r="Q7" s="526">
        <f t="shared" si="0"/>
        <v>4745.24</v>
      </c>
      <c r="R7" s="526">
        <f t="shared" si="0"/>
        <v>6862.6395000000002</v>
      </c>
      <c r="S7" s="526">
        <f t="shared" si="0"/>
        <v>6811.6395000000002</v>
      </c>
      <c r="T7" s="526">
        <f t="shared" si="0"/>
        <v>51</v>
      </c>
      <c r="U7" s="526">
        <f t="shared" si="0"/>
        <v>4730.8915000000006</v>
      </c>
      <c r="V7" s="526">
        <f t="shared" si="0"/>
        <v>4730.8915000000006</v>
      </c>
      <c r="W7" s="526">
        <f t="shared" si="0"/>
        <v>6887.155999999999</v>
      </c>
      <c r="X7" s="526">
        <f t="shared" si="0"/>
        <v>6887.155999999999</v>
      </c>
      <c r="Y7" s="526">
        <f t="shared" si="0"/>
        <v>6709.3209999999999</v>
      </c>
      <c r="Z7" s="526">
        <f t="shared" si="0"/>
        <v>6709.3209999999999</v>
      </c>
      <c r="AA7" s="526">
        <f t="shared" si="0"/>
        <v>7355.5659999999998</v>
      </c>
      <c r="AB7" s="526">
        <f t="shared" si="0"/>
        <v>7355.5659999999998</v>
      </c>
    </row>
    <row r="8" spans="1:29" s="78" customFormat="1" ht="18" customHeight="1">
      <c r="A8" s="96" t="s">
        <v>11</v>
      </c>
      <c r="B8" s="97" t="s">
        <v>510</v>
      </c>
      <c r="C8" s="527">
        <f>C9+C11+C92</f>
        <v>62412.728999999999</v>
      </c>
      <c r="D8" s="528">
        <f t="shared" ref="D8:AB8" si="1">D9+D11+D92</f>
        <v>62361.728999999999</v>
      </c>
      <c r="E8" s="528">
        <f t="shared" si="1"/>
        <v>51</v>
      </c>
      <c r="F8" s="528">
        <f t="shared" si="1"/>
        <v>6316.0389999999998</v>
      </c>
      <c r="G8" s="528">
        <f t="shared" si="1"/>
        <v>6316.0389999999998</v>
      </c>
      <c r="H8" s="528">
        <f t="shared" si="1"/>
        <v>5597.2759999999998</v>
      </c>
      <c r="I8" s="528">
        <f t="shared" si="1"/>
        <v>5597.2759999999998</v>
      </c>
      <c r="J8" s="528">
        <f t="shared" si="1"/>
        <v>4342.7169999999996</v>
      </c>
      <c r="K8" s="528">
        <f t="shared" si="1"/>
        <v>4342.7169999999996</v>
      </c>
      <c r="L8" s="528">
        <f t="shared" si="1"/>
        <v>4504.6229999999996</v>
      </c>
      <c r="M8" s="528">
        <f t="shared" si="1"/>
        <v>4504.6229999999996</v>
      </c>
      <c r="N8" s="528">
        <f t="shared" si="1"/>
        <v>4361.26</v>
      </c>
      <c r="O8" s="528">
        <f t="shared" si="1"/>
        <v>4361.26</v>
      </c>
      <c r="P8" s="528">
        <f t="shared" si="1"/>
        <v>4745.24</v>
      </c>
      <c r="Q8" s="528">
        <f t="shared" si="1"/>
        <v>4745.24</v>
      </c>
      <c r="R8" s="528">
        <f t="shared" si="1"/>
        <v>6862.6395000000002</v>
      </c>
      <c r="S8" s="528">
        <f t="shared" si="1"/>
        <v>6811.6395000000002</v>
      </c>
      <c r="T8" s="528">
        <f t="shared" si="1"/>
        <v>51</v>
      </c>
      <c r="U8" s="528">
        <f t="shared" si="1"/>
        <v>4730.8915000000006</v>
      </c>
      <c r="V8" s="528">
        <f t="shared" si="1"/>
        <v>4730.8915000000006</v>
      </c>
      <c r="W8" s="528">
        <f t="shared" si="1"/>
        <v>6887.155999999999</v>
      </c>
      <c r="X8" s="528">
        <f t="shared" si="1"/>
        <v>6887.155999999999</v>
      </c>
      <c r="Y8" s="528">
        <f t="shared" si="1"/>
        <v>6709.3209999999999</v>
      </c>
      <c r="Z8" s="528">
        <f t="shared" si="1"/>
        <v>6709.3209999999999</v>
      </c>
      <c r="AA8" s="528">
        <f t="shared" si="1"/>
        <v>7355.5659999999998</v>
      </c>
      <c r="AB8" s="528">
        <f t="shared" si="1"/>
        <v>7355.5659999999998</v>
      </c>
    </row>
    <row r="9" spans="1:29" s="78" customFormat="1" ht="22.5" customHeight="1">
      <c r="A9" s="96" t="s">
        <v>14</v>
      </c>
      <c r="B9" s="449" t="s">
        <v>197</v>
      </c>
      <c r="C9" s="527">
        <f>C10</f>
        <v>1500</v>
      </c>
      <c r="D9" s="528">
        <f t="shared" ref="D9:Y9" si="2">D10</f>
        <v>1500</v>
      </c>
      <c r="E9" s="528">
        <f t="shared" si="2"/>
        <v>0</v>
      </c>
      <c r="F9" s="528">
        <f t="shared" si="2"/>
        <v>1350</v>
      </c>
      <c r="G9" s="528">
        <f t="shared" si="2"/>
        <v>1350</v>
      </c>
      <c r="H9" s="528">
        <f t="shared" si="2"/>
        <v>20</v>
      </c>
      <c r="I9" s="528">
        <f t="shared" si="2"/>
        <v>20</v>
      </c>
      <c r="J9" s="528">
        <f t="shared" si="2"/>
        <v>10</v>
      </c>
      <c r="K9" s="528">
        <f t="shared" si="2"/>
        <v>10</v>
      </c>
      <c r="L9" s="528">
        <f t="shared" si="2"/>
        <v>10</v>
      </c>
      <c r="M9" s="528">
        <f t="shared" si="2"/>
        <v>10</v>
      </c>
      <c r="N9" s="528">
        <f t="shared" si="2"/>
        <v>10</v>
      </c>
      <c r="O9" s="528">
        <f t="shared" si="2"/>
        <v>10</v>
      </c>
      <c r="P9" s="528">
        <f t="shared" si="2"/>
        <v>65</v>
      </c>
      <c r="Q9" s="528">
        <f t="shared" si="2"/>
        <v>65</v>
      </c>
      <c r="R9" s="528">
        <f t="shared" si="2"/>
        <v>10</v>
      </c>
      <c r="S9" s="528">
        <f t="shared" si="2"/>
        <v>10</v>
      </c>
      <c r="T9" s="528">
        <f t="shared" si="2"/>
        <v>0</v>
      </c>
      <c r="U9" s="528">
        <f t="shared" si="2"/>
        <v>0</v>
      </c>
      <c r="V9" s="528">
        <f t="shared" si="2"/>
        <v>0</v>
      </c>
      <c r="W9" s="528">
        <f t="shared" si="2"/>
        <v>10</v>
      </c>
      <c r="X9" s="528">
        <f t="shared" si="2"/>
        <v>10</v>
      </c>
      <c r="Y9" s="528">
        <f t="shared" si="2"/>
        <v>5</v>
      </c>
      <c r="Z9" s="528">
        <f>Z10</f>
        <v>5</v>
      </c>
      <c r="AA9" s="528">
        <f>AA10</f>
        <v>10</v>
      </c>
      <c r="AB9" s="528">
        <f>AB10</f>
        <v>10</v>
      </c>
    </row>
    <row r="10" spans="1:29" s="100" customFormat="1" ht="18" customHeight="1">
      <c r="A10" s="101" t="s">
        <v>255</v>
      </c>
      <c r="B10" s="450" t="s">
        <v>798</v>
      </c>
      <c r="C10" s="530">
        <f>SUM(D10:E10)</f>
        <v>1500</v>
      </c>
      <c r="D10" s="529">
        <f>G10+I10+K10+M10+O10+Q10+S10+V10+X10+Z10+AB10</f>
        <v>1500</v>
      </c>
      <c r="E10" s="529">
        <f>+T10</f>
        <v>0</v>
      </c>
      <c r="F10" s="529">
        <f>SUM(G10:G10)</f>
        <v>1350</v>
      </c>
      <c r="G10" s="529">
        <v>1350</v>
      </c>
      <c r="H10" s="529">
        <f>SUM(I10:I10)</f>
        <v>20</v>
      </c>
      <c r="I10" s="529">
        <f>200*0.1</f>
        <v>20</v>
      </c>
      <c r="J10" s="529">
        <f>SUM(K10:K10)</f>
        <v>10</v>
      </c>
      <c r="K10" s="529">
        <v>10</v>
      </c>
      <c r="L10" s="529">
        <f>SUM(M10:M10)</f>
        <v>10</v>
      </c>
      <c r="M10" s="529">
        <v>10</v>
      </c>
      <c r="N10" s="529">
        <f>SUM(O10:O10)</f>
        <v>10</v>
      </c>
      <c r="O10" s="529">
        <v>10</v>
      </c>
      <c r="P10" s="529">
        <f>SUM(Q10:Q10)</f>
        <v>65</v>
      </c>
      <c r="Q10" s="529">
        <v>65</v>
      </c>
      <c r="R10" s="529">
        <f>SUM(S10:T10)</f>
        <v>10</v>
      </c>
      <c r="S10" s="529">
        <v>10</v>
      </c>
      <c r="T10" s="529"/>
      <c r="U10" s="529">
        <f>SUM(V10:V10)</f>
        <v>0</v>
      </c>
      <c r="V10" s="529">
        <f>0</f>
        <v>0</v>
      </c>
      <c r="W10" s="529">
        <f>SUM(X10:X10)</f>
        <v>10</v>
      </c>
      <c r="X10" s="529">
        <v>10</v>
      </c>
      <c r="Y10" s="529">
        <f>SUM(Z10:Z10)</f>
        <v>5</v>
      </c>
      <c r="Z10" s="529">
        <v>5</v>
      </c>
      <c r="AA10" s="529">
        <f>SUM(AB10:AB10)</f>
        <v>10</v>
      </c>
      <c r="AB10" s="529">
        <v>10</v>
      </c>
    </row>
    <row r="11" spans="1:29" s="78" customFormat="1" ht="18" customHeight="1">
      <c r="A11" s="451" t="s">
        <v>70</v>
      </c>
      <c r="B11" s="449" t="s">
        <v>134</v>
      </c>
      <c r="C11" s="527">
        <f>C12</f>
        <v>59698.728999999999</v>
      </c>
      <c r="D11" s="528">
        <f t="shared" ref="D11:AB11" si="3">D12</f>
        <v>59647.728999999999</v>
      </c>
      <c r="E11" s="528">
        <f t="shared" si="3"/>
        <v>51</v>
      </c>
      <c r="F11" s="528">
        <f t="shared" si="3"/>
        <v>4850.0389999999998</v>
      </c>
      <c r="G11" s="528">
        <f t="shared" si="3"/>
        <v>4850.0389999999998</v>
      </c>
      <c r="H11" s="528">
        <f t="shared" si="3"/>
        <v>5469.2759999999998</v>
      </c>
      <c r="I11" s="528">
        <f t="shared" si="3"/>
        <v>5469.2759999999998</v>
      </c>
      <c r="J11" s="528">
        <f t="shared" si="3"/>
        <v>4248.7169999999996</v>
      </c>
      <c r="K11" s="528">
        <f t="shared" si="3"/>
        <v>4248.7169999999996</v>
      </c>
      <c r="L11" s="528">
        <f t="shared" si="3"/>
        <v>4408.6229999999996</v>
      </c>
      <c r="M11" s="528">
        <f t="shared" si="3"/>
        <v>4408.6229999999996</v>
      </c>
      <c r="N11" s="528">
        <f t="shared" si="3"/>
        <v>4267.26</v>
      </c>
      <c r="O11" s="528">
        <f t="shared" si="3"/>
        <v>4267.26</v>
      </c>
      <c r="P11" s="528">
        <f t="shared" si="3"/>
        <v>4587.24</v>
      </c>
      <c r="Q11" s="528">
        <f t="shared" si="3"/>
        <v>4587.24</v>
      </c>
      <c r="R11" s="528">
        <f t="shared" si="3"/>
        <v>6720.6395000000002</v>
      </c>
      <c r="S11" s="528">
        <f t="shared" si="3"/>
        <v>6669.6395000000002</v>
      </c>
      <c r="T11" s="528">
        <f t="shared" si="3"/>
        <v>51</v>
      </c>
      <c r="U11" s="528">
        <f t="shared" si="3"/>
        <v>4639.8915000000006</v>
      </c>
      <c r="V11" s="528">
        <f t="shared" si="3"/>
        <v>4639.8915000000006</v>
      </c>
      <c r="W11" s="528">
        <f t="shared" si="3"/>
        <v>6741.155999999999</v>
      </c>
      <c r="X11" s="528">
        <f t="shared" si="3"/>
        <v>6741.155999999999</v>
      </c>
      <c r="Y11" s="528">
        <f t="shared" si="3"/>
        <v>6575.3209999999999</v>
      </c>
      <c r="Z11" s="528">
        <f t="shared" si="3"/>
        <v>6575.3209999999999</v>
      </c>
      <c r="AA11" s="528">
        <f t="shared" si="3"/>
        <v>7190.5659999999998</v>
      </c>
      <c r="AB11" s="528">
        <f t="shared" si="3"/>
        <v>7190.5659999999998</v>
      </c>
    </row>
    <row r="12" spans="1:29" s="78" customFormat="1" ht="17.25" customHeight="1">
      <c r="A12" s="96" t="s">
        <v>543</v>
      </c>
      <c r="B12" s="449" t="s">
        <v>538</v>
      </c>
      <c r="C12" s="527">
        <f t="shared" ref="C12:AB12" si="4">C13+C15+C29+C32+C39+C45+C75+C89</f>
        <v>59698.728999999999</v>
      </c>
      <c r="D12" s="528">
        <f t="shared" si="4"/>
        <v>59647.728999999999</v>
      </c>
      <c r="E12" s="528">
        <f t="shared" si="4"/>
        <v>51</v>
      </c>
      <c r="F12" s="528">
        <f t="shared" si="4"/>
        <v>4850.0389999999998</v>
      </c>
      <c r="G12" s="528">
        <f t="shared" si="4"/>
        <v>4850.0389999999998</v>
      </c>
      <c r="H12" s="528">
        <f t="shared" si="4"/>
        <v>5469.2759999999998</v>
      </c>
      <c r="I12" s="528">
        <f t="shared" si="4"/>
        <v>5469.2759999999998</v>
      </c>
      <c r="J12" s="528">
        <f t="shared" si="4"/>
        <v>4248.7169999999996</v>
      </c>
      <c r="K12" s="528">
        <f t="shared" si="4"/>
        <v>4248.7169999999996</v>
      </c>
      <c r="L12" s="528">
        <f t="shared" si="4"/>
        <v>4408.6229999999996</v>
      </c>
      <c r="M12" s="528">
        <f t="shared" si="4"/>
        <v>4408.6229999999996</v>
      </c>
      <c r="N12" s="528">
        <f t="shared" si="4"/>
        <v>4267.26</v>
      </c>
      <c r="O12" s="528">
        <f t="shared" si="4"/>
        <v>4267.26</v>
      </c>
      <c r="P12" s="528">
        <f t="shared" si="4"/>
        <v>4587.24</v>
      </c>
      <c r="Q12" s="528">
        <f t="shared" si="4"/>
        <v>4587.24</v>
      </c>
      <c r="R12" s="528">
        <f t="shared" si="4"/>
        <v>6720.6395000000002</v>
      </c>
      <c r="S12" s="528">
        <f t="shared" si="4"/>
        <v>6669.6395000000002</v>
      </c>
      <c r="T12" s="528">
        <f t="shared" si="4"/>
        <v>51</v>
      </c>
      <c r="U12" s="528">
        <f t="shared" si="4"/>
        <v>4639.8915000000006</v>
      </c>
      <c r="V12" s="528">
        <f t="shared" si="4"/>
        <v>4639.8915000000006</v>
      </c>
      <c r="W12" s="528">
        <f t="shared" si="4"/>
        <v>6741.155999999999</v>
      </c>
      <c r="X12" s="528">
        <f t="shared" si="4"/>
        <v>6741.155999999999</v>
      </c>
      <c r="Y12" s="528">
        <f t="shared" si="4"/>
        <v>6575.3209999999999</v>
      </c>
      <c r="Z12" s="528">
        <f t="shared" si="4"/>
        <v>6575.3209999999999</v>
      </c>
      <c r="AA12" s="528">
        <f t="shared" si="4"/>
        <v>7190.5659999999998</v>
      </c>
      <c r="AB12" s="528">
        <f t="shared" si="4"/>
        <v>7190.5659999999998</v>
      </c>
    </row>
    <row r="13" spans="1:29" s="78" customFormat="1" ht="17.25" customHeight="1">
      <c r="A13" s="96">
        <v>1</v>
      </c>
      <c r="B13" s="449" t="s">
        <v>799</v>
      </c>
      <c r="C13" s="527">
        <f t="shared" ref="C13:AB13" si="5">SUM(C14)</f>
        <v>480</v>
      </c>
      <c r="D13" s="528">
        <f t="shared" si="5"/>
        <v>480</v>
      </c>
      <c r="E13" s="528">
        <f t="shared" si="5"/>
        <v>0</v>
      </c>
      <c r="F13" s="528">
        <f t="shared" si="5"/>
        <v>50</v>
      </c>
      <c r="G13" s="528">
        <f t="shared" si="5"/>
        <v>50</v>
      </c>
      <c r="H13" s="528">
        <f>SUM(H14)</f>
        <v>50</v>
      </c>
      <c r="I13" s="528">
        <f t="shared" si="5"/>
        <v>50</v>
      </c>
      <c r="J13" s="528">
        <f>SUM(J14)</f>
        <v>30</v>
      </c>
      <c r="K13" s="528">
        <f t="shared" si="5"/>
        <v>30</v>
      </c>
      <c r="L13" s="528">
        <f>SUM(L14)</f>
        <v>30</v>
      </c>
      <c r="M13" s="528">
        <f t="shared" si="5"/>
        <v>30</v>
      </c>
      <c r="N13" s="528">
        <f>SUM(N14)</f>
        <v>30</v>
      </c>
      <c r="O13" s="528">
        <f t="shared" si="5"/>
        <v>30</v>
      </c>
      <c r="P13" s="528">
        <f>SUM(P14)</f>
        <v>30</v>
      </c>
      <c r="Q13" s="528">
        <f t="shared" si="5"/>
        <v>30</v>
      </c>
      <c r="R13" s="528">
        <f>SUM(R14)</f>
        <v>70</v>
      </c>
      <c r="S13" s="528">
        <f t="shared" si="5"/>
        <v>70</v>
      </c>
      <c r="T13" s="528">
        <f t="shared" si="5"/>
        <v>0</v>
      </c>
      <c r="U13" s="528">
        <f>SUM(U14)</f>
        <v>30</v>
      </c>
      <c r="V13" s="528">
        <f t="shared" si="5"/>
        <v>30</v>
      </c>
      <c r="W13" s="528">
        <f>SUM(W14)</f>
        <v>50</v>
      </c>
      <c r="X13" s="528">
        <f t="shared" si="5"/>
        <v>50</v>
      </c>
      <c r="Y13" s="528">
        <f>SUM(Y14)</f>
        <v>50</v>
      </c>
      <c r="Z13" s="528">
        <f t="shared" si="5"/>
        <v>50</v>
      </c>
      <c r="AA13" s="528">
        <f>SUM(AA14)</f>
        <v>60</v>
      </c>
      <c r="AB13" s="528">
        <f t="shared" si="5"/>
        <v>60</v>
      </c>
    </row>
    <row r="14" spans="1:29" s="100" customFormat="1" ht="47.25" customHeight="1">
      <c r="A14" s="101" t="s">
        <v>255</v>
      </c>
      <c r="B14" s="99" t="s">
        <v>544</v>
      </c>
      <c r="C14" s="530">
        <f>SUM(D14:E14)</f>
        <v>480</v>
      </c>
      <c r="D14" s="529">
        <f>G14+I14+K14+M14+O14+Q14+S14+V14+X14+Z14+AB14</f>
        <v>480</v>
      </c>
      <c r="E14" s="529">
        <f>+T14</f>
        <v>0</v>
      </c>
      <c r="F14" s="529">
        <f>SUM(G14:G14)</f>
        <v>50</v>
      </c>
      <c r="G14" s="529">
        <v>50</v>
      </c>
      <c r="H14" s="529">
        <f>SUM(I14:I14)</f>
        <v>50</v>
      </c>
      <c r="I14" s="529">
        <v>50</v>
      </c>
      <c r="J14" s="529">
        <f>SUM(K14:K14)</f>
        <v>30</v>
      </c>
      <c r="K14" s="529">
        <v>30</v>
      </c>
      <c r="L14" s="529">
        <f>SUM(M14:M14)</f>
        <v>30</v>
      </c>
      <c r="M14" s="529">
        <v>30</v>
      </c>
      <c r="N14" s="529">
        <f>SUM(O14:O14)</f>
        <v>30</v>
      </c>
      <c r="O14" s="529">
        <v>30</v>
      </c>
      <c r="P14" s="529">
        <f>SUM(Q14:Q14)</f>
        <v>30</v>
      </c>
      <c r="Q14" s="529">
        <v>30</v>
      </c>
      <c r="R14" s="529">
        <f>SUM(S14:T14)</f>
        <v>70</v>
      </c>
      <c r="S14" s="529">
        <v>70</v>
      </c>
      <c r="T14" s="529"/>
      <c r="U14" s="529">
        <f>SUM(V14:V14)</f>
        <v>30</v>
      </c>
      <c r="V14" s="529">
        <v>30</v>
      </c>
      <c r="W14" s="529">
        <f>SUM(X14:X14)</f>
        <v>50</v>
      </c>
      <c r="X14" s="529">
        <v>50</v>
      </c>
      <c r="Y14" s="529">
        <f>SUM(Z14:Z14)</f>
        <v>50</v>
      </c>
      <c r="Z14" s="529">
        <v>50</v>
      </c>
      <c r="AA14" s="529">
        <f>SUM(AB14:AB14)</f>
        <v>60</v>
      </c>
      <c r="AB14" s="529">
        <v>60</v>
      </c>
    </row>
    <row r="15" spans="1:29" s="78" customFormat="1" ht="19.5" customHeight="1">
      <c r="A15" s="96">
        <v>2</v>
      </c>
      <c r="B15" s="449" t="s">
        <v>545</v>
      </c>
      <c r="C15" s="527">
        <f>C16+C19+C22+C23+C24+C25+C26+C27+C28</f>
        <v>4973.3</v>
      </c>
      <c r="D15" s="528">
        <f>D16+D19+D22+D23+D24+D25+D26+D27+D28</f>
        <v>4973.3</v>
      </c>
      <c r="E15" s="528">
        <f t="shared" ref="E15:AB15" si="6">E16+E19+E22+E23+E24+E25+E26+E27+E28</f>
        <v>0</v>
      </c>
      <c r="F15" s="528">
        <f t="shared" si="6"/>
        <v>191.36</v>
      </c>
      <c r="G15" s="528">
        <f t="shared" si="6"/>
        <v>191.36</v>
      </c>
      <c r="H15" s="528">
        <f t="shared" si="6"/>
        <v>652.92000000000007</v>
      </c>
      <c r="I15" s="528">
        <f t="shared" si="6"/>
        <v>652.92000000000007</v>
      </c>
      <c r="J15" s="528">
        <f t="shared" si="6"/>
        <v>397.53100000000001</v>
      </c>
      <c r="K15" s="528">
        <f t="shared" si="6"/>
        <v>397.53100000000001</v>
      </c>
      <c r="L15" s="528">
        <f>L16+L19+L22+L23+L24+L25+L26+L27+L28</f>
        <v>468.05400000000003</v>
      </c>
      <c r="M15" s="528">
        <f>M16+M19+M22+M23+M24+M25+M26+M27+M28</f>
        <v>468.05400000000003</v>
      </c>
      <c r="N15" s="528">
        <f t="shared" si="6"/>
        <v>443.39</v>
      </c>
      <c r="O15" s="528">
        <f t="shared" si="6"/>
        <v>443.39</v>
      </c>
      <c r="P15" s="528">
        <f t="shared" si="6"/>
        <v>334.54499999999996</v>
      </c>
      <c r="Q15" s="528">
        <f t="shared" si="6"/>
        <v>334.54499999999996</v>
      </c>
      <c r="R15" s="528">
        <f t="shared" si="6"/>
        <v>623.3175</v>
      </c>
      <c r="S15" s="528">
        <f t="shared" si="6"/>
        <v>623.3175</v>
      </c>
      <c r="T15" s="528">
        <f t="shared" si="6"/>
        <v>0</v>
      </c>
      <c r="U15" s="528">
        <f t="shared" si="6"/>
        <v>428.60450000000003</v>
      </c>
      <c r="V15" s="528">
        <f t="shared" si="6"/>
        <v>428.60450000000003</v>
      </c>
      <c r="W15" s="528">
        <f t="shared" si="6"/>
        <v>638.03</v>
      </c>
      <c r="X15" s="528">
        <f t="shared" si="6"/>
        <v>638.03</v>
      </c>
      <c r="Y15" s="528">
        <f t="shared" si="6"/>
        <v>477.07000000000005</v>
      </c>
      <c r="Z15" s="528">
        <f t="shared" si="6"/>
        <v>477.07000000000005</v>
      </c>
      <c r="AA15" s="528">
        <f t="shared" si="6"/>
        <v>318.47799999999995</v>
      </c>
      <c r="AB15" s="528">
        <f t="shared" si="6"/>
        <v>318.47799999999995</v>
      </c>
    </row>
    <row r="16" spans="1:29" s="78" customFormat="1" ht="19.5" customHeight="1">
      <c r="A16" s="96" t="s">
        <v>204</v>
      </c>
      <c r="B16" s="449" t="s">
        <v>546</v>
      </c>
      <c r="C16" s="527">
        <f>SUM(D16:E16)</f>
        <v>133.94999999999999</v>
      </c>
      <c r="D16" s="528">
        <f>G16+I16+K16+M16+O16+Q16+S16+V16+X16+Z16+AB16</f>
        <v>133.94999999999999</v>
      </c>
      <c r="E16" s="529">
        <f>+T16</f>
        <v>0</v>
      </c>
      <c r="F16" s="528">
        <f>SUM(G16:G16)</f>
        <v>0</v>
      </c>
      <c r="G16" s="528">
        <f>G17*G18</f>
        <v>0</v>
      </c>
      <c r="H16" s="528">
        <f>SUM(I16:I16)</f>
        <v>28.88</v>
      </c>
      <c r="I16" s="528">
        <f>(I17*I18)</f>
        <v>28.88</v>
      </c>
      <c r="J16" s="528">
        <f>SUM(K16:K16)</f>
        <v>28.480999999999998</v>
      </c>
      <c r="K16" s="528">
        <f>(K17*K18)</f>
        <v>28.480999999999998</v>
      </c>
      <c r="L16" s="528">
        <f>SUM(M16:M16)</f>
        <v>10.563999999999998</v>
      </c>
      <c r="M16" s="528">
        <f>M17*M18</f>
        <v>10.563999999999998</v>
      </c>
      <c r="N16" s="528">
        <f>SUM(O16:O16)</f>
        <v>0</v>
      </c>
      <c r="O16" s="528">
        <f>O17*O18</f>
        <v>0</v>
      </c>
      <c r="P16" s="528">
        <f>SUM(Q16:Q16)</f>
        <v>16.054999999999996</v>
      </c>
      <c r="Q16" s="528">
        <f>Q17*Q18</f>
        <v>16.054999999999996</v>
      </c>
      <c r="R16" s="528">
        <f>SUM(S16:T16)</f>
        <v>15.817499999999997</v>
      </c>
      <c r="S16" s="528">
        <f>S17*S18</f>
        <v>15.817499999999997</v>
      </c>
      <c r="T16" s="528"/>
      <c r="U16" s="528">
        <f>SUM(V16:V16)</f>
        <v>24.234500000000001</v>
      </c>
      <c r="V16" s="528">
        <f>V17*V18</f>
        <v>24.234500000000001</v>
      </c>
      <c r="W16" s="528">
        <f>SUM(X16:X16)</f>
        <v>0</v>
      </c>
      <c r="X16" s="528"/>
      <c r="Y16" s="528">
        <f>SUM(Z16:Z16)</f>
        <v>2.6599999999999997</v>
      </c>
      <c r="Z16" s="528">
        <f>Z17*Z18</f>
        <v>2.6599999999999997</v>
      </c>
      <c r="AA16" s="528">
        <f>SUM(AB16:AB16)</f>
        <v>7.2579999999999991</v>
      </c>
      <c r="AB16" s="528">
        <f>AB17*AB18</f>
        <v>7.2579999999999991</v>
      </c>
    </row>
    <row r="17" spans="1:28" s="100" customFormat="1" ht="19.5" hidden="1" customHeight="1">
      <c r="A17" s="101" t="s">
        <v>255</v>
      </c>
      <c r="B17" s="450" t="s">
        <v>547</v>
      </c>
      <c r="C17" s="530">
        <f>SUM(D17:E17)</f>
        <v>141</v>
      </c>
      <c r="D17" s="529">
        <f>G17+I17+K17+M17+O17+Q17+S17+V17+X17+Z17+AB17</f>
        <v>141</v>
      </c>
      <c r="E17" s="529">
        <f>+T17</f>
        <v>0</v>
      </c>
      <c r="F17" s="529"/>
      <c r="G17" s="529"/>
      <c r="H17" s="529">
        <f>SUM(I17:I17)</f>
        <v>30.4</v>
      </c>
      <c r="I17" s="529">
        <v>30.4</v>
      </c>
      <c r="J17" s="529">
        <f>SUM(K17:K17)</f>
        <v>29.98</v>
      </c>
      <c r="K17" s="529">
        <v>29.98</v>
      </c>
      <c r="L17" s="529">
        <f>SUM(M17:M17)</f>
        <v>11.12</v>
      </c>
      <c r="M17" s="529">
        <v>11.12</v>
      </c>
      <c r="N17" s="529">
        <f>SUM(O17:O17)</f>
        <v>0</v>
      </c>
      <c r="O17" s="529"/>
      <c r="P17" s="529">
        <f>SUM(Q17:Q17)</f>
        <v>16.899999999999999</v>
      </c>
      <c r="Q17" s="529">
        <v>16.899999999999999</v>
      </c>
      <c r="R17" s="529">
        <f>SUM(S17:T17)</f>
        <v>16.649999999999999</v>
      </c>
      <c r="S17" s="529">
        <v>16.649999999999999</v>
      </c>
      <c r="T17" s="529"/>
      <c r="U17" s="529">
        <f>SUM(V17:V17)</f>
        <v>25.51</v>
      </c>
      <c r="V17" s="529">
        <v>25.51</v>
      </c>
      <c r="W17" s="529">
        <f>SUM(X17:X17)</f>
        <v>0</v>
      </c>
      <c r="X17" s="529"/>
      <c r="Y17" s="529">
        <f>SUM(Z17:Z17)</f>
        <v>2.8</v>
      </c>
      <c r="Z17" s="529">
        <v>2.8</v>
      </c>
      <c r="AA17" s="529">
        <f>SUM(AB17:AB17)</f>
        <v>7.64</v>
      </c>
      <c r="AB17" s="529">
        <v>7.64</v>
      </c>
    </row>
    <row r="18" spans="1:28" s="100" customFormat="1" ht="17.25" hidden="1" customHeight="1">
      <c r="A18" s="101" t="s">
        <v>255</v>
      </c>
      <c r="B18" s="450" t="s">
        <v>548</v>
      </c>
      <c r="C18" s="527">
        <f>SUM(D18:E18)</f>
        <v>0</v>
      </c>
      <c r="D18" s="529"/>
      <c r="E18" s="529">
        <f>+T18</f>
        <v>0</v>
      </c>
      <c r="F18" s="529">
        <f>SUM(G18:G18)</f>
        <v>0.95</v>
      </c>
      <c r="G18" s="529">
        <v>0.95</v>
      </c>
      <c r="H18" s="529">
        <f>SUM(I18:I18)</f>
        <v>0.95</v>
      </c>
      <c r="I18" s="529">
        <v>0.95</v>
      </c>
      <c r="J18" s="529">
        <f>SUM(K18:K18)</f>
        <v>0.95</v>
      </c>
      <c r="K18" s="529">
        <v>0.95</v>
      </c>
      <c r="L18" s="529">
        <f>SUM(M18:M18)</f>
        <v>0.95</v>
      </c>
      <c r="M18" s="529">
        <v>0.95</v>
      </c>
      <c r="N18" s="529">
        <f>SUM(O18:O18)</f>
        <v>0</v>
      </c>
      <c r="O18" s="529"/>
      <c r="P18" s="529">
        <f>SUM(Q18:Q18)</f>
        <v>0.95</v>
      </c>
      <c r="Q18" s="529">
        <v>0.95</v>
      </c>
      <c r="R18" s="529">
        <f>SUM(S18:T18)</f>
        <v>0.95</v>
      </c>
      <c r="S18" s="529">
        <v>0.95</v>
      </c>
      <c r="T18" s="529"/>
      <c r="U18" s="529">
        <f>SUM(V18:V18)</f>
        <v>0.95</v>
      </c>
      <c r="V18" s="529">
        <v>0.95</v>
      </c>
      <c r="W18" s="529">
        <f>SUM(X18:X18)</f>
        <v>0</v>
      </c>
      <c r="X18" s="529"/>
      <c r="Y18" s="529">
        <f>SUM(Z18:Z18)</f>
        <v>0.95</v>
      </c>
      <c r="Z18" s="529">
        <v>0.95</v>
      </c>
      <c r="AA18" s="529">
        <f>SUM(AB18:AB18)</f>
        <v>0.95</v>
      </c>
      <c r="AB18" s="529">
        <v>0.95</v>
      </c>
    </row>
    <row r="19" spans="1:28" s="78" customFormat="1" ht="43.5" customHeight="1">
      <c r="A19" s="96" t="s">
        <v>206</v>
      </c>
      <c r="B19" s="446" t="s">
        <v>1036</v>
      </c>
      <c r="C19" s="527">
        <f t="shared" ref="C19:AB19" si="7">C20+C21</f>
        <v>1691</v>
      </c>
      <c r="D19" s="528">
        <f t="shared" si="7"/>
        <v>1691</v>
      </c>
      <c r="E19" s="528">
        <f t="shared" si="7"/>
        <v>0</v>
      </c>
      <c r="F19" s="528">
        <f t="shared" si="7"/>
        <v>30</v>
      </c>
      <c r="G19" s="528">
        <f t="shared" si="7"/>
        <v>30</v>
      </c>
      <c r="H19" s="528">
        <f t="shared" si="7"/>
        <v>260</v>
      </c>
      <c r="I19" s="528">
        <f>I20+I21</f>
        <v>260</v>
      </c>
      <c r="J19" s="528">
        <f t="shared" si="7"/>
        <v>135</v>
      </c>
      <c r="K19" s="528">
        <f t="shared" si="7"/>
        <v>135</v>
      </c>
      <c r="L19" s="528">
        <f t="shared" si="7"/>
        <v>136</v>
      </c>
      <c r="M19" s="528">
        <f t="shared" si="7"/>
        <v>136</v>
      </c>
      <c r="N19" s="528">
        <f t="shared" si="7"/>
        <v>130</v>
      </c>
      <c r="O19" s="528">
        <f t="shared" si="7"/>
        <v>130</v>
      </c>
      <c r="P19" s="528">
        <f t="shared" si="7"/>
        <v>65</v>
      </c>
      <c r="Q19" s="528">
        <f t="shared" si="7"/>
        <v>65</v>
      </c>
      <c r="R19" s="528">
        <f t="shared" si="7"/>
        <v>150</v>
      </c>
      <c r="S19" s="528">
        <f t="shared" si="7"/>
        <v>150</v>
      </c>
      <c r="T19" s="528">
        <f t="shared" si="7"/>
        <v>0</v>
      </c>
      <c r="U19" s="528">
        <f t="shared" si="7"/>
        <v>180</v>
      </c>
      <c r="V19" s="528">
        <f t="shared" si="7"/>
        <v>180</v>
      </c>
      <c r="W19" s="528">
        <f t="shared" si="7"/>
        <v>280</v>
      </c>
      <c r="X19" s="528">
        <f t="shared" si="7"/>
        <v>280</v>
      </c>
      <c r="Y19" s="528">
        <f t="shared" si="7"/>
        <v>75</v>
      </c>
      <c r="Z19" s="528">
        <f t="shared" si="7"/>
        <v>75</v>
      </c>
      <c r="AA19" s="528">
        <f t="shared" si="7"/>
        <v>250</v>
      </c>
      <c r="AB19" s="528">
        <f t="shared" si="7"/>
        <v>250</v>
      </c>
    </row>
    <row r="20" spans="1:28" s="100" customFormat="1" ht="21" hidden="1" customHeight="1">
      <c r="A20" s="98" t="s">
        <v>255</v>
      </c>
      <c r="B20" s="450" t="s">
        <v>549</v>
      </c>
      <c r="C20" s="530">
        <f t="shared" ref="C20:C28" si="8">SUM(D20:E20)</f>
        <v>1691</v>
      </c>
      <c r="D20" s="529">
        <f t="shared" ref="D20:D28" si="9">G20+I20+K20+M20+O20+Q20+S20+V20+X20+Z20+AB20</f>
        <v>1691</v>
      </c>
      <c r="E20" s="529">
        <f t="shared" ref="E20:E28" si="10">+T20</f>
        <v>0</v>
      </c>
      <c r="F20" s="529">
        <f>SUM(G20:G20)</f>
        <v>30</v>
      </c>
      <c r="G20" s="529">
        <v>30</v>
      </c>
      <c r="H20" s="529">
        <f>SUM(I20:I20)</f>
        <v>260</v>
      </c>
      <c r="I20" s="529">
        <v>260</v>
      </c>
      <c r="J20" s="529">
        <f>SUM(K20:K20)</f>
        <v>135</v>
      </c>
      <c r="K20" s="529">
        <v>135</v>
      </c>
      <c r="L20" s="529">
        <f>SUM(M20:M20)</f>
        <v>136</v>
      </c>
      <c r="M20" s="529">
        <v>136</v>
      </c>
      <c r="N20" s="529">
        <f>SUM(O20:O20)</f>
        <v>130</v>
      </c>
      <c r="O20" s="529">
        <v>130</v>
      </c>
      <c r="P20" s="529">
        <f>SUM(Q20:Q20)</f>
        <v>65</v>
      </c>
      <c r="Q20" s="529">
        <v>65</v>
      </c>
      <c r="R20" s="529">
        <f t="shared" ref="R20:R28" si="11">SUM(S20:T20)</f>
        <v>150</v>
      </c>
      <c r="S20" s="529">
        <v>150</v>
      </c>
      <c r="T20" s="529"/>
      <c r="U20" s="529">
        <f>SUM(V20:V20)</f>
        <v>180</v>
      </c>
      <c r="V20" s="529">
        <v>180</v>
      </c>
      <c r="W20" s="529">
        <f>SUM(X20:X20)</f>
        <v>280</v>
      </c>
      <c r="X20" s="529">
        <v>280</v>
      </c>
      <c r="Y20" s="529">
        <f>SUM(Z20:Z20)</f>
        <v>75</v>
      </c>
      <c r="Z20" s="529">
        <v>75</v>
      </c>
      <c r="AA20" s="529">
        <f>SUM(AB20:AB20)</f>
        <v>250</v>
      </c>
      <c r="AB20" s="529">
        <v>250</v>
      </c>
    </row>
    <row r="21" spans="1:28" s="100" customFormat="1" ht="21" hidden="1" customHeight="1">
      <c r="A21" s="98" t="s">
        <v>255</v>
      </c>
      <c r="B21" s="450" t="s">
        <v>550</v>
      </c>
      <c r="C21" s="530">
        <f t="shared" si="8"/>
        <v>0</v>
      </c>
      <c r="D21" s="529">
        <f t="shared" si="9"/>
        <v>0</v>
      </c>
      <c r="E21" s="529">
        <f t="shared" si="10"/>
        <v>0</v>
      </c>
      <c r="F21" s="529"/>
      <c r="G21" s="529"/>
      <c r="H21" s="529"/>
      <c r="I21" s="529"/>
      <c r="J21" s="529"/>
      <c r="K21" s="529"/>
      <c r="L21" s="529"/>
      <c r="M21" s="529"/>
      <c r="N21" s="529"/>
      <c r="O21" s="529"/>
      <c r="P21" s="529"/>
      <c r="Q21" s="529"/>
      <c r="R21" s="529">
        <f t="shared" si="11"/>
        <v>0</v>
      </c>
      <c r="S21" s="529"/>
      <c r="T21" s="529"/>
      <c r="U21" s="529"/>
      <c r="V21" s="529"/>
      <c r="W21" s="529"/>
      <c r="X21" s="529"/>
      <c r="Y21" s="529"/>
      <c r="Z21" s="529"/>
      <c r="AA21" s="529"/>
      <c r="AB21" s="529"/>
    </row>
    <row r="22" spans="1:28" s="78" customFormat="1" ht="21" customHeight="1">
      <c r="A22" s="96" t="s">
        <v>208</v>
      </c>
      <c r="B22" s="449" t="s">
        <v>551</v>
      </c>
      <c r="C22" s="527">
        <f t="shared" si="8"/>
        <v>943.00000000000011</v>
      </c>
      <c r="D22" s="528">
        <f t="shared" si="9"/>
        <v>943.00000000000011</v>
      </c>
      <c r="E22" s="529">
        <f t="shared" si="10"/>
        <v>0</v>
      </c>
      <c r="F22" s="528">
        <f t="shared" ref="F22:F28" si="12">SUM(G22:G22)</f>
        <v>126.31</v>
      </c>
      <c r="G22" s="528">
        <v>126.31</v>
      </c>
      <c r="H22" s="528">
        <f t="shared" ref="H22:H28" si="13">SUM(I22:I22)</f>
        <v>72.489999999999995</v>
      </c>
      <c r="I22" s="528">
        <v>72.489999999999995</v>
      </c>
      <c r="J22" s="528">
        <f t="shared" ref="J22:J28" si="14">SUM(K22:K22)</f>
        <v>43</v>
      </c>
      <c r="K22" s="528">
        <v>43</v>
      </c>
      <c r="L22" s="528">
        <f t="shared" ref="L22:L28" si="15">SUM(M22:M22)</f>
        <v>125.94</v>
      </c>
      <c r="M22" s="528">
        <v>125.94</v>
      </c>
      <c r="N22" s="528">
        <f t="shared" ref="N22:N28" si="16">SUM(O22:O22)</f>
        <v>123.24</v>
      </c>
      <c r="O22" s="528">
        <v>123.24</v>
      </c>
      <c r="P22" s="528">
        <f t="shared" ref="P22:P28" si="17">SUM(Q22:Q22)</f>
        <v>46.44</v>
      </c>
      <c r="Q22" s="528">
        <v>46.44</v>
      </c>
      <c r="R22" s="528">
        <f t="shared" si="11"/>
        <v>167.1</v>
      </c>
      <c r="S22" s="528">
        <v>167.1</v>
      </c>
      <c r="T22" s="528"/>
      <c r="U22" s="528">
        <f t="shared" ref="U22:U28" si="18">SUM(V22:V22)</f>
        <v>31.82</v>
      </c>
      <c r="V22" s="528">
        <v>31.82</v>
      </c>
      <c r="W22" s="528">
        <f t="shared" ref="W22:W28" si="19">SUM(X22:X22)</f>
        <v>61.43</v>
      </c>
      <c r="X22" s="528">
        <v>61.43</v>
      </c>
      <c r="Y22" s="528">
        <f t="shared" ref="Y22:Y28" si="20">SUM(Z22:Z22)</f>
        <v>114.51</v>
      </c>
      <c r="Z22" s="528">
        <v>114.51</v>
      </c>
      <c r="AA22" s="528">
        <f t="shared" ref="AA22:AA28" si="21">SUM(AB22:AB22)</f>
        <v>30.72</v>
      </c>
      <c r="AB22" s="528">
        <v>30.72</v>
      </c>
    </row>
    <row r="23" spans="1:28" s="78" customFormat="1" ht="54.75" customHeight="1">
      <c r="A23" s="96" t="s">
        <v>216</v>
      </c>
      <c r="B23" s="446" t="s">
        <v>800</v>
      </c>
      <c r="C23" s="527">
        <f t="shared" si="8"/>
        <v>197.60000000000002</v>
      </c>
      <c r="D23" s="528">
        <f t="shared" si="9"/>
        <v>197.60000000000002</v>
      </c>
      <c r="E23" s="529">
        <f t="shared" si="10"/>
        <v>0</v>
      </c>
      <c r="F23" s="528">
        <f t="shared" si="12"/>
        <v>25.65</v>
      </c>
      <c r="G23" s="528">
        <f>(7.4+1.6+0.15+1.5)+15</f>
        <v>25.65</v>
      </c>
      <c r="H23" s="528">
        <f t="shared" si="13"/>
        <v>25.450000000000003</v>
      </c>
      <c r="I23" s="528">
        <f>(7.4+1.4+0.15+1.5)+15</f>
        <v>25.450000000000003</v>
      </c>
      <c r="J23" s="528">
        <f t="shared" si="14"/>
        <v>12.3</v>
      </c>
      <c r="K23" s="528">
        <f>(5.4+0.6+0.15)*2</f>
        <v>12.3</v>
      </c>
      <c r="L23" s="528">
        <f t="shared" si="15"/>
        <v>18.100000000000001</v>
      </c>
      <c r="M23" s="528">
        <f>(6.4+1+0.15+1.5)*2</f>
        <v>18.100000000000001</v>
      </c>
      <c r="N23" s="528">
        <f t="shared" si="16"/>
        <v>12.700000000000001</v>
      </c>
      <c r="O23" s="528">
        <f>(5.4+0.8+0.15)*2</f>
        <v>12.700000000000001</v>
      </c>
      <c r="P23" s="528">
        <f t="shared" si="17"/>
        <v>12.700000000000001</v>
      </c>
      <c r="Q23" s="528">
        <f>(5.4+0.8+0.15)*2</f>
        <v>12.700000000000001</v>
      </c>
      <c r="R23" s="528">
        <f t="shared" si="11"/>
        <v>24.900000000000002</v>
      </c>
      <c r="S23" s="528">
        <f>(7.4+1.4+0.15+1.5+2)*2</f>
        <v>24.900000000000002</v>
      </c>
      <c r="T23" s="528"/>
      <c r="U23" s="528">
        <f t="shared" si="18"/>
        <v>12.3</v>
      </c>
      <c r="V23" s="528">
        <f>(5.4+0.6+0.15)*2</f>
        <v>12.3</v>
      </c>
      <c r="W23" s="528">
        <f t="shared" si="19"/>
        <v>15.900000000000002</v>
      </c>
      <c r="X23" s="528">
        <f>(6.4+1.4+0.15)*2</f>
        <v>15.900000000000002</v>
      </c>
      <c r="Y23" s="528">
        <f t="shared" si="20"/>
        <v>18.5</v>
      </c>
      <c r="Z23" s="528">
        <f>(6.4+1.2+0.15+1.5)*2</f>
        <v>18.5</v>
      </c>
      <c r="AA23" s="528">
        <f t="shared" si="21"/>
        <v>19.100000000000001</v>
      </c>
      <c r="AB23" s="528">
        <f>(7.4+2+0.15)*2</f>
        <v>19.100000000000001</v>
      </c>
    </row>
    <row r="24" spans="1:28" s="78" customFormat="1" ht="31.5" customHeight="1">
      <c r="A24" s="96" t="s">
        <v>217</v>
      </c>
      <c r="B24" s="446" t="s">
        <v>801</v>
      </c>
      <c r="C24" s="527">
        <f t="shared" si="8"/>
        <v>0</v>
      </c>
      <c r="D24" s="528">
        <f t="shared" si="9"/>
        <v>0</v>
      </c>
      <c r="E24" s="529">
        <f t="shared" si="10"/>
        <v>0</v>
      </c>
      <c r="F24" s="528">
        <f t="shared" si="12"/>
        <v>0</v>
      </c>
      <c r="G24" s="528"/>
      <c r="H24" s="528">
        <f t="shared" si="13"/>
        <v>0</v>
      </c>
      <c r="I24" s="528">
        <v>0</v>
      </c>
      <c r="J24" s="528">
        <f t="shared" si="14"/>
        <v>0</v>
      </c>
      <c r="K24" s="528"/>
      <c r="L24" s="528">
        <f t="shared" si="15"/>
        <v>0</v>
      </c>
      <c r="M24" s="528"/>
      <c r="N24" s="528">
        <f t="shared" si="16"/>
        <v>0</v>
      </c>
      <c r="O24" s="528"/>
      <c r="P24" s="528">
        <f t="shared" si="17"/>
        <v>0</v>
      </c>
      <c r="Q24" s="528"/>
      <c r="R24" s="528">
        <f t="shared" si="11"/>
        <v>0</v>
      </c>
      <c r="S24" s="528"/>
      <c r="T24" s="528"/>
      <c r="U24" s="528">
        <f t="shared" si="18"/>
        <v>0</v>
      </c>
      <c r="V24" s="528"/>
      <c r="W24" s="528">
        <f t="shared" si="19"/>
        <v>0</v>
      </c>
      <c r="X24" s="528"/>
      <c r="Y24" s="528">
        <f t="shared" si="20"/>
        <v>0</v>
      </c>
      <c r="Z24" s="528"/>
      <c r="AA24" s="528">
        <f t="shared" si="21"/>
        <v>0</v>
      </c>
      <c r="AB24" s="528"/>
    </row>
    <row r="25" spans="1:28" s="78" customFormat="1" ht="65.25" hidden="1" customHeight="1">
      <c r="A25" s="96" t="s">
        <v>218</v>
      </c>
      <c r="B25" s="288" t="s">
        <v>802</v>
      </c>
      <c r="C25" s="527">
        <f t="shared" ref="C25:C27" si="22">SUM(D25:E25)</f>
        <v>0</v>
      </c>
      <c r="D25" s="528">
        <f t="shared" si="9"/>
        <v>0</v>
      </c>
      <c r="E25" s="529">
        <f t="shared" si="10"/>
        <v>0</v>
      </c>
      <c r="F25" s="528">
        <f t="shared" si="12"/>
        <v>0</v>
      </c>
      <c r="G25" s="528"/>
      <c r="H25" s="528">
        <f t="shared" si="13"/>
        <v>0</v>
      </c>
      <c r="I25" s="528"/>
      <c r="J25" s="528">
        <f t="shared" si="14"/>
        <v>0</v>
      </c>
      <c r="K25" s="528"/>
      <c r="L25" s="528">
        <f t="shared" si="15"/>
        <v>0</v>
      </c>
      <c r="M25" s="528"/>
      <c r="N25" s="528">
        <f t="shared" si="16"/>
        <v>0</v>
      </c>
      <c r="O25" s="528"/>
      <c r="P25" s="528">
        <f t="shared" si="17"/>
        <v>0</v>
      </c>
      <c r="Q25" s="528"/>
      <c r="R25" s="528">
        <f t="shared" si="11"/>
        <v>0</v>
      </c>
      <c r="S25" s="528"/>
      <c r="T25" s="528"/>
      <c r="U25" s="528">
        <f t="shared" si="18"/>
        <v>0</v>
      </c>
      <c r="V25" s="528"/>
      <c r="W25" s="528">
        <f t="shared" si="19"/>
        <v>0</v>
      </c>
      <c r="X25" s="528"/>
      <c r="Y25" s="528">
        <f t="shared" si="20"/>
        <v>0</v>
      </c>
      <c r="Z25" s="528"/>
      <c r="AA25" s="528">
        <f t="shared" si="21"/>
        <v>0</v>
      </c>
      <c r="AB25" s="528"/>
    </row>
    <row r="26" spans="1:28" s="78" customFormat="1" ht="34.5" customHeight="1">
      <c r="A26" s="96" t="s">
        <v>219</v>
      </c>
      <c r="B26" s="288" t="s">
        <v>1025</v>
      </c>
      <c r="C26" s="527">
        <f t="shared" si="22"/>
        <v>64</v>
      </c>
      <c r="D26" s="528">
        <f t="shared" si="9"/>
        <v>64</v>
      </c>
      <c r="E26" s="529">
        <f t="shared" si="10"/>
        <v>0</v>
      </c>
      <c r="F26" s="528">
        <f t="shared" si="12"/>
        <v>7</v>
      </c>
      <c r="G26" s="528">
        <v>7</v>
      </c>
      <c r="H26" s="528">
        <f t="shared" si="13"/>
        <v>7</v>
      </c>
      <c r="I26" s="528">
        <v>7</v>
      </c>
      <c r="J26" s="528">
        <f t="shared" si="14"/>
        <v>1</v>
      </c>
      <c r="K26" s="528">
        <v>1</v>
      </c>
      <c r="L26" s="528">
        <f t="shared" si="15"/>
        <v>0</v>
      </c>
      <c r="M26" s="528"/>
      <c r="N26" s="528">
        <f t="shared" si="16"/>
        <v>0</v>
      </c>
      <c r="O26" s="528"/>
      <c r="P26" s="528">
        <f t="shared" si="17"/>
        <v>13</v>
      </c>
      <c r="Q26" s="529">
        <v>13</v>
      </c>
      <c r="R26" s="528">
        <f t="shared" si="11"/>
        <v>6</v>
      </c>
      <c r="S26" s="529">
        <v>6</v>
      </c>
      <c r="T26" s="528"/>
      <c r="U26" s="528">
        <f t="shared" si="18"/>
        <v>1</v>
      </c>
      <c r="V26" s="529">
        <v>1</v>
      </c>
      <c r="W26" s="528">
        <f t="shared" si="19"/>
        <v>17</v>
      </c>
      <c r="X26" s="529">
        <v>17</v>
      </c>
      <c r="Y26" s="528">
        <f t="shared" si="20"/>
        <v>6</v>
      </c>
      <c r="Z26" s="529">
        <v>6</v>
      </c>
      <c r="AA26" s="528">
        <f t="shared" si="21"/>
        <v>6</v>
      </c>
      <c r="AB26" s="529">
        <v>6</v>
      </c>
    </row>
    <row r="27" spans="1:28" s="78" customFormat="1" ht="42" customHeight="1">
      <c r="A27" s="96" t="s">
        <v>220</v>
      </c>
      <c r="B27" s="288" t="s">
        <v>1026</v>
      </c>
      <c r="C27" s="527">
        <f t="shared" si="22"/>
        <v>24.5</v>
      </c>
      <c r="D27" s="528">
        <f t="shared" si="9"/>
        <v>24.5</v>
      </c>
      <c r="E27" s="529">
        <f t="shared" si="10"/>
        <v>0</v>
      </c>
      <c r="F27" s="528">
        <f t="shared" si="12"/>
        <v>2.4</v>
      </c>
      <c r="G27" s="528">
        <v>2.4</v>
      </c>
      <c r="H27" s="528">
        <f t="shared" si="13"/>
        <v>1.1000000000000001</v>
      </c>
      <c r="I27" s="528">
        <v>1.1000000000000001</v>
      </c>
      <c r="J27" s="528">
        <f t="shared" si="14"/>
        <v>0.3</v>
      </c>
      <c r="K27" s="528">
        <v>0.3</v>
      </c>
      <c r="L27" s="528">
        <f t="shared" si="15"/>
        <v>0</v>
      </c>
      <c r="M27" s="528"/>
      <c r="N27" s="528">
        <f t="shared" si="16"/>
        <v>0</v>
      </c>
      <c r="O27" s="528"/>
      <c r="P27" s="528">
        <f t="shared" si="17"/>
        <v>3.9</v>
      </c>
      <c r="Q27" s="528">
        <v>3.9</v>
      </c>
      <c r="R27" s="528">
        <f t="shared" si="11"/>
        <v>1.5</v>
      </c>
      <c r="S27" s="528">
        <v>1.5</v>
      </c>
      <c r="T27" s="528"/>
      <c r="U27" s="528">
        <f t="shared" si="18"/>
        <v>1.8</v>
      </c>
      <c r="V27" s="528">
        <v>1.8</v>
      </c>
      <c r="W27" s="528">
        <f t="shared" si="19"/>
        <v>5.7</v>
      </c>
      <c r="X27" s="528">
        <v>5.7</v>
      </c>
      <c r="Y27" s="528">
        <f t="shared" si="20"/>
        <v>2.4</v>
      </c>
      <c r="Z27" s="528">
        <v>2.4</v>
      </c>
      <c r="AA27" s="528">
        <f t="shared" si="21"/>
        <v>5.4</v>
      </c>
      <c r="AB27" s="528">
        <v>5.4</v>
      </c>
    </row>
    <row r="28" spans="1:28" s="78" customFormat="1" ht="48" customHeight="1">
      <c r="A28" s="96" t="s">
        <v>222</v>
      </c>
      <c r="B28" s="288" t="s">
        <v>1027</v>
      </c>
      <c r="C28" s="527">
        <f t="shared" si="8"/>
        <v>1919.25</v>
      </c>
      <c r="D28" s="528">
        <f t="shared" si="9"/>
        <v>1919.25</v>
      </c>
      <c r="E28" s="529">
        <f t="shared" si="10"/>
        <v>0</v>
      </c>
      <c r="F28" s="528">
        <f t="shared" si="12"/>
        <v>0</v>
      </c>
      <c r="G28" s="528"/>
      <c r="H28" s="528">
        <f t="shared" si="13"/>
        <v>258</v>
      </c>
      <c r="I28" s="528">
        <v>258</v>
      </c>
      <c r="J28" s="528">
        <f t="shared" si="14"/>
        <v>177.45</v>
      </c>
      <c r="K28" s="528">
        <v>177.45</v>
      </c>
      <c r="L28" s="528">
        <f t="shared" si="15"/>
        <v>177.45</v>
      </c>
      <c r="M28" s="528">
        <v>177.45</v>
      </c>
      <c r="N28" s="528">
        <f t="shared" si="16"/>
        <v>177.45</v>
      </c>
      <c r="O28" s="528">
        <v>177.45</v>
      </c>
      <c r="P28" s="528">
        <f t="shared" si="17"/>
        <v>177.45</v>
      </c>
      <c r="Q28" s="528">
        <v>177.45</v>
      </c>
      <c r="R28" s="528">
        <f t="shared" si="11"/>
        <v>258</v>
      </c>
      <c r="S28" s="528">
        <v>258</v>
      </c>
      <c r="T28" s="528"/>
      <c r="U28" s="528">
        <f t="shared" si="18"/>
        <v>177.45</v>
      </c>
      <c r="V28" s="528">
        <v>177.45</v>
      </c>
      <c r="W28" s="528">
        <f t="shared" si="19"/>
        <v>258</v>
      </c>
      <c r="X28" s="528">
        <v>258</v>
      </c>
      <c r="Y28" s="528">
        <f t="shared" si="20"/>
        <v>258</v>
      </c>
      <c r="Z28" s="528">
        <v>258</v>
      </c>
      <c r="AA28" s="528">
        <f t="shared" si="21"/>
        <v>0</v>
      </c>
      <c r="AB28" s="528"/>
    </row>
    <row r="29" spans="1:28" s="78" customFormat="1" ht="22.5" customHeight="1">
      <c r="A29" s="96">
        <v>3</v>
      </c>
      <c r="B29" s="449" t="s">
        <v>552</v>
      </c>
      <c r="C29" s="527">
        <f t="shared" ref="C29:AB29" si="23">SUM(C30:C31)</f>
        <v>970</v>
      </c>
      <c r="D29" s="528">
        <f>SUM(D30:D31)</f>
        <v>970</v>
      </c>
      <c r="E29" s="528">
        <f t="shared" si="23"/>
        <v>0</v>
      </c>
      <c r="F29" s="528">
        <f t="shared" si="23"/>
        <v>50</v>
      </c>
      <c r="G29" s="528">
        <f t="shared" si="23"/>
        <v>50</v>
      </c>
      <c r="H29" s="528">
        <f>SUM(H30:H31)</f>
        <v>150</v>
      </c>
      <c r="I29" s="528">
        <f t="shared" si="23"/>
        <v>150</v>
      </c>
      <c r="J29" s="528">
        <f>SUM(J30:J31)</f>
        <v>150</v>
      </c>
      <c r="K29" s="528">
        <f t="shared" si="23"/>
        <v>150</v>
      </c>
      <c r="L29" s="528">
        <f>SUM(L30:L31)</f>
        <v>50</v>
      </c>
      <c r="M29" s="528">
        <f t="shared" si="23"/>
        <v>50</v>
      </c>
      <c r="N29" s="528">
        <f>SUM(N30:N31)</f>
        <v>50</v>
      </c>
      <c r="O29" s="528">
        <f t="shared" si="23"/>
        <v>50</v>
      </c>
      <c r="P29" s="528">
        <f>SUM(P30:P31)</f>
        <v>50</v>
      </c>
      <c r="Q29" s="528">
        <f t="shared" si="23"/>
        <v>50</v>
      </c>
      <c r="R29" s="528">
        <f>SUM(R30:R31)</f>
        <v>170</v>
      </c>
      <c r="S29" s="528">
        <f t="shared" si="23"/>
        <v>170</v>
      </c>
      <c r="T29" s="528">
        <f t="shared" si="23"/>
        <v>0</v>
      </c>
      <c r="U29" s="528">
        <f>SUM(U30:U31)</f>
        <v>50</v>
      </c>
      <c r="V29" s="528">
        <f t="shared" si="23"/>
        <v>50</v>
      </c>
      <c r="W29" s="528">
        <f>SUM(W30:W31)</f>
        <v>150</v>
      </c>
      <c r="X29" s="528">
        <f t="shared" si="23"/>
        <v>150</v>
      </c>
      <c r="Y29" s="528">
        <f>SUM(Y30:Y31)</f>
        <v>50</v>
      </c>
      <c r="Z29" s="528">
        <f t="shared" si="23"/>
        <v>50</v>
      </c>
      <c r="AA29" s="528">
        <f>SUM(AA30:AA31)</f>
        <v>50</v>
      </c>
      <c r="AB29" s="528">
        <f t="shared" si="23"/>
        <v>50</v>
      </c>
    </row>
    <row r="30" spans="1:28" s="100" customFormat="1" ht="51" customHeight="1">
      <c r="A30" s="101" t="s">
        <v>255</v>
      </c>
      <c r="B30" s="99" t="s">
        <v>1028</v>
      </c>
      <c r="C30" s="530">
        <f>SUM(D30:E30)</f>
        <v>970</v>
      </c>
      <c r="D30" s="529">
        <f>G30+I30+K30+M30+O30+Q30+S30+V30+X30+Z30+AB30</f>
        <v>970</v>
      </c>
      <c r="E30" s="529">
        <f>+T30</f>
        <v>0</v>
      </c>
      <c r="F30" s="529">
        <f>SUM(G30:G30)</f>
        <v>50</v>
      </c>
      <c r="G30" s="529">
        <v>50</v>
      </c>
      <c r="H30" s="529">
        <f>SUM(I30:I30)</f>
        <v>150</v>
      </c>
      <c r="I30" s="529">
        <v>150</v>
      </c>
      <c r="J30" s="529">
        <f>SUM(K30:K30)</f>
        <v>150</v>
      </c>
      <c r="K30" s="529">
        <v>150</v>
      </c>
      <c r="L30" s="529">
        <f>SUM(M30:M30)</f>
        <v>50</v>
      </c>
      <c r="M30" s="529">
        <v>50</v>
      </c>
      <c r="N30" s="529">
        <f>SUM(O30:O30)</f>
        <v>50</v>
      </c>
      <c r="O30" s="529">
        <v>50</v>
      </c>
      <c r="P30" s="529">
        <f>SUM(Q30:Q30)</f>
        <v>50</v>
      </c>
      <c r="Q30" s="529">
        <v>50</v>
      </c>
      <c r="R30" s="529">
        <f>SUM(S30:T30)</f>
        <v>170</v>
      </c>
      <c r="S30" s="529">
        <v>170</v>
      </c>
      <c r="T30" s="529"/>
      <c r="U30" s="529">
        <f>SUM(V30:V30)</f>
        <v>50</v>
      </c>
      <c r="V30" s="529">
        <v>50</v>
      </c>
      <c r="W30" s="529">
        <f>SUM(X30:X30)</f>
        <v>150</v>
      </c>
      <c r="X30" s="529">
        <v>150</v>
      </c>
      <c r="Y30" s="529">
        <f>SUM(Z30:Z30)</f>
        <v>50</v>
      </c>
      <c r="Z30" s="529">
        <v>50</v>
      </c>
      <c r="AA30" s="529">
        <f>SUM(AB30:AB30)</f>
        <v>50</v>
      </c>
      <c r="AB30" s="529">
        <v>50</v>
      </c>
    </row>
    <row r="31" spans="1:28" s="100" customFormat="1" ht="22.5" hidden="1" customHeight="1">
      <c r="A31" s="98" t="s">
        <v>255</v>
      </c>
      <c r="B31" s="450"/>
      <c r="C31" s="530">
        <f>SUM(D31:E31)</f>
        <v>0</v>
      </c>
      <c r="D31" s="529">
        <f>G31+I31+K31+M31+O31+Q31+S31+V31+X31+Z31+AB31</f>
        <v>0</v>
      </c>
      <c r="E31" s="529">
        <f>+T31</f>
        <v>0</v>
      </c>
      <c r="F31" s="529">
        <f>SUM(G31:G31)</f>
        <v>0</v>
      </c>
      <c r="G31" s="529"/>
      <c r="H31" s="529">
        <f>SUM(I31:I31)</f>
        <v>0</v>
      </c>
      <c r="I31" s="529"/>
      <c r="J31" s="529">
        <f>SUM(K31:K31)</f>
        <v>0</v>
      </c>
      <c r="K31" s="529"/>
      <c r="L31" s="529">
        <f>SUM(M31:M31)</f>
        <v>0</v>
      </c>
      <c r="M31" s="529"/>
      <c r="N31" s="529">
        <f>SUM(O31:O31)</f>
        <v>0</v>
      </c>
      <c r="O31" s="529"/>
      <c r="P31" s="529">
        <f>SUM(Q31:Q31)</f>
        <v>0</v>
      </c>
      <c r="Q31" s="529"/>
      <c r="R31" s="529">
        <f>SUM(S31:T31)</f>
        <v>0</v>
      </c>
      <c r="S31" s="529"/>
      <c r="T31" s="529"/>
      <c r="U31" s="529">
        <f>SUM(V31:V31)</f>
        <v>0</v>
      </c>
      <c r="V31" s="529"/>
      <c r="W31" s="529">
        <f>SUM(X31:X31)</f>
        <v>0</v>
      </c>
      <c r="X31" s="529"/>
      <c r="Y31" s="529">
        <f>SUM(Z31:Z31)</f>
        <v>0</v>
      </c>
      <c r="Z31" s="529"/>
      <c r="AA31" s="529">
        <f>SUM(AB31:AB31)</f>
        <v>0</v>
      </c>
      <c r="AB31" s="529"/>
    </row>
    <row r="32" spans="1:28" s="78" customFormat="1" ht="22.5" customHeight="1">
      <c r="A32" s="96">
        <v>4</v>
      </c>
      <c r="B32" s="449" t="s">
        <v>816</v>
      </c>
      <c r="C32" s="527">
        <f>C33+C35+C36+C37+C38</f>
        <v>691</v>
      </c>
      <c r="D32" s="528">
        <f t="shared" ref="D32:AB32" si="24">D33+D35+D36</f>
        <v>640</v>
      </c>
      <c r="E32" s="528">
        <f t="shared" si="24"/>
        <v>51</v>
      </c>
      <c r="F32" s="528">
        <f t="shared" si="24"/>
        <v>65</v>
      </c>
      <c r="G32" s="528">
        <f t="shared" si="24"/>
        <v>65</v>
      </c>
      <c r="H32" s="528">
        <f>H33+H35+H36+H37+H38</f>
        <v>65</v>
      </c>
      <c r="I32" s="528">
        <f>I33+I35+I36+I37+I38</f>
        <v>65</v>
      </c>
      <c r="J32" s="528">
        <f t="shared" si="24"/>
        <v>50</v>
      </c>
      <c r="K32" s="528">
        <f t="shared" si="24"/>
        <v>50</v>
      </c>
      <c r="L32" s="528">
        <f t="shared" si="24"/>
        <v>50</v>
      </c>
      <c r="M32" s="528">
        <f t="shared" si="24"/>
        <v>50</v>
      </c>
      <c r="N32" s="528">
        <f t="shared" si="24"/>
        <v>50</v>
      </c>
      <c r="O32" s="528">
        <f t="shared" si="24"/>
        <v>50</v>
      </c>
      <c r="P32" s="528">
        <f t="shared" si="24"/>
        <v>50</v>
      </c>
      <c r="Q32" s="528">
        <f t="shared" si="24"/>
        <v>50</v>
      </c>
      <c r="R32" s="528">
        <f t="shared" si="24"/>
        <v>116</v>
      </c>
      <c r="S32" s="528">
        <f t="shared" si="24"/>
        <v>65</v>
      </c>
      <c r="T32" s="528">
        <f t="shared" si="24"/>
        <v>51</v>
      </c>
      <c r="U32" s="528">
        <f t="shared" si="24"/>
        <v>50</v>
      </c>
      <c r="V32" s="528">
        <f t="shared" si="24"/>
        <v>50</v>
      </c>
      <c r="W32" s="528">
        <f t="shared" si="24"/>
        <v>65</v>
      </c>
      <c r="X32" s="528">
        <f t="shared" si="24"/>
        <v>65</v>
      </c>
      <c r="Y32" s="528">
        <f t="shared" si="24"/>
        <v>65</v>
      </c>
      <c r="Z32" s="528">
        <f t="shared" si="24"/>
        <v>65</v>
      </c>
      <c r="AA32" s="528">
        <f t="shared" si="24"/>
        <v>65</v>
      </c>
      <c r="AB32" s="528">
        <f t="shared" si="24"/>
        <v>65</v>
      </c>
    </row>
    <row r="33" spans="1:28" s="100" customFormat="1" ht="22.5" customHeight="1">
      <c r="A33" s="98" t="s">
        <v>255</v>
      </c>
      <c r="B33" s="450" t="s">
        <v>553</v>
      </c>
      <c r="C33" s="530">
        <f>SUM(D33:E33)</f>
        <v>246</v>
      </c>
      <c r="D33" s="529">
        <f>G33+I33+K33+M33+O33+Q33+S33+V33+X33+Z33+AB33</f>
        <v>195</v>
      </c>
      <c r="E33" s="529">
        <f>+T33</f>
        <v>51</v>
      </c>
      <c r="F33" s="529">
        <f>SUM(G33:G33)</f>
        <v>20</v>
      </c>
      <c r="G33" s="529">
        <v>20</v>
      </c>
      <c r="H33" s="529">
        <f>SUM(I33:I33)</f>
        <v>20</v>
      </c>
      <c r="I33" s="529">
        <v>20</v>
      </c>
      <c r="J33" s="529">
        <f>SUM(K33:K33)</f>
        <v>15</v>
      </c>
      <c r="K33" s="529">
        <v>15</v>
      </c>
      <c r="L33" s="529">
        <f>SUM(M33:M33)</f>
        <v>15</v>
      </c>
      <c r="M33" s="529">
        <v>15</v>
      </c>
      <c r="N33" s="529">
        <f>SUM(O33:O33)</f>
        <v>15</v>
      </c>
      <c r="O33" s="529">
        <v>15</v>
      </c>
      <c r="P33" s="529">
        <f>SUM(Q33:Q33)</f>
        <v>15</v>
      </c>
      <c r="Q33" s="529">
        <v>15</v>
      </c>
      <c r="R33" s="529">
        <f>SUM(S33:T33)</f>
        <v>71</v>
      </c>
      <c r="S33" s="529">
        <f>20</f>
        <v>20</v>
      </c>
      <c r="T33" s="529">
        <v>51</v>
      </c>
      <c r="U33" s="529">
        <f>SUM(V33:V33)</f>
        <v>15</v>
      </c>
      <c r="V33" s="529">
        <v>15</v>
      </c>
      <c r="W33" s="529">
        <f>SUM(X33:X33)</f>
        <v>20</v>
      </c>
      <c r="X33" s="529">
        <v>20</v>
      </c>
      <c r="Y33" s="529">
        <f>SUM(Z33:Z33)</f>
        <v>20</v>
      </c>
      <c r="Z33" s="529">
        <v>20</v>
      </c>
      <c r="AA33" s="529">
        <f>SUM(AB33:AB33)</f>
        <v>20</v>
      </c>
      <c r="AB33" s="529">
        <v>20</v>
      </c>
    </row>
    <row r="34" spans="1:28" s="100" customFormat="1" ht="43.5" customHeight="1">
      <c r="A34" s="98"/>
      <c r="B34" s="99" t="s">
        <v>691</v>
      </c>
      <c r="C34" s="530">
        <f>SUM(D34:E34)</f>
        <v>51</v>
      </c>
      <c r="D34" s="529"/>
      <c r="E34" s="529">
        <f t="shared" ref="E34:E74" si="25">+T34</f>
        <v>51</v>
      </c>
      <c r="F34" s="529"/>
      <c r="G34" s="529"/>
      <c r="H34" s="529"/>
      <c r="I34" s="529"/>
      <c r="J34" s="529"/>
      <c r="K34" s="529"/>
      <c r="L34" s="529"/>
      <c r="M34" s="529"/>
      <c r="N34" s="529"/>
      <c r="O34" s="529"/>
      <c r="P34" s="529"/>
      <c r="Q34" s="529"/>
      <c r="R34" s="529">
        <f>SUM(S34:T34)</f>
        <v>51</v>
      </c>
      <c r="S34" s="529"/>
      <c r="T34" s="529">
        <v>51</v>
      </c>
      <c r="U34" s="529"/>
      <c r="V34" s="529"/>
      <c r="W34" s="529"/>
      <c r="X34" s="529"/>
      <c r="Y34" s="529"/>
      <c r="Z34" s="529"/>
      <c r="AA34" s="529"/>
      <c r="AB34" s="529"/>
    </row>
    <row r="35" spans="1:28" s="100" customFormat="1" ht="22.5" customHeight="1">
      <c r="A35" s="98" t="s">
        <v>255</v>
      </c>
      <c r="B35" s="450" t="s">
        <v>554</v>
      </c>
      <c r="C35" s="530">
        <f>SUM(D35:E35)</f>
        <v>305</v>
      </c>
      <c r="D35" s="529">
        <f>G35+I35+K35+M35+O35+Q35+S35+V35+X35+Z35+AB35</f>
        <v>305</v>
      </c>
      <c r="E35" s="529">
        <f t="shared" si="25"/>
        <v>0</v>
      </c>
      <c r="F35" s="529">
        <f>SUM(G35:G35)</f>
        <v>30</v>
      </c>
      <c r="G35" s="529">
        <v>30</v>
      </c>
      <c r="H35" s="529">
        <f>SUM(I35:I35)</f>
        <v>30</v>
      </c>
      <c r="I35" s="529">
        <v>30</v>
      </c>
      <c r="J35" s="529">
        <f>SUM(K35:K35)</f>
        <v>25</v>
      </c>
      <c r="K35" s="529">
        <v>25</v>
      </c>
      <c r="L35" s="529">
        <f>SUM(M35:M35)</f>
        <v>25</v>
      </c>
      <c r="M35" s="529">
        <v>25</v>
      </c>
      <c r="N35" s="529">
        <f>SUM(O35:O35)</f>
        <v>25</v>
      </c>
      <c r="O35" s="529">
        <v>25</v>
      </c>
      <c r="P35" s="529">
        <f>SUM(Q35:Q35)</f>
        <v>25</v>
      </c>
      <c r="Q35" s="529">
        <v>25</v>
      </c>
      <c r="R35" s="529">
        <f>SUM(S35:T35)</f>
        <v>30</v>
      </c>
      <c r="S35" s="529">
        <v>30</v>
      </c>
      <c r="T35" s="529"/>
      <c r="U35" s="529">
        <f>SUM(V35:V35)</f>
        <v>25</v>
      </c>
      <c r="V35" s="529">
        <v>25</v>
      </c>
      <c r="W35" s="529">
        <f>SUM(X35:X35)</f>
        <v>30</v>
      </c>
      <c r="X35" s="529">
        <v>30</v>
      </c>
      <c r="Y35" s="529">
        <f>SUM(Z35:Z35)</f>
        <v>30</v>
      </c>
      <c r="Z35" s="529">
        <v>30</v>
      </c>
      <c r="AA35" s="529">
        <f>SUM(AB35:AB35)</f>
        <v>30</v>
      </c>
      <c r="AB35" s="529">
        <v>30</v>
      </c>
    </row>
    <row r="36" spans="1:28" s="100" customFormat="1" ht="22.5" customHeight="1">
      <c r="A36" s="98" t="s">
        <v>255</v>
      </c>
      <c r="B36" s="450" t="s">
        <v>599</v>
      </c>
      <c r="C36" s="530">
        <f>SUM(D36:E36)</f>
        <v>140</v>
      </c>
      <c r="D36" s="529">
        <f>G36+I36+K36+M36+O36+Q36+S36+V36+X36+Z36+AB36</f>
        <v>140</v>
      </c>
      <c r="E36" s="529">
        <f t="shared" si="25"/>
        <v>0</v>
      </c>
      <c r="F36" s="529">
        <f>SUM(G36:G36)</f>
        <v>15</v>
      </c>
      <c r="G36" s="529">
        <v>15</v>
      </c>
      <c r="H36" s="529">
        <f>SUM(I36:I36)</f>
        <v>15</v>
      </c>
      <c r="I36" s="529">
        <v>15</v>
      </c>
      <c r="J36" s="529">
        <f>SUM(K36:K36)</f>
        <v>10</v>
      </c>
      <c r="K36" s="529">
        <v>10</v>
      </c>
      <c r="L36" s="529">
        <f>SUM(M36:M36)</f>
        <v>10</v>
      </c>
      <c r="M36" s="529">
        <v>10</v>
      </c>
      <c r="N36" s="529">
        <f>SUM(O36:O36)</f>
        <v>10</v>
      </c>
      <c r="O36" s="529">
        <v>10</v>
      </c>
      <c r="P36" s="529">
        <f>SUM(Q36:Q36)</f>
        <v>10</v>
      </c>
      <c r="Q36" s="529">
        <v>10</v>
      </c>
      <c r="R36" s="529">
        <f>SUM(S36:T36)</f>
        <v>15</v>
      </c>
      <c r="S36" s="529">
        <v>15</v>
      </c>
      <c r="T36" s="529"/>
      <c r="U36" s="529">
        <f>SUM(V36:V36)</f>
        <v>10</v>
      </c>
      <c r="V36" s="529">
        <v>10</v>
      </c>
      <c r="W36" s="529">
        <f>SUM(X36:X36)</f>
        <v>15</v>
      </c>
      <c r="X36" s="529">
        <v>15</v>
      </c>
      <c r="Y36" s="529">
        <f>SUM(Z36:Z36)</f>
        <v>15</v>
      </c>
      <c r="Z36" s="529">
        <v>15</v>
      </c>
      <c r="AA36" s="529">
        <f>SUM(AB36:AB36)</f>
        <v>15</v>
      </c>
      <c r="AB36" s="529">
        <v>15</v>
      </c>
    </row>
    <row r="37" spans="1:28" s="100" customFormat="1" ht="22.5" hidden="1" customHeight="1">
      <c r="A37" s="98"/>
      <c r="B37" s="450"/>
      <c r="C37" s="530"/>
      <c r="D37" s="529"/>
      <c r="E37" s="529"/>
      <c r="F37" s="529"/>
      <c r="G37" s="529"/>
      <c r="H37" s="529"/>
      <c r="I37" s="529"/>
      <c r="J37" s="529"/>
      <c r="K37" s="529"/>
      <c r="L37" s="529"/>
      <c r="M37" s="529"/>
      <c r="N37" s="529"/>
      <c r="O37" s="529"/>
      <c r="P37" s="529"/>
      <c r="Q37" s="529"/>
      <c r="R37" s="529"/>
      <c r="S37" s="529"/>
      <c r="T37" s="529"/>
      <c r="U37" s="529"/>
      <c r="V37" s="529"/>
      <c r="W37" s="529"/>
      <c r="X37" s="529"/>
      <c r="Y37" s="529"/>
      <c r="Z37" s="529"/>
      <c r="AA37" s="529"/>
      <c r="AB37" s="529"/>
    </row>
    <row r="38" spans="1:28" s="100" customFormat="1" ht="22.5" hidden="1" customHeight="1">
      <c r="A38" s="98"/>
      <c r="B38" s="450"/>
      <c r="C38" s="530"/>
      <c r="D38" s="529"/>
      <c r="E38" s="529"/>
      <c r="F38" s="529"/>
      <c r="G38" s="529"/>
      <c r="H38" s="529"/>
      <c r="I38" s="529"/>
      <c r="J38" s="529"/>
      <c r="K38" s="529"/>
      <c r="L38" s="529"/>
      <c r="M38" s="529"/>
      <c r="N38" s="529"/>
      <c r="O38" s="529"/>
      <c r="P38" s="529"/>
      <c r="Q38" s="529"/>
      <c r="R38" s="529"/>
      <c r="S38" s="529"/>
      <c r="T38" s="529"/>
      <c r="U38" s="529"/>
      <c r="V38" s="529"/>
      <c r="W38" s="529"/>
      <c r="X38" s="529"/>
      <c r="Y38" s="529"/>
      <c r="Z38" s="529"/>
      <c r="AA38" s="529"/>
      <c r="AB38" s="529"/>
    </row>
    <row r="39" spans="1:28" s="78" customFormat="1" ht="22.5" customHeight="1">
      <c r="A39" s="96">
        <v>5</v>
      </c>
      <c r="B39" s="449" t="s">
        <v>344</v>
      </c>
      <c r="C39" s="527">
        <f>SUM(C40:C44)</f>
        <v>1140.83</v>
      </c>
      <c r="D39" s="528">
        <f t="shared" ref="D39:AB39" si="26">SUM(D40:D44)</f>
        <v>1140.83</v>
      </c>
      <c r="E39" s="528">
        <f t="shared" si="26"/>
        <v>0</v>
      </c>
      <c r="F39" s="528">
        <f t="shared" si="26"/>
        <v>146.02799999999999</v>
      </c>
      <c r="G39" s="528">
        <f t="shared" si="26"/>
        <v>146.02799999999999</v>
      </c>
      <c r="H39" s="528">
        <f t="shared" si="26"/>
        <v>130.21</v>
      </c>
      <c r="I39" s="528">
        <f t="shared" si="26"/>
        <v>130.21</v>
      </c>
      <c r="J39" s="528">
        <f t="shared" si="26"/>
        <v>95.211999999999989</v>
      </c>
      <c r="K39" s="528">
        <f t="shared" si="26"/>
        <v>95.211999999999989</v>
      </c>
      <c r="L39" s="528">
        <f t="shared" si="26"/>
        <v>65.55</v>
      </c>
      <c r="M39" s="528">
        <f t="shared" si="26"/>
        <v>65.55</v>
      </c>
      <c r="N39" s="528">
        <f t="shared" si="26"/>
        <v>66.52</v>
      </c>
      <c r="O39" s="528">
        <f t="shared" si="26"/>
        <v>66.52</v>
      </c>
      <c r="P39" s="528">
        <f t="shared" si="26"/>
        <v>74.31</v>
      </c>
      <c r="Q39" s="528">
        <f t="shared" si="26"/>
        <v>74.31</v>
      </c>
      <c r="R39" s="528">
        <f t="shared" si="26"/>
        <v>130.16</v>
      </c>
      <c r="S39" s="528">
        <f t="shared" si="26"/>
        <v>130.16</v>
      </c>
      <c r="T39" s="528">
        <f t="shared" si="26"/>
        <v>0</v>
      </c>
      <c r="U39" s="528">
        <f t="shared" si="26"/>
        <v>65.66</v>
      </c>
      <c r="V39" s="528">
        <f t="shared" si="26"/>
        <v>65.66</v>
      </c>
      <c r="W39" s="528">
        <f t="shared" si="26"/>
        <v>124.96</v>
      </c>
      <c r="X39" s="528">
        <f t="shared" si="26"/>
        <v>124.96</v>
      </c>
      <c r="Y39" s="528">
        <f t="shared" si="26"/>
        <v>130.25</v>
      </c>
      <c r="Z39" s="528">
        <f t="shared" si="26"/>
        <v>130.25</v>
      </c>
      <c r="AA39" s="528">
        <f t="shared" si="26"/>
        <v>111.97</v>
      </c>
      <c r="AB39" s="528">
        <f t="shared" si="26"/>
        <v>111.97</v>
      </c>
    </row>
    <row r="40" spans="1:28" s="100" customFormat="1" ht="22.5" customHeight="1">
      <c r="A40" s="98" t="s">
        <v>255</v>
      </c>
      <c r="B40" s="450" t="s">
        <v>555</v>
      </c>
      <c r="C40" s="530">
        <f t="shared" ref="C40:C67" si="27">SUM(D40:E40)</f>
        <v>24.341999999999999</v>
      </c>
      <c r="D40" s="529">
        <f t="shared" ref="D40:D74" si="28">G40+I40+K40+M40+O40+Q40+S40+V40+X40+Z40+AB40</f>
        <v>24.341999999999999</v>
      </c>
      <c r="E40" s="529">
        <f t="shared" si="25"/>
        <v>0</v>
      </c>
      <c r="F40" s="529">
        <f t="shared" ref="F40:F74" si="29">SUM(G40:G40)</f>
        <v>0</v>
      </c>
      <c r="G40" s="529"/>
      <c r="H40" s="529">
        <f t="shared" ref="H40:H63" si="30">SUM(I40:I40)</f>
        <v>0</v>
      </c>
      <c r="I40" s="529"/>
      <c r="J40" s="529">
        <f t="shared" ref="J40:J74" si="31">SUM(K40:K40)</f>
        <v>24.341999999999999</v>
      </c>
      <c r="K40" s="529">
        <v>24.341999999999999</v>
      </c>
      <c r="L40" s="529">
        <f t="shared" ref="L40:L74" si="32">SUM(M40:M40)</f>
        <v>0</v>
      </c>
      <c r="M40" s="529"/>
      <c r="N40" s="529">
        <f t="shared" ref="N40:N74" si="33">SUM(O40:O40)</f>
        <v>0</v>
      </c>
      <c r="O40" s="529"/>
      <c r="P40" s="529">
        <f t="shared" ref="P40:P74" si="34">SUM(Q40:Q40)</f>
        <v>0</v>
      </c>
      <c r="Q40" s="529"/>
      <c r="R40" s="529">
        <f t="shared" ref="R40:R74" si="35">SUM(S40:T40)</f>
        <v>0</v>
      </c>
      <c r="S40" s="529"/>
      <c r="T40" s="529"/>
      <c r="U40" s="529">
        <f t="shared" ref="U40:U74" si="36">SUM(V40:V40)</f>
        <v>0</v>
      </c>
      <c r="V40" s="529"/>
      <c r="W40" s="529">
        <f t="shared" ref="W40:W74" si="37">SUM(X40:X40)</f>
        <v>0</v>
      </c>
      <c r="X40" s="529"/>
      <c r="Y40" s="529">
        <f t="shared" ref="Y40:Y74" si="38">SUM(Z40:Z40)</f>
        <v>0</v>
      </c>
      <c r="Z40" s="529"/>
      <c r="AA40" s="529">
        <f t="shared" ref="AA40:AA74" si="39">SUM(AB40:AB40)</f>
        <v>0</v>
      </c>
      <c r="AB40" s="529"/>
    </row>
    <row r="41" spans="1:28" s="100" customFormat="1" ht="22.5" customHeight="1">
      <c r="A41" s="98" t="s">
        <v>255</v>
      </c>
      <c r="B41" s="450" t="s">
        <v>556</v>
      </c>
      <c r="C41" s="530">
        <f t="shared" si="27"/>
        <v>850</v>
      </c>
      <c r="D41" s="529">
        <f t="shared" si="28"/>
        <v>850</v>
      </c>
      <c r="E41" s="529">
        <f t="shared" si="25"/>
        <v>0</v>
      </c>
      <c r="F41" s="529">
        <f t="shared" si="29"/>
        <v>100</v>
      </c>
      <c r="G41" s="529">
        <v>100</v>
      </c>
      <c r="H41" s="529">
        <f t="shared" si="30"/>
        <v>100</v>
      </c>
      <c r="I41" s="529">
        <v>100</v>
      </c>
      <c r="J41" s="529">
        <f t="shared" si="31"/>
        <v>50</v>
      </c>
      <c r="K41" s="529">
        <v>50</v>
      </c>
      <c r="L41" s="529">
        <f t="shared" si="32"/>
        <v>50</v>
      </c>
      <c r="M41" s="529">
        <v>50</v>
      </c>
      <c r="N41" s="529">
        <f t="shared" si="33"/>
        <v>50</v>
      </c>
      <c r="O41" s="529">
        <v>50</v>
      </c>
      <c r="P41" s="529">
        <f t="shared" si="34"/>
        <v>50</v>
      </c>
      <c r="Q41" s="529">
        <v>50</v>
      </c>
      <c r="R41" s="529">
        <f t="shared" si="35"/>
        <v>100</v>
      </c>
      <c r="S41" s="529">
        <v>100</v>
      </c>
      <c r="T41" s="529"/>
      <c r="U41" s="529">
        <f t="shared" si="36"/>
        <v>50</v>
      </c>
      <c r="V41" s="529">
        <v>50</v>
      </c>
      <c r="W41" s="529">
        <f t="shared" si="37"/>
        <v>100</v>
      </c>
      <c r="X41" s="529">
        <v>100</v>
      </c>
      <c r="Y41" s="529">
        <f t="shared" si="38"/>
        <v>100</v>
      </c>
      <c r="Z41" s="529">
        <v>100</v>
      </c>
      <c r="AA41" s="529">
        <f t="shared" si="39"/>
        <v>100</v>
      </c>
      <c r="AB41" s="529">
        <v>100</v>
      </c>
    </row>
    <row r="42" spans="1:28" s="100" customFormat="1" ht="54" customHeight="1">
      <c r="A42" s="98" t="s">
        <v>255</v>
      </c>
      <c r="B42" s="99" t="s">
        <v>803</v>
      </c>
      <c r="C42" s="530">
        <f t="shared" si="27"/>
        <v>244.65800000000002</v>
      </c>
      <c r="D42" s="529">
        <f t="shared" si="28"/>
        <v>244.65800000000002</v>
      </c>
      <c r="E42" s="529">
        <f t="shared" si="25"/>
        <v>0</v>
      </c>
      <c r="F42" s="529">
        <f t="shared" si="29"/>
        <v>44.707999999999998</v>
      </c>
      <c r="G42" s="529">
        <v>44.707999999999998</v>
      </c>
      <c r="H42" s="529">
        <f t="shared" si="30"/>
        <v>27.55</v>
      </c>
      <c r="I42" s="529">
        <v>27.55</v>
      </c>
      <c r="J42" s="529">
        <f t="shared" si="31"/>
        <v>20.25</v>
      </c>
      <c r="K42" s="529">
        <v>20.25</v>
      </c>
      <c r="L42" s="529">
        <f t="shared" si="32"/>
        <v>15.55</v>
      </c>
      <c r="M42" s="529">
        <v>15.55</v>
      </c>
      <c r="N42" s="529">
        <f t="shared" si="33"/>
        <v>16.2</v>
      </c>
      <c r="O42" s="529">
        <v>16.2</v>
      </c>
      <c r="P42" s="529">
        <f t="shared" si="34"/>
        <v>21.65</v>
      </c>
      <c r="Q42" s="529">
        <v>21.65</v>
      </c>
      <c r="R42" s="529">
        <f t="shared" si="35"/>
        <v>27.5</v>
      </c>
      <c r="S42" s="529">
        <v>27.5</v>
      </c>
      <c r="T42" s="529"/>
      <c r="U42" s="529">
        <f t="shared" si="36"/>
        <v>13</v>
      </c>
      <c r="V42" s="529">
        <v>13</v>
      </c>
      <c r="W42" s="529">
        <f t="shared" si="37"/>
        <v>22.3</v>
      </c>
      <c r="X42" s="529">
        <v>22.3</v>
      </c>
      <c r="Y42" s="529">
        <f t="shared" si="38"/>
        <v>26.8</v>
      </c>
      <c r="Z42" s="529">
        <v>26.8</v>
      </c>
      <c r="AA42" s="529">
        <f t="shared" si="39"/>
        <v>9.15</v>
      </c>
      <c r="AB42" s="529">
        <v>9.15</v>
      </c>
    </row>
    <row r="43" spans="1:28" s="100" customFormat="1" ht="55.5" customHeight="1">
      <c r="A43" s="98" t="s">
        <v>255</v>
      </c>
      <c r="B43" s="288" t="s">
        <v>1029</v>
      </c>
      <c r="C43" s="530">
        <f t="shared" si="27"/>
        <v>13.519999999999998</v>
      </c>
      <c r="D43" s="529">
        <f t="shared" si="28"/>
        <v>13.519999999999998</v>
      </c>
      <c r="E43" s="529">
        <f t="shared" si="25"/>
        <v>0</v>
      </c>
      <c r="F43" s="529">
        <f t="shared" si="29"/>
        <v>1</v>
      </c>
      <c r="G43" s="529">
        <v>1</v>
      </c>
      <c r="H43" s="529">
        <f t="shared" si="30"/>
        <v>1.7</v>
      </c>
      <c r="I43" s="529">
        <v>1.7</v>
      </c>
      <c r="J43" s="529">
        <f t="shared" si="31"/>
        <v>0.3</v>
      </c>
      <c r="K43" s="529">
        <v>0.3</v>
      </c>
      <c r="L43" s="529">
        <f t="shared" si="32"/>
        <v>0</v>
      </c>
      <c r="M43" s="529">
        <v>0</v>
      </c>
      <c r="N43" s="529">
        <f t="shared" si="33"/>
        <v>0</v>
      </c>
      <c r="O43" s="529">
        <v>0</v>
      </c>
      <c r="P43" s="529">
        <f t="shared" si="34"/>
        <v>1.7</v>
      </c>
      <c r="Q43" s="529">
        <v>1.7</v>
      </c>
      <c r="R43" s="529">
        <f t="shared" si="35"/>
        <v>1.7</v>
      </c>
      <c r="S43" s="529">
        <v>1.7</v>
      </c>
      <c r="T43" s="529"/>
      <c r="U43" s="529">
        <f t="shared" si="36"/>
        <v>1.7</v>
      </c>
      <c r="V43" s="529">
        <v>1.7</v>
      </c>
      <c r="W43" s="529">
        <f t="shared" si="37"/>
        <v>1.7</v>
      </c>
      <c r="X43" s="529">
        <v>1.7</v>
      </c>
      <c r="Y43" s="529">
        <f t="shared" si="38"/>
        <v>1.86</v>
      </c>
      <c r="Z43" s="529">
        <v>1.86</v>
      </c>
      <c r="AA43" s="529">
        <f t="shared" si="39"/>
        <v>1.86</v>
      </c>
      <c r="AB43" s="529">
        <v>1.86</v>
      </c>
    </row>
    <row r="44" spans="1:28" s="100" customFormat="1" ht="54.75" customHeight="1">
      <c r="A44" s="98" t="s">
        <v>255</v>
      </c>
      <c r="B44" s="288" t="s">
        <v>1030</v>
      </c>
      <c r="C44" s="530">
        <f t="shared" si="27"/>
        <v>8.3099999999999987</v>
      </c>
      <c r="D44" s="529">
        <f t="shared" si="28"/>
        <v>8.3099999999999987</v>
      </c>
      <c r="E44" s="529">
        <f t="shared" si="25"/>
        <v>0</v>
      </c>
      <c r="F44" s="529">
        <f t="shared" si="29"/>
        <v>0.32</v>
      </c>
      <c r="G44" s="529">
        <v>0.32</v>
      </c>
      <c r="H44" s="529">
        <f t="shared" si="30"/>
        <v>0.96</v>
      </c>
      <c r="I44" s="529">
        <v>0.96</v>
      </c>
      <c r="J44" s="529">
        <f t="shared" si="31"/>
        <v>0.32</v>
      </c>
      <c r="K44" s="529">
        <v>0.32</v>
      </c>
      <c r="L44" s="529">
        <f t="shared" si="32"/>
        <v>0</v>
      </c>
      <c r="M44" s="529">
        <v>0</v>
      </c>
      <c r="N44" s="529">
        <f t="shared" si="33"/>
        <v>0.32</v>
      </c>
      <c r="O44" s="529">
        <v>0.32</v>
      </c>
      <c r="P44" s="529">
        <f t="shared" si="34"/>
        <v>0.96</v>
      </c>
      <c r="Q44" s="529">
        <v>0.96</v>
      </c>
      <c r="R44" s="529">
        <f t="shared" si="35"/>
        <v>0.96</v>
      </c>
      <c r="S44" s="529">
        <v>0.96</v>
      </c>
      <c r="T44" s="529"/>
      <c r="U44" s="529">
        <f t="shared" si="36"/>
        <v>0.96</v>
      </c>
      <c r="V44" s="529">
        <v>0.96</v>
      </c>
      <c r="W44" s="529">
        <f t="shared" si="37"/>
        <v>0.96</v>
      </c>
      <c r="X44" s="529">
        <v>0.96</v>
      </c>
      <c r="Y44" s="529">
        <f t="shared" si="38"/>
        <v>1.59</v>
      </c>
      <c r="Z44" s="529">
        <v>1.59</v>
      </c>
      <c r="AA44" s="529">
        <f t="shared" si="39"/>
        <v>0.96</v>
      </c>
      <c r="AB44" s="529">
        <v>0.96</v>
      </c>
    </row>
    <row r="45" spans="1:28" s="78" customFormat="1" ht="22.5" customHeight="1">
      <c r="A45" s="96">
        <v>6</v>
      </c>
      <c r="B45" s="449" t="s">
        <v>366</v>
      </c>
      <c r="C45" s="527">
        <f>SUM(D45:E45)</f>
        <v>44000.37</v>
      </c>
      <c r="D45" s="528">
        <f>G45+I45+K45+M45+O45+Q45+S45+V45+X45+Z45+AB45</f>
        <v>44000.37</v>
      </c>
      <c r="E45" s="529">
        <f>T45</f>
        <v>0</v>
      </c>
      <c r="F45" s="528">
        <f>SUM(G45:G45)</f>
        <v>3835.9649999999997</v>
      </c>
      <c r="G45" s="528">
        <f>3792.845+G64+G65+G66+G67+G68+G69+G70+G71+G72+G73+G74</f>
        <v>3835.9649999999997</v>
      </c>
      <c r="H45" s="528">
        <f t="shared" si="30"/>
        <v>4010.03</v>
      </c>
      <c r="I45" s="528">
        <f>(3940.08-52.5-5-7)+I64+I65+I66+I67+I68+I69+I70+I71+I72+I73+I74</f>
        <v>4010.03</v>
      </c>
      <c r="J45" s="528">
        <f t="shared" si="31"/>
        <v>3199.4760000000001</v>
      </c>
      <c r="K45" s="528">
        <f>3157.976+K64+K65+K66+K67+K68+K69+K70+K71+K72++K73+K74</f>
        <v>3199.4760000000001</v>
      </c>
      <c r="L45" s="528">
        <f t="shared" si="32"/>
        <v>3342.3240000000001</v>
      </c>
      <c r="M45" s="528">
        <f>3300.614+M64+M65+M66+M67+M68+M69++M70+M71+M72+M73+M74</f>
        <v>3342.3240000000001</v>
      </c>
      <c r="N45" s="528">
        <f t="shared" si="33"/>
        <v>3290.8</v>
      </c>
      <c r="O45" s="528">
        <f>3250.05+O64+O65+O66+O67+O68+O69+O70+O71+O72+O73+O74</f>
        <v>3290.8</v>
      </c>
      <c r="P45" s="528">
        <f t="shared" si="34"/>
        <v>3676.1860000000001</v>
      </c>
      <c r="Q45" s="528">
        <f>3733.906+Q64+Q65+Q66+Q67+Q68+Q69+Q70+Q71+Q72+Q73+Q74</f>
        <v>3676.1860000000001</v>
      </c>
      <c r="R45" s="528">
        <f>SUM(S45:T45)</f>
        <v>4479.8640000000005</v>
      </c>
      <c r="S45" s="528">
        <f>4387.345+S64+S65+S66+S67+S68+S69+S70+S71+S72+S73+S74</f>
        <v>4479.8640000000005</v>
      </c>
      <c r="T45" s="528"/>
      <c r="U45" s="528">
        <f t="shared" si="36"/>
        <v>3700.067</v>
      </c>
      <c r="V45" s="528">
        <f>3611.597+V64+V65+V66+V67+V68+V69+V70+V71+V72+V73+V74</f>
        <v>3700.067</v>
      </c>
      <c r="W45" s="528">
        <f t="shared" si="37"/>
        <v>4574.5189999999993</v>
      </c>
      <c r="X45" s="528">
        <f>4617.339+X64+X65+X66+X67+X68+X69+X70+X71+X72+X73+X74</f>
        <v>4574.5189999999993</v>
      </c>
      <c r="Y45" s="528">
        <f t="shared" si="38"/>
        <v>4604.6990000000005</v>
      </c>
      <c r="Z45" s="528">
        <f>4503.679+Z64+Z65+Z66+Z67+Z68+Z69+Z70+Z71+Z72+Z73+Z74</f>
        <v>4604.6990000000005</v>
      </c>
      <c r="AA45" s="528">
        <f t="shared" si="39"/>
        <v>5286.44</v>
      </c>
      <c r="AB45" s="528">
        <f>5237.32+AB64++AB65+AB66+AB67+AB68+AB69+AB70+AB71+AB72+AB73+AB74</f>
        <v>5286.44</v>
      </c>
    </row>
    <row r="46" spans="1:28" s="100" customFormat="1" ht="29.25" customHeight="1">
      <c r="A46" s="101" t="s">
        <v>255</v>
      </c>
      <c r="B46" s="99" t="s">
        <v>696</v>
      </c>
      <c r="C46" s="530">
        <f t="shared" si="27"/>
        <v>1239.0920000000001</v>
      </c>
      <c r="D46" s="529">
        <f t="shared" si="28"/>
        <v>1239.0920000000001</v>
      </c>
      <c r="E46" s="529">
        <f t="shared" si="25"/>
        <v>0</v>
      </c>
      <c r="F46" s="529">
        <f t="shared" si="29"/>
        <v>150.19200000000001</v>
      </c>
      <c r="G46" s="529">
        <v>150.19200000000001</v>
      </c>
      <c r="H46" s="529">
        <f t="shared" si="30"/>
        <v>112.64400000000001</v>
      </c>
      <c r="I46" s="529">
        <v>112.64400000000001</v>
      </c>
      <c r="J46" s="529">
        <f t="shared" si="31"/>
        <v>96.552000000000007</v>
      </c>
      <c r="K46" s="529">
        <v>96.552000000000007</v>
      </c>
      <c r="L46" s="529">
        <f t="shared" si="32"/>
        <v>112.64400000000001</v>
      </c>
      <c r="M46" s="529">
        <v>112.64400000000001</v>
      </c>
      <c r="N46" s="529">
        <f t="shared" si="33"/>
        <v>107.28</v>
      </c>
      <c r="O46" s="529">
        <v>107.28</v>
      </c>
      <c r="P46" s="529">
        <f t="shared" si="34"/>
        <v>101.916</v>
      </c>
      <c r="Q46" s="529">
        <v>101.916</v>
      </c>
      <c r="R46" s="529">
        <f t="shared" si="35"/>
        <v>118.008</v>
      </c>
      <c r="S46" s="529">
        <v>118.008</v>
      </c>
      <c r="T46" s="529"/>
      <c r="U46" s="529">
        <f t="shared" si="36"/>
        <v>80.468000000000004</v>
      </c>
      <c r="V46" s="529">
        <v>80.468000000000004</v>
      </c>
      <c r="W46" s="529">
        <f t="shared" si="37"/>
        <v>123.372</v>
      </c>
      <c r="X46" s="529">
        <v>123.372</v>
      </c>
      <c r="Y46" s="529">
        <f t="shared" si="38"/>
        <v>118.008</v>
      </c>
      <c r="Z46" s="529">
        <v>118.008</v>
      </c>
      <c r="AA46" s="529">
        <f t="shared" si="39"/>
        <v>118.008</v>
      </c>
      <c r="AB46" s="529">
        <v>118.008</v>
      </c>
    </row>
    <row r="47" spans="1:28" s="100" customFormat="1" ht="22.5" customHeight="1">
      <c r="A47" s="98" t="s">
        <v>255</v>
      </c>
      <c r="B47" s="99" t="s">
        <v>509</v>
      </c>
      <c r="C47" s="530">
        <f t="shared" si="27"/>
        <v>22</v>
      </c>
      <c r="D47" s="529">
        <f t="shared" si="28"/>
        <v>22</v>
      </c>
      <c r="E47" s="529">
        <f t="shared" si="25"/>
        <v>0</v>
      </c>
      <c r="F47" s="529">
        <f t="shared" si="29"/>
        <v>2</v>
      </c>
      <c r="G47" s="529">
        <v>2</v>
      </c>
      <c r="H47" s="529">
        <f t="shared" si="30"/>
        <v>2</v>
      </c>
      <c r="I47" s="529">
        <v>2</v>
      </c>
      <c r="J47" s="529">
        <f t="shared" si="31"/>
        <v>2</v>
      </c>
      <c r="K47" s="529">
        <v>2</v>
      </c>
      <c r="L47" s="529">
        <f t="shared" si="32"/>
        <v>2</v>
      </c>
      <c r="M47" s="529">
        <v>2</v>
      </c>
      <c r="N47" s="529">
        <f t="shared" si="33"/>
        <v>2</v>
      </c>
      <c r="O47" s="529">
        <v>2</v>
      </c>
      <c r="P47" s="529">
        <f t="shared" si="34"/>
        <v>2</v>
      </c>
      <c r="Q47" s="529">
        <v>2</v>
      </c>
      <c r="R47" s="529">
        <f t="shared" si="35"/>
        <v>2</v>
      </c>
      <c r="S47" s="529">
        <v>2</v>
      </c>
      <c r="T47" s="529"/>
      <c r="U47" s="529">
        <f t="shared" si="36"/>
        <v>2</v>
      </c>
      <c r="V47" s="529">
        <v>2</v>
      </c>
      <c r="W47" s="529">
        <f t="shared" si="37"/>
        <v>2</v>
      </c>
      <c r="X47" s="529">
        <v>2</v>
      </c>
      <c r="Y47" s="529">
        <f t="shared" si="38"/>
        <v>2</v>
      </c>
      <c r="Z47" s="529">
        <v>2</v>
      </c>
      <c r="AA47" s="529">
        <f t="shared" si="39"/>
        <v>2</v>
      </c>
      <c r="AB47" s="529">
        <v>2</v>
      </c>
    </row>
    <row r="48" spans="1:28" s="100" customFormat="1" ht="33.75" customHeight="1">
      <c r="A48" s="98" t="s">
        <v>255</v>
      </c>
      <c r="B48" s="99" t="s">
        <v>804</v>
      </c>
      <c r="C48" s="530">
        <f t="shared" si="27"/>
        <v>7466.6880000000001</v>
      </c>
      <c r="D48" s="529">
        <f t="shared" si="28"/>
        <v>7466.6880000000001</v>
      </c>
      <c r="E48" s="529">
        <f t="shared" si="25"/>
        <v>0</v>
      </c>
      <c r="F48" s="529">
        <f t="shared" si="29"/>
        <v>781.35599999999999</v>
      </c>
      <c r="G48" s="529">
        <v>781.35599999999999</v>
      </c>
      <c r="H48" s="529">
        <f t="shared" si="30"/>
        <v>620.43600000000004</v>
      </c>
      <c r="I48" s="529">
        <v>620.43600000000004</v>
      </c>
      <c r="J48" s="529">
        <f t="shared" si="31"/>
        <v>441.63600000000002</v>
      </c>
      <c r="K48" s="529">
        <v>441.63600000000002</v>
      </c>
      <c r="L48" s="529">
        <f t="shared" si="32"/>
        <v>513.15599999999995</v>
      </c>
      <c r="M48" s="529">
        <v>513.15599999999995</v>
      </c>
      <c r="N48" s="529">
        <f t="shared" si="33"/>
        <v>459.51600000000002</v>
      </c>
      <c r="O48" s="529">
        <v>459.51600000000002</v>
      </c>
      <c r="P48" s="529">
        <f t="shared" si="34"/>
        <v>459.51600000000002</v>
      </c>
      <c r="Q48" s="529">
        <v>459.51600000000002</v>
      </c>
      <c r="R48" s="529">
        <f t="shared" si="35"/>
        <v>870.75599999999997</v>
      </c>
      <c r="S48" s="529">
        <v>870.75599999999997</v>
      </c>
      <c r="T48" s="529"/>
      <c r="U48" s="529">
        <f t="shared" si="36"/>
        <v>405.87599999999998</v>
      </c>
      <c r="V48" s="529">
        <v>405.87599999999998</v>
      </c>
      <c r="W48" s="529">
        <f t="shared" si="37"/>
        <v>911.88</v>
      </c>
      <c r="X48" s="529">
        <v>911.88</v>
      </c>
      <c r="Y48" s="529">
        <f t="shared" si="38"/>
        <v>822.48</v>
      </c>
      <c r="Z48" s="529">
        <v>822.48</v>
      </c>
      <c r="AA48" s="529">
        <f t="shared" si="39"/>
        <v>1180.08</v>
      </c>
      <c r="AB48" s="529">
        <v>1180.08</v>
      </c>
    </row>
    <row r="49" spans="1:28" s="100" customFormat="1" ht="22.5" customHeight="1">
      <c r="A49" s="98" t="s">
        <v>255</v>
      </c>
      <c r="B49" s="99" t="s">
        <v>557</v>
      </c>
      <c r="C49" s="530">
        <f t="shared" si="27"/>
        <v>64</v>
      </c>
      <c r="D49" s="529">
        <f t="shared" si="28"/>
        <v>64</v>
      </c>
      <c r="E49" s="529">
        <f t="shared" si="25"/>
        <v>0</v>
      </c>
      <c r="F49" s="529">
        <f t="shared" si="29"/>
        <v>8</v>
      </c>
      <c r="G49" s="529">
        <v>8</v>
      </c>
      <c r="H49" s="529">
        <f t="shared" si="30"/>
        <v>7</v>
      </c>
      <c r="I49" s="529">
        <v>7</v>
      </c>
      <c r="J49" s="529">
        <f t="shared" si="31"/>
        <v>3</v>
      </c>
      <c r="K49" s="529">
        <v>3</v>
      </c>
      <c r="L49" s="529">
        <f t="shared" si="32"/>
        <v>5</v>
      </c>
      <c r="M49" s="529">
        <v>5</v>
      </c>
      <c r="N49" s="529">
        <f t="shared" si="33"/>
        <v>4</v>
      </c>
      <c r="O49" s="529">
        <v>4</v>
      </c>
      <c r="P49" s="529">
        <f t="shared" si="34"/>
        <v>4</v>
      </c>
      <c r="Q49" s="529">
        <v>4</v>
      </c>
      <c r="R49" s="529">
        <f t="shared" si="35"/>
        <v>7</v>
      </c>
      <c r="S49" s="529">
        <v>7</v>
      </c>
      <c r="T49" s="529"/>
      <c r="U49" s="529">
        <f t="shared" si="36"/>
        <v>3</v>
      </c>
      <c r="V49" s="529">
        <v>3</v>
      </c>
      <c r="W49" s="529">
        <f t="shared" si="37"/>
        <v>7</v>
      </c>
      <c r="X49" s="529">
        <v>7</v>
      </c>
      <c r="Y49" s="529">
        <f t="shared" si="38"/>
        <v>6</v>
      </c>
      <c r="Z49" s="529">
        <v>6</v>
      </c>
      <c r="AA49" s="529">
        <f t="shared" si="39"/>
        <v>10</v>
      </c>
      <c r="AB49" s="529">
        <v>10</v>
      </c>
    </row>
    <row r="50" spans="1:28" s="93" customFormat="1" ht="81.75" customHeight="1">
      <c r="A50" s="98" t="s">
        <v>255</v>
      </c>
      <c r="B50" s="99" t="s">
        <v>653</v>
      </c>
      <c r="C50" s="530">
        <f t="shared" si="27"/>
        <v>1280</v>
      </c>
      <c r="D50" s="529">
        <f t="shared" si="28"/>
        <v>1280</v>
      </c>
      <c r="E50" s="529">
        <f t="shared" si="25"/>
        <v>0</v>
      </c>
      <c r="F50" s="529">
        <f t="shared" si="29"/>
        <v>160</v>
      </c>
      <c r="G50" s="529">
        <f>20*8</f>
        <v>160</v>
      </c>
      <c r="H50" s="529">
        <f t="shared" si="30"/>
        <v>140</v>
      </c>
      <c r="I50" s="529">
        <f>20*7</f>
        <v>140</v>
      </c>
      <c r="J50" s="529">
        <f t="shared" si="31"/>
        <v>60</v>
      </c>
      <c r="K50" s="529">
        <f>20*3</f>
        <v>60</v>
      </c>
      <c r="L50" s="529">
        <f t="shared" si="32"/>
        <v>100</v>
      </c>
      <c r="M50" s="529">
        <f>20*5</f>
        <v>100</v>
      </c>
      <c r="N50" s="529">
        <f t="shared" si="33"/>
        <v>80</v>
      </c>
      <c r="O50" s="529">
        <f>20*4</f>
        <v>80</v>
      </c>
      <c r="P50" s="529">
        <f t="shared" si="34"/>
        <v>80</v>
      </c>
      <c r="Q50" s="529">
        <f>20*4</f>
        <v>80</v>
      </c>
      <c r="R50" s="529">
        <f t="shared" si="35"/>
        <v>140</v>
      </c>
      <c r="S50" s="529">
        <f>20*7</f>
        <v>140</v>
      </c>
      <c r="T50" s="529"/>
      <c r="U50" s="529">
        <f t="shared" si="36"/>
        <v>60</v>
      </c>
      <c r="V50" s="529">
        <f>20*3</f>
        <v>60</v>
      </c>
      <c r="W50" s="529">
        <f t="shared" si="37"/>
        <v>140</v>
      </c>
      <c r="X50" s="529">
        <f>20*7</f>
        <v>140</v>
      </c>
      <c r="Y50" s="529">
        <f t="shared" si="38"/>
        <v>120</v>
      </c>
      <c r="Z50" s="529">
        <f>20*6</f>
        <v>120</v>
      </c>
      <c r="AA50" s="529">
        <f t="shared" si="39"/>
        <v>200</v>
      </c>
      <c r="AB50" s="529">
        <f>20*10</f>
        <v>200</v>
      </c>
    </row>
    <row r="51" spans="1:28" s="100" customFormat="1" ht="22.5" customHeight="1">
      <c r="A51" s="98" t="s">
        <v>255</v>
      </c>
      <c r="B51" s="99" t="s">
        <v>654</v>
      </c>
      <c r="C51" s="530">
        <f t="shared" si="27"/>
        <v>139</v>
      </c>
      <c r="D51" s="529">
        <f t="shared" si="28"/>
        <v>139</v>
      </c>
      <c r="E51" s="529">
        <f t="shared" si="25"/>
        <v>0</v>
      </c>
      <c r="F51" s="529">
        <f t="shared" si="29"/>
        <v>16</v>
      </c>
      <c r="G51" s="529">
        <v>16</v>
      </c>
      <c r="H51" s="529">
        <f t="shared" si="30"/>
        <v>11</v>
      </c>
      <c r="I51" s="529">
        <v>11</v>
      </c>
      <c r="J51" s="529">
        <f t="shared" si="31"/>
        <v>6</v>
      </c>
      <c r="K51" s="529">
        <v>6</v>
      </c>
      <c r="L51" s="529">
        <f t="shared" si="32"/>
        <v>8</v>
      </c>
      <c r="M51" s="529">
        <v>8</v>
      </c>
      <c r="N51" s="529">
        <f t="shared" si="33"/>
        <v>6</v>
      </c>
      <c r="O51" s="529">
        <v>6</v>
      </c>
      <c r="P51" s="529">
        <f t="shared" si="34"/>
        <v>6</v>
      </c>
      <c r="Q51" s="529">
        <v>6</v>
      </c>
      <c r="R51" s="529">
        <f t="shared" si="35"/>
        <v>19</v>
      </c>
      <c r="S51" s="529">
        <v>19</v>
      </c>
      <c r="T51" s="529"/>
      <c r="U51" s="529">
        <f t="shared" si="36"/>
        <v>5</v>
      </c>
      <c r="V51" s="529">
        <v>5</v>
      </c>
      <c r="W51" s="529">
        <f t="shared" si="37"/>
        <v>19</v>
      </c>
      <c r="X51" s="529">
        <v>19</v>
      </c>
      <c r="Y51" s="529">
        <f t="shared" si="38"/>
        <v>16</v>
      </c>
      <c r="Z51" s="529">
        <v>16</v>
      </c>
      <c r="AA51" s="529">
        <f t="shared" si="39"/>
        <v>27</v>
      </c>
      <c r="AB51" s="529">
        <v>27</v>
      </c>
    </row>
    <row r="52" spans="1:28" s="100" customFormat="1" ht="66" customHeight="1">
      <c r="A52" s="98" t="s">
        <v>255</v>
      </c>
      <c r="B52" s="99" t="s">
        <v>558</v>
      </c>
      <c r="C52" s="530">
        <f t="shared" si="27"/>
        <v>132</v>
      </c>
      <c r="D52" s="529">
        <f t="shared" si="28"/>
        <v>132</v>
      </c>
      <c r="E52" s="529">
        <f t="shared" si="25"/>
        <v>0</v>
      </c>
      <c r="F52" s="529">
        <f t="shared" si="29"/>
        <v>12</v>
      </c>
      <c r="G52" s="529">
        <v>12</v>
      </c>
      <c r="H52" s="529">
        <f t="shared" si="30"/>
        <v>12</v>
      </c>
      <c r="I52" s="529">
        <v>12</v>
      </c>
      <c r="J52" s="529">
        <f t="shared" si="31"/>
        <v>12</v>
      </c>
      <c r="K52" s="529">
        <v>12</v>
      </c>
      <c r="L52" s="529">
        <f t="shared" si="32"/>
        <v>12</v>
      </c>
      <c r="M52" s="529">
        <v>12</v>
      </c>
      <c r="N52" s="529">
        <f t="shared" si="33"/>
        <v>12</v>
      </c>
      <c r="O52" s="529">
        <v>12</v>
      </c>
      <c r="P52" s="529">
        <f t="shared" si="34"/>
        <v>12</v>
      </c>
      <c r="Q52" s="529">
        <v>12</v>
      </c>
      <c r="R52" s="529">
        <f t="shared" si="35"/>
        <v>12</v>
      </c>
      <c r="S52" s="529">
        <v>12</v>
      </c>
      <c r="T52" s="529"/>
      <c r="U52" s="529">
        <f t="shared" si="36"/>
        <v>12</v>
      </c>
      <c r="V52" s="529">
        <v>12</v>
      </c>
      <c r="W52" s="529">
        <f t="shared" si="37"/>
        <v>12</v>
      </c>
      <c r="X52" s="529">
        <v>12</v>
      </c>
      <c r="Y52" s="529">
        <f t="shared" si="38"/>
        <v>12</v>
      </c>
      <c r="Z52" s="529">
        <v>12</v>
      </c>
      <c r="AA52" s="529">
        <f t="shared" si="39"/>
        <v>12</v>
      </c>
      <c r="AB52" s="529">
        <v>12</v>
      </c>
    </row>
    <row r="53" spans="1:28" s="100" customFormat="1" ht="30" customHeight="1">
      <c r="A53" s="98" t="s">
        <v>255</v>
      </c>
      <c r="B53" s="99" t="s">
        <v>559</v>
      </c>
      <c r="C53" s="530">
        <f t="shared" si="27"/>
        <v>15</v>
      </c>
      <c r="D53" s="529">
        <f t="shared" si="28"/>
        <v>15</v>
      </c>
      <c r="E53" s="529">
        <f t="shared" si="25"/>
        <v>0</v>
      </c>
      <c r="F53" s="529">
        <f t="shared" si="29"/>
        <v>0</v>
      </c>
      <c r="G53" s="529"/>
      <c r="H53" s="529">
        <f t="shared" si="30"/>
        <v>0</v>
      </c>
      <c r="I53" s="529"/>
      <c r="J53" s="529">
        <f t="shared" si="31"/>
        <v>0</v>
      </c>
      <c r="K53" s="529"/>
      <c r="L53" s="529">
        <f t="shared" si="32"/>
        <v>0</v>
      </c>
      <c r="M53" s="529"/>
      <c r="N53" s="529">
        <f t="shared" si="33"/>
        <v>0</v>
      </c>
      <c r="O53" s="529"/>
      <c r="P53" s="529">
        <f t="shared" si="34"/>
        <v>15</v>
      </c>
      <c r="Q53" s="529">
        <v>15</v>
      </c>
      <c r="R53" s="529">
        <f t="shared" si="35"/>
        <v>0</v>
      </c>
      <c r="S53" s="529"/>
      <c r="T53" s="529"/>
      <c r="U53" s="529">
        <f t="shared" si="36"/>
        <v>0</v>
      </c>
      <c r="V53" s="529"/>
      <c r="W53" s="529">
        <f t="shared" si="37"/>
        <v>0</v>
      </c>
      <c r="X53" s="529"/>
      <c r="Y53" s="529">
        <f t="shared" si="38"/>
        <v>0</v>
      </c>
      <c r="Z53" s="529"/>
      <c r="AA53" s="529">
        <f t="shared" si="39"/>
        <v>0</v>
      </c>
      <c r="AB53" s="529"/>
    </row>
    <row r="54" spans="1:28" s="100" customFormat="1" ht="30" customHeight="1">
      <c r="A54" s="98" t="s">
        <v>255</v>
      </c>
      <c r="B54" s="99" t="s">
        <v>560</v>
      </c>
      <c r="C54" s="530">
        <f t="shared" si="27"/>
        <v>100</v>
      </c>
      <c r="D54" s="529">
        <f t="shared" si="28"/>
        <v>100</v>
      </c>
      <c r="E54" s="529">
        <f t="shared" si="25"/>
        <v>0</v>
      </c>
      <c r="F54" s="529">
        <f t="shared" si="29"/>
        <v>0</v>
      </c>
      <c r="G54" s="529"/>
      <c r="H54" s="529">
        <f t="shared" si="30"/>
        <v>0</v>
      </c>
      <c r="I54" s="529"/>
      <c r="J54" s="529">
        <f t="shared" si="31"/>
        <v>0</v>
      </c>
      <c r="K54" s="529"/>
      <c r="L54" s="529">
        <f t="shared" si="32"/>
        <v>0</v>
      </c>
      <c r="M54" s="529"/>
      <c r="N54" s="529">
        <f t="shared" si="33"/>
        <v>0</v>
      </c>
      <c r="O54" s="529"/>
      <c r="P54" s="529">
        <f t="shared" si="34"/>
        <v>0</v>
      </c>
      <c r="Q54" s="529"/>
      <c r="R54" s="529">
        <f t="shared" si="35"/>
        <v>0</v>
      </c>
      <c r="S54" s="529"/>
      <c r="T54" s="529"/>
      <c r="U54" s="529">
        <f t="shared" si="36"/>
        <v>0</v>
      </c>
      <c r="V54" s="529"/>
      <c r="W54" s="529">
        <f t="shared" si="37"/>
        <v>50</v>
      </c>
      <c r="X54" s="529">
        <f>36+14</f>
        <v>50</v>
      </c>
      <c r="Y54" s="529">
        <f t="shared" si="38"/>
        <v>50</v>
      </c>
      <c r="Z54" s="529">
        <f>36+14</f>
        <v>50</v>
      </c>
      <c r="AA54" s="529">
        <f t="shared" si="39"/>
        <v>0</v>
      </c>
      <c r="AB54" s="529"/>
    </row>
    <row r="55" spans="1:28" s="100" customFormat="1" ht="30" customHeight="1">
      <c r="A55" s="98" t="s">
        <v>255</v>
      </c>
      <c r="B55" s="99" t="s">
        <v>679</v>
      </c>
      <c r="C55" s="530">
        <f t="shared" si="27"/>
        <v>1100</v>
      </c>
      <c r="D55" s="529">
        <f t="shared" si="28"/>
        <v>1100</v>
      </c>
      <c r="E55" s="529">
        <f t="shared" si="25"/>
        <v>0</v>
      </c>
      <c r="F55" s="529">
        <f t="shared" si="29"/>
        <v>100</v>
      </c>
      <c r="G55" s="529">
        <v>100</v>
      </c>
      <c r="H55" s="529">
        <f t="shared" si="30"/>
        <v>100</v>
      </c>
      <c r="I55" s="529">
        <v>100</v>
      </c>
      <c r="J55" s="529">
        <f t="shared" si="31"/>
        <v>100</v>
      </c>
      <c r="K55" s="529">
        <v>100</v>
      </c>
      <c r="L55" s="529">
        <f t="shared" si="32"/>
        <v>100</v>
      </c>
      <c r="M55" s="529">
        <v>100</v>
      </c>
      <c r="N55" s="529">
        <f t="shared" si="33"/>
        <v>100</v>
      </c>
      <c r="O55" s="529">
        <v>100</v>
      </c>
      <c r="P55" s="529">
        <f t="shared" si="34"/>
        <v>100</v>
      </c>
      <c r="Q55" s="529">
        <f>100</f>
        <v>100</v>
      </c>
      <c r="R55" s="529">
        <f t="shared" si="35"/>
        <v>100</v>
      </c>
      <c r="S55" s="529">
        <v>100</v>
      </c>
      <c r="T55" s="529"/>
      <c r="U55" s="529">
        <f t="shared" si="36"/>
        <v>100</v>
      </c>
      <c r="V55" s="529">
        <v>100</v>
      </c>
      <c r="W55" s="529">
        <f t="shared" si="37"/>
        <v>100</v>
      </c>
      <c r="X55" s="529">
        <v>100</v>
      </c>
      <c r="Y55" s="529">
        <f t="shared" si="38"/>
        <v>100</v>
      </c>
      <c r="Z55" s="529">
        <v>100</v>
      </c>
      <c r="AA55" s="529">
        <f t="shared" si="39"/>
        <v>100</v>
      </c>
      <c r="AB55" s="529">
        <v>100</v>
      </c>
    </row>
    <row r="56" spans="1:28" s="100" customFormat="1" ht="44.25" customHeight="1">
      <c r="A56" s="96" t="s">
        <v>255</v>
      </c>
      <c r="B56" s="288" t="s">
        <v>1031</v>
      </c>
      <c r="C56" s="530">
        <f t="shared" si="27"/>
        <v>275</v>
      </c>
      <c r="D56" s="529">
        <f t="shared" si="28"/>
        <v>275</v>
      </c>
      <c r="E56" s="529">
        <f t="shared" si="25"/>
        <v>0</v>
      </c>
      <c r="F56" s="529">
        <f t="shared" si="29"/>
        <v>25</v>
      </c>
      <c r="G56" s="529">
        <v>25</v>
      </c>
      <c r="H56" s="529">
        <f t="shared" si="30"/>
        <v>25</v>
      </c>
      <c r="I56" s="529">
        <v>25</v>
      </c>
      <c r="J56" s="529">
        <f t="shared" si="31"/>
        <v>25</v>
      </c>
      <c r="K56" s="529">
        <v>25</v>
      </c>
      <c r="L56" s="529">
        <f t="shared" si="32"/>
        <v>25</v>
      </c>
      <c r="M56" s="529">
        <v>25</v>
      </c>
      <c r="N56" s="529">
        <f t="shared" si="33"/>
        <v>25</v>
      </c>
      <c r="O56" s="529">
        <v>25</v>
      </c>
      <c r="P56" s="529">
        <f t="shared" si="34"/>
        <v>25</v>
      </c>
      <c r="Q56" s="529">
        <v>25</v>
      </c>
      <c r="R56" s="529">
        <f t="shared" si="35"/>
        <v>25</v>
      </c>
      <c r="S56" s="529">
        <v>25</v>
      </c>
      <c r="T56" s="529"/>
      <c r="U56" s="529">
        <f t="shared" si="36"/>
        <v>25</v>
      </c>
      <c r="V56" s="529">
        <v>25</v>
      </c>
      <c r="W56" s="529">
        <f t="shared" si="37"/>
        <v>25</v>
      </c>
      <c r="X56" s="529">
        <v>25</v>
      </c>
      <c r="Y56" s="529">
        <f t="shared" si="38"/>
        <v>25</v>
      </c>
      <c r="Z56" s="529">
        <v>25</v>
      </c>
      <c r="AA56" s="529">
        <f t="shared" si="39"/>
        <v>25</v>
      </c>
      <c r="AB56" s="529">
        <v>25</v>
      </c>
    </row>
    <row r="57" spans="1:28" s="100" customFormat="1" ht="22.5" customHeight="1">
      <c r="A57" s="98" t="s">
        <v>255</v>
      </c>
      <c r="B57" s="99" t="s">
        <v>539</v>
      </c>
      <c r="C57" s="530">
        <f t="shared" si="27"/>
        <v>847.51400000000001</v>
      </c>
      <c r="D57" s="529">
        <f t="shared" si="28"/>
        <v>847.51400000000001</v>
      </c>
      <c r="E57" s="529">
        <f t="shared" si="25"/>
        <v>0</v>
      </c>
      <c r="F57" s="529">
        <f t="shared" si="29"/>
        <v>80.459999999999994</v>
      </c>
      <c r="G57" s="529">
        <v>80.459999999999994</v>
      </c>
      <c r="H57" s="529">
        <f t="shared" si="30"/>
        <v>75.096000000000004</v>
      </c>
      <c r="I57" s="529">
        <v>75.096000000000004</v>
      </c>
      <c r="J57" s="529">
        <f t="shared" si="31"/>
        <v>75.096000000000004</v>
      </c>
      <c r="K57" s="529">
        <v>75.096000000000004</v>
      </c>
      <c r="L57" s="529">
        <f t="shared" si="32"/>
        <v>75.096000000000004</v>
      </c>
      <c r="M57" s="529">
        <v>75.096000000000004</v>
      </c>
      <c r="N57" s="529">
        <f t="shared" si="33"/>
        <v>69.73</v>
      </c>
      <c r="O57" s="529">
        <v>69.73</v>
      </c>
      <c r="P57" s="529">
        <f t="shared" si="34"/>
        <v>80.459999999999994</v>
      </c>
      <c r="Q57" s="529">
        <v>80.459999999999994</v>
      </c>
      <c r="R57" s="529">
        <f t="shared" si="35"/>
        <v>75.096000000000004</v>
      </c>
      <c r="S57" s="529">
        <v>75.096000000000004</v>
      </c>
      <c r="T57" s="529"/>
      <c r="U57" s="529">
        <f t="shared" si="36"/>
        <v>75.099999999999994</v>
      </c>
      <c r="V57" s="529">
        <v>75.099999999999994</v>
      </c>
      <c r="W57" s="529">
        <f t="shared" si="37"/>
        <v>75.096000000000004</v>
      </c>
      <c r="X57" s="529">
        <v>75.096000000000004</v>
      </c>
      <c r="Y57" s="529">
        <f t="shared" si="38"/>
        <v>85.823999999999998</v>
      </c>
      <c r="Z57" s="529">
        <v>85.823999999999998</v>
      </c>
      <c r="AA57" s="529">
        <f t="shared" si="39"/>
        <v>80.459999999999994</v>
      </c>
      <c r="AB57" s="529">
        <v>80.459999999999994</v>
      </c>
    </row>
    <row r="58" spans="1:28" s="100" customFormat="1" ht="30.75" customHeight="1">
      <c r="A58" s="98" t="s">
        <v>255</v>
      </c>
      <c r="B58" s="99" t="s">
        <v>540</v>
      </c>
      <c r="C58" s="530">
        <f t="shared" si="27"/>
        <v>846.88800000000003</v>
      </c>
      <c r="D58" s="529">
        <f t="shared" si="28"/>
        <v>846.88800000000003</v>
      </c>
      <c r="E58" s="529">
        <f t="shared" si="25"/>
        <v>0</v>
      </c>
      <c r="F58" s="529">
        <f t="shared" si="29"/>
        <v>103.70400000000001</v>
      </c>
      <c r="G58" s="529">
        <f>(0.2*1.49*228)+(8*3*1.49)</f>
        <v>103.70400000000001</v>
      </c>
      <c r="H58" s="529">
        <f t="shared" si="30"/>
        <v>78.224999999999994</v>
      </c>
      <c r="I58" s="529">
        <f>(0.3*1.49*105)+(7*3*1.49)</f>
        <v>78.224999999999994</v>
      </c>
      <c r="J58" s="529">
        <f t="shared" si="31"/>
        <v>50.957999999999998</v>
      </c>
      <c r="K58" s="529">
        <f>(0.4*1.49*63)+(3*3*1.49)</f>
        <v>50.957999999999998</v>
      </c>
      <c r="L58" s="529">
        <f t="shared" si="32"/>
        <v>59.618000000000002</v>
      </c>
      <c r="M58" s="529">
        <f>0.4*1.21*77+(5*3*1.49)</f>
        <v>59.618000000000002</v>
      </c>
      <c r="N58" s="529">
        <f t="shared" si="33"/>
        <v>59.599999999999994</v>
      </c>
      <c r="O58" s="529">
        <f>0.4*1.49*70+(4*3*1.49)</f>
        <v>59.599999999999994</v>
      </c>
      <c r="P58" s="529">
        <f t="shared" si="34"/>
        <v>61.983999999999995</v>
      </c>
      <c r="Q58" s="529">
        <f>0.4*1.49*74+(4*3*1.49)</f>
        <v>61.983999999999995</v>
      </c>
      <c r="R58" s="529">
        <f t="shared" si="35"/>
        <v>100.57499999999999</v>
      </c>
      <c r="S58" s="529">
        <f>0.3*1.49*155+(7*3*1.49)</f>
        <v>100.57499999999999</v>
      </c>
      <c r="T58" s="529"/>
      <c r="U58" s="529">
        <f t="shared" si="36"/>
        <v>52.997999999999998</v>
      </c>
      <c r="V58" s="529">
        <f>0.4*1.21*87+(3*3*1.21)</f>
        <v>52.997999999999998</v>
      </c>
      <c r="W58" s="529">
        <f t="shared" si="37"/>
        <v>80.757999999999996</v>
      </c>
      <c r="X58" s="529">
        <f>0.4*1.49*83+(7*3*1.49)</f>
        <v>80.757999999999996</v>
      </c>
      <c r="Y58" s="529">
        <f t="shared" si="38"/>
        <v>85.37700000000001</v>
      </c>
      <c r="Z58" s="529">
        <f>0.3*1.49*131+(6*3*1.49)</f>
        <v>85.37700000000001</v>
      </c>
      <c r="AA58" s="529">
        <f t="shared" si="39"/>
        <v>113.09100000000001</v>
      </c>
      <c r="AB58" s="529">
        <f>0.3*1.49*153+(10*3*1.49)</f>
        <v>113.09100000000001</v>
      </c>
    </row>
    <row r="59" spans="1:28" s="452" customFormat="1" ht="33" customHeight="1">
      <c r="A59" s="98" t="s">
        <v>255</v>
      </c>
      <c r="B59" s="99" t="s">
        <v>562</v>
      </c>
      <c r="C59" s="530">
        <f t="shared" si="27"/>
        <v>700</v>
      </c>
      <c r="D59" s="529">
        <f t="shared" si="28"/>
        <v>700</v>
      </c>
      <c r="E59" s="529">
        <f t="shared" si="25"/>
        <v>0</v>
      </c>
      <c r="F59" s="529">
        <f t="shared" si="29"/>
        <v>0</v>
      </c>
      <c r="G59" s="529"/>
      <c r="H59" s="529">
        <f t="shared" si="30"/>
        <v>100</v>
      </c>
      <c r="I59" s="529">
        <v>100</v>
      </c>
      <c r="J59" s="529">
        <f t="shared" si="31"/>
        <v>100</v>
      </c>
      <c r="K59" s="529">
        <v>100</v>
      </c>
      <c r="L59" s="529">
        <f t="shared" si="32"/>
        <v>0</v>
      </c>
      <c r="M59" s="529"/>
      <c r="N59" s="529">
        <f t="shared" si="33"/>
        <v>0</v>
      </c>
      <c r="O59" s="529"/>
      <c r="P59" s="529">
        <f t="shared" si="34"/>
        <v>100</v>
      </c>
      <c r="Q59" s="529">
        <v>100</v>
      </c>
      <c r="R59" s="529">
        <f t="shared" si="35"/>
        <v>100</v>
      </c>
      <c r="S59" s="529">
        <v>100</v>
      </c>
      <c r="T59" s="529"/>
      <c r="U59" s="529">
        <f t="shared" si="36"/>
        <v>100</v>
      </c>
      <c r="V59" s="529">
        <v>100</v>
      </c>
      <c r="W59" s="529">
        <f t="shared" si="37"/>
        <v>100</v>
      </c>
      <c r="X59" s="529">
        <v>100</v>
      </c>
      <c r="Y59" s="529">
        <f t="shared" si="38"/>
        <v>100</v>
      </c>
      <c r="Z59" s="529">
        <v>100</v>
      </c>
      <c r="AA59" s="529">
        <f t="shared" si="39"/>
        <v>0</v>
      </c>
      <c r="AB59" s="529"/>
    </row>
    <row r="60" spans="1:28" s="100" customFormat="1" ht="36" customHeight="1">
      <c r="A60" s="101" t="s">
        <v>255</v>
      </c>
      <c r="B60" s="99" t="s">
        <v>563</v>
      </c>
      <c r="C60" s="530">
        <f t="shared" si="27"/>
        <v>611</v>
      </c>
      <c r="D60" s="529">
        <f t="shared" si="28"/>
        <v>611</v>
      </c>
      <c r="E60" s="529">
        <f t="shared" si="25"/>
        <v>0</v>
      </c>
      <c r="F60" s="529">
        <f t="shared" si="29"/>
        <v>63</v>
      </c>
      <c r="G60" s="529">
        <f>(20+(5*8)+3)</f>
        <v>63</v>
      </c>
      <c r="H60" s="529">
        <f t="shared" si="30"/>
        <v>55</v>
      </c>
      <c r="I60" s="529">
        <f>25+(6*7)-5-7</f>
        <v>55</v>
      </c>
      <c r="J60" s="529">
        <f t="shared" si="31"/>
        <v>36</v>
      </c>
      <c r="K60" s="529">
        <f>20+(5*3)+1</f>
        <v>36</v>
      </c>
      <c r="L60" s="529">
        <f t="shared" si="32"/>
        <v>45</v>
      </c>
      <c r="M60" s="529">
        <f>20+(5*5)</f>
        <v>45</v>
      </c>
      <c r="N60" s="529">
        <f t="shared" si="33"/>
        <v>40</v>
      </c>
      <c r="O60" s="529">
        <f>20+(5*4)</f>
        <v>40</v>
      </c>
      <c r="P60" s="529">
        <f t="shared" si="34"/>
        <v>49</v>
      </c>
      <c r="Q60" s="529">
        <f>25+(6*4)</f>
        <v>49</v>
      </c>
      <c r="R60" s="529">
        <f t="shared" si="35"/>
        <v>67</v>
      </c>
      <c r="S60" s="529">
        <f>25+(6*7)-T60</f>
        <v>67</v>
      </c>
      <c r="T60" s="529"/>
      <c r="U60" s="529">
        <f t="shared" si="36"/>
        <v>43</v>
      </c>
      <c r="V60" s="529">
        <f>25+(6*3)</f>
        <v>43</v>
      </c>
      <c r="W60" s="529">
        <f t="shared" si="37"/>
        <v>67</v>
      </c>
      <c r="X60" s="529">
        <f>25+(6*7)</f>
        <v>67</v>
      </c>
      <c r="Y60" s="529">
        <f t="shared" si="38"/>
        <v>61</v>
      </c>
      <c r="Z60" s="529">
        <f>25+(6*6)</f>
        <v>61</v>
      </c>
      <c r="AA60" s="529">
        <f t="shared" si="39"/>
        <v>85</v>
      </c>
      <c r="AB60" s="529">
        <f>25+(6*10)</f>
        <v>85</v>
      </c>
    </row>
    <row r="61" spans="1:28" s="100" customFormat="1" ht="21" customHeight="1">
      <c r="A61" s="101" t="s">
        <v>255</v>
      </c>
      <c r="B61" s="99" t="s">
        <v>625</v>
      </c>
      <c r="C61" s="530">
        <f t="shared" si="27"/>
        <v>250</v>
      </c>
      <c r="D61" s="529">
        <f t="shared" si="28"/>
        <v>250</v>
      </c>
      <c r="E61" s="529">
        <f t="shared" si="25"/>
        <v>0</v>
      </c>
      <c r="F61" s="529">
        <f t="shared" si="29"/>
        <v>25</v>
      </c>
      <c r="G61" s="529">
        <v>25</v>
      </c>
      <c r="H61" s="529">
        <f t="shared" si="30"/>
        <v>25</v>
      </c>
      <c r="I61" s="529">
        <v>25</v>
      </c>
      <c r="J61" s="529">
        <f t="shared" si="31"/>
        <v>20</v>
      </c>
      <c r="K61" s="529">
        <v>20</v>
      </c>
      <c r="L61" s="529">
        <f t="shared" si="32"/>
        <v>20</v>
      </c>
      <c r="M61" s="529">
        <v>20</v>
      </c>
      <c r="N61" s="529">
        <f t="shared" si="33"/>
        <v>20</v>
      </c>
      <c r="O61" s="529">
        <v>20</v>
      </c>
      <c r="P61" s="529">
        <f t="shared" si="34"/>
        <v>20</v>
      </c>
      <c r="Q61" s="529">
        <v>20</v>
      </c>
      <c r="R61" s="529">
        <f t="shared" si="35"/>
        <v>25</v>
      </c>
      <c r="S61" s="529">
        <v>25</v>
      </c>
      <c r="T61" s="529"/>
      <c r="U61" s="529">
        <f t="shared" si="36"/>
        <v>20</v>
      </c>
      <c r="V61" s="529">
        <v>20</v>
      </c>
      <c r="W61" s="529">
        <f t="shared" si="37"/>
        <v>25</v>
      </c>
      <c r="X61" s="529">
        <v>25</v>
      </c>
      <c r="Y61" s="529">
        <f t="shared" si="38"/>
        <v>25</v>
      </c>
      <c r="Z61" s="529">
        <v>25</v>
      </c>
      <c r="AA61" s="529">
        <f t="shared" si="39"/>
        <v>25</v>
      </c>
      <c r="AB61" s="529">
        <v>25</v>
      </c>
    </row>
    <row r="62" spans="1:28" s="100" customFormat="1" ht="31.5" customHeight="1">
      <c r="A62" s="101" t="s">
        <v>255</v>
      </c>
      <c r="B62" s="102" t="s">
        <v>615</v>
      </c>
      <c r="C62" s="530">
        <f t="shared" si="27"/>
        <v>165</v>
      </c>
      <c r="D62" s="529">
        <f t="shared" si="28"/>
        <v>165</v>
      </c>
      <c r="E62" s="529">
        <f t="shared" si="25"/>
        <v>0</v>
      </c>
      <c r="F62" s="529">
        <f t="shared" si="29"/>
        <v>15</v>
      </c>
      <c r="G62" s="529">
        <v>15</v>
      </c>
      <c r="H62" s="529">
        <f t="shared" si="30"/>
        <v>15</v>
      </c>
      <c r="I62" s="529">
        <v>15</v>
      </c>
      <c r="J62" s="529">
        <f t="shared" si="31"/>
        <v>15</v>
      </c>
      <c r="K62" s="529">
        <v>15</v>
      </c>
      <c r="L62" s="529">
        <f t="shared" si="32"/>
        <v>15</v>
      </c>
      <c r="M62" s="529">
        <v>15</v>
      </c>
      <c r="N62" s="529">
        <f t="shared" si="33"/>
        <v>15</v>
      </c>
      <c r="O62" s="529">
        <v>15</v>
      </c>
      <c r="P62" s="529">
        <f t="shared" si="34"/>
        <v>15</v>
      </c>
      <c r="Q62" s="529">
        <v>15</v>
      </c>
      <c r="R62" s="529">
        <f t="shared" si="35"/>
        <v>15</v>
      </c>
      <c r="S62" s="529">
        <v>15</v>
      </c>
      <c r="T62" s="529"/>
      <c r="U62" s="529">
        <f t="shared" si="36"/>
        <v>15</v>
      </c>
      <c r="V62" s="529">
        <v>15</v>
      </c>
      <c r="W62" s="529">
        <f t="shared" si="37"/>
        <v>15</v>
      </c>
      <c r="X62" s="529">
        <v>15</v>
      </c>
      <c r="Y62" s="529">
        <f t="shared" si="38"/>
        <v>15</v>
      </c>
      <c r="Z62" s="529">
        <v>15</v>
      </c>
      <c r="AA62" s="529">
        <f t="shared" si="39"/>
        <v>15</v>
      </c>
      <c r="AB62" s="529">
        <v>15</v>
      </c>
    </row>
    <row r="63" spans="1:28" s="100" customFormat="1" ht="22.5" customHeight="1">
      <c r="A63" s="101" t="s">
        <v>255</v>
      </c>
      <c r="B63" s="99" t="s">
        <v>564</v>
      </c>
      <c r="C63" s="530">
        <f t="shared" si="27"/>
        <v>277.5</v>
      </c>
      <c r="D63" s="529">
        <f>G63+I63+K63+M63+O63+Q63+S63+V63+X63+Z63+AB63</f>
        <v>277.5</v>
      </c>
      <c r="E63" s="529">
        <f t="shared" si="25"/>
        <v>0</v>
      </c>
      <c r="F63" s="529">
        <f t="shared" si="29"/>
        <v>0</v>
      </c>
      <c r="G63" s="529"/>
      <c r="H63" s="529">
        <f t="shared" si="30"/>
        <v>0</v>
      </c>
      <c r="I63" s="529">
        <f>7*5*1.5-52.5</f>
        <v>0</v>
      </c>
      <c r="J63" s="529">
        <f t="shared" si="31"/>
        <v>0</v>
      </c>
      <c r="K63" s="529"/>
      <c r="L63" s="529">
        <f t="shared" si="32"/>
        <v>0</v>
      </c>
      <c r="M63" s="529"/>
      <c r="N63" s="529">
        <f t="shared" si="33"/>
        <v>0</v>
      </c>
      <c r="O63" s="529"/>
      <c r="P63" s="529">
        <f t="shared" si="34"/>
        <v>30</v>
      </c>
      <c r="Q63" s="529">
        <f>5*4*1.5</f>
        <v>30</v>
      </c>
      <c r="R63" s="529">
        <f t="shared" si="35"/>
        <v>52.5</v>
      </c>
      <c r="S63" s="529">
        <f>7*5*1.5</f>
        <v>52.5</v>
      </c>
      <c r="T63" s="529"/>
      <c r="U63" s="529">
        <f t="shared" si="36"/>
        <v>22.5</v>
      </c>
      <c r="V63" s="529">
        <f>3*5*1.5</f>
        <v>22.5</v>
      </c>
      <c r="W63" s="529">
        <f t="shared" si="37"/>
        <v>52.5</v>
      </c>
      <c r="X63" s="529">
        <f>7*5*1.5</f>
        <v>52.5</v>
      </c>
      <c r="Y63" s="529">
        <f t="shared" si="38"/>
        <v>45</v>
      </c>
      <c r="Z63" s="529">
        <f>6*5*1.5</f>
        <v>45</v>
      </c>
      <c r="AA63" s="529">
        <f t="shared" si="39"/>
        <v>75</v>
      </c>
      <c r="AB63" s="529">
        <f>10*5*1.5</f>
        <v>75</v>
      </c>
    </row>
    <row r="64" spans="1:28" s="100" customFormat="1" ht="35.25" customHeight="1">
      <c r="A64" s="101" t="s">
        <v>255</v>
      </c>
      <c r="B64" s="99" t="s">
        <v>805</v>
      </c>
      <c r="C64" s="530">
        <f t="shared" si="27"/>
        <v>151.61000000000001</v>
      </c>
      <c r="D64" s="529">
        <f t="shared" si="28"/>
        <v>151.61000000000001</v>
      </c>
      <c r="E64" s="529">
        <f t="shared" si="25"/>
        <v>0</v>
      </c>
      <c r="F64" s="529">
        <f t="shared" si="29"/>
        <v>31.12</v>
      </c>
      <c r="G64" s="529">
        <v>31.12</v>
      </c>
      <c r="H64" s="529">
        <f>I64</f>
        <v>14.6</v>
      </c>
      <c r="I64" s="529">
        <v>14.6</v>
      </c>
      <c r="J64" s="529">
        <f t="shared" si="31"/>
        <v>9.5</v>
      </c>
      <c r="K64" s="529">
        <v>9.5</v>
      </c>
      <c r="L64" s="529">
        <f t="shared" si="32"/>
        <v>9.7100000000000009</v>
      </c>
      <c r="M64" s="529">
        <v>9.7100000000000009</v>
      </c>
      <c r="N64" s="529">
        <f t="shared" si="33"/>
        <v>8.75</v>
      </c>
      <c r="O64" s="529">
        <v>8.75</v>
      </c>
      <c r="P64" s="529">
        <f t="shared" si="34"/>
        <v>10.28</v>
      </c>
      <c r="Q64" s="529">
        <v>10.28</v>
      </c>
      <c r="R64" s="529">
        <f t="shared" si="35"/>
        <v>19.059999999999999</v>
      </c>
      <c r="S64" s="529">
        <v>19.059999999999999</v>
      </c>
      <c r="T64" s="529"/>
      <c r="U64" s="529">
        <f t="shared" si="36"/>
        <v>11.77</v>
      </c>
      <c r="V64" s="529">
        <v>11.77</v>
      </c>
      <c r="W64" s="529">
        <f t="shared" si="37"/>
        <v>10.28</v>
      </c>
      <c r="X64" s="529">
        <v>10.28</v>
      </c>
      <c r="Y64" s="529">
        <f t="shared" si="38"/>
        <v>9.42</v>
      </c>
      <c r="Z64" s="529">
        <v>9.42</v>
      </c>
      <c r="AA64" s="529">
        <f t="shared" si="39"/>
        <v>17.12</v>
      </c>
      <c r="AB64" s="529">
        <v>17.12</v>
      </c>
    </row>
    <row r="65" spans="1:28" s="100" customFormat="1" ht="35.25" customHeight="1">
      <c r="A65" s="101" t="s">
        <v>255</v>
      </c>
      <c r="B65" s="99" t="s">
        <v>806</v>
      </c>
      <c r="C65" s="530">
        <f t="shared" si="27"/>
        <v>385.19</v>
      </c>
      <c r="D65" s="529">
        <f t="shared" si="28"/>
        <v>385.19</v>
      </c>
      <c r="E65" s="529">
        <f t="shared" si="25"/>
        <v>0</v>
      </c>
      <c r="F65" s="529">
        <f t="shared" si="29"/>
        <v>0</v>
      </c>
      <c r="G65" s="529"/>
      <c r="H65" s="529">
        <f>I65</f>
        <v>385.19</v>
      </c>
      <c r="I65" s="529">
        <v>385.19</v>
      </c>
      <c r="J65" s="529">
        <f t="shared" si="31"/>
        <v>0</v>
      </c>
      <c r="K65" s="529"/>
      <c r="L65" s="529">
        <f t="shared" si="32"/>
        <v>0</v>
      </c>
      <c r="M65" s="529"/>
      <c r="N65" s="529">
        <f t="shared" si="33"/>
        <v>0</v>
      </c>
      <c r="O65" s="529"/>
      <c r="P65" s="529">
        <f t="shared" si="34"/>
        <v>0</v>
      </c>
      <c r="Q65" s="529"/>
      <c r="R65" s="529">
        <f t="shared" si="35"/>
        <v>0</v>
      </c>
      <c r="S65" s="529"/>
      <c r="T65" s="529"/>
      <c r="U65" s="529">
        <f t="shared" si="36"/>
        <v>0</v>
      </c>
      <c r="V65" s="529"/>
      <c r="W65" s="529">
        <f t="shared" si="37"/>
        <v>0</v>
      </c>
      <c r="X65" s="529"/>
      <c r="Y65" s="529">
        <f t="shared" si="38"/>
        <v>0</v>
      </c>
      <c r="Z65" s="529"/>
      <c r="AA65" s="529">
        <f t="shared" si="39"/>
        <v>0</v>
      </c>
      <c r="AB65" s="529"/>
    </row>
    <row r="66" spans="1:28" s="100" customFormat="1" ht="22.5" customHeight="1">
      <c r="A66" s="101" t="s">
        <v>255</v>
      </c>
      <c r="B66" s="99" t="s">
        <v>807</v>
      </c>
      <c r="C66" s="530">
        <f t="shared" si="27"/>
        <v>-84.57</v>
      </c>
      <c r="D66" s="529">
        <f t="shared" si="28"/>
        <v>-84.57</v>
      </c>
      <c r="E66" s="529">
        <f t="shared" si="25"/>
        <v>0</v>
      </c>
      <c r="F66" s="529">
        <f t="shared" si="29"/>
        <v>0</v>
      </c>
      <c r="G66" s="529"/>
      <c r="H66" s="529">
        <f>I66</f>
        <v>-84.57</v>
      </c>
      <c r="I66" s="529">
        <v>-84.57</v>
      </c>
      <c r="J66" s="529">
        <f t="shared" si="31"/>
        <v>0</v>
      </c>
      <c r="K66" s="529"/>
      <c r="L66" s="529">
        <f t="shared" si="32"/>
        <v>0</v>
      </c>
      <c r="M66" s="529"/>
      <c r="N66" s="529">
        <f t="shared" si="33"/>
        <v>0</v>
      </c>
      <c r="O66" s="529"/>
      <c r="P66" s="529">
        <f t="shared" si="34"/>
        <v>0</v>
      </c>
      <c r="Q66" s="529"/>
      <c r="R66" s="529">
        <f t="shared" si="35"/>
        <v>0</v>
      </c>
      <c r="S66" s="529"/>
      <c r="T66" s="529"/>
      <c r="U66" s="529">
        <f t="shared" si="36"/>
        <v>0</v>
      </c>
      <c r="V66" s="529"/>
      <c r="W66" s="529">
        <f t="shared" si="37"/>
        <v>0</v>
      </c>
      <c r="X66" s="529"/>
      <c r="Y66" s="529">
        <f t="shared" si="38"/>
        <v>0</v>
      </c>
      <c r="Z66" s="529"/>
      <c r="AA66" s="529">
        <f t="shared" si="39"/>
        <v>0</v>
      </c>
      <c r="AB66" s="529"/>
    </row>
    <row r="67" spans="1:28" s="100" customFormat="1" ht="22.5" customHeight="1">
      <c r="A67" s="101" t="s">
        <v>255</v>
      </c>
      <c r="B67" s="99" t="s">
        <v>808</v>
      </c>
      <c r="C67" s="530">
        <f t="shared" si="27"/>
        <v>-212.77</v>
      </c>
      <c r="D67" s="529">
        <f t="shared" si="28"/>
        <v>-212.77</v>
      </c>
      <c r="E67" s="529">
        <f t="shared" si="25"/>
        <v>0</v>
      </c>
      <c r="F67" s="529">
        <f t="shared" si="29"/>
        <v>0</v>
      </c>
      <c r="G67" s="529"/>
      <c r="H67" s="529">
        <f>I67</f>
        <v>-212.77</v>
      </c>
      <c r="I67" s="529">
        <v>-212.77</v>
      </c>
      <c r="J67" s="529">
        <f t="shared" si="31"/>
        <v>0</v>
      </c>
      <c r="K67" s="529"/>
      <c r="L67" s="529">
        <f t="shared" si="32"/>
        <v>0</v>
      </c>
      <c r="M67" s="529"/>
      <c r="N67" s="529">
        <f t="shared" si="33"/>
        <v>0</v>
      </c>
      <c r="O67" s="529"/>
      <c r="P67" s="529">
        <f t="shared" si="34"/>
        <v>0</v>
      </c>
      <c r="Q67" s="529"/>
      <c r="R67" s="529">
        <f t="shared" si="35"/>
        <v>0</v>
      </c>
      <c r="S67" s="529"/>
      <c r="T67" s="529"/>
      <c r="U67" s="529">
        <f t="shared" si="36"/>
        <v>0</v>
      </c>
      <c r="V67" s="529"/>
      <c r="W67" s="529">
        <f t="shared" si="37"/>
        <v>0</v>
      </c>
      <c r="X67" s="529"/>
      <c r="Y67" s="529">
        <f t="shared" si="38"/>
        <v>0</v>
      </c>
      <c r="Z67" s="529"/>
      <c r="AA67" s="529">
        <f t="shared" si="39"/>
        <v>0</v>
      </c>
      <c r="AB67" s="529"/>
    </row>
    <row r="68" spans="1:28" s="452" customFormat="1" ht="31.5" customHeight="1">
      <c r="A68" s="101" t="s">
        <v>255</v>
      </c>
      <c r="B68" s="288" t="s">
        <v>562</v>
      </c>
      <c r="C68" s="530">
        <f t="shared" ref="C68:C71" si="40">SUM(D68:E68)</f>
        <v>-200</v>
      </c>
      <c r="D68" s="529">
        <f t="shared" si="28"/>
        <v>-200</v>
      </c>
      <c r="E68" s="529">
        <f t="shared" si="25"/>
        <v>0</v>
      </c>
      <c r="F68" s="529">
        <f t="shared" si="29"/>
        <v>0</v>
      </c>
      <c r="G68" s="529"/>
      <c r="H68" s="529">
        <f t="shared" ref="H68:H74" si="41">I68</f>
        <v>0</v>
      </c>
      <c r="I68" s="529"/>
      <c r="J68" s="529">
        <f t="shared" si="31"/>
        <v>0</v>
      </c>
      <c r="K68" s="529"/>
      <c r="L68" s="529">
        <f t="shared" si="32"/>
        <v>0</v>
      </c>
      <c r="M68" s="529"/>
      <c r="N68" s="529">
        <f t="shared" si="33"/>
        <v>0</v>
      </c>
      <c r="O68" s="529"/>
      <c r="P68" s="529">
        <f t="shared" si="34"/>
        <v>-100</v>
      </c>
      <c r="Q68" s="529">
        <f>-100</f>
        <v>-100</v>
      </c>
      <c r="R68" s="529">
        <f t="shared" si="35"/>
        <v>0</v>
      </c>
      <c r="S68" s="529"/>
      <c r="T68" s="529"/>
      <c r="U68" s="529">
        <f t="shared" si="36"/>
        <v>0</v>
      </c>
      <c r="V68" s="529"/>
      <c r="W68" s="529">
        <f t="shared" si="37"/>
        <v>-100</v>
      </c>
      <c r="X68" s="529">
        <f>-100</f>
        <v>-100</v>
      </c>
      <c r="Y68" s="529">
        <f t="shared" si="38"/>
        <v>0</v>
      </c>
      <c r="Z68" s="529"/>
      <c r="AA68" s="529">
        <f t="shared" si="39"/>
        <v>0</v>
      </c>
      <c r="AB68" s="529"/>
    </row>
    <row r="69" spans="1:28" s="100" customFormat="1" ht="33.75" customHeight="1">
      <c r="A69" s="101" t="s">
        <v>255</v>
      </c>
      <c r="B69" s="288" t="s">
        <v>809</v>
      </c>
      <c r="C69" s="530">
        <f t="shared" si="40"/>
        <v>110</v>
      </c>
      <c r="D69" s="529">
        <f t="shared" si="28"/>
        <v>110</v>
      </c>
      <c r="E69" s="529">
        <f t="shared" si="25"/>
        <v>0</v>
      </c>
      <c r="F69" s="529">
        <f t="shared" si="29"/>
        <v>10</v>
      </c>
      <c r="G69" s="529">
        <v>10</v>
      </c>
      <c r="H69" s="529">
        <f t="shared" si="41"/>
        <v>10</v>
      </c>
      <c r="I69" s="529">
        <v>10</v>
      </c>
      <c r="J69" s="529">
        <f t="shared" si="31"/>
        <v>10</v>
      </c>
      <c r="K69" s="529">
        <v>10</v>
      </c>
      <c r="L69" s="529">
        <f t="shared" si="32"/>
        <v>10</v>
      </c>
      <c r="M69" s="529">
        <v>10</v>
      </c>
      <c r="N69" s="529">
        <f t="shared" si="33"/>
        <v>10</v>
      </c>
      <c r="O69" s="529">
        <v>10</v>
      </c>
      <c r="P69" s="529">
        <f t="shared" si="34"/>
        <v>10</v>
      </c>
      <c r="Q69" s="529">
        <v>10</v>
      </c>
      <c r="R69" s="529">
        <f t="shared" si="35"/>
        <v>10</v>
      </c>
      <c r="S69" s="529">
        <v>10</v>
      </c>
      <c r="T69" s="529"/>
      <c r="U69" s="529">
        <f t="shared" si="36"/>
        <v>10</v>
      </c>
      <c r="V69" s="529">
        <v>10</v>
      </c>
      <c r="W69" s="529">
        <f t="shared" si="37"/>
        <v>10</v>
      </c>
      <c r="X69" s="529">
        <v>10</v>
      </c>
      <c r="Y69" s="529">
        <f t="shared" si="38"/>
        <v>10</v>
      </c>
      <c r="Z69" s="529">
        <v>10</v>
      </c>
      <c r="AA69" s="529">
        <f t="shared" si="39"/>
        <v>10</v>
      </c>
      <c r="AB69" s="529">
        <v>10</v>
      </c>
    </row>
    <row r="70" spans="1:28" s="100" customFormat="1" ht="38.25" customHeight="1">
      <c r="A70" s="101" t="s">
        <v>255</v>
      </c>
      <c r="B70" s="99" t="s">
        <v>810</v>
      </c>
      <c r="C70" s="530">
        <f t="shared" si="40"/>
        <v>119.2</v>
      </c>
      <c r="D70" s="529">
        <f t="shared" si="28"/>
        <v>119.2</v>
      </c>
      <c r="E70" s="529">
        <f t="shared" si="25"/>
        <v>0</v>
      </c>
      <c r="F70" s="529">
        <f t="shared" si="29"/>
        <v>0</v>
      </c>
      <c r="G70" s="529"/>
      <c r="H70" s="529">
        <f t="shared" si="41"/>
        <v>0</v>
      </c>
      <c r="I70" s="529"/>
      <c r="J70" s="529">
        <f t="shared" si="31"/>
        <v>0</v>
      </c>
      <c r="K70" s="529"/>
      <c r="L70" s="529">
        <f t="shared" si="32"/>
        <v>0</v>
      </c>
      <c r="M70" s="529"/>
      <c r="N70" s="529">
        <f t="shared" si="33"/>
        <v>0</v>
      </c>
      <c r="O70" s="529"/>
      <c r="P70" s="529">
        <f t="shared" si="34"/>
        <v>0</v>
      </c>
      <c r="Q70" s="529"/>
      <c r="R70" s="529">
        <f t="shared" si="35"/>
        <v>0</v>
      </c>
      <c r="S70" s="529"/>
      <c r="T70" s="529"/>
      <c r="U70" s="529">
        <f t="shared" si="36"/>
        <v>44.7</v>
      </c>
      <c r="V70" s="531">
        <f>3*14.9</f>
        <v>44.7</v>
      </c>
      <c r="W70" s="529">
        <f t="shared" si="37"/>
        <v>14.9</v>
      </c>
      <c r="X70" s="531">
        <f>1*14.9</f>
        <v>14.9</v>
      </c>
      <c r="Y70" s="529">
        <f t="shared" si="38"/>
        <v>59.6</v>
      </c>
      <c r="Z70" s="531">
        <f>4*14.9</f>
        <v>59.6</v>
      </c>
      <c r="AA70" s="529">
        <f t="shared" si="39"/>
        <v>0</v>
      </c>
      <c r="AB70" s="529"/>
    </row>
    <row r="71" spans="1:28" s="100" customFormat="1" ht="28.5" customHeight="1">
      <c r="A71" s="101" t="s">
        <v>255</v>
      </c>
      <c r="B71" s="99" t="s">
        <v>811</v>
      </c>
      <c r="C71" s="530">
        <f t="shared" si="40"/>
        <v>41.459000000000003</v>
      </c>
      <c r="D71" s="529">
        <f t="shared" si="28"/>
        <v>41.459000000000003</v>
      </c>
      <c r="E71" s="529">
        <f t="shared" si="25"/>
        <v>0</v>
      </c>
      <c r="F71" s="529">
        <f t="shared" si="29"/>
        <v>0</v>
      </c>
      <c r="G71" s="529"/>
      <c r="H71" s="529">
        <f t="shared" si="41"/>
        <v>0</v>
      </c>
      <c r="I71" s="529"/>
      <c r="J71" s="529">
        <f t="shared" si="31"/>
        <v>0</v>
      </c>
      <c r="K71" s="529"/>
      <c r="L71" s="529">
        <f t="shared" si="32"/>
        <v>0</v>
      </c>
      <c r="M71" s="529"/>
      <c r="N71" s="529">
        <f t="shared" si="33"/>
        <v>0</v>
      </c>
      <c r="O71" s="529"/>
      <c r="P71" s="529">
        <f t="shared" si="34"/>
        <v>0</v>
      </c>
      <c r="Q71" s="529"/>
      <c r="R71" s="529">
        <f t="shared" si="35"/>
        <v>41.459000000000003</v>
      </c>
      <c r="S71" s="529">
        <v>41.459000000000003</v>
      </c>
      <c r="T71" s="529"/>
      <c r="U71" s="529">
        <f t="shared" si="36"/>
        <v>0</v>
      </c>
      <c r="V71" s="531"/>
      <c r="W71" s="529">
        <f t="shared" si="37"/>
        <v>0</v>
      </c>
      <c r="X71" s="531"/>
      <c r="Y71" s="529">
        <f t="shared" si="38"/>
        <v>0</v>
      </c>
      <c r="Z71" s="531"/>
      <c r="AA71" s="529">
        <f t="shared" si="39"/>
        <v>0</v>
      </c>
      <c r="AB71" s="529"/>
    </row>
    <row r="72" spans="1:28" s="100" customFormat="1" ht="42" customHeight="1">
      <c r="A72" s="101" t="s">
        <v>255</v>
      </c>
      <c r="B72" s="288" t="s">
        <v>1032</v>
      </c>
      <c r="C72" s="530">
        <f t="shared" ref="C72:C74" si="42">SUM(D72:E72)</f>
        <v>200</v>
      </c>
      <c r="D72" s="529">
        <f t="shared" si="28"/>
        <v>200</v>
      </c>
      <c r="E72" s="529">
        <f t="shared" si="25"/>
        <v>0</v>
      </c>
      <c r="F72" s="529">
        <f t="shared" si="29"/>
        <v>0</v>
      </c>
      <c r="G72" s="529"/>
      <c r="H72" s="529">
        <f t="shared" si="41"/>
        <v>20</v>
      </c>
      <c r="I72" s="529">
        <v>20</v>
      </c>
      <c r="J72" s="529">
        <f t="shared" si="31"/>
        <v>20</v>
      </c>
      <c r="K72" s="529">
        <v>20</v>
      </c>
      <c r="L72" s="529">
        <f t="shared" si="32"/>
        <v>20</v>
      </c>
      <c r="M72" s="529">
        <v>20</v>
      </c>
      <c r="N72" s="529">
        <f t="shared" si="33"/>
        <v>20</v>
      </c>
      <c r="O72" s="529">
        <v>20</v>
      </c>
      <c r="P72" s="529">
        <f t="shared" si="34"/>
        <v>20</v>
      </c>
      <c r="Q72" s="529">
        <v>20</v>
      </c>
      <c r="R72" s="529">
        <f t="shared" si="35"/>
        <v>20</v>
      </c>
      <c r="S72" s="529">
        <v>20</v>
      </c>
      <c r="T72" s="529"/>
      <c r="U72" s="529">
        <f t="shared" si="36"/>
        <v>20</v>
      </c>
      <c r="V72" s="529">
        <v>20</v>
      </c>
      <c r="W72" s="529">
        <f t="shared" si="37"/>
        <v>20</v>
      </c>
      <c r="X72" s="529">
        <v>20</v>
      </c>
      <c r="Y72" s="529">
        <f t="shared" si="38"/>
        <v>20</v>
      </c>
      <c r="Z72" s="529">
        <v>20</v>
      </c>
      <c r="AA72" s="529">
        <f t="shared" si="39"/>
        <v>20</v>
      </c>
      <c r="AB72" s="529">
        <v>20</v>
      </c>
    </row>
    <row r="73" spans="1:28" s="100" customFormat="1" ht="51.75" customHeight="1">
      <c r="A73" s="101" t="s">
        <v>255</v>
      </c>
      <c r="B73" s="288" t="s">
        <v>1033</v>
      </c>
      <c r="C73" s="530">
        <f t="shared" si="42"/>
        <v>11</v>
      </c>
      <c r="D73" s="529">
        <f t="shared" si="28"/>
        <v>11</v>
      </c>
      <c r="E73" s="529">
        <f t="shared" si="25"/>
        <v>0</v>
      </c>
      <c r="F73" s="529">
        <f t="shared" si="29"/>
        <v>1</v>
      </c>
      <c r="G73" s="529">
        <v>1</v>
      </c>
      <c r="H73" s="529">
        <f t="shared" si="41"/>
        <v>1</v>
      </c>
      <c r="I73" s="529">
        <v>1</v>
      </c>
      <c r="J73" s="529">
        <f t="shared" si="31"/>
        <v>1</v>
      </c>
      <c r="K73" s="529">
        <v>1</v>
      </c>
      <c r="L73" s="529">
        <f t="shared" si="32"/>
        <v>1</v>
      </c>
      <c r="M73" s="529">
        <v>1</v>
      </c>
      <c r="N73" s="529">
        <f t="shared" si="33"/>
        <v>1</v>
      </c>
      <c r="O73" s="529">
        <v>1</v>
      </c>
      <c r="P73" s="529">
        <f t="shared" si="34"/>
        <v>1</v>
      </c>
      <c r="Q73" s="529">
        <v>1</v>
      </c>
      <c r="R73" s="529">
        <f t="shared" si="35"/>
        <v>1</v>
      </c>
      <c r="S73" s="529">
        <v>1</v>
      </c>
      <c r="T73" s="529"/>
      <c r="U73" s="529">
        <f t="shared" si="36"/>
        <v>1</v>
      </c>
      <c r="V73" s="529">
        <v>1</v>
      </c>
      <c r="W73" s="529">
        <f t="shared" si="37"/>
        <v>1</v>
      </c>
      <c r="X73" s="529">
        <v>1</v>
      </c>
      <c r="Y73" s="529">
        <f t="shared" si="38"/>
        <v>1</v>
      </c>
      <c r="Z73" s="529">
        <v>1</v>
      </c>
      <c r="AA73" s="529">
        <f t="shared" si="39"/>
        <v>1</v>
      </c>
      <c r="AB73" s="529">
        <v>1</v>
      </c>
    </row>
    <row r="74" spans="1:28" s="100" customFormat="1" ht="32.25" customHeight="1">
      <c r="A74" s="101" t="s">
        <v>255</v>
      </c>
      <c r="B74" s="288" t="s">
        <v>1034</v>
      </c>
      <c r="C74" s="530">
        <f t="shared" si="42"/>
        <v>11</v>
      </c>
      <c r="D74" s="529">
        <f t="shared" si="28"/>
        <v>11</v>
      </c>
      <c r="E74" s="529">
        <f t="shared" si="25"/>
        <v>0</v>
      </c>
      <c r="F74" s="529">
        <f t="shared" si="29"/>
        <v>1</v>
      </c>
      <c r="G74" s="529">
        <v>1</v>
      </c>
      <c r="H74" s="529">
        <f t="shared" si="41"/>
        <v>1</v>
      </c>
      <c r="I74" s="529">
        <v>1</v>
      </c>
      <c r="J74" s="529">
        <f t="shared" si="31"/>
        <v>1</v>
      </c>
      <c r="K74" s="529">
        <v>1</v>
      </c>
      <c r="L74" s="529">
        <f t="shared" si="32"/>
        <v>1</v>
      </c>
      <c r="M74" s="529">
        <v>1</v>
      </c>
      <c r="N74" s="529">
        <f t="shared" si="33"/>
        <v>1</v>
      </c>
      <c r="O74" s="529">
        <v>1</v>
      </c>
      <c r="P74" s="529">
        <f t="shared" si="34"/>
        <v>1</v>
      </c>
      <c r="Q74" s="529">
        <v>1</v>
      </c>
      <c r="R74" s="529">
        <f t="shared" si="35"/>
        <v>1</v>
      </c>
      <c r="S74" s="529">
        <v>1</v>
      </c>
      <c r="T74" s="529"/>
      <c r="U74" s="529">
        <f t="shared" si="36"/>
        <v>1</v>
      </c>
      <c r="V74" s="529">
        <v>1</v>
      </c>
      <c r="W74" s="529">
        <f t="shared" si="37"/>
        <v>1</v>
      </c>
      <c r="X74" s="529">
        <v>1</v>
      </c>
      <c r="Y74" s="529">
        <f t="shared" si="38"/>
        <v>1</v>
      </c>
      <c r="Z74" s="529">
        <v>1</v>
      </c>
      <c r="AA74" s="529">
        <f t="shared" si="39"/>
        <v>1</v>
      </c>
      <c r="AB74" s="529">
        <v>1</v>
      </c>
    </row>
    <row r="75" spans="1:28" s="78" customFormat="1" ht="22.5" customHeight="1">
      <c r="A75" s="96">
        <v>7</v>
      </c>
      <c r="B75" s="449" t="s">
        <v>565</v>
      </c>
      <c r="C75" s="527">
        <f>C76+C80</f>
        <v>6971.2290000000003</v>
      </c>
      <c r="D75" s="528">
        <f t="shared" ref="D75:AA75" si="43">D76+D80</f>
        <v>6971.2290000000003</v>
      </c>
      <c r="E75" s="528">
        <f t="shared" si="43"/>
        <v>0</v>
      </c>
      <c r="F75" s="528">
        <f t="shared" si="43"/>
        <v>459.68599999999998</v>
      </c>
      <c r="G75" s="528">
        <f t="shared" si="43"/>
        <v>459.68599999999998</v>
      </c>
      <c r="H75" s="528">
        <f t="shared" si="43"/>
        <v>362.11599999999999</v>
      </c>
      <c r="I75" s="528">
        <f t="shared" si="43"/>
        <v>362.11599999999999</v>
      </c>
      <c r="J75" s="528">
        <f t="shared" si="43"/>
        <v>295.49799999999999</v>
      </c>
      <c r="K75" s="528">
        <f t="shared" si="43"/>
        <v>295.49799999999999</v>
      </c>
      <c r="L75" s="528">
        <f t="shared" si="43"/>
        <v>365.69499999999999</v>
      </c>
      <c r="M75" s="528">
        <f t="shared" si="43"/>
        <v>365.69499999999999</v>
      </c>
      <c r="N75" s="528">
        <f t="shared" si="43"/>
        <v>302.54999999999995</v>
      </c>
      <c r="O75" s="528">
        <f t="shared" si="43"/>
        <v>302.54999999999995</v>
      </c>
      <c r="P75" s="528">
        <f t="shared" si="43"/>
        <v>338.19899999999996</v>
      </c>
      <c r="Q75" s="528">
        <f t="shared" si="43"/>
        <v>338.19899999999996</v>
      </c>
      <c r="R75" s="528">
        <f t="shared" si="43"/>
        <v>1081.798</v>
      </c>
      <c r="S75" s="528">
        <f t="shared" si="43"/>
        <v>1081.798</v>
      </c>
      <c r="T75" s="528">
        <f t="shared" si="43"/>
        <v>0</v>
      </c>
      <c r="U75" s="528">
        <f t="shared" si="43"/>
        <v>284.56000000000006</v>
      </c>
      <c r="V75" s="528">
        <f t="shared" si="43"/>
        <v>284.56000000000006</v>
      </c>
      <c r="W75" s="528">
        <f t="shared" si="43"/>
        <v>1089.1470000000002</v>
      </c>
      <c r="X75" s="528">
        <f t="shared" si="43"/>
        <v>1089.1470000000002</v>
      </c>
      <c r="Y75" s="528">
        <f t="shared" si="43"/>
        <v>1151.8020000000001</v>
      </c>
      <c r="Z75" s="528">
        <f t="shared" si="43"/>
        <v>1151.8020000000001</v>
      </c>
      <c r="AA75" s="528">
        <f t="shared" si="43"/>
        <v>1240.1780000000001</v>
      </c>
      <c r="AB75" s="528">
        <f>AB76+AB80</f>
        <v>1240.1780000000001</v>
      </c>
    </row>
    <row r="76" spans="1:28" s="78" customFormat="1" ht="22.5" customHeight="1">
      <c r="A76" s="96" t="s">
        <v>204</v>
      </c>
      <c r="B76" s="449" t="s">
        <v>566</v>
      </c>
      <c r="C76" s="527">
        <f>SUM(C77:C79)</f>
        <v>1130</v>
      </c>
      <c r="D76" s="528">
        <f t="shared" ref="D76:AA76" si="44">SUM(D77:D79)</f>
        <v>1130</v>
      </c>
      <c r="E76" s="528">
        <f t="shared" si="44"/>
        <v>0</v>
      </c>
      <c r="F76" s="528">
        <f t="shared" si="44"/>
        <v>80</v>
      </c>
      <c r="G76" s="528">
        <f t="shared" si="44"/>
        <v>80</v>
      </c>
      <c r="H76" s="528">
        <f t="shared" si="44"/>
        <v>80</v>
      </c>
      <c r="I76" s="528">
        <f t="shared" si="44"/>
        <v>80</v>
      </c>
      <c r="J76" s="528">
        <f t="shared" si="44"/>
        <v>50</v>
      </c>
      <c r="K76" s="528">
        <f t="shared" si="44"/>
        <v>50</v>
      </c>
      <c r="L76" s="528">
        <f t="shared" si="44"/>
        <v>50</v>
      </c>
      <c r="M76" s="528">
        <f t="shared" si="44"/>
        <v>50</v>
      </c>
      <c r="N76" s="528">
        <f t="shared" si="44"/>
        <v>50</v>
      </c>
      <c r="O76" s="528">
        <f t="shared" si="44"/>
        <v>50</v>
      </c>
      <c r="P76" s="528">
        <f t="shared" si="44"/>
        <v>50</v>
      </c>
      <c r="Q76" s="528">
        <f t="shared" si="44"/>
        <v>50</v>
      </c>
      <c r="R76" s="528">
        <f t="shared" si="44"/>
        <v>180</v>
      </c>
      <c r="S76" s="528">
        <f t="shared" si="44"/>
        <v>180</v>
      </c>
      <c r="T76" s="528">
        <f t="shared" si="44"/>
        <v>0</v>
      </c>
      <c r="U76" s="528">
        <f t="shared" si="44"/>
        <v>50</v>
      </c>
      <c r="V76" s="528">
        <f t="shared" si="44"/>
        <v>50</v>
      </c>
      <c r="W76" s="528">
        <f t="shared" si="44"/>
        <v>180</v>
      </c>
      <c r="X76" s="528">
        <f t="shared" si="44"/>
        <v>180</v>
      </c>
      <c r="Y76" s="528">
        <f t="shared" si="44"/>
        <v>180</v>
      </c>
      <c r="Z76" s="528">
        <f t="shared" si="44"/>
        <v>180</v>
      </c>
      <c r="AA76" s="528">
        <f t="shared" si="44"/>
        <v>180</v>
      </c>
      <c r="AB76" s="528">
        <f>SUM(AB77:AB79)</f>
        <v>180</v>
      </c>
    </row>
    <row r="77" spans="1:28" s="100" customFormat="1" ht="35.25" customHeight="1">
      <c r="A77" s="96" t="s">
        <v>255</v>
      </c>
      <c r="B77" s="99" t="s">
        <v>648</v>
      </c>
      <c r="C77" s="530">
        <f>SUM(D77:E77)</f>
        <v>1130</v>
      </c>
      <c r="D77" s="529">
        <f>G77+I77+K77+M77+O77+Q77+S77+V77+X77+Z77+AB77</f>
        <v>1130</v>
      </c>
      <c r="E77" s="529">
        <f>+T77</f>
        <v>0</v>
      </c>
      <c r="F77" s="529">
        <f>SUM(G77:G77)</f>
        <v>80</v>
      </c>
      <c r="G77" s="529">
        <v>80</v>
      </c>
      <c r="H77" s="529">
        <f>SUM(I77:I77)</f>
        <v>80</v>
      </c>
      <c r="I77" s="529">
        <v>80</v>
      </c>
      <c r="J77" s="529">
        <f>SUM(K77:K77)</f>
        <v>50</v>
      </c>
      <c r="K77" s="529">
        <v>50</v>
      </c>
      <c r="L77" s="529">
        <f>SUM(M77:M77)</f>
        <v>50</v>
      </c>
      <c r="M77" s="529">
        <v>50</v>
      </c>
      <c r="N77" s="529">
        <f>SUM(O77:O77)</f>
        <v>50</v>
      </c>
      <c r="O77" s="529">
        <v>50</v>
      </c>
      <c r="P77" s="529">
        <f>SUM(Q77:Q77)</f>
        <v>50</v>
      </c>
      <c r="Q77" s="529">
        <v>50</v>
      </c>
      <c r="R77" s="529">
        <f>SUM(S77:T77)</f>
        <v>180</v>
      </c>
      <c r="S77" s="529">
        <v>180</v>
      </c>
      <c r="T77" s="529"/>
      <c r="U77" s="529">
        <f>SUM(V77:V77)</f>
        <v>50</v>
      </c>
      <c r="V77" s="529">
        <v>50</v>
      </c>
      <c r="W77" s="529">
        <f>SUM(X77:X77)</f>
        <v>180</v>
      </c>
      <c r="X77" s="529">
        <v>180</v>
      </c>
      <c r="Y77" s="529">
        <f>SUM(Z77:Z77)</f>
        <v>180</v>
      </c>
      <c r="Z77" s="529">
        <v>180</v>
      </c>
      <c r="AA77" s="529">
        <f>SUM(AB77:AB77)</f>
        <v>180</v>
      </c>
      <c r="AB77" s="529">
        <v>180</v>
      </c>
    </row>
    <row r="78" spans="1:28" s="100" customFormat="1" ht="45.75" hidden="1" customHeight="1">
      <c r="A78" s="101" t="s">
        <v>255</v>
      </c>
      <c r="B78" s="99" t="s">
        <v>602</v>
      </c>
      <c r="C78" s="530">
        <f>SUM(D78:E78)</f>
        <v>0</v>
      </c>
      <c r="D78" s="529">
        <f>G78+I78+K78+M78+O78+Q78+S78+V78+X78+Z78+AB78</f>
        <v>0</v>
      </c>
      <c r="E78" s="529">
        <f>+T78</f>
        <v>0</v>
      </c>
      <c r="F78" s="529">
        <f>SUM(G78:G78)</f>
        <v>0</v>
      </c>
      <c r="G78" s="529"/>
      <c r="H78" s="529">
        <f>SUM(I78:I78)</f>
        <v>0</v>
      </c>
      <c r="I78" s="529"/>
      <c r="J78" s="529">
        <f>SUM(K78:K78)</f>
        <v>0</v>
      </c>
      <c r="K78" s="529"/>
      <c r="L78" s="529">
        <f>SUM(M78:M78)</f>
        <v>0</v>
      </c>
      <c r="M78" s="529"/>
      <c r="N78" s="529">
        <f>SUM(O78:O78)</f>
        <v>0</v>
      </c>
      <c r="O78" s="529"/>
      <c r="P78" s="529">
        <f>SUM(Q78:Q78)</f>
        <v>0</v>
      </c>
      <c r="Q78" s="529"/>
      <c r="R78" s="529">
        <f>SUM(S78:T78)</f>
        <v>0</v>
      </c>
      <c r="S78" s="529"/>
      <c r="T78" s="529"/>
      <c r="U78" s="529">
        <f>SUM(V78:V78)</f>
        <v>0</v>
      </c>
      <c r="V78" s="529"/>
      <c r="W78" s="529">
        <f>SUM(X78:X78)</f>
        <v>0</v>
      </c>
      <c r="X78" s="529"/>
      <c r="Y78" s="529">
        <f>SUM(Z78:Z78)</f>
        <v>0</v>
      </c>
      <c r="Z78" s="529"/>
      <c r="AA78" s="529">
        <f>SUM(AB78:AB78)</f>
        <v>0</v>
      </c>
      <c r="AB78" s="529"/>
    </row>
    <row r="79" spans="1:28" s="100" customFormat="1" ht="51" hidden="1" customHeight="1">
      <c r="A79" s="98" t="s">
        <v>255</v>
      </c>
      <c r="B79" s="99" t="s">
        <v>601</v>
      </c>
      <c r="C79" s="530">
        <f>SUM(D79:E79)</f>
        <v>0</v>
      </c>
      <c r="D79" s="529">
        <f>G79+I79+K79+M79+O79+Q79+S79+V79+X79+Z79+AB79</f>
        <v>0</v>
      </c>
      <c r="E79" s="529">
        <f>+T79</f>
        <v>0</v>
      </c>
      <c r="F79" s="529">
        <f>SUM(G79:G79)</f>
        <v>0</v>
      </c>
      <c r="G79" s="529"/>
      <c r="H79" s="529">
        <f>SUM(I79:I79)</f>
        <v>0</v>
      </c>
      <c r="I79" s="529"/>
      <c r="J79" s="529">
        <f>SUM(K79:K79)</f>
        <v>0</v>
      </c>
      <c r="K79" s="529"/>
      <c r="L79" s="529">
        <f>SUM(M79:M79)</f>
        <v>0</v>
      </c>
      <c r="M79" s="529"/>
      <c r="N79" s="529">
        <f>SUM(O79:O79)</f>
        <v>0</v>
      </c>
      <c r="O79" s="529"/>
      <c r="P79" s="529">
        <f>SUM(Q79:Q79)</f>
        <v>0</v>
      </c>
      <c r="Q79" s="529"/>
      <c r="R79" s="529">
        <f>SUM(S79:T79)</f>
        <v>0</v>
      </c>
      <c r="S79" s="529"/>
      <c r="T79" s="529"/>
      <c r="U79" s="529">
        <f>SUM(V79:V79)</f>
        <v>0</v>
      </c>
      <c r="V79" s="529"/>
      <c r="W79" s="529">
        <f>SUM(X79:X79)</f>
        <v>0</v>
      </c>
      <c r="X79" s="529"/>
      <c r="Y79" s="529">
        <f>SUM(Z79:Z79)</f>
        <v>0</v>
      </c>
      <c r="Z79" s="529"/>
      <c r="AA79" s="529">
        <f>SUM(AB79:AB79)</f>
        <v>0</v>
      </c>
      <c r="AB79" s="529"/>
    </row>
    <row r="80" spans="1:28" s="78" customFormat="1" ht="22.5" customHeight="1">
      <c r="A80" s="96" t="s">
        <v>206</v>
      </c>
      <c r="B80" s="449" t="s">
        <v>567</v>
      </c>
      <c r="C80" s="527">
        <f>SUM(C81:C88)</f>
        <v>5841.2290000000003</v>
      </c>
      <c r="D80" s="528">
        <f t="shared" ref="D80:AB80" si="45">SUM(D81:D88)</f>
        <v>5841.2290000000003</v>
      </c>
      <c r="E80" s="528">
        <f t="shared" si="45"/>
        <v>0</v>
      </c>
      <c r="F80" s="528">
        <f t="shared" si="45"/>
        <v>379.68599999999998</v>
      </c>
      <c r="G80" s="528">
        <f t="shared" si="45"/>
        <v>379.68599999999998</v>
      </c>
      <c r="H80" s="528">
        <f t="shared" si="45"/>
        <v>282.11599999999999</v>
      </c>
      <c r="I80" s="528">
        <f t="shared" si="45"/>
        <v>282.11599999999999</v>
      </c>
      <c r="J80" s="528">
        <f t="shared" si="45"/>
        <v>245.49799999999999</v>
      </c>
      <c r="K80" s="528">
        <f t="shared" si="45"/>
        <v>245.49799999999999</v>
      </c>
      <c r="L80" s="528">
        <f t="shared" si="45"/>
        <v>315.69499999999999</v>
      </c>
      <c r="M80" s="528">
        <f t="shared" si="45"/>
        <v>315.69499999999999</v>
      </c>
      <c r="N80" s="528">
        <f t="shared" si="45"/>
        <v>252.54999999999998</v>
      </c>
      <c r="O80" s="528">
        <f t="shared" si="45"/>
        <v>252.54999999999998</v>
      </c>
      <c r="P80" s="528">
        <f t="shared" si="45"/>
        <v>288.19899999999996</v>
      </c>
      <c r="Q80" s="528">
        <f t="shared" si="45"/>
        <v>288.19899999999996</v>
      </c>
      <c r="R80" s="528">
        <f t="shared" si="45"/>
        <v>901.798</v>
      </c>
      <c r="S80" s="528">
        <f t="shared" si="45"/>
        <v>901.798</v>
      </c>
      <c r="T80" s="528">
        <f t="shared" si="45"/>
        <v>0</v>
      </c>
      <c r="U80" s="528">
        <f t="shared" si="45"/>
        <v>234.56000000000003</v>
      </c>
      <c r="V80" s="528">
        <f t="shared" si="45"/>
        <v>234.56000000000003</v>
      </c>
      <c r="W80" s="528">
        <f t="shared" si="45"/>
        <v>909.14700000000016</v>
      </c>
      <c r="X80" s="528">
        <f t="shared" si="45"/>
        <v>909.14700000000016</v>
      </c>
      <c r="Y80" s="528">
        <f t="shared" si="45"/>
        <v>971.80200000000013</v>
      </c>
      <c r="Z80" s="528">
        <f t="shared" si="45"/>
        <v>971.80200000000013</v>
      </c>
      <c r="AA80" s="528">
        <f t="shared" si="45"/>
        <v>1060.1780000000001</v>
      </c>
      <c r="AB80" s="528">
        <f t="shared" si="45"/>
        <v>1060.1780000000001</v>
      </c>
    </row>
    <row r="81" spans="1:28" s="100" customFormat="1" ht="24">
      <c r="A81" s="98" t="s">
        <v>255</v>
      </c>
      <c r="B81" s="99" t="s">
        <v>561</v>
      </c>
      <c r="C81" s="530">
        <f t="shared" ref="C81:C87" si="46">SUM(D81:E81)</f>
        <v>1061.5700000000002</v>
      </c>
      <c r="D81" s="529">
        <f t="shared" ref="D81:D87" si="47">G81+I81+K81+M81+O81+Q81+S81+V81+X81+Z81+AB81</f>
        <v>1061.5700000000002</v>
      </c>
      <c r="E81" s="529">
        <f t="shared" ref="E81:E92" si="48">+T81</f>
        <v>0</v>
      </c>
      <c r="F81" s="529">
        <f t="shared" ref="F81:F87" si="49">SUM(G81:G81)</f>
        <v>88.058999999999997</v>
      </c>
      <c r="G81" s="529">
        <v>88.058999999999997</v>
      </c>
      <c r="H81" s="529">
        <f t="shared" ref="H81:H87" si="50">SUM(I81:I81)</f>
        <v>88.183999999999997</v>
      </c>
      <c r="I81" s="529">
        <v>88.183999999999997</v>
      </c>
      <c r="J81" s="529">
        <f t="shared" ref="J81:J87" si="51">SUM(K81:K81)</f>
        <v>63.295000000000002</v>
      </c>
      <c r="K81" s="529">
        <v>63.295000000000002</v>
      </c>
      <c r="L81" s="529">
        <f t="shared" ref="L81:L87" si="52">SUM(M81:M81)</f>
        <v>95.658000000000001</v>
      </c>
      <c r="M81" s="529">
        <v>95.658000000000001</v>
      </c>
      <c r="N81" s="529">
        <f t="shared" ref="N81:N87" si="53">SUM(O81:O81)</f>
        <v>101.97</v>
      </c>
      <c r="O81" s="529">
        <v>101.97</v>
      </c>
      <c r="P81" s="529">
        <f t="shared" ref="P81:P87" si="54">SUM(Q81:Q81)</f>
        <v>92.617999999999995</v>
      </c>
      <c r="Q81" s="529">
        <v>92.617999999999995</v>
      </c>
      <c r="R81" s="529">
        <f t="shared" ref="R81:R87" si="55">SUM(S81:T81)</f>
        <v>95.89</v>
      </c>
      <c r="S81" s="529">
        <v>95.89</v>
      </c>
      <c r="T81" s="529"/>
      <c r="U81" s="529">
        <f t="shared" ref="U81:U87" si="56">SUM(V81:V81)</f>
        <v>105.581</v>
      </c>
      <c r="V81" s="529">
        <v>105.581</v>
      </c>
      <c r="W81" s="529">
        <f t="shared" ref="W81:W87" si="57">SUM(X81:X81)</f>
        <v>91.617000000000004</v>
      </c>
      <c r="X81" s="529">
        <v>91.617000000000004</v>
      </c>
      <c r="Y81" s="529">
        <f t="shared" ref="Y81:Y87" si="58">SUM(Z81:Z81)</f>
        <v>112.64400000000001</v>
      </c>
      <c r="Z81" s="529">
        <f>112.644</f>
        <v>112.64400000000001</v>
      </c>
      <c r="AA81" s="529">
        <f t="shared" ref="AA81:AA87" si="59">SUM(AB81:AB81)</f>
        <v>126.054</v>
      </c>
      <c r="AB81" s="529">
        <v>126.054</v>
      </c>
    </row>
    <row r="82" spans="1:28" s="100" customFormat="1" ht="22.5" customHeight="1">
      <c r="A82" s="98" t="s">
        <v>255</v>
      </c>
      <c r="B82" s="99" t="s">
        <v>541</v>
      </c>
      <c r="C82" s="530">
        <f t="shared" si="46"/>
        <v>576</v>
      </c>
      <c r="D82" s="529">
        <f t="shared" si="47"/>
        <v>576</v>
      </c>
      <c r="E82" s="529">
        <f t="shared" si="48"/>
        <v>0</v>
      </c>
      <c r="F82" s="529">
        <f t="shared" si="49"/>
        <v>72</v>
      </c>
      <c r="G82" s="529">
        <v>72</v>
      </c>
      <c r="H82" s="529">
        <f t="shared" si="50"/>
        <v>63</v>
      </c>
      <c r="I82" s="529">
        <v>63</v>
      </c>
      <c r="J82" s="529">
        <f t="shared" si="51"/>
        <v>27</v>
      </c>
      <c r="K82" s="529">
        <v>27</v>
      </c>
      <c r="L82" s="529">
        <f t="shared" si="52"/>
        <v>45</v>
      </c>
      <c r="M82" s="529">
        <v>45</v>
      </c>
      <c r="N82" s="529">
        <f t="shared" si="53"/>
        <v>36</v>
      </c>
      <c r="O82" s="529">
        <v>36</v>
      </c>
      <c r="P82" s="529">
        <f t="shared" si="54"/>
        <v>36</v>
      </c>
      <c r="Q82" s="529">
        <v>36</v>
      </c>
      <c r="R82" s="529">
        <f t="shared" si="55"/>
        <v>63</v>
      </c>
      <c r="S82" s="529">
        <v>63</v>
      </c>
      <c r="T82" s="529"/>
      <c r="U82" s="529">
        <f t="shared" si="56"/>
        <v>27</v>
      </c>
      <c r="V82" s="529">
        <v>27</v>
      </c>
      <c r="W82" s="529">
        <f t="shared" si="57"/>
        <v>63</v>
      </c>
      <c r="X82" s="529">
        <v>63</v>
      </c>
      <c r="Y82" s="529">
        <f t="shared" si="58"/>
        <v>54</v>
      </c>
      <c r="Z82" s="529">
        <f>54</f>
        <v>54</v>
      </c>
      <c r="AA82" s="529">
        <f t="shared" si="59"/>
        <v>90</v>
      </c>
      <c r="AB82" s="529">
        <v>90</v>
      </c>
    </row>
    <row r="83" spans="1:28" s="100" customFormat="1" ht="22.5" customHeight="1">
      <c r="A83" s="98" t="s">
        <v>255</v>
      </c>
      <c r="B83" s="99" t="s">
        <v>568</v>
      </c>
      <c r="C83" s="530">
        <f t="shared" si="46"/>
        <v>646.36200000000008</v>
      </c>
      <c r="D83" s="529">
        <f t="shared" si="47"/>
        <v>646.36200000000008</v>
      </c>
      <c r="E83" s="529">
        <f t="shared" si="48"/>
        <v>0</v>
      </c>
      <c r="F83" s="529">
        <f t="shared" si="49"/>
        <v>68.302000000000007</v>
      </c>
      <c r="G83" s="529">
        <v>68.302000000000007</v>
      </c>
      <c r="H83" s="529">
        <f t="shared" si="50"/>
        <v>46.13</v>
      </c>
      <c r="I83" s="529">
        <v>46.13</v>
      </c>
      <c r="J83" s="529">
        <f t="shared" si="51"/>
        <v>51.494</v>
      </c>
      <c r="K83" s="529">
        <v>51.494</v>
      </c>
      <c r="L83" s="529">
        <f t="shared" si="52"/>
        <v>53.281999999999996</v>
      </c>
      <c r="M83" s="529">
        <v>53.281999999999996</v>
      </c>
      <c r="N83" s="529">
        <f t="shared" si="53"/>
        <v>49.347999999999999</v>
      </c>
      <c r="O83" s="529">
        <v>49.347999999999999</v>
      </c>
      <c r="P83" s="529">
        <f t="shared" si="54"/>
        <v>49.348999999999997</v>
      </c>
      <c r="Q83" s="529">
        <v>49.348999999999997</v>
      </c>
      <c r="R83" s="529">
        <f t="shared" si="55"/>
        <v>55.786000000000001</v>
      </c>
      <c r="S83" s="529">
        <v>55.786000000000001</v>
      </c>
      <c r="T83" s="529"/>
      <c r="U83" s="529">
        <f t="shared" si="56"/>
        <v>43.27</v>
      </c>
      <c r="V83" s="529">
        <v>43.27</v>
      </c>
      <c r="W83" s="529">
        <f t="shared" si="57"/>
        <v>67.408000000000001</v>
      </c>
      <c r="X83" s="529">
        <v>67.408000000000001</v>
      </c>
      <c r="Y83" s="529">
        <f t="shared" si="58"/>
        <v>74.56</v>
      </c>
      <c r="Z83" s="529">
        <f>74.56</f>
        <v>74.56</v>
      </c>
      <c r="AA83" s="529">
        <f t="shared" si="59"/>
        <v>87.433000000000007</v>
      </c>
      <c r="AB83" s="529">
        <v>87.433000000000007</v>
      </c>
    </row>
    <row r="84" spans="1:28" s="100" customFormat="1" ht="22.5" customHeight="1">
      <c r="A84" s="98" t="s">
        <v>255</v>
      </c>
      <c r="B84" s="99" t="s">
        <v>623</v>
      </c>
      <c r="C84" s="530">
        <f t="shared" si="46"/>
        <v>2393.0600000000004</v>
      </c>
      <c r="D84" s="529">
        <f t="shared" si="47"/>
        <v>2393.0600000000004</v>
      </c>
      <c r="E84" s="529">
        <f t="shared" si="48"/>
        <v>0</v>
      </c>
      <c r="F84" s="529">
        <f t="shared" si="49"/>
        <v>0</v>
      </c>
      <c r="G84" s="529"/>
      <c r="H84" s="529">
        <f t="shared" si="50"/>
        <v>0</v>
      </c>
      <c r="I84" s="529"/>
      <c r="J84" s="529">
        <f t="shared" si="51"/>
        <v>0</v>
      </c>
      <c r="K84" s="529"/>
      <c r="L84" s="529">
        <f t="shared" si="52"/>
        <v>0</v>
      </c>
      <c r="M84" s="529"/>
      <c r="N84" s="529">
        <f t="shared" si="53"/>
        <v>0</v>
      </c>
      <c r="O84" s="529"/>
      <c r="P84" s="529">
        <f t="shared" si="54"/>
        <v>0</v>
      </c>
      <c r="Q84" s="529"/>
      <c r="R84" s="529">
        <f t="shared" si="55"/>
        <v>542.72</v>
      </c>
      <c r="S84" s="529">
        <f>652.32-109.6</f>
        <v>542.72</v>
      </c>
      <c r="T84" s="529"/>
      <c r="U84" s="529">
        <f t="shared" si="56"/>
        <v>0</v>
      </c>
      <c r="V84" s="529"/>
      <c r="W84" s="529">
        <f t="shared" si="57"/>
        <v>545.70000000000005</v>
      </c>
      <c r="X84" s="529">
        <f>652.32-106.62</f>
        <v>545.70000000000005</v>
      </c>
      <c r="Y84" s="529">
        <f t="shared" si="58"/>
        <v>652.32000000000005</v>
      </c>
      <c r="Z84" s="529">
        <v>652.32000000000005</v>
      </c>
      <c r="AA84" s="529">
        <f t="shared" si="59"/>
        <v>652.32000000000005</v>
      </c>
      <c r="AB84" s="529">
        <v>652.32000000000005</v>
      </c>
    </row>
    <row r="85" spans="1:28" s="100" customFormat="1" ht="31.5" customHeight="1">
      <c r="A85" s="98" t="s">
        <v>255</v>
      </c>
      <c r="B85" s="99" t="s">
        <v>812</v>
      </c>
      <c r="C85" s="530">
        <f t="shared" ref="C85" si="60">SUM(D85:E85)</f>
        <v>116.22</v>
      </c>
      <c r="D85" s="529">
        <f t="shared" si="47"/>
        <v>116.22</v>
      </c>
      <c r="E85" s="529">
        <f t="shared" si="48"/>
        <v>0</v>
      </c>
      <c r="F85" s="529">
        <f t="shared" si="49"/>
        <v>0</v>
      </c>
      <c r="G85" s="529"/>
      <c r="H85" s="529">
        <f t="shared" si="50"/>
        <v>0</v>
      </c>
      <c r="I85" s="529"/>
      <c r="J85" s="529">
        <f t="shared" si="51"/>
        <v>0</v>
      </c>
      <c r="K85" s="529"/>
      <c r="L85" s="529">
        <f t="shared" si="52"/>
        <v>0</v>
      </c>
      <c r="M85" s="529"/>
      <c r="N85" s="529">
        <f t="shared" si="53"/>
        <v>0</v>
      </c>
      <c r="O85" s="529"/>
      <c r="P85" s="529">
        <f t="shared" si="54"/>
        <v>0</v>
      </c>
      <c r="Q85" s="529"/>
      <c r="R85" s="529">
        <f t="shared" si="55"/>
        <v>59.6</v>
      </c>
      <c r="S85" s="529">
        <v>59.6</v>
      </c>
      <c r="T85" s="529"/>
      <c r="U85" s="529">
        <f t="shared" si="56"/>
        <v>0</v>
      </c>
      <c r="V85" s="529"/>
      <c r="W85" s="529">
        <f t="shared" si="57"/>
        <v>56.62</v>
      </c>
      <c r="X85" s="529">
        <v>56.62</v>
      </c>
      <c r="Y85" s="529">
        <f t="shared" si="58"/>
        <v>0</v>
      </c>
      <c r="Z85" s="529"/>
      <c r="AA85" s="529">
        <f t="shared" si="59"/>
        <v>0</v>
      </c>
      <c r="AB85" s="529"/>
    </row>
    <row r="86" spans="1:28" s="100" customFormat="1" ht="22.5" customHeight="1">
      <c r="A86" s="98" t="s">
        <v>255</v>
      </c>
      <c r="B86" s="99" t="s">
        <v>542</v>
      </c>
      <c r="C86" s="530">
        <f t="shared" si="46"/>
        <v>848.01700000000005</v>
      </c>
      <c r="D86" s="529">
        <f t="shared" si="47"/>
        <v>848.01700000000005</v>
      </c>
      <c r="E86" s="529">
        <f t="shared" si="48"/>
        <v>0</v>
      </c>
      <c r="F86" s="529">
        <f t="shared" si="49"/>
        <v>91.325000000000003</v>
      </c>
      <c r="G86" s="529">
        <v>91.325000000000003</v>
      </c>
      <c r="H86" s="529">
        <f t="shared" si="50"/>
        <v>84.802000000000007</v>
      </c>
      <c r="I86" s="529">
        <v>84.802000000000007</v>
      </c>
      <c r="J86" s="529">
        <f t="shared" si="51"/>
        <v>58.709000000000003</v>
      </c>
      <c r="K86" s="529">
        <v>58.709000000000003</v>
      </c>
      <c r="L86" s="529">
        <f t="shared" si="52"/>
        <v>71.754999999999995</v>
      </c>
      <c r="M86" s="529">
        <v>71.754999999999995</v>
      </c>
      <c r="N86" s="529">
        <f t="shared" si="53"/>
        <v>65.231999999999999</v>
      </c>
      <c r="O86" s="529">
        <v>65.231999999999999</v>
      </c>
      <c r="P86" s="529">
        <f t="shared" si="54"/>
        <v>65.231999999999999</v>
      </c>
      <c r="Q86" s="529">
        <v>65.231999999999999</v>
      </c>
      <c r="R86" s="529">
        <f t="shared" si="55"/>
        <v>84.802000000000007</v>
      </c>
      <c r="S86" s="529">
        <v>84.802000000000007</v>
      </c>
      <c r="T86" s="529"/>
      <c r="U86" s="529">
        <f t="shared" si="56"/>
        <v>58.709000000000003</v>
      </c>
      <c r="V86" s="529">
        <v>58.709000000000003</v>
      </c>
      <c r="W86" s="529">
        <f t="shared" si="57"/>
        <v>84.802000000000007</v>
      </c>
      <c r="X86" s="529">
        <v>84.802000000000007</v>
      </c>
      <c r="Y86" s="529">
        <f t="shared" si="58"/>
        <v>78.278000000000006</v>
      </c>
      <c r="Z86" s="529">
        <f>78.278</f>
        <v>78.278000000000006</v>
      </c>
      <c r="AA86" s="529">
        <f t="shared" si="59"/>
        <v>104.371</v>
      </c>
      <c r="AB86" s="529">
        <v>104.371</v>
      </c>
    </row>
    <row r="87" spans="1:28" s="452" customFormat="1" ht="22.5" customHeight="1">
      <c r="A87" s="98" t="s">
        <v>255</v>
      </c>
      <c r="B87" s="99" t="s">
        <v>817</v>
      </c>
      <c r="C87" s="530">
        <f t="shared" si="46"/>
        <v>200</v>
      </c>
      <c r="D87" s="529">
        <f t="shared" si="47"/>
        <v>200</v>
      </c>
      <c r="E87" s="529">
        <f t="shared" si="48"/>
        <v>0</v>
      </c>
      <c r="F87" s="529">
        <f t="shared" si="49"/>
        <v>60</v>
      </c>
      <c r="G87" s="529">
        <v>60</v>
      </c>
      <c r="H87" s="529">
        <f t="shared" si="50"/>
        <v>0</v>
      </c>
      <c r="I87" s="529"/>
      <c r="J87" s="529">
        <f t="shared" si="51"/>
        <v>45</v>
      </c>
      <c r="K87" s="529">
        <v>45</v>
      </c>
      <c r="L87" s="529">
        <f t="shared" si="52"/>
        <v>50</v>
      </c>
      <c r="M87" s="529">
        <v>50</v>
      </c>
      <c r="N87" s="529">
        <f t="shared" si="53"/>
        <v>0</v>
      </c>
      <c r="O87" s="529"/>
      <c r="P87" s="529">
        <f t="shared" si="54"/>
        <v>45</v>
      </c>
      <c r="Q87" s="529">
        <v>45</v>
      </c>
      <c r="R87" s="529">
        <f t="shared" si="55"/>
        <v>0</v>
      </c>
      <c r="S87" s="529"/>
      <c r="T87" s="529"/>
      <c r="U87" s="529">
        <f t="shared" si="56"/>
        <v>0</v>
      </c>
      <c r="V87" s="529"/>
      <c r="W87" s="529">
        <f t="shared" si="57"/>
        <v>0</v>
      </c>
      <c r="X87" s="529"/>
      <c r="Y87" s="529">
        <f t="shared" si="58"/>
        <v>0</v>
      </c>
      <c r="Z87" s="529"/>
      <c r="AA87" s="529">
        <f t="shared" si="59"/>
        <v>0</v>
      </c>
      <c r="AB87" s="529"/>
    </row>
    <row r="88" spans="1:28" s="100" customFormat="1" ht="22.5" hidden="1" customHeight="1">
      <c r="A88" s="98"/>
      <c r="B88" s="450"/>
      <c r="C88" s="530"/>
      <c r="D88" s="529"/>
      <c r="E88" s="529"/>
      <c r="F88" s="529"/>
      <c r="G88" s="529"/>
      <c r="H88" s="529"/>
      <c r="I88" s="529"/>
      <c r="J88" s="529"/>
      <c r="K88" s="529"/>
      <c r="L88" s="529"/>
      <c r="M88" s="529"/>
      <c r="N88" s="529"/>
      <c r="O88" s="529"/>
      <c r="P88" s="529"/>
      <c r="Q88" s="529"/>
      <c r="R88" s="529"/>
      <c r="S88" s="529"/>
      <c r="T88" s="529"/>
      <c r="U88" s="529"/>
      <c r="V88" s="529"/>
      <c r="W88" s="529"/>
      <c r="X88" s="529"/>
      <c r="Y88" s="529"/>
      <c r="Z88" s="529"/>
      <c r="AA88" s="529"/>
      <c r="AB88" s="529"/>
    </row>
    <row r="89" spans="1:28" s="78" customFormat="1" ht="22.5" customHeight="1">
      <c r="A89" s="96">
        <v>8</v>
      </c>
      <c r="B89" s="449" t="s">
        <v>227</v>
      </c>
      <c r="C89" s="527">
        <f>SUM(C90:C91)</f>
        <v>472</v>
      </c>
      <c r="D89" s="528">
        <f>SUM(D90:D91)</f>
        <v>472</v>
      </c>
      <c r="E89" s="528">
        <f t="shared" ref="E89:AB89" si="61">SUM(E90:E91)</f>
        <v>0</v>
      </c>
      <c r="F89" s="528">
        <f t="shared" si="61"/>
        <v>52</v>
      </c>
      <c r="G89" s="528">
        <f t="shared" si="61"/>
        <v>52</v>
      </c>
      <c r="H89" s="528">
        <f>SUM(H90:H91)</f>
        <v>49</v>
      </c>
      <c r="I89" s="528">
        <f t="shared" si="61"/>
        <v>49</v>
      </c>
      <c r="J89" s="528">
        <f>SUM(J90:J91)</f>
        <v>31</v>
      </c>
      <c r="K89" s="528">
        <f t="shared" si="61"/>
        <v>31</v>
      </c>
      <c r="L89" s="528">
        <f>SUM(L90:L91)</f>
        <v>37</v>
      </c>
      <c r="M89" s="528">
        <f t="shared" si="61"/>
        <v>37</v>
      </c>
      <c r="N89" s="528">
        <f>SUM(N90:N91)</f>
        <v>34</v>
      </c>
      <c r="O89" s="528">
        <f t="shared" si="61"/>
        <v>34</v>
      </c>
      <c r="P89" s="528">
        <f>SUM(P90:P91)</f>
        <v>34</v>
      </c>
      <c r="Q89" s="528">
        <f t="shared" si="61"/>
        <v>34</v>
      </c>
      <c r="R89" s="528">
        <f>SUM(R90:R91)</f>
        <v>49.5</v>
      </c>
      <c r="S89" s="528">
        <f t="shared" si="61"/>
        <v>49.5</v>
      </c>
      <c r="T89" s="528">
        <f t="shared" si="61"/>
        <v>0</v>
      </c>
      <c r="U89" s="528">
        <f>SUM(U90:U91)</f>
        <v>31</v>
      </c>
      <c r="V89" s="528">
        <f t="shared" si="61"/>
        <v>31</v>
      </c>
      <c r="W89" s="528">
        <f>SUM(W90:W91)</f>
        <v>49.5</v>
      </c>
      <c r="X89" s="528">
        <f t="shared" si="61"/>
        <v>49.5</v>
      </c>
      <c r="Y89" s="528">
        <f>SUM(Y90:Y91)</f>
        <v>46.5</v>
      </c>
      <c r="Z89" s="528">
        <f t="shared" si="61"/>
        <v>46.5</v>
      </c>
      <c r="AA89" s="528">
        <f>SUM(AA90:AA91)</f>
        <v>58.5</v>
      </c>
      <c r="AB89" s="528">
        <f t="shared" si="61"/>
        <v>58.5</v>
      </c>
    </row>
    <row r="90" spans="1:28" s="100" customFormat="1" ht="22.5" customHeight="1">
      <c r="A90" s="96" t="s">
        <v>255</v>
      </c>
      <c r="B90" s="99" t="s">
        <v>569</v>
      </c>
      <c r="C90" s="530">
        <f>SUM(D90:E90)</f>
        <v>222</v>
      </c>
      <c r="D90" s="529">
        <f>G90+I90+K90+M90+O90+Q90+S90+V90+X90+Z90+AB90</f>
        <v>222</v>
      </c>
      <c r="E90" s="529">
        <f t="shared" si="48"/>
        <v>0</v>
      </c>
      <c r="F90" s="529">
        <f>SUM(G90:G90)</f>
        <v>27</v>
      </c>
      <c r="G90" s="529">
        <f>3*8+3</f>
        <v>27</v>
      </c>
      <c r="H90" s="529">
        <f>SUM(I90:I90)</f>
        <v>24</v>
      </c>
      <c r="I90" s="529">
        <f>3*7+3</f>
        <v>24</v>
      </c>
      <c r="J90" s="529">
        <f>SUM(K90:K90)</f>
        <v>11</v>
      </c>
      <c r="K90" s="529">
        <v>11</v>
      </c>
      <c r="L90" s="529">
        <f>SUM(M90:M90)</f>
        <v>17</v>
      </c>
      <c r="M90" s="529">
        <f>5*3+2</f>
        <v>17</v>
      </c>
      <c r="N90" s="529">
        <f>SUM(O90:O90)</f>
        <v>14</v>
      </c>
      <c r="O90" s="529">
        <f>3*4+2</f>
        <v>14</v>
      </c>
      <c r="P90" s="529">
        <f>SUM(Q90:Q90)</f>
        <v>14</v>
      </c>
      <c r="Q90" s="529">
        <f>4*3+2</f>
        <v>14</v>
      </c>
      <c r="R90" s="529">
        <f>SUM(S90:T90)</f>
        <v>24.5</v>
      </c>
      <c r="S90" s="529">
        <f>7*3+3.5</f>
        <v>24.5</v>
      </c>
      <c r="T90" s="529"/>
      <c r="U90" s="529">
        <f>SUM(V90:V90)</f>
        <v>11</v>
      </c>
      <c r="V90" s="529">
        <v>11</v>
      </c>
      <c r="W90" s="529">
        <f>SUM(X90:X90)</f>
        <v>24.5</v>
      </c>
      <c r="X90" s="529">
        <f>7*3+3.5</f>
        <v>24.5</v>
      </c>
      <c r="Y90" s="529">
        <f>SUM(Z90:Z90)</f>
        <v>21.5</v>
      </c>
      <c r="Z90" s="529">
        <f>6*3+3.5</f>
        <v>21.5</v>
      </c>
      <c r="AA90" s="529">
        <f>SUM(AB90:AB90)</f>
        <v>33.5</v>
      </c>
      <c r="AB90" s="529">
        <f>10*3+3.5</f>
        <v>33.5</v>
      </c>
    </row>
    <row r="91" spans="1:28" s="100" customFormat="1" ht="22.5" customHeight="1">
      <c r="A91" s="96" t="s">
        <v>255</v>
      </c>
      <c r="B91" s="99" t="s">
        <v>622</v>
      </c>
      <c r="C91" s="530">
        <f>SUM(D91:E91)</f>
        <v>250</v>
      </c>
      <c r="D91" s="529">
        <f>G91+I91+K91+M91+O91+Q91+S91+V91+X91+Z91+AB91</f>
        <v>250</v>
      </c>
      <c r="E91" s="529">
        <f t="shared" si="48"/>
        <v>0</v>
      </c>
      <c r="F91" s="529">
        <f>SUM(G91:G91)</f>
        <v>25</v>
      </c>
      <c r="G91" s="529">
        <v>25</v>
      </c>
      <c r="H91" s="529">
        <f>SUM(I91:I91)</f>
        <v>25</v>
      </c>
      <c r="I91" s="529">
        <v>25</v>
      </c>
      <c r="J91" s="529">
        <f>SUM(K91:K91)</f>
        <v>20</v>
      </c>
      <c r="K91" s="529">
        <v>20</v>
      </c>
      <c r="L91" s="529">
        <f>SUM(M91:M91)</f>
        <v>20</v>
      </c>
      <c r="M91" s="529">
        <v>20</v>
      </c>
      <c r="N91" s="529">
        <f>SUM(O91:O91)</f>
        <v>20</v>
      </c>
      <c r="O91" s="529">
        <v>20</v>
      </c>
      <c r="P91" s="529">
        <f>SUM(Q91:Q91)</f>
        <v>20</v>
      </c>
      <c r="Q91" s="529">
        <v>20</v>
      </c>
      <c r="R91" s="529">
        <f>SUM(S91:T91)</f>
        <v>25</v>
      </c>
      <c r="S91" s="529">
        <v>25</v>
      </c>
      <c r="T91" s="529"/>
      <c r="U91" s="529">
        <f>SUM(V91:V91)</f>
        <v>20</v>
      </c>
      <c r="V91" s="529">
        <v>20</v>
      </c>
      <c r="W91" s="529">
        <f>SUM(X91:X91)</f>
        <v>25</v>
      </c>
      <c r="X91" s="529">
        <v>25</v>
      </c>
      <c r="Y91" s="529">
        <f>SUM(Z91:Z91)</f>
        <v>25</v>
      </c>
      <c r="Z91" s="529">
        <v>25</v>
      </c>
      <c r="AA91" s="529">
        <f>SUM(AB91:AB91)</f>
        <v>25</v>
      </c>
      <c r="AB91" s="529">
        <v>25</v>
      </c>
    </row>
    <row r="92" spans="1:28" s="78" customFormat="1" ht="22.5" customHeight="1">
      <c r="A92" s="96" t="s">
        <v>94</v>
      </c>
      <c r="B92" s="446" t="s">
        <v>570</v>
      </c>
      <c r="C92" s="527">
        <f>SUM(D92:D92)</f>
        <v>1214</v>
      </c>
      <c r="D92" s="528">
        <f>G92+I92+K92+M92+O92+Q92+S92+V92+X92+Z92+AB92</f>
        <v>1214</v>
      </c>
      <c r="E92" s="529">
        <f t="shared" si="48"/>
        <v>0</v>
      </c>
      <c r="F92" s="529">
        <f>SUM(G92:G92)</f>
        <v>116</v>
      </c>
      <c r="G92" s="529">
        <v>116</v>
      </c>
      <c r="H92" s="529">
        <f>SUM(I92:I92)</f>
        <v>108</v>
      </c>
      <c r="I92" s="529">
        <v>108</v>
      </c>
      <c r="J92" s="529">
        <f>SUM(K92:K92)</f>
        <v>84</v>
      </c>
      <c r="K92" s="529">
        <v>84</v>
      </c>
      <c r="L92" s="529">
        <f>SUM(M92:M92)</f>
        <v>86</v>
      </c>
      <c r="M92" s="529">
        <v>86</v>
      </c>
      <c r="N92" s="529">
        <f>SUM(O92:O92)</f>
        <v>84</v>
      </c>
      <c r="O92" s="529">
        <v>84</v>
      </c>
      <c r="P92" s="529">
        <f>SUM(Q92:Q92)</f>
        <v>93</v>
      </c>
      <c r="Q92" s="529">
        <v>93</v>
      </c>
      <c r="R92" s="529">
        <f>SUM(S92:T92)</f>
        <v>132</v>
      </c>
      <c r="S92" s="529">
        <v>132</v>
      </c>
      <c r="T92" s="529"/>
      <c r="U92" s="529">
        <f>SUM(V92:V92)</f>
        <v>91</v>
      </c>
      <c r="V92" s="529">
        <v>91</v>
      </c>
      <c r="W92" s="529">
        <f>SUM(X92:X92)</f>
        <v>136</v>
      </c>
      <c r="X92" s="529">
        <v>136</v>
      </c>
      <c r="Y92" s="529">
        <f>SUM(Z92:Z92)</f>
        <v>129</v>
      </c>
      <c r="Z92" s="529">
        <v>129</v>
      </c>
      <c r="AA92" s="529">
        <f>SUM(AB92:AB92)</f>
        <v>155</v>
      </c>
      <c r="AB92" s="529">
        <v>155</v>
      </c>
    </row>
    <row r="93" spans="1:28" s="78" customFormat="1" ht="22.5" customHeight="1">
      <c r="A93" s="453" t="s">
        <v>98</v>
      </c>
      <c r="B93" s="454" t="s">
        <v>813</v>
      </c>
      <c r="C93" s="532">
        <f>D93</f>
        <v>915.5</v>
      </c>
      <c r="D93" s="533">
        <f>G93+I93+K93+M93+O93+Q93+S93+V93+X93+Z93+AB93</f>
        <v>915.5</v>
      </c>
      <c r="E93" s="533"/>
      <c r="F93" s="533">
        <f>G93</f>
        <v>69.2</v>
      </c>
      <c r="G93" s="533">
        <v>69.2</v>
      </c>
      <c r="H93" s="533">
        <f>I93</f>
        <v>99</v>
      </c>
      <c r="I93" s="533">
        <v>99</v>
      </c>
      <c r="J93" s="533">
        <f>K93</f>
        <v>82</v>
      </c>
      <c r="K93" s="533">
        <v>82</v>
      </c>
      <c r="L93" s="533">
        <f>M93</f>
        <v>66.3</v>
      </c>
      <c r="M93" s="533">
        <v>66.3</v>
      </c>
      <c r="N93" s="533">
        <f>O93</f>
        <v>65.400000000000006</v>
      </c>
      <c r="O93" s="533">
        <v>65.400000000000006</v>
      </c>
      <c r="P93" s="533">
        <f>Q93</f>
        <v>73</v>
      </c>
      <c r="Q93" s="533">
        <v>73</v>
      </c>
      <c r="R93" s="533">
        <f>S93</f>
        <v>92.4</v>
      </c>
      <c r="S93" s="533">
        <v>92.4</v>
      </c>
      <c r="T93" s="533"/>
      <c r="U93" s="533">
        <f>V93</f>
        <v>81</v>
      </c>
      <c r="V93" s="533">
        <v>81</v>
      </c>
      <c r="W93" s="533">
        <f>X93</f>
        <v>109</v>
      </c>
      <c r="X93" s="533">
        <v>109</v>
      </c>
      <c r="Y93" s="533">
        <f>Z93</f>
        <v>91.2</v>
      </c>
      <c r="Z93" s="533">
        <v>91.2</v>
      </c>
      <c r="AA93" s="533">
        <f>AB93</f>
        <v>87</v>
      </c>
      <c r="AB93" s="533">
        <v>87</v>
      </c>
    </row>
    <row r="94" spans="1:28" s="81" customFormat="1">
      <c r="A94" s="103"/>
      <c r="C94" s="104"/>
    </row>
    <row r="95" spans="1:28" s="81" customFormat="1">
      <c r="A95" s="103"/>
      <c r="C95" s="104"/>
    </row>
    <row r="96" spans="1:28" s="81" customFormat="1">
      <c r="A96" s="103"/>
      <c r="C96" s="104"/>
    </row>
  </sheetData>
  <mergeCells count="45">
    <mergeCell ref="Y5:Y6"/>
    <mergeCell ref="Z5:Z6"/>
    <mergeCell ref="AA5:AA6"/>
    <mergeCell ref="AB5:AB6"/>
    <mergeCell ref="R5:R6"/>
    <mergeCell ref="S5:S6"/>
    <mergeCell ref="U5:U6"/>
    <mergeCell ref="V5:V6"/>
    <mergeCell ref="W5:W6"/>
    <mergeCell ref="X5:X6"/>
    <mergeCell ref="Y4:Z4"/>
    <mergeCell ref="AA4:AB4"/>
    <mergeCell ref="C5:C6"/>
    <mergeCell ref="D5:D6"/>
    <mergeCell ref="F5:F6"/>
    <mergeCell ref="G5:G6"/>
    <mergeCell ref="H5:H6"/>
    <mergeCell ref="I5:I6"/>
    <mergeCell ref="J5:J6"/>
    <mergeCell ref="K5:K6"/>
    <mergeCell ref="L4:M4"/>
    <mergeCell ref="N4:O4"/>
    <mergeCell ref="P4:Q4"/>
    <mergeCell ref="R4:S4"/>
    <mergeCell ref="U4:V4"/>
    <mergeCell ref="L5:L6"/>
    <mergeCell ref="W4:X4"/>
    <mergeCell ref="A4:A6"/>
    <mergeCell ref="B4:B6"/>
    <mergeCell ref="C4:E4"/>
    <mergeCell ref="F4:G4"/>
    <mergeCell ref="H4:I4"/>
    <mergeCell ref="J4:K4"/>
    <mergeCell ref="Q5:Q6"/>
    <mergeCell ref="M5:M6"/>
    <mergeCell ref="N5:N6"/>
    <mergeCell ref="O5:O6"/>
    <mergeCell ref="P5:P6"/>
    <mergeCell ref="K1:M1"/>
    <mergeCell ref="N1:O1"/>
    <mergeCell ref="Z1:AB1"/>
    <mergeCell ref="A2:O2"/>
    <mergeCell ref="N3:O3"/>
    <mergeCell ref="P3:Q3"/>
    <mergeCell ref="AA3:AB3"/>
  </mergeCells>
  <printOptions horizontalCentered="1"/>
  <pageMargins left="0.2" right="0.2" top="0.6" bottom="0.2" header="0.3" footer="0.3"/>
  <pageSetup paperSize="9" scale="70" orientation="landscape" r:id="rId1"/>
  <colBreaks count="1" manualBreakCount="1">
    <brk id="15"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3"/>
  <sheetViews>
    <sheetView view="pageBreakPreview" zoomScaleSheetLayoutView="100" workbookViewId="0">
      <selection sqref="A1:E1"/>
    </sheetView>
  </sheetViews>
  <sheetFormatPr defaultColWidth="9.140625" defaultRowHeight="12.75"/>
  <cols>
    <col min="1" max="1" width="4.85546875" style="252" customWidth="1"/>
    <col min="2" max="2" width="14.5703125" style="253" customWidth="1"/>
    <col min="3" max="3" width="10" style="253" customWidth="1"/>
    <col min="4" max="4" width="12" style="253" bestFit="1" customWidth="1"/>
    <col min="5" max="5" width="10.28515625" style="253" customWidth="1"/>
    <col min="6" max="6" width="8.85546875" style="253" customWidth="1"/>
    <col min="7" max="7" width="0" style="253" hidden="1" customWidth="1"/>
    <col min="8" max="8" width="8" style="253" customWidth="1"/>
    <col min="9" max="9" width="6.5703125" style="253" customWidth="1"/>
    <col min="10" max="10" width="6" style="253" customWidth="1"/>
    <col min="11" max="11" width="0" style="253" hidden="1" customWidth="1"/>
    <col min="12" max="12" width="6.5703125" style="253" customWidth="1"/>
    <col min="13" max="13" width="0" style="253" hidden="1" customWidth="1"/>
    <col min="14" max="15" width="5.85546875" style="253" customWidth="1"/>
    <col min="16" max="16" width="8.28515625" style="253" customWidth="1"/>
    <col min="17" max="17" width="7.28515625" style="253" customWidth="1"/>
    <col min="18" max="19" width="7" style="253" customWidth="1"/>
    <col min="20" max="20" width="8.85546875" style="253" customWidth="1"/>
    <col min="21" max="21" width="8.42578125" style="253" customWidth="1"/>
    <col min="22" max="22" width="8" style="253" customWidth="1"/>
    <col min="23" max="23" width="8.85546875" style="253" customWidth="1"/>
    <col min="24" max="24" width="10.28515625" style="253" customWidth="1"/>
    <col min="25" max="25" width="0" style="253" hidden="1" customWidth="1"/>
    <col min="26" max="26" width="6.5703125" style="253" customWidth="1"/>
    <col min="27" max="27" width="0" style="253" hidden="1" customWidth="1"/>
    <col min="28" max="28" width="8.28515625" style="253" customWidth="1"/>
    <col min="29" max="29" width="0" style="253" hidden="1" customWidth="1"/>
    <col min="30" max="30" width="8" style="253" customWidth="1"/>
    <col min="31" max="31" width="6.7109375" style="253" customWidth="1"/>
    <col min="32" max="16384" width="9.140625" style="253"/>
  </cols>
  <sheetData>
    <row r="1" spans="1:34" s="62" customFormat="1">
      <c r="A1" s="653" t="s">
        <v>0</v>
      </c>
      <c r="B1" s="653"/>
      <c r="C1" s="653"/>
      <c r="D1" s="653"/>
      <c r="E1" s="653"/>
      <c r="F1" s="61"/>
      <c r="G1" s="77"/>
      <c r="H1" s="61"/>
      <c r="I1" s="77"/>
      <c r="J1" s="61"/>
      <c r="K1" s="77"/>
      <c r="L1" s="77"/>
      <c r="M1" s="77"/>
      <c r="N1" s="77"/>
      <c r="O1" s="77"/>
      <c r="P1" s="77"/>
      <c r="Q1" s="77"/>
      <c r="R1" s="77"/>
      <c r="S1" s="651" t="s">
        <v>626</v>
      </c>
      <c r="T1" s="651"/>
      <c r="U1" s="651"/>
      <c r="V1" s="651"/>
      <c r="W1" s="651"/>
      <c r="X1" s="651"/>
      <c r="Y1" s="651"/>
      <c r="Z1" s="651"/>
      <c r="AA1" s="651"/>
      <c r="AB1" s="651"/>
      <c r="AC1" s="651"/>
      <c r="AD1" s="651"/>
      <c r="AE1" s="651"/>
    </row>
    <row r="2" spans="1:34" s="62" customFormat="1" ht="19.5" customHeight="1">
      <c r="A2" s="652" t="s">
        <v>627</v>
      </c>
      <c r="B2" s="652"/>
      <c r="C2" s="652"/>
      <c r="D2" s="652"/>
      <c r="E2" s="652"/>
      <c r="F2" s="652"/>
      <c r="G2" s="652"/>
      <c r="H2" s="652"/>
      <c r="I2" s="652"/>
      <c r="J2" s="652"/>
      <c r="K2" s="652"/>
      <c r="L2" s="652"/>
      <c r="M2" s="652"/>
      <c r="N2" s="652"/>
      <c r="O2" s="652"/>
      <c r="P2" s="652"/>
      <c r="Q2" s="652"/>
      <c r="R2" s="652"/>
      <c r="S2" s="652"/>
      <c r="T2" s="652"/>
      <c r="U2" s="652"/>
      <c r="V2" s="652"/>
      <c r="W2" s="652"/>
      <c r="X2" s="652"/>
      <c r="Y2" s="652"/>
      <c r="Z2" s="652"/>
      <c r="AA2" s="652"/>
      <c r="AB2" s="652"/>
      <c r="AC2" s="652"/>
      <c r="AD2" s="652"/>
      <c r="AE2" s="652"/>
    </row>
    <row r="3" spans="1:34" s="62" customFormat="1" ht="19.5" customHeight="1">
      <c r="A3" s="652" t="s">
        <v>628</v>
      </c>
      <c r="B3" s="652"/>
      <c r="C3" s="652"/>
      <c r="D3" s="652"/>
      <c r="E3" s="652"/>
      <c r="F3" s="652"/>
      <c r="G3" s="652"/>
      <c r="H3" s="652"/>
      <c r="I3" s="652"/>
      <c r="J3" s="652"/>
      <c r="K3" s="652"/>
      <c r="L3" s="652"/>
      <c r="M3" s="652"/>
      <c r="N3" s="652"/>
      <c r="O3" s="652"/>
      <c r="P3" s="652"/>
      <c r="Q3" s="652"/>
      <c r="R3" s="652"/>
      <c r="S3" s="652"/>
      <c r="T3" s="652"/>
      <c r="U3" s="652"/>
      <c r="V3" s="652"/>
      <c r="W3" s="652"/>
      <c r="X3" s="652"/>
      <c r="Y3" s="652"/>
      <c r="Z3" s="652"/>
      <c r="AA3" s="652"/>
      <c r="AB3" s="652"/>
      <c r="AC3" s="652"/>
      <c r="AD3" s="652"/>
      <c r="AE3" s="652"/>
    </row>
    <row r="4" spans="1:34" s="62" customFormat="1">
      <c r="A4" s="654" t="s">
        <v>3</v>
      </c>
      <c r="B4" s="654"/>
      <c r="C4" s="654"/>
      <c r="D4" s="654"/>
      <c r="E4" s="654"/>
      <c r="F4" s="654"/>
      <c r="G4" s="654"/>
      <c r="H4" s="654"/>
      <c r="I4" s="654"/>
      <c r="J4" s="654"/>
      <c r="K4" s="654"/>
      <c r="L4" s="654"/>
      <c r="M4" s="654"/>
      <c r="N4" s="654"/>
      <c r="O4" s="654"/>
      <c r="P4" s="654"/>
      <c r="Q4" s="654"/>
      <c r="R4" s="654"/>
      <c r="S4" s="654"/>
      <c r="T4" s="654"/>
      <c r="U4" s="654"/>
      <c r="V4" s="654"/>
      <c r="W4" s="654"/>
      <c r="X4" s="654"/>
      <c r="Y4" s="654"/>
      <c r="Z4" s="654"/>
      <c r="AA4" s="654"/>
      <c r="AB4" s="654"/>
      <c r="AC4" s="654"/>
      <c r="AD4" s="654"/>
      <c r="AE4" s="654"/>
    </row>
    <row r="5" spans="1:34" s="63" customFormat="1" ht="15" customHeight="1">
      <c r="A5" s="642" t="s">
        <v>579</v>
      </c>
      <c r="B5" s="642" t="s">
        <v>629</v>
      </c>
      <c r="C5" s="642" t="s">
        <v>630</v>
      </c>
      <c r="D5" s="642" t="s">
        <v>631</v>
      </c>
      <c r="E5" s="639" t="s">
        <v>168</v>
      </c>
      <c r="F5" s="643" t="s">
        <v>632</v>
      </c>
      <c r="G5" s="644"/>
      <c r="H5" s="644"/>
      <c r="I5" s="644"/>
      <c r="J5" s="644"/>
      <c r="K5" s="644"/>
      <c r="L5" s="644"/>
      <c r="M5" s="644"/>
      <c r="N5" s="644"/>
      <c r="O5" s="644"/>
      <c r="P5" s="644"/>
      <c r="Q5" s="644"/>
      <c r="R5" s="644"/>
      <c r="S5" s="644"/>
      <c r="T5" s="644"/>
      <c r="U5" s="644"/>
      <c r="V5" s="644"/>
      <c r="W5" s="644"/>
      <c r="X5" s="644"/>
      <c r="Y5" s="644"/>
      <c r="Z5" s="644"/>
      <c r="AA5" s="644"/>
      <c r="AB5" s="644"/>
      <c r="AC5" s="644"/>
      <c r="AD5" s="644"/>
      <c r="AE5" s="645"/>
    </row>
    <row r="6" spans="1:34" s="64" customFormat="1" ht="24" customHeight="1">
      <c r="A6" s="640"/>
      <c r="B6" s="640"/>
      <c r="C6" s="640"/>
      <c r="D6" s="640"/>
      <c r="E6" s="640"/>
      <c r="F6" s="635" t="s">
        <v>633</v>
      </c>
      <c r="G6" s="638"/>
      <c r="H6" s="635" t="s">
        <v>634</v>
      </c>
      <c r="I6" s="638"/>
      <c r="J6" s="635" t="s">
        <v>635</v>
      </c>
      <c r="K6" s="638"/>
      <c r="L6" s="635" t="s">
        <v>92</v>
      </c>
      <c r="M6" s="636"/>
      <c r="N6" s="635" t="s">
        <v>636</v>
      </c>
      <c r="O6" s="636"/>
      <c r="P6" s="638" t="s">
        <v>637</v>
      </c>
      <c r="Q6" s="636"/>
      <c r="R6" s="638" t="s">
        <v>578</v>
      </c>
      <c r="S6" s="636"/>
      <c r="T6" s="635" t="s">
        <v>638</v>
      </c>
      <c r="U6" s="638"/>
      <c r="V6" s="635" t="s">
        <v>639</v>
      </c>
      <c r="W6" s="638"/>
      <c r="X6" s="635" t="s">
        <v>640</v>
      </c>
      <c r="Y6" s="636"/>
      <c r="Z6" s="647" t="s">
        <v>645</v>
      </c>
      <c r="AA6" s="648"/>
      <c r="AB6" s="635" t="s">
        <v>641</v>
      </c>
      <c r="AC6" s="636"/>
      <c r="AD6" s="638" t="s">
        <v>106</v>
      </c>
      <c r="AE6" s="636"/>
    </row>
    <row r="7" spans="1:34" s="64" customFormat="1" ht="30" customHeight="1">
      <c r="A7" s="640"/>
      <c r="B7" s="640"/>
      <c r="C7" s="640"/>
      <c r="D7" s="640"/>
      <c r="E7" s="641"/>
      <c r="F7" s="646"/>
      <c r="G7" s="646"/>
      <c r="H7" s="646"/>
      <c r="I7" s="646"/>
      <c r="J7" s="646"/>
      <c r="K7" s="646"/>
      <c r="L7" s="637"/>
      <c r="M7" s="637"/>
      <c r="N7" s="637"/>
      <c r="O7" s="637"/>
      <c r="P7" s="637"/>
      <c r="Q7" s="637"/>
      <c r="R7" s="637"/>
      <c r="S7" s="637"/>
      <c r="T7" s="646"/>
      <c r="U7" s="646"/>
      <c r="V7" s="646"/>
      <c r="W7" s="646"/>
      <c r="X7" s="637"/>
      <c r="Y7" s="637"/>
      <c r="Z7" s="649"/>
      <c r="AA7" s="650"/>
      <c r="AB7" s="637"/>
      <c r="AC7" s="637"/>
      <c r="AD7" s="637"/>
      <c r="AE7" s="637"/>
    </row>
    <row r="8" spans="1:34" s="62" customFormat="1" ht="21" customHeight="1">
      <c r="A8" s="254">
        <v>1</v>
      </c>
      <c r="B8" s="255" t="s">
        <v>526</v>
      </c>
      <c r="C8" s="256">
        <f>F8+H8+J8+L8+N8+P8+R8+T8+V8+X8+Z8+AB8+AD8</f>
        <v>31946</v>
      </c>
      <c r="D8" s="256">
        <f>G8+I8+K8+M8+O8+Q8+S8+U8+W8+Y8+AA8+AC8+AE8</f>
        <v>2061</v>
      </c>
      <c r="E8" s="257">
        <f>U8</f>
        <v>1350</v>
      </c>
      <c r="F8" s="258">
        <f>9500+210+200</f>
        <v>9910</v>
      </c>
      <c r="G8" s="257">
        <v>0</v>
      </c>
      <c r="H8" s="257">
        <f>420+30</f>
        <v>450</v>
      </c>
      <c r="I8" s="257">
        <v>0</v>
      </c>
      <c r="J8" s="257">
        <v>40</v>
      </c>
      <c r="K8" s="257">
        <v>0</v>
      </c>
      <c r="L8" s="257">
        <f>200+30</f>
        <v>230</v>
      </c>
      <c r="M8" s="257">
        <v>0</v>
      </c>
      <c r="N8" s="257">
        <v>27</v>
      </c>
      <c r="O8" s="257">
        <f>N8</f>
        <v>27</v>
      </c>
      <c r="P8" s="257">
        <f>395+100</f>
        <v>495</v>
      </c>
      <c r="Q8" s="257">
        <v>150</v>
      </c>
      <c r="R8" s="257">
        <v>234</v>
      </c>
      <c r="S8" s="257">
        <f>R8</f>
        <v>234</v>
      </c>
      <c r="T8" s="257">
        <v>13500</v>
      </c>
      <c r="U8" s="257">
        <f>T8*0.1</f>
        <v>1350</v>
      </c>
      <c r="V8" s="257">
        <f>2500+500</f>
        <v>3000</v>
      </c>
      <c r="W8" s="256">
        <f>250</f>
        <v>250</v>
      </c>
      <c r="X8" s="257">
        <v>2500</v>
      </c>
      <c r="Y8" s="257">
        <v>0</v>
      </c>
      <c r="Z8" s="257"/>
      <c r="AA8" s="257"/>
      <c r="AB8" s="257">
        <v>330</v>
      </c>
      <c r="AC8" s="259">
        <v>0</v>
      </c>
      <c r="AD8" s="257">
        <v>1230</v>
      </c>
      <c r="AE8" s="257">
        <v>50</v>
      </c>
      <c r="AF8" s="65"/>
      <c r="AG8" s="65"/>
      <c r="AH8" s="65"/>
    </row>
    <row r="9" spans="1:34" s="62" customFormat="1" ht="21" customHeight="1">
      <c r="A9" s="260">
        <v>2</v>
      </c>
      <c r="B9" s="261" t="s">
        <v>642</v>
      </c>
      <c r="C9" s="262">
        <f t="shared" ref="C9:D18" si="0">F9+H9+J9+L9+N9+P9+R9+T9+V9+X9+Z9+AB9+AD9</f>
        <v>37151</v>
      </c>
      <c r="D9" s="262">
        <f t="shared" si="0"/>
        <v>96</v>
      </c>
      <c r="E9" s="263">
        <f t="shared" ref="E9:E19" si="1">U9</f>
        <v>20</v>
      </c>
      <c r="F9" s="264">
        <f>35020</f>
        <v>35020</v>
      </c>
      <c r="G9" s="263">
        <v>0</v>
      </c>
      <c r="H9" s="263">
        <v>120</v>
      </c>
      <c r="I9" s="263">
        <v>0</v>
      </c>
      <c r="J9" s="263"/>
      <c r="K9" s="263">
        <v>0</v>
      </c>
      <c r="L9" s="263">
        <v>150</v>
      </c>
      <c r="M9" s="263">
        <v>0</v>
      </c>
      <c r="N9" s="263">
        <v>1</v>
      </c>
      <c r="O9" s="263">
        <v>1</v>
      </c>
      <c r="P9" s="263">
        <v>110</v>
      </c>
      <c r="Q9" s="263">
        <v>10</v>
      </c>
      <c r="R9" s="263">
        <v>20</v>
      </c>
      <c r="S9" s="263">
        <f t="shared" ref="S9:S18" si="2">R9</f>
        <v>20</v>
      </c>
      <c r="T9" s="263">
        <v>200</v>
      </c>
      <c r="U9" s="263">
        <f t="shared" ref="U9:U18" si="3">T9*0.1</f>
        <v>20</v>
      </c>
      <c r="V9" s="263">
        <f>30+200</f>
        <v>230</v>
      </c>
      <c r="W9" s="262">
        <v>15</v>
      </c>
      <c r="X9" s="263">
        <v>1000</v>
      </c>
      <c r="Y9" s="263">
        <v>0</v>
      </c>
      <c r="Z9" s="263">
        <v>70</v>
      </c>
      <c r="AA9" s="263">
        <v>0</v>
      </c>
      <c r="AB9" s="263">
        <v>200</v>
      </c>
      <c r="AC9" s="265">
        <v>0</v>
      </c>
      <c r="AD9" s="263">
        <v>30</v>
      </c>
      <c r="AE9" s="263">
        <v>30</v>
      </c>
      <c r="AF9" s="65"/>
      <c r="AG9" s="65"/>
      <c r="AH9" s="65"/>
    </row>
    <row r="10" spans="1:34" s="62" customFormat="1" ht="21" customHeight="1">
      <c r="A10" s="260">
        <v>3</v>
      </c>
      <c r="B10" s="261" t="s">
        <v>643</v>
      </c>
      <c r="C10" s="262">
        <f t="shared" si="0"/>
        <v>508</v>
      </c>
      <c r="D10" s="262">
        <f t="shared" si="0"/>
        <v>38</v>
      </c>
      <c r="E10" s="263">
        <f t="shared" si="1"/>
        <v>10</v>
      </c>
      <c r="F10" s="264">
        <v>50</v>
      </c>
      <c r="G10" s="263">
        <v>0</v>
      </c>
      <c r="H10" s="263"/>
      <c r="I10" s="263">
        <v>0</v>
      </c>
      <c r="J10" s="263"/>
      <c r="K10" s="263">
        <v>0</v>
      </c>
      <c r="L10" s="263">
        <v>20</v>
      </c>
      <c r="M10" s="263">
        <v>0</v>
      </c>
      <c r="N10" s="263">
        <v>0</v>
      </c>
      <c r="O10" s="263">
        <f t="shared" ref="O10:O18" si="4">N10*0.7</f>
        <v>0</v>
      </c>
      <c r="P10" s="263">
        <v>90</v>
      </c>
      <c r="Q10" s="263">
        <v>10</v>
      </c>
      <c r="R10" s="263">
        <v>5</v>
      </c>
      <c r="S10" s="263">
        <f t="shared" si="2"/>
        <v>5</v>
      </c>
      <c r="T10" s="263">
        <v>100</v>
      </c>
      <c r="U10" s="263">
        <f t="shared" si="3"/>
        <v>10</v>
      </c>
      <c r="V10" s="263">
        <v>120</v>
      </c>
      <c r="W10" s="262">
        <v>10</v>
      </c>
      <c r="X10" s="263">
        <v>100</v>
      </c>
      <c r="Y10" s="263">
        <v>0</v>
      </c>
      <c r="Z10" s="263"/>
      <c r="AA10" s="263">
        <v>0</v>
      </c>
      <c r="AB10" s="263">
        <v>20</v>
      </c>
      <c r="AC10" s="265">
        <v>0</v>
      </c>
      <c r="AD10" s="263">
        <v>3</v>
      </c>
      <c r="AE10" s="263">
        <f t="shared" ref="AE10:AE17" si="5">AD10</f>
        <v>3</v>
      </c>
      <c r="AF10" s="65"/>
      <c r="AG10" s="65"/>
      <c r="AH10" s="65"/>
    </row>
    <row r="11" spans="1:34" s="62" customFormat="1" ht="21" customHeight="1">
      <c r="A11" s="260">
        <v>4</v>
      </c>
      <c r="B11" s="261" t="s">
        <v>522</v>
      </c>
      <c r="C11" s="262">
        <f t="shared" si="0"/>
        <v>27301</v>
      </c>
      <c r="D11" s="262">
        <f>G11+I11+K11+M11+O11+Q11+S11+U11+W11+Y11+AA11+AC11+AE11</f>
        <v>86</v>
      </c>
      <c r="E11" s="263">
        <f t="shared" si="1"/>
        <v>10</v>
      </c>
      <c r="F11" s="264">
        <v>25780</v>
      </c>
      <c r="G11" s="263">
        <v>0</v>
      </c>
      <c r="H11" s="263">
        <v>100</v>
      </c>
      <c r="I11" s="263">
        <v>0</v>
      </c>
      <c r="J11" s="263"/>
      <c r="K11" s="263">
        <v>0</v>
      </c>
      <c r="L11" s="263">
        <f>100+10</f>
        <v>110</v>
      </c>
      <c r="M11" s="263">
        <v>0</v>
      </c>
      <c r="N11" s="263">
        <v>1</v>
      </c>
      <c r="O11" s="263">
        <f>N11</f>
        <v>1</v>
      </c>
      <c r="P11" s="263">
        <v>40</v>
      </c>
      <c r="Q11" s="263">
        <v>20</v>
      </c>
      <c r="R11" s="263">
        <v>20</v>
      </c>
      <c r="S11" s="263">
        <f t="shared" si="2"/>
        <v>20</v>
      </c>
      <c r="T11" s="263">
        <v>100</v>
      </c>
      <c r="U11" s="263">
        <f t="shared" si="3"/>
        <v>10</v>
      </c>
      <c r="V11" s="263">
        <v>230</v>
      </c>
      <c r="W11" s="262">
        <f>15</f>
        <v>15</v>
      </c>
      <c r="X11" s="263">
        <v>500</v>
      </c>
      <c r="Y11" s="263">
        <v>0</v>
      </c>
      <c r="Z11" s="263">
        <v>100</v>
      </c>
      <c r="AA11" s="263">
        <v>0</v>
      </c>
      <c r="AB11" s="263">
        <v>300</v>
      </c>
      <c r="AC11" s="265">
        <v>0</v>
      </c>
      <c r="AD11" s="263">
        <v>20</v>
      </c>
      <c r="AE11" s="263">
        <f t="shared" si="5"/>
        <v>20</v>
      </c>
      <c r="AF11" s="65"/>
      <c r="AG11" s="65"/>
      <c r="AH11" s="65"/>
    </row>
    <row r="12" spans="1:34" s="62" customFormat="1" ht="21" customHeight="1">
      <c r="A12" s="260">
        <v>5</v>
      </c>
      <c r="B12" s="261" t="s">
        <v>529</v>
      </c>
      <c r="C12" s="262">
        <f t="shared" si="0"/>
        <v>479</v>
      </c>
      <c r="D12" s="262">
        <f t="shared" si="0"/>
        <v>54</v>
      </c>
      <c r="E12" s="263">
        <f t="shared" si="1"/>
        <v>10</v>
      </c>
      <c r="F12" s="264">
        <f>20</f>
        <v>20</v>
      </c>
      <c r="G12" s="263">
        <v>0</v>
      </c>
      <c r="H12" s="263"/>
      <c r="I12" s="263">
        <v>0</v>
      </c>
      <c r="J12" s="263"/>
      <c r="K12" s="263">
        <v>0</v>
      </c>
      <c r="L12" s="263"/>
      <c r="M12" s="263">
        <v>0</v>
      </c>
      <c r="N12" s="263">
        <v>1</v>
      </c>
      <c r="O12" s="263">
        <f>N12</f>
        <v>1</v>
      </c>
      <c r="P12" s="263">
        <v>15</v>
      </c>
      <c r="Q12" s="263">
        <v>15</v>
      </c>
      <c r="R12" s="263">
        <v>3</v>
      </c>
      <c r="S12" s="263">
        <f t="shared" si="2"/>
        <v>3</v>
      </c>
      <c r="T12" s="263">
        <v>100</v>
      </c>
      <c r="U12" s="263">
        <f t="shared" si="3"/>
        <v>10</v>
      </c>
      <c r="V12" s="263">
        <f>230</f>
        <v>230</v>
      </c>
      <c r="W12" s="262">
        <v>15</v>
      </c>
      <c r="X12" s="263">
        <v>100</v>
      </c>
      <c r="Y12" s="263">
        <v>0</v>
      </c>
      <c r="Z12" s="263"/>
      <c r="AA12" s="263">
        <v>0</v>
      </c>
      <c r="AB12" s="263"/>
      <c r="AC12" s="265">
        <v>0</v>
      </c>
      <c r="AD12" s="263">
        <v>10</v>
      </c>
      <c r="AE12" s="263">
        <f t="shared" si="5"/>
        <v>10</v>
      </c>
      <c r="AF12" s="65"/>
      <c r="AG12" s="65"/>
      <c r="AH12" s="65"/>
    </row>
    <row r="13" spans="1:34" s="62" customFormat="1" ht="21" customHeight="1">
      <c r="A13" s="260">
        <v>6</v>
      </c>
      <c r="B13" s="261" t="s">
        <v>519</v>
      </c>
      <c r="C13" s="262">
        <f t="shared" si="0"/>
        <v>798</v>
      </c>
      <c r="D13" s="262">
        <f t="shared" si="0"/>
        <v>88</v>
      </c>
      <c r="E13" s="263">
        <f t="shared" si="1"/>
        <v>65</v>
      </c>
      <c r="F13" s="264">
        <f>20</f>
        <v>20</v>
      </c>
      <c r="G13" s="263">
        <v>0</v>
      </c>
      <c r="H13" s="263"/>
      <c r="I13" s="263">
        <v>0</v>
      </c>
      <c r="J13" s="263"/>
      <c r="K13" s="263">
        <v>0</v>
      </c>
      <c r="L13" s="263"/>
      <c r="M13" s="263">
        <v>0</v>
      </c>
      <c r="N13" s="263">
        <v>0</v>
      </c>
      <c r="O13" s="263">
        <f t="shared" si="4"/>
        <v>0</v>
      </c>
      <c r="P13" s="263">
        <v>5</v>
      </c>
      <c r="Q13" s="263">
        <v>5</v>
      </c>
      <c r="R13" s="263">
        <v>3</v>
      </c>
      <c r="S13" s="263">
        <f t="shared" si="2"/>
        <v>3</v>
      </c>
      <c r="T13" s="263">
        <v>650</v>
      </c>
      <c r="U13" s="263">
        <f t="shared" si="3"/>
        <v>65</v>
      </c>
      <c r="V13" s="263">
        <v>60</v>
      </c>
      <c r="W13" s="262">
        <v>5</v>
      </c>
      <c r="X13" s="263">
        <v>50</v>
      </c>
      <c r="Y13" s="263">
        <v>0</v>
      </c>
      <c r="Z13" s="263"/>
      <c r="AA13" s="263">
        <v>0</v>
      </c>
      <c r="AB13" s="263">
        <v>0</v>
      </c>
      <c r="AC13" s="265">
        <v>0</v>
      </c>
      <c r="AD13" s="263">
        <v>10</v>
      </c>
      <c r="AE13" s="263">
        <f t="shared" si="5"/>
        <v>10</v>
      </c>
      <c r="AF13" s="65"/>
      <c r="AG13" s="65"/>
      <c r="AH13" s="65"/>
    </row>
    <row r="14" spans="1:34" s="62" customFormat="1" ht="21" customHeight="1">
      <c r="A14" s="260">
        <v>7</v>
      </c>
      <c r="B14" s="261" t="s">
        <v>520</v>
      </c>
      <c r="C14" s="262">
        <f t="shared" si="0"/>
        <v>635</v>
      </c>
      <c r="D14" s="262">
        <f t="shared" si="0"/>
        <v>75</v>
      </c>
      <c r="E14" s="263">
        <f t="shared" si="1"/>
        <v>10</v>
      </c>
      <c r="F14" s="264">
        <f>50</f>
        <v>50</v>
      </c>
      <c r="G14" s="263">
        <v>0</v>
      </c>
      <c r="H14" s="263"/>
      <c r="I14" s="263">
        <v>0</v>
      </c>
      <c r="J14" s="263"/>
      <c r="K14" s="263">
        <v>0</v>
      </c>
      <c r="L14" s="263">
        <v>90</v>
      </c>
      <c r="M14" s="263">
        <v>0</v>
      </c>
      <c r="N14" s="263">
        <v>0</v>
      </c>
      <c r="O14" s="263">
        <f t="shared" si="4"/>
        <v>0</v>
      </c>
      <c r="P14" s="263">
        <v>145</v>
      </c>
      <c r="Q14" s="263">
        <v>25</v>
      </c>
      <c r="R14" s="263">
        <v>10</v>
      </c>
      <c r="S14" s="263">
        <f t="shared" si="2"/>
        <v>10</v>
      </c>
      <c r="T14" s="263">
        <v>100</v>
      </c>
      <c r="U14" s="263">
        <f t="shared" si="3"/>
        <v>10</v>
      </c>
      <c r="V14" s="263">
        <v>120</v>
      </c>
      <c r="W14" s="262">
        <v>10</v>
      </c>
      <c r="X14" s="263">
        <v>100</v>
      </c>
      <c r="Y14" s="263">
        <v>0</v>
      </c>
      <c r="Z14" s="263"/>
      <c r="AA14" s="263">
        <v>0</v>
      </c>
      <c r="AB14" s="263"/>
      <c r="AC14" s="265">
        <v>0</v>
      </c>
      <c r="AD14" s="263">
        <v>20</v>
      </c>
      <c r="AE14" s="263">
        <f t="shared" si="5"/>
        <v>20</v>
      </c>
      <c r="AF14" s="65"/>
      <c r="AG14" s="65"/>
      <c r="AH14" s="65"/>
    </row>
    <row r="15" spans="1:34" s="62" customFormat="1" ht="21" customHeight="1">
      <c r="A15" s="260">
        <v>8</v>
      </c>
      <c r="B15" s="261" t="s">
        <v>521</v>
      </c>
      <c r="C15" s="262">
        <f t="shared" si="0"/>
        <v>106</v>
      </c>
      <c r="D15" s="262">
        <f t="shared" si="0"/>
        <v>21</v>
      </c>
      <c r="E15" s="263">
        <f t="shared" si="1"/>
        <v>0</v>
      </c>
      <c r="F15" s="264">
        <v>10</v>
      </c>
      <c r="G15" s="263">
        <v>0</v>
      </c>
      <c r="H15" s="263"/>
      <c r="I15" s="263">
        <v>0</v>
      </c>
      <c r="J15" s="263"/>
      <c r="K15" s="263">
        <v>0</v>
      </c>
      <c r="L15" s="263"/>
      <c r="M15" s="263">
        <v>0</v>
      </c>
      <c r="N15" s="263">
        <v>0</v>
      </c>
      <c r="O15" s="263">
        <f t="shared" si="4"/>
        <v>0</v>
      </c>
      <c r="P15" s="263">
        <v>10</v>
      </c>
      <c r="Q15" s="263">
        <f>P15</f>
        <v>10</v>
      </c>
      <c r="R15" s="263">
        <v>5</v>
      </c>
      <c r="S15" s="263">
        <f t="shared" si="2"/>
        <v>5</v>
      </c>
      <c r="T15" s="263">
        <v>0</v>
      </c>
      <c r="U15" s="263">
        <f t="shared" si="3"/>
        <v>0</v>
      </c>
      <c r="V15" s="263">
        <v>30</v>
      </c>
      <c r="W15" s="262">
        <v>5</v>
      </c>
      <c r="X15" s="263">
        <v>50</v>
      </c>
      <c r="Y15" s="263">
        <v>0</v>
      </c>
      <c r="Z15" s="263"/>
      <c r="AA15" s="263">
        <v>0</v>
      </c>
      <c r="AB15" s="263"/>
      <c r="AC15" s="265">
        <v>0</v>
      </c>
      <c r="AD15" s="263">
        <v>1</v>
      </c>
      <c r="AE15" s="263">
        <f t="shared" si="5"/>
        <v>1</v>
      </c>
      <c r="AF15" s="65"/>
      <c r="AG15" s="65"/>
      <c r="AH15" s="65"/>
    </row>
    <row r="16" spans="1:34" s="62" customFormat="1" ht="21" customHeight="1">
      <c r="A16" s="260">
        <v>9</v>
      </c>
      <c r="B16" s="261" t="s">
        <v>644</v>
      </c>
      <c r="C16" s="262">
        <f t="shared" si="0"/>
        <v>490</v>
      </c>
      <c r="D16" s="262">
        <f t="shared" si="0"/>
        <v>65</v>
      </c>
      <c r="E16" s="263">
        <f t="shared" si="1"/>
        <v>10</v>
      </c>
      <c r="F16" s="264">
        <v>50</v>
      </c>
      <c r="G16" s="263">
        <v>0</v>
      </c>
      <c r="H16" s="263"/>
      <c r="I16" s="263">
        <v>0</v>
      </c>
      <c r="J16" s="263"/>
      <c r="K16" s="263">
        <v>0</v>
      </c>
      <c r="L16" s="263"/>
      <c r="M16" s="263">
        <v>0</v>
      </c>
      <c r="N16" s="263">
        <v>0</v>
      </c>
      <c r="O16" s="263">
        <f t="shared" si="4"/>
        <v>0</v>
      </c>
      <c r="P16" s="263">
        <v>10</v>
      </c>
      <c r="Q16" s="263">
        <v>10</v>
      </c>
      <c r="R16" s="263">
        <v>10</v>
      </c>
      <c r="S16" s="263">
        <f t="shared" si="2"/>
        <v>10</v>
      </c>
      <c r="T16" s="263">
        <v>100</v>
      </c>
      <c r="U16" s="263">
        <f t="shared" si="3"/>
        <v>10</v>
      </c>
      <c r="V16" s="263">
        <f>100</f>
        <v>100</v>
      </c>
      <c r="W16" s="262">
        <v>15</v>
      </c>
      <c r="X16" s="263">
        <v>200</v>
      </c>
      <c r="Y16" s="263">
        <v>0</v>
      </c>
      <c r="Z16" s="263"/>
      <c r="AA16" s="263">
        <v>0</v>
      </c>
      <c r="AB16" s="263"/>
      <c r="AC16" s="265">
        <v>0</v>
      </c>
      <c r="AD16" s="263">
        <v>20</v>
      </c>
      <c r="AE16" s="263">
        <f t="shared" si="5"/>
        <v>20</v>
      </c>
      <c r="AF16" s="65"/>
      <c r="AG16" s="65"/>
      <c r="AH16" s="65"/>
    </row>
    <row r="17" spans="1:34" s="62" customFormat="1" ht="21" customHeight="1">
      <c r="A17" s="260">
        <v>10</v>
      </c>
      <c r="B17" s="261" t="s">
        <v>518</v>
      </c>
      <c r="C17" s="262">
        <f t="shared" si="0"/>
        <v>19520</v>
      </c>
      <c r="D17" s="262">
        <f>G17+I17+K17+M17+O17+Q17+S17+U17+W17+Y17+AA17+AC17+AE17</f>
        <v>80</v>
      </c>
      <c r="E17" s="263">
        <f t="shared" si="1"/>
        <v>5</v>
      </c>
      <c r="F17" s="264">
        <v>18500</v>
      </c>
      <c r="G17" s="263">
        <v>0</v>
      </c>
      <c r="H17" s="263"/>
      <c r="I17" s="263">
        <v>0</v>
      </c>
      <c r="J17" s="263"/>
      <c r="K17" s="263">
        <v>0</v>
      </c>
      <c r="L17" s="263">
        <v>80</v>
      </c>
      <c r="M17" s="263">
        <v>0</v>
      </c>
      <c r="N17" s="263">
        <v>0</v>
      </c>
      <c r="O17" s="263">
        <f t="shared" si="4"/>
        <v>0</v>
      </c>
      <c r="P17" s="263">
        <v>20</v>
      </c>
      <c r="Q17" s="263">
        <v>20</v>
      </c>
      <c r="R17" s="263">
        <v>10</v>
      </c>
      <c r="S17" s="263">
        <f t="shared" si="2"/>
        <v>10</v>
      </c>
      <c r="T17" s="263">
        <v>50</v>
      </c>
      <c r="U17" s="263">
        <f t="shared" si="3"/>
        <v>5</v>
      </c>
      <c r="V17" s="263">
        <v>130</v>
      </c>
      <c r="W17" s="262">
        <v>15</v>
      </c>
      <c r="X17" s="263">
        <v>200</v>
      </c>
      <c r="Y17" s="263">
        <v>0</v>
      </c>
      <c r="Z17" s="263"/>
      <c r="AA17" s="263">
        <v>0</v>
      </c>
      <c r="AB17" s="263">
        <v>500</v>
      </c>
      <c r="AC17" s="265">
        <v>0</v>
      </c>
      <c r="AD17" s="263">
        <v>30</v>
      </c>
      <c r="AE17" s="263">
        <f t="shared" si="5"/>
        <v>30</v>
      </c>
      <c r="AF17" s="65"/>
      <c r="AG17" s="65"/>
      <c r="AH17" s="65"/>
    </row>
    <row r="18" spans="1:34" s="62" customFormat="1" ht="21" customHeight="1">
      <c r="A18" s="266">
        <v>11</v>
      </c>
      <c r="B18" s="267" t="s">
        <v>697</v>
      </c>
      <c r="C18" s="268">
        <f t="shared" si="0"/>
        <v>10886</v>
      </c>
      <c r="D18" s="268">
        <f t="shared" si="0"/>
        <v>125</v>
      </c>
      <c r="E18" s="269">
        <f t="shared" si="1"/>
        <v>10</v>
      </c>
      <c r="F18" s="270">
        <f>500+8325</f>
        <v>8825</v>
      </c>
      <c r="G18" s="269">
        <v>0</v>
      </c>
      <c r="H18" s="269"/>
      <c r="I18" s="269">
        <v>0</v>
      </c>
      <c r="J18" s="269"/>
      <c r="K18" s="269">
        <v>0</v>
      </c>
      <c r="L18" s="269">
        <f>30+20+15</f>
        <v>65</v>
      </c>
      <c r="M18" s="269">
        <v>0</v>
      </c>
      <c r="N18" s="269">
        <v>0</v>
      </c>
      <c r="O18" s="269">
        <f t="shared" si="4"/>
        <v>0</v>
      </c>
      <c r="P18" s="269">
        <f>20+50</f>
        <v>70</v>
      </c>
      <c r="Q18" s="269">
        <v>50</v>
      </c>
      <c r="R18" s="269">
        <v>20</v>
      </c>
      <c r="S18" s="269">
        <f t="shared" si="2"/>
        <v>20</v>
      </c>
      <c r="T18" s="269">
        <v>100</v>
      </c>
      <c r="U18" s="269">
        <f t="shared" si="3"/>
        <v>10</v>
      </c>
      <c r="V18" s="269">
        <v>250</v>
      </c>
      <c r="W18" s="268">
        <v>25</v>
      </c>
      <c r="X18" s="269">
        <v>500</v>
      </c>
      <c r="Y18" s="269">
        <v>0</v>
      </c>
      <c r="Z18" s="269">
        <v>10</v>
      </c>
      <c r="AA18" s="269">
        <v>0</v>
      </c>
      <c r="AB18" s="269">
        <v>1000</v>
      </c>
      <c r="AC18" s="271">
        <v>0</v>
      </c>
      <c r="AD18" s="269">
        <v>46</v>
      </c>
      <c r="AE18" s="269">
        <v>20</v>
      </c>
      <c r="AF18" s="65"/>
      <c r="AG18" s="65"/>
      <c r="AH18" s="65"/>
    </row>
    <row r="19" spans="1:34" s="67" customFormat="1" ht="21" customHeight="1">
      <c r="A19" s="634" t="s">
        <v>112</v>
      </c>
      <c r="B19" s="634"/>
      <c r="C19" s="286">
        <f>SUM(C8:C18)</f>
        <v>129820</v>
      </c>
      <c r="D19" s="286">
        <f>K19+O19+Q19+S19+U19+W19+Y19+AE19</f>
        <v>2789</v>
      </c>
      <c r="E19" s="286">
        <f t="shared" si="1"/>
        <v>1500</v>
      </c>
      <c r="F19" s="286">
        <f>SUM(F8:F18)</f>
        <v>98235</v>
      </c>
      <c r="G19" s="286">
        <f>SUM(G8:G18)</f>
        <v>0</v>
      </c>
      <c r="H19" s="286">
        <f>SUM(H8:H18)</f>
        <v>670</v>
      </c>
      <c r="I19" s="286">
        <f>SUM(I8:I18)</f>
        <v>0</v>
      </c>
      <c r="J19" s="286">
        <f t="shared" ref="J19:AB19" si="6">SUM(J8:J18)</f>
        <v>40</v>
      </c>
      <c r="K19" s="286">
        <f t="shared" si="6"/>
        <v>0</v>
      </c>
      <c r="L19" s="286">
        <f>SUM(L8:L18)</f>
        <v>745</v>
      </c>
      <c r="M19" s="286">
        <f t="shared" si="6"/>
        <v>0</v>
      </c>
      <c r="N19" s="286">
        <f>SUM(N8:N18)</f>
        <v>30</v>
      </c>
      <c r="O19" s="286">
        <f>SUM(O8:O18)</f>
        <v>30</v>
      </c>
      <c r="P19" s="286">
        <f>SUM(P8:P18)</f>
        <v>1010</v>
      </c>
      <c r="Q19" s="286">
        <f t="shared" si="6"/>
        <v>325</v>
      </c>
      <c r="R19" s="286">
        <f t="shared" si="6"/>
        <v>340</v>
      </c>
      <c r="S19" s="286">
        <f t="shared" si="6"/>
        <v>340</v>
      </c>
      <c r="T19" s="287">
        <f t="shared" si="6"/>
        <v>15000</v>
      </c>
      <c r="U19" s="286">
        <f t="shared" si="6"/>
        <v>1500</v>
      </c>
      <c r="V19" s="286">
        <f t="shared" si="6"/>
        <v>4500</v>
      </c>
      <c r="W19" s="286">
        <f>SUM(W8:W18)</f>
        <v>380</v>
      </c>
      <c r="X19" s="286">
        <f t="shared" si="6"/>
        <v>5300</v>
      </c>
      <c r="Y19" s="286">
        <f t="shared" si="6"/>
        <v>0</v>
      </c>
      <c r="Z19" s="286">
        <f t="shared" si="6"/>
        <v>180</v>
      </c>
      <c r="AA19" s="286">
        <f t="shared" si="6"/>
        <v>0</v>
      </c>
      <c r="AB19" s="286">
        <f t="shared" si="6"/>
        <v>2350</v>
      </c>
      <c r="AC19" s="286"/>
      <c r="AD19" s="286">
        <f>SUM(AD8:AD18)</f>
        <v>1420</v>
      </c>
      <c r="AE19" s="286">
        <f>SUM(AE8:AE18)</f>
        <v>214</v>
      </c>
      <c r="AF19" s="66"/>
      <c r="AG19" s="65"/>
      <c r="AH19" s="65"/>
    </row>
    <row r="20" spans="1:34" s="62" customFormat="1" ht="21" customHeight="1">
      <c r="A20" s="251"/>
      <c r="B20" s="68"/>
      <c r="C20" s="69"/>
      <c r="D20" s="69"/>
      <c r="E20" s="70"/>
      <c r="F20" s="69"/>
      <c r="G20" s="69"/>
      <c r="H20" s="69"/>
      <c r="I20" s="69"/>
      <c r="J20" s="69"/>
      <c r="K20" s="69"/>
      <c r="L20" s="69"/>
      <c r="M20" s="69"/>
      <c r="N20" s="69"/>
      <c r="O20" s="69"/>
      <c r="P20" s="69"/>
      <c r="Q20" s="69"/>
      <c r="R20" s="69"/>
      <c r="S20" s="69"/>
      <c r="T20" s="69"/>
      <c r="U20" s="69"/>
      <c r="V20" s="69"/>
      <c r="W20" s="69"/>
      <c r="X20" s="69"/>
      <c r="Y20" s="69"/>
      <c r="Z20" s="69"/>
      <c r="AA20" s="69"/>
      <c r="AB20" s="69"/>
      <c r="AC20" s="69"/>
      <c r="AD20" s="69"/>
      <c r="AE20" s="69"/>
    </row>
    <row r="21" spans="1:34" s="62" customFormat="1" ht="21" customHeight="1">
      <c r="A21" s="251"/>
      <c r="B21" s="68"/>
      <c r="C21" s="69"/>
      <c r="D21" s="69"/>
      <c r="E21" s="70"/>
      <c r="F21" s="69"/>
      <c r="G21" s="69"/>
      <c r="H21" s="69"/>
      <c r="I21" s="69"/>
      <c r="J21" s="69"/>
      <c r="K21" s="69"/>
      <c r="L21" s="69"/>
      <c r="M21" s="69"/>
      <c r="N21" s="69"/>
      <c r="O21" s="69"/>
      <c r="P21" s="69"/>
      <c r="Q21" s="69"/>
      <c r="R21" s="69"/>
      <c r="S21" s="69"/>
      <c r="T21" s="69"/>
      <c r="U21" s="69"/>
      <c r="V21" s="69"/>
      <c r="W21" s="69"/>
      <c r="X21" s="69"/>
      <c r="Y21" s="69"/>
      <c r="Z21" s="69"/>
      <c r="AA21" s="69"/>
      <c r="AB21" s="69"/>
      <c r="AC21" s="69"/>
      <c r="AD21" s="69"/>
      <c r="AE21" s="69"/>
    </row>
    <row r="22" spans="1:34" s="62" customFormat="1" ht="21" customHeight="1">
      <c r="A22" s="251"/>
      <c r="B22" s="68"/>
      <c r="C22" s="69"/>
      <c r="D22" s="69"/>
      <c r="E22" s="70"/>
      <c r="F22" s="69"/>
      <c r="G22" s="69"/>
      <c r="H22" s="69"/>
      <c r="I22" s="69"/>
      <c r="J22" s="69"/>
      <c r="K22" s="69"/>
      <c r="L22" s="69"/>
      <c r="M22" s="69"/>
      <c r="N22" s="69"/>
      <c r="O22" s="69"/>
      <c r="P22" s="69"/>
      <c r="Q22" s="69"/>
      <c r="R22" s="69"/>
      <c r="S22" s="69"/>
      <c r="T22" s="69"/>
      <c r="U22" s="69"/>
      <c r="V22" s="69"/>
      <c r="W22" s="69"/>
      <c r="X22" s="69"/>
      <c r="Y22" s="69"/>
      <c r="Z22" s="69"/>
      <c r="AA22" s="69"/>
      <c r="AB22" s="69"/>
      <c r="AC22" s="69"/>
      <c r="AD22" s="69"/>
      <c r="AE22" s="69"/>
    </row>
    <row r="23" spans="1:34" s="62" customFormat="1" ht="21" customHeight="1">
      <c r="A23" s="251"/>
      <c r="B23" s="68"/>
      <c r="C23" s="69"/>
      <c r="D23" s="69"/>
      <c r="E23" s="70"/>
      <c r="F23" s="69"/>
      <c r="G23" s="69"/>
      <c r="H23" s="69"/>
      <c r="I23" s="69"/>
      <c r="J23" s="69"/>
      <c r="K23" s="69"/>
      <c r="L23" s="69"/>
      <c r="M23" s="69"/>
      <c r="N23" s="69"/>
      <c r="O23" s="69"/>
      <c r="P23" s="69"/>
      <c r="Q23" s="69"/>
      <c r="R23" s="69"/>
      <c r="S23" s="69"/>
      <c r="T23" s="69"/>
      <c r="U23" s="69"/>
      <c r="V23" s="69"/>
      <c r="W23" s="69"/>
      <c r="X23" s="69"/>
      <c r="Y23" s="69"/>
      <c r="Z23" s="69"/>
      <c r="AA23" s="69"/>
      <c r="AB23" s="69"/>
      <c r="AC23" s="69"/>
      <c r="AD23" s="69"/>
      <c r="AE23" s="69"/>
    </row>
  </sheetData>
  <mergeCells count="25">
    <mergeCell ref="AB6:AC7"/>
    <mergeCell ref="AD6:AE7"/>
    <mergeCell ref="T6:U7"/>
    <mergeCell ref="V6:W7"/>
    <mergeCell ref="S1:AE1"/>
    <mergeCell ref="A2:AE2"/>
    <mergeCell ref="A3:AE3"/>
    <mergeCell ref="A1:E1"/>
    <mergeCell ref="A4:AE4"/>
    <mergeCell ref="A19:B19"/>
    <mergeCell ref="L6:M7"/>
    <mergeCell ref="N6:O7"/>
    <mergeCell ref="P6:Q7"/>
    <mergeCell ref="R6:S7"/>
    <mergeCell ref="E5:E7"/>
    <mergeCell ref="A5:A7"/>
    <mergeCell ref="B5:B7"/>
    <mergeCell ref="C5:C7"/>
    <mergeCell ref="D5:D7"/>
    <mergeCell ref="F5:AE5"/>
    <mergeCell ref="F6:G7"/>
    <mergeCell ref="H6:I7"/>
    <mergeCell ref="J6:K7"/>
    <mergeCell ref="X6:Y7"/>
    <mergeCell ref="Z6:AA7"/>
  </mergeCells>
  <printOptions horizontalCentered="1"/>
  <pageMargins left="0.2" right="0.2" top="0.5" bottom="0.2" header="0.31496062992126" footer="0.31496062992126"/>
  <pageSetup paperSize="9" scale="71"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D402"/>
  <sheetViews>
    <sheetView view="pageBreakPreview" zoomScale="85" zoomScaleNormal="85" zoomScaleSheetLayoutView="85" workbookViewId="0">
      <selection activeCell="B13" sqref="B13"/>
    </sheetView>
  </sheetViews>
  <sheetFormatPr defaultRowHeight="15"/>
  <cols>
    <col min="1" max="1" width="4.5703125" customWidth="1"/>
    <col min="2" max="2" width="61" customWidth="1"/>
    <col min="3" max="3" width="8" customWidth="1"/>
    <col min="4" max="4" width="15.85546875" customWidth="1"/>
    <col min="5" max="5" width="15.5703125" customWidth="1"/>
    <col min="6" max="7" width="11.85546875" customWidth="1"/>
    <col min="8" max="8" width="11.7109375" customWidth="1"/>
    <col min="9" max="9" width="15.7109375" customWidth="1"/>
    <col min="10" max="10" width="14.140625" customWidth="1"/>
    <col min="11" max="11" width="13.42578125" style="313" customWidth="1"/>
    <col min="12" max="12" width="14" style="313" customWidth="1"/>
    <col min="13" max="13" width="16.5703125" customWidth="1"/>
    <col min="14" max="14" width="13.42578125" customWidth="1"/>
    <col min="15" max="15" width="15" customWidth="1"/>
    <col min="16" max="16" width="13.42578125" customWidth="1"/>
  </cols>
  <sheetData>
    <row r="1" spans="1:30" ht="24.75" customHeight="1">
      <c r="A1" s="653" t="s">
        <v>0</v>
      </c>
      <c r="B1" s="653"/>
      <c r="C1" s="437"/>
      <c r="D1" s="437"/>
      <c r="E1" s="437"/>
    </row>
    <row r="2" spans="1:30" s="315" customFormat="1" ht="27.75" customHeight="1">
      <c r="A2" s="657" t="s">
        <v>823</v>
      </c>
      <c r="B2" s="657"/>
      <c r="C2" s="657"/>
      <c r="D2" s="657"/>
      <c r="E2" s="657"/>
      <c r="F2" s="657"/>
      <c r="G2" s="657"/>
      <c r="H2" s="657"/>
      <c r="I2" s="657"/>
      <c r="J2" s="657"/>
      <c r="K2" s="657"/>
      <c r="L2" s="657"/>
      <c r="M2" s="657"/>
      <c r="N2" s="657"/>
      <c r="O2" s="314"/>
    </row>
    <row r="3" spans="1:30" s="315" customFormat="1" ht="17.25" customHeight="1">
      <c r="A3" s="658" t="s">
        <v>974</v>
      </c>
      <c r="B3" s="658"/>
      <c r="C3" s="658"/>
      <c r="D3" s="658"/>
      <c r="E3" s="658"/>
      <c r="F3" s="658"/>
      <c r="G3" s="658"/>
      <c r="H3" s="658"/>
      <c r="I3" s="658"/>
      <c r="J3" s="658"/>
      <c r="K3" s="658"/>
      <c r="L3" s="658"/>
      <c r="M3" s="658"/>
      <c r="N3" s="658"/>
      <c r="O3" s="314"/>
    </row>
    <row r="4" spans="1:30" s="315" customFormat="1" ht="10.5" customHeight="1">
      <c r="A4" s="657"/>
      <c r="B4" s="657"/>
      <c r="C4" s="657"/>
      <c r="D4" s="657"/>
      <c r="E4" s="657"/>
      <c r="F4" s="657"/>
      <c r="G4" s="657"/>
      <c r="H4" s="657"/>
      <c r="I4" s="657"/>
      <c r="J4" s="657"/>
      <c r="K4" s="657"/>
      <c r="L4" s="657"/>
      <c r="M4" s="657"/>
      <c r="N4" s="657"/>
      <c r="O4" s="314"/>
    </row>
    <row r="5" spans="1:30" s="317" customFormat="1" ht="16.5" customHeight="1">
      <c r="A5" s="659" t="s">
        <v>4</v>
      </c>
      <c r="B5" s="659" t="s">
        <v>824</v>
      </c>
      <c r="C5" s="662" t="s">
        <v>825</v>
      </c>
      <c r="D5" s="662" t="s">
        <v>826</v>
      </c>
      <c r="E5" s="665" t="s">
        <v>827</v>
      </c>
      <c r="F5" s="666"/>
      <c r="G5" s="666"/>
      <c r="H5" s="666"/>
      <c r="I5" s="667"/>
      <c r="J5" s="671" t="s">
        <v>828</v>
      </c>
      <c r="K5" s="671"/>
      <c r="L5" s="671"/>
      <c r="M5" s="671"/>
      <c r="N5" s="672"/>
      <c r="O5" s="316"/>
    </row>
    <row r="6" spans="1:30" s="317" customFormat="1" ht="13.5" customHeight="1">
      <c r="A6" s="660"/>
      <c r="B6" s="660"/>
      <c r="C6" s="663"/>
      <c r="D6" s="663"/>
      <c r="E6" s="668"/>
      <c r="F6" s="669"/>
      <c r="G6" s="669"/>
      <c r="H6" s="669"/>
      <c r="I6" s="670"/>
      <c r="J6" s="673"/>
      <c r="K6" s="673"/>
      <c r="L6" s="673"/>
      <c r="M6" s="673"/>
      <c r="N6" s="674"/>
      <c r="O6" s="316"/>
    </row>
    <row r="7" spans="1:30" s="317" customFormat="1" ht="18.75" customHeight="1">
      <c r="A7" s="660"/>
      <c r="B7" s="660"/>
      <c r="C7" s="663"/>
      <c r="D7" s="663"/>
      <c r="E7" s="678" t="s">
        <v>826</v>
      </c>
      <c r="F7" s="678" t="s">
        <v>829</v>
      </c>
      <c r="G7" s="678"/>
      <c r="H7" s="678" t="s">
        <v>830</v>
      </c>
      <c r="I7" s="678" t="s">
        <v>831</v>
      </c>
      <c r="J7" s="677" t="s">
        <v>832</v>
      </c>
      <c r="K7" s="655" t="s">
        <v>829</v>
      </c>
      <c r="L7" s="656"/>
      <c r="M7" s="675" t="s">
        <v>833</v>
      </c>
      <c r="N7" s="677" t="s">
        <v>831</v>
      </c>
      <c r="O7" s="318"/>
    </row>
    <row r="8" spans="1:30" s="321" customFormat="1" ht="83.25" customHeight="1">
      <c r="A8" s="661"/>
      <c r="B8" s="661"/>
      <c r="C8" s="664"/>
      <c r="D8" s="664"/>
      <c r="E8" s="678"/>
      <c r="F8" s="319" t="s">
        <v>716</v>
      </c>
      <c r="G8" s="319" t="s">
        <v>820</v>
      </c>
      <c r="H8" s="678"/>
      <c r="I8" s="678"/>
      <c r="J8" s="664"/>
      <c r="K8" s="320" t="s">
        <v>716</v>
      </c>
      <c r="L8" s="320" t="s">
        <v>820</v>
      </c>
      <c r="M8" s="676"/>
      <c r="N8" s="664"/>
      <c r="O8" s="318"/>
      <c r="P8" s="317"/>
      <c r="T8" s="322"/>
      <c r="U8" s="322"/>
      <c r="V8" s="322"/>
      <c r="W8" s="322"/>
      <c r="X8" s="322"/>
      <c r="Y8" s="322"/>
      <c r="Z8" s="322"/>
      <c r="AA8" s="322">
        <v>196950</v>
      </c>
      <c r="AB8" s="322"/>
      <c r="AC8" s="322"/>
      <c r="AD8" s="322"/>
    </row>
    <row r="9" spans="1:30" s="321" customFormat="1" ht="18.75" customHeight="1">
      <c r="A9" s="443" t="s">
        <v>11</v>
      </c>
      <c r="B9" s="443" t="s">
        <v>12</v>
      </c>
      <c r="C9" s="444">
        <v>1</v>
      </c>
      <c r="D9" s="444">
        <v>2</v>
      </c>
      <c r="E9" s="444">
        <v>3</v>
      </c>
      <c r="F9" s="444">
        <v>4</v>
      </c>
      <c r="G9" s="444">
        <v>5</v>
      </c>
      <c r="H9" s="445">
        <v>6</v>
      </c>
      <c r="I9" s="438" t="s">
        <v>981</v>
      </c>
      <c r="J9" s="444">
        <v>8</v>
      </c>
      <c r="K9" s="444">
        <v>9</v>
      </c>
      <c r="L9" s="444">
        <v>10</v>
      </c>
      <c r="M9" s="444">
        <v>11</v>
      </c>
      <c r="N9" s="443">
        <v>12</v>
      </c>
      <c r="O9" s="318"/>
      <c r="P9" s="317"/>
      <c r="T9" s="322"/>
      <c r="U9" s="322"/>
      <c r="V9" s="322"/>
      <c r="W9" s="322"/>
      <c r="X9" s="322"/>
      <c r="Y9" s="322"/>
      <c r="Z9" s="322"/>
      <c r="AA9" s="322"/>
      <c r="AB9" s="322"/>
      <c r="AC9" s="322"/>
      <c r="AD9" s="322"/>
    </row>
    <row r="10" spans="1:30" s="328" customFormat="1" ht="18.75" customHeight="1">
      <c r="A10" s="439"/>
      <c r="B10" s="440" t="s">
        <v>496</v>
      </c>
      <c r="C10" s="441">
        <f>C12+C93+C154</f>
        <v>1007</v>
      </c>
      <c r="D10" s="442">
        <f t="shared" ref="D10:N10" si="0">D11</f>
        <v>194224.48</v>
      </c>
      <c r="E10" s="442">
        <f t="shared" si="0"/>
        <v>194224.48</v>
      </c>
      <c r="F10" s="442">
        <f t="shared" si="0"/>
        <v>1966.181102</v>
      </c>
      <c r="G10" s="442">
        <f t="shared" si="0"/>
        <v>1966.181102</v>
      </c>
      <c r="H10" s="442">
        <f t="shared" si="0"/>
        <v>2380.5</v>
      </c>
      <c r="I10" s="442">
        <f t="shared" si="0"/>
        <v>191843.98000000004</v>
      </c>
      <c r="J10" s="442">
        <f t="shared" si="0"/>
        <v>191843.98000000004</v>
      </c>
      <c r="K10" s="442">
        <f t="shared" si="0"/>
        <v>10428.116</v>
      </c>
      <c r="L10" s="442">
        <f t="shared" si="0"/>
        <v>10428.116</v>
      </c>
      <c r="M10" s="442">
        <f t="shared" si="0"/>
        <v>0</v>
      </c>
      <c r="N10" s="442">
        <f t="shared" si="0"/>
        <v>191843.98000000004</v>
      </c>
      <c r="O10" s="327">
        <f>K10-L10</f>
        <v>0</v>
      </c>
      <c r="T10" s="329"/>
      <c r="U10" s="329"/>
      <c r="V10" s="329"/>
      <c r="W10" s="329"/>
      <c r="X10" s="329"/>
      <c r="Y10" s="329"/>
      <c r="Z10" s="329"/>
      <c r="AA10" s="329">
        <f>AA14/AA8</f>
        <v>0.76315308453922315</v>
      </c>
      <c r="AB10" s="329"/>
      <c r="AC10" s="329"/>
      <c r="AD10" s="329"/>
    </row>
    <row r="11" spans="1:30" s="328" customFormat="1" ht="18.75" customHeight="1">
      <c r="A11" s="323" t="s">
        <v>11</v>
      </c>
      <c r="B11" s="324" t="s">
        <v>834</v>
      </c>
      <c r="C11" s="325">
        <f>C12+C93+C154</f>
        <v>1007</v>
      </c>
      <c r="D11" s="326">
        <f t="shared" ref="D11:N11" si="1">D12+D93+D154+D266+D273</f>
        <v>194224.48</v>
      </c>
      <c r="E11" s="326">
        <f t="shared" si="1"/>
        <v>194224.48</v>
      </c>
      <c r="F11" s="326">
        <f t="shared" si="1"/>
        <v>1966.181102</v>
      </c>
      <c r="G11" s="326">
        <f t="shared" si="1"/>
        <v>1966.181102</v>
      </c>
      <c r="H11" s="326">
        <f t="shared" si="1"/>
        <v>2380.5</v>
      </c>
      <c r="I11" s="326">
        <f t="shared" si="1"/>
        <v>191843.98000000004</v>
      </c>
      <c r="J11" s="326">
        <f t="shared" si="1"/>
        <v>191843.98000000004</v>
      </c>
      <c r="K11" s="326">
        <f t="shared" si="1"/>
        <v>10428.116</v>
      </c>
      <c r="L11" s="326">
        <f t="shared" si="1"/>
        <v>10428.116</v>
      </c>
      <c r="M11" s="326">
        <f t="shared" si="1"/>
        <v>0</v>
      </c>
      <c r="N11" s="326">
        <f t="shared" si="1"/>
        <v>191843.98000000004</v>
      </c>
      <c r="O11" s="297"/>
      <c r="P11" s="330"/>
      <c r="T11" s="329"/>
      <c r="U11" s="329"/>
      <c r="V11" s="329"/>
      <c r="W11" s="329"/>
      <c r="X11" s="329"/>
      <c r="Y11" s="329"/>
      <c r="Z11" s="329"/>
      <c r="AA11" s="331">
        <f>AA8-AA14</f>
        <v>46647</v>
      </c>
      <c r="AB11" s="329"/>
      <c r="AC11" s="329"/>
      <c r="AD11" s="329"/>
    </row>
    <row r="12" spans="1:30" s="457" customFormat="1" ht="18.75" customHeight="1">
      <c r="A12" s="459" t="s">
        <v>14</v>
      </c>
      <c r="B12" s="455" t="s">
        <v>835</v>
      </c>
      <c r="C12" s="325">
        <f>C13+C19+C24+C29+C35+C39+C52+C56+C61+C65+C70+C75+C82+C46</f>
        <v>285</v>
      </c>
      <c r="D12" s="332">
        <f t="shared" ref="D12:N12" si="2">D13+D19+D24+D29+D35+D39+D46+D52+D56+D61+D65+D70+D75+D82+D86</f>
        <v>41103.528000000006</v>
      </c>
      <c r="E12" s="332">
        <f t="shared" si="2"/>
        <v>41103.528000000006</v>
      </c>
      <c r="F12" s="332">
        <f t="shared" si="2"/>
        <v>1966.181102</v>
      </c>
      <c r="G12" s="332">
        <f t="shared" si="2"/>
        <v>1966.181102</v>
      </c>
      <c r="H12" s="332">
        <f t="shared" si="2"/>
        <v>359.16000000000008</v>
      </c>
      <c r="I12" s="332">
        <f t="shared" si="2"/>
        <v>40744.368000000002</v>
      </c>
      <c r="J12" s="332">
        <f t="shared" si="2"/>
        <v>40744.368000000002</v>
      </c>
      <c r="K12" s="332">
        <f t="shared" si="2"/>
        <v>1632.498</v>
      </c>
      <c r="L12" s="332">
        <f t="shared" si="2"/>
        <v>2509.2370000000001</v>
      </c>
      <c r="M12" s="332">
        <f t="shared" si="2"/>
        <v>374.238</v>
      </c>
      <c r="N12" s="332">
        <f t="shared" si="2"/>
        <v>39493.390999999996</v>
      </c>
      <c r="O12" s="456"/>
      <c r="T12" s="458"/>
      <c r="U12" s="458"/>
      <c r="V12" s="458"/>
      <c r="W12" s="458"/>
      <c r="X12" s="458"/>
      <c r="Y12" s="458"/>
      <c r="Z12" s="458"/>
      <c r="AA12" s="458">
        <f>AA11/AA8</f>
        <v>0.23684691546077685</v>
      </c>
      <c r="AB12" s="458"/>
      <c r="AC12" s="458"/>
      <c r="AD12" s="458"/>
    </row>
    <row r="13" spans="1:30" s="334" customFormat="1" ht="18.75" customHeight="1">
      <c r="A13" s="324">
        <v>1</v>
      </c>
      <c r="B13" s="323" t="s">
        <v>836</v>
      </c>
      <c r="C13" s="324">
        <f>'[9]Quy luong 2022'!C13</f>
        <v>28</v>
      </c>
      <c r="D13" s="326">
        <f t="shared" ref="D13:N13" si="3">SUM(D14:D18)</f>
        <v>3498.47</v>
      </c>
      <c r="E13" s="326">
        <f t="shared" si="3"/>
        <v>3498.47</v>
      </c>
      <c r="F13" s="326">
        <f t="shared" si="3"/>
        <v>0</v>
      </c>
      <c r="G13" s="326">
        <f t="shared" si="3"/>
        <v>0</v>
      </c>
      <c r="H13" s="326">
        <f t="shared" si="3"/>
        <v>42.6</v>
      </c>
      <c r="I13" s="326">
        <f t="shared" si="3"/>
        <v>3455.87</v>
      </c>
      <c r="J13" s="326">
        <f t="shared" si="3"/>
        <v>3455.87</v>
      </c>
      <c r="K13" s="326">
        <f t="shared" si="3"/>
        <v>24.279</v>
      </c>
      <c r="L13" s="326">
        <f t="shared" si="3"/>
        <v>112.39499999999998</v>
      </c>
      <c r="M13" s="326">
        <f t="shared" si="3"/>
        <v>24.939</v>
      </c>
      <c r="N13" s="326">
        <f t="shared" si="3"/>
        <v>3342.8149999999996</v>
      </c>
      <c r="O13" s="333"/>
      <c r="T13" s="335"/>
      <c r="U13" s="335"/>
      <c r="V13" s="335"/>
      <c r="W13" s="335"/>
      <c r="X13" s="335"/>
      <c r="Y13" s="335"/>
      <c r="Z13" s="335"/>
      <c r="AA13" s="335"/>
      <c r="AB13" s="335"/>
      <c r="AC13" s="335"/>
      <c r="AD13" s="335"/>
    </row>
    <row r="14" spans="1:30" s="328" customFormat="1" ht="18.75" customHeight="1">
      <c r="A14" s="336" t="s">
        <v>255</v>
      </c>
      <c r="B14" s="337" t="s">
        <v>837</v>
      </c>
      <c r="C14" s="338"/>
      <c r="D14" s="339">
        <v>3068</v>
      </c>
      <c r="E14" s="339">
        <v>3068</v>
      </c>
      <c r="F14" s="339"/>
      <c r="G14" s="339"/>
      <c r="H14" s="339"/>
      <c r="I14" s="339">
        <f>E14+F14-(G14+H14)</f>
        <v>3068</v>
      </c>
      <c r="J14" s="339">
        <v>3068</v>
      </c>
      <c r="K14" s="339"/>
      <c r="L14" s="339">
        <f>174.51-13.589-31.9-16.626</f>
        <v>112.39499999999998</v>
      </c>
      <c r="M14" s="340"/>
      <c r="N14" s="340">
        <f>J14+K14-(L14+M14)</f>
        <v>2955.605</v>
      </c>
      <c r="O14" s="333"/>
      <c r="T14" s="329">
        <v>23</v>
      </c>
      <c r="U14" s="329"/>
      <c r="V14" s="329"/>
      <c r="W14" s="329"/>
      <c r="X14" s="329"/>
      <c r="Y14" s="329"/>
      <c r="Z14" s="329"/>
      <c r="AA14" s="331">
        <f>D14+D20+D25+D30+D36+D40++D47+D53+D57+D62+D66+D71+D76+D83+D95+D100+D108++D117+D125+D132+D140++D148++D156+D163+D172+D180+D187+D195+D200+D208+D215+D225+D231+D240+D247+D255+D261</f>
        <v>150303</v>
      </c>
      <c r="AB14" s="329"/>
      <c r="AC14" s="329"/>
      <c r="AD14" s="329"/>
    </row>
    <row r="15" spans="1:30" s="328" customFormat="1" ht="18.75" customHeight="1">
      <c r="A15" s="336" t="s">
        <v>255</v>
      </c>
      <c r="B15" s="341" t="s">
        <v>838</v>
      </c>
      <c r="C15" s="338"/>
      <c r="D15" s="339">
        <f>C13*12</f>
        <v>336</v>
      </c>
      <c r="E15" s="339">
        <v>336</v>
      </c>
      <c r="F15" s="339"/>
      <c r="G15" s="339"/>
      <c r="H15" s="339">
        <f>D15*0.1</f>
        <v>33.6</v>
      </c>
      <c r="I15" s="339">
        <f>E15+F15-(G15+H15)</f>
        <v>302.39999999999998</v>
      </c>
      <c r="J15" s="339">
        <v>302.39999999999998</v>
      </c>
      <c r="K15" s="339"/>
      <c r="L15" s="339"/>
      <c r="M15" s="340">
        <v>24.939</v>
      </c>
      <c r="N15" s="340">
        <f>J15+K15-(L15+M15)</f>
        <v>277.46099999999996</v>
      </c>
      <c r="O15" s="297"/>
      <c r="T15" s="329">
        <v>10</v>
      </c>
      <c r="U15" s="329"/>
      <c r="V15" s="329"/>
      <c r="W15" s="329"/>
      <c r="X15" s="329"/>
      <c r="Y15" s="329"/>
      <c r="Z15" s="329"/>
      <c r="AA15" s="342">
        <f>AA14/D10</f>
        <v>0.77386228553681802</v>
      </c>
      <c r="AB15" s="329"/>
      <c r="AC15" s="329"/>
      <c r="AD15" s="329"/>
    </row>
    <row r="16" spans="1:30" s="348" customFormat="1" ht="18.75" customHeight="1">
      <c r="A16" s="343" t="s">
        <v>255</v>
      </c>
      <c r="B16" s="341" t="s">
        <v>839</v>
      </c>
      <c r="C16" s="344"/>
      <c r="D16" s="345">
        <v>90</v>
      </c>
      <c r="E16" s="345">
        <v>90</v>
      </c>
      <c r="F16" s="345"/>
      <c r="G16" s="345"/>
      <c r="H16" s="339">
        <f>D16*0.1</f>
        <v>9</v>
      </c>
      <c r="I16" s="339">
        <f>E16+F16-(G16+H16)</f>
        <v>81</v>
      </c>
      <c r="J16" s="345">
        <v>81</v>
      </c>
      <c r="K16" s="345"/>
      <c r="L16" s="345"/>
      <c r="M16" s="346"/>
      <c r="N16" s="340">
        <f>J16+K16-(L16+M16)</f>
        <v>81</v>
      </c>
      <c r="O16" s="347"/>
      <c r="T16" s="349"/>
      <c r="U16" s="349"/>
      <c r="V16" s="349"/>
      <c r="W16" s="349"/>
      <c r="X16" s="349"/>
      <c r="Y16" s="349"/>
      <c r="Z16" s="349"/>
      <c r="AA16" s="350">
        <f>AA14+10780</f>
        <v>161083</v>
      </c>
      <c r="AB16" s="349"/>
      <c r="AC16" s="349"/>
      <c r="AD16" s="349"/>
    </row>
    <row r="17" spans="1:30" s="348" customFormat="1" ht="18.75" customHeight="1">
      <c r="A17" s="343" t="s">
        <v>255</v>
      </c>
      <c r="B17" s="351" t="s">
        <v>840</v>
      </c>
      <c r="C17" s="344"/>
      <c r="D17" s="345"/>
      <c r="E17" s="345"/>
      <c r="F17" s="345"/>
      <c r="G17" s="345"/>
      <c r="H17" s="339"/>
      <c r="I17" s="339"/>
      <c r="J17" s="345"/>
      <c r="K17" s="345">
        <v>24.279</v>
      </c>
      <c r="L17" s="345"/>
      <c r="M17" s="346"/>
      <c r="N17" s="340">
        <f>J17+K17-(L17+M17)</f>
        <v>24.279</v>
      </c>
      <c r="O17" s="347"/>
      <c r="T17" s="349"/>
      <c r="U17" s="349"/>
      <c r="V17" s="349"/>
      <c r="W17" s="349"/>
      <c r="X17" s="349"/>
      <c r="Y17" s="349"/>
      <c r="Z17" s="349"/>
      <c r="AA17" s="350"/>
      <c r="AB17" s="349"/>
      <c r="AC17" s="349"/>
      <c r="AD17" s="349"/>
    </row>
    <row r="18" spans="1:30" s="328" customFormat="1" ht="27.75" customHeight="1">
      <c r="A18" s="343" t="s">
        <v>255</v>
      </c>
      <c r="B18" s="341" t="s">
        <v>841</v>
      </c>
      <c r="C18" s="338"/>
      <c r="D18" s="339">
        <v>4.47</v>
      </c>
      <c r="E18" s="339">
        <v>4.47</v>
      </c>
      <c r="F18" s="339"/>
      <c r="G18" s="339"/>
      <c r="H18" s="339"/>
      <c r="I18" s="339">
        <f>E18+F18-(G18+H18)</f>
        <v>4.47</v>
      </c>
      <c r="J18" s="339">
        <v>4.47</v>
      </c>
      <c r="K18" s="339"/>
      <c r="L18" s="339"/>
      <c r="M18" s="340"/>
      <c r="N18" s="340">
        <f>J18+K18-(L18+M18)</f>
        <v>4.47</v>
      </c>
      <c r="O18" s="297"/>
      <c r="T18" s="329"/>
      <c r="U18" s="329"/>
      <c r="V18" s="329"/>
      <c r="W18" s="329"/>
      <c r="X18" s="329"/>
      <c r="Y18" s="329"/>
      <c r="Z18" s="329"/>
      <c r="AA18" s="329">
        <f>AA16/AA8</f>
        <v>0.81788778877887791</v>
      </c>
      <c r="AB18" s="329"/>
      <c r="AC18" s="329"/>
      <c r="AD18" s="329"/>
    </row>
    <row r="19" spans="1:30" s="334" customFormat="1" ht="18.75" customHeight="1">
      <c r="A19" s="324">
        <v>2</v>
      </c>
      <c r="B19" s="323" t="s">
        <v>842</v>
      </c>
      <c r="C19" s="324">
        <f>'[9]Quy luong 2022'!C55</f>
        <v>30</v>
      </c>
      <c r="D19" s="326">
        <f>SUM(D20:D23)</f>
        <v>4004.47</v>
      </c>
      <c r="E19" s="326">
        <f>SUM(E20:E23)</f>
        <v>4004.47</v>
      </c>
      <c r="F19" s="326"/>
      <c r="G19" s="326">
        <f t="shared" ref="G19:N19" si="4">SUM(G20:G23)</f>
        <v>0</v>
      </c>
      <c r="H19" s="326">
        <f t="shared" si="4"/>
        <v>36</v>
      </c>
      <c r="I19" s="326">
        <f t="shared" si="4"/>
        <v>3968.47</v>
      </c>
      <c r="J19" s="326">
        <f t="shared" si="4"/>
        <v>3968.47</v>
      </c>
      <c r="K19" s="326">
        <f t="shared" si="4"/>
        <v>57.652999999999999</v>
      </c>
      <c r="L19" s="326">
        <f t="shared" si="4"/>
        <v>66.971000000000004</v>
      </c>
      <c r="M19" s="326">
        <f t="shared" si="4"/>
        <v>40.052</v>
      </c>
      <c r="N19" s="326">
        <f t="shared" si="4"/>
        <v>3919.0999999999995</v>
      </c>
      <c r="O19" s="352"/>
      <c r="T19" s="335"/>
      <c r="U19" s="335"/>
      <c r="V19" s="335"/>
      <c r="W19" s="335"/>
      <c r="X19" s="335"/>
      <c r="Y19" s="335"/>
      <c r="Z19" s="335"/>
      <c r="AA19" s="353">
        <f>D13-D14</f>
        <v>430.4699999999998</v>
      </c>
      <c r="AB19" s="335"/>
      <c r="AC19" s="335"/>
      <c r="AD19" s="335"/>
    </row>
    <row r="20" spans="1:30" s="298" customFormat="1" ht="18.75" customHeight="1">
      <c r="A20" s="336" t="s">
        <v>255</v>
      </c>
      <c r="B20" s="354" t="s">
        <v>975</v>
      </c>
      <c r="C20" s="338"/>
      <c r="D20" s="339">
        <v>3640</v>
      </c>
      <c r="E20" s="339">
        <v>3640</v>
      </c>
      <c r="F20" s="339"/>
      <c r="G20" s="339"/>
      <c r="H20" s="339"/>
      <c r="I20" s="339">
        <f>E20+F20-(G20+H20)</f>
        <v>3640</v>
      </c>
      <c r="J20" s="339">
        <v>3640</v>
      </c>
      <c r="K20" s="339"/>
      <c r="L20" s="339">
        <f>195.618-36.939-31.9-26.701-33.107</f>
        <v>66.971000000000004</v>
      </c>
      <c r="M20" s="340"/>
      <c r="N20" s="340">
        <f>J20+K20-(L20+M20)</f>
        <v>3573.029</v>
      </c>
      <c r="O20" s="297"/>
      <c r="T20" s="329"/>
      <c r="U20" s="329"/>
      <c r="V20" s="329"/>
      <c r="W20" s="329"/>
      <c r="X20" s="329"/>
      <c r="Y20" s="329"/>
      <c r="Z20" s="329"/>
      <c r="AA20" s="329">
        <f>AA19/D13</f>
        <v>0.12304521690910593</v>
      </c>
      <c r="AB20" s="329"/>
      <c r="AC20" s="329"/>
      <c r="AD20" s="329"/>
    </row>
    <row r="21" spans="1:30" s="328" customFormat="1" ht="18.75" customHeight="1">
      <c r="A21" s="336" t="s">
        <v>255</v>
      </c>
      <c r="B21" s="341" t="s">
        <v>844</v>
      </c>
      <c r="C21" s="338"/>
      <c r="D21" s="339">
        <f>C19*12</f>
        <v>360</v>
      </c>
      <c r="E21" s="339">
        <v>360</v>
      </c>
      <c r="F21" s="339"/>
      <c r="G21" s="339"/>
      <c r="H21" s="339">
        <f>D21*0.1</f>
        <v>36</v>
      </c>
      <c r="I21" s="339">
        <f>E21+F21-(G21+H21)</f>
        <v>324</v>
      </c>
      <c r="J21" s="339">
        <v>324</v>
      </c>
      <c r="K21" s="339"/>
      <c r="L21" s="339"/>
      <c r="M21" s="340">
        <v>40.052</v>
      </c>
      <c r="N21" s="340">
        <f>J21+K21-(L21+M21)</f>
        <v>283.94799999999998</v>
      </c>
      <c r="O21" s="297"/>
      <c r="T21" s="329">
        <v>22</v>
      </c>
      <c r="U21" s="329"/>
      <c r="V21" s="329"/>
      <c r="W21" s="329"/>
      <c r="X21" s="329"/>
      <c r="Y21" s="329"/>
      <c r="Z21" s="329"/>
      <c r="AA21" s="329"/>
      <c r="AB21" s="329"/>
      <c r="AC21" s="329"/>
      <c r="AD21" s="329"/>
    </row>
    <row r="22" spans="1:30" s="348" customFormat="1" ht="18.75" customHeight="1">
      <c r="A22" s="343" t="s">
        <v>255</v>
      </c>
      <c r="B22" s="351" t="s">
        <v>840</v>
      </c>
      <c r="C22" s="344"/>
      <c r="D22" s="345"/>
      <c r="E22" s="345"/>
      <c r="F22" s="345"/>
      <c r="G22" s="345"/>
      <c r="H22" s="339"/>
      <c r="I22" s="339"/>
      <c r="J22" s="345"/>
      <c r="K22" s="345">
        <v>57.652999999999999</v>
      </c>
      <c r="L22" s="345"/>
      <c r="M22" s="346"/>
      <c r="N22" s="340">
        <f>J22+K22-(L22+M22)</f>
        <v>57.652999999999999</v>
      </c>
      <c r="O22" s="347"/>
      <c r="T22" s="349"/>
      <c r="U22" s="349"/>
      <c r="V22" s="349"/>
      <c r="W22" s="349"/>
      <c r="X22" s="349"/>
      <c r="Y22" s="349"/>
      <c r="Z22" s="349"/>
      <c r="AA22" s="350"/>
      <c r="AB22" s="349"/>
      <c r="AC22" s="349"/>
      <c r="AD22" s="349"/>
    </row>
    <row r="23" spans="1:30" s="348" customFormat="1" ht="28.5" customHeight="1">
      <c r="A23" s="343" t="s">
        <v>255</v>
      </c>
      <c r="B23" s="341" t="s">
        <v>841</v>
      </c>
      <c r="C23" s="344"/>
      <c r="D23" s="345">
        <v>4.47</v>
      </c>
      <c r="E23" s="345">
        <v>4.47</v>
      </c>
      <c r="F23" s="345"/>
      <c r="G23" s="345"/>
      <c r="H23" s="345"/>
      <c r="I23" s="345">
        <f>E23+F23-(G23+H23)</f>
        <v>4.47</v>
      </c>
      <c r="J23" s="345">
        <v>4.47</v>
      </c>
      <c r="K23" s="345"/>
      <c r="L23" s="345"/>
      <c r="M23" s="346"/>
      <c r="N23" s="346">
        <f>J23+K23-(L23+M23)</f>
        <v>4.47</v>
      </c>
      <c r="O23" s="347"/>
      <c r="T23" s="349"/>
      <c r="U23" s="349"/>
      <c r="V23" s="349"/>
      <c r="W23" s="349"/>
      <c r="X23" s="349"/>
      <c r="Y23" s="349"/>
      <c r="Z23" s="349"/>
      <c r="AA23" s="349"/>
      <c r="AB23" s="349"/>
      <c r="AC23" s="349"/>
      <c r="AD23" s="349"/>
    </row>
    <row r="24" spans="1:30" s="334" customFormat="1" ht="18.75" customHeight="1">
      <c r="A24" s="324">
        <v>3</v>
      </c>
      <c r="B24" s="323" t="s">
        <v>845</v>
      </c>
      <c r="C24" s="324">
        <f>'[9]Quy luong 2022'!C336</f>
        <v>26</v>
      </c>
      <c r="D24" s="326">
        <f>SUM(D25:D28)</f>
        <v>3920.0699999999997</v>
      </c>
      <c r="E24" s="326">
        <f>SUM(E25:E28)</f>
        <v>3920.0699999999997</v>
      </c>
      <c r="F24" s="326"/>
      <c r="G24" s="326">
        <f t="shared" ref="G24:N24" si="5">SUM(G25:G28)</f>
        <v>0</v>
      </c>
      <c r="H24" s="326">
        <f t="shared" si="5"/>
        <v>35.760000000000005</v>
      </c>
      <c r="I24" s="326">
        <f t="shared" si="5"/>
        <v>3884.31</v>
      </c>
      <c r="J24" s="326">
        <f t="shared" si="5"/>
        <v>3884.31</v>
      </c>
      <c r="K24" s="326">
        <f t="shared" si="5"/>
        <v>0</v>
      </c>
      <c r="L24" s="326">
        <f t="shared" si="5"/>
        <v>127.006</v>
      </c>
      <c r="M24" s="326">
        <f t="shared" si="5"/>
        <v>39.466000000000001</v>
      </c>
      <c r="N24" s="326">
        <f t="shared" si="5"/>
        <v>3717.8379999999997</v>
      </c>
      <c r="O24" s="352"/>
      <c r="T24" s="335">
        <v>10</v>
      </c>
      <c r="U24" s="335"/>
      <c r="V24" s="335"/>
      <c r="W24" s="335"/>
      <c r="X24" s="335"/>
      <c r="Y24" s="335"/>
      <c r="Z24" s="335"/>
      <c r="AA24" s="335"/>
      <c r="AB24" s="335"/>
      <c r="AC24" s="335"/>
      <c r="AD24" s="335"/>
    </row>
    <row r="25" spans="1:30" s="328" customFormat="1" ht="18.75" customHeight="1">
      <c r="A25" s="336" t="s">
        <v>255</v>
      </c>
      <c r="B25" s="337" t="s">
        <v>837</v>
      </c>
      <c r="C25" s="338"/>
      <c r="D25" s="339">
        <v>3558</v>
      </c>
      <c r="E25" s="339">
        <v>3558</v>
      </c>
      <c r="F25" s="339"/>
      <c r="G25" s="339"/>
      <c r="H25" s="339"/>
      <c r="I25" s="339">
        <f>E25+F25-(G25+H25)</f>
        <v>3558</v>
      </c>
      <c r="J25" s="339">
        <v>3558</v>
      </c>
      <c r="K25" s="339"/>
      <c r="L25" s="339">
        <f>246.917-61.381-5.819-26.4-26.311</f>
        <v>127.006</v>
      </c>
      <c r="M25" s="340"/>
      <c r="N25" s="340">
        <f>J25+K25-(L25+M25)</f>
        <v>3430.9940000000001</v>
      </c>
      <c r="O25" s="297"/>
      <c r="T25" s="329">
        <v>15</v>
      </c>
      <c r="U25" s="329"/>
      <c r="V25" s="329"/>
      <c r="W25" s="329"/>
      <c r="X25" s="329"/>
      <c r="Y25" s="329"/>
      <c r="Z25" s="329"/>
      <c r="AA25" s="329"/>
      <c r="AB25" s="329"/>
      <c r="AC25" s="329"/>
      <c r="AD25" s="329"/>
    </row>
    <row r="26" spans="1:30" s="328" customFormat="1" ht="18.75" customHeight="1">
      <c r="A26" s="336" t="s">
        <v>255</v>
      </c>
      <c r="B26" s="341" t="s">
        <v>846</v>
      </c>
      <c r="C26" s="338"/>
      <c r="D26" s="339">
        <f>(C24*12)+(C24*12*5%)</f>
        <v>327.60000000000002</v>
      </c>
      <c r="E26" s="339">
        <v>327.60000000000002</v>
      </c>
      <c r="F26" s="339"/>
      <c r="G26" s="339"/>
      <c r="H26" s="339">
        <f>D26*0.1</f>
        <v>32.760000000000005</v>
      </c>
      <c r="I26" s="339">
        <f>E26+F26-(G26+H26)</f>
        <v>294.84000000000003</v>
      </c>
      <c r="J26" s="339">
        <v>294.83999999999997</v>
      </c>
      <c r="K26" s="339"/>
      <c r="L26" s="339"/>
      <c r="M26" s="340">
        <v>39.466000000000001</v>
      </c>
      <c r="N26" s="340">
        <f>J26+K26-(L26+M26)</f>
        <v>255.37399999999997</v>
      </c>
      <c r="O26" s="297"/>
      <c r="T26" s="329">
        <v>10</v>
      </c>
      <c r="U26" s="329"/>
      <c r="V26" s="329"/>
      <c r="W26" s="329"/>
      <c r="X26" s="329"/>
      <c r="Y26" s="329"/>
      <c r="Z26" s="329"/>
      <c r="AA26" s="329"/>
      <c r="AB26" s="329"/>
      <c r="AC26" s="329"/>
      <c r="AD26" s="329"/>
    </row>
    <row r="27" spans="1:30" s="348" customFormat="1" ht="28.5" customHeight="1">
      <c r="A27" s="343" t="s">
        <v>255</v>
      </c>
      <c r="B27" s="341" t="s">
        <v>847</v>
      </c>
      <c r="C27" s="344"/>
      <c r="D27" s="345">
        <v>4.47</v>
      </c>
      <c r="E27" s="345">
        <v>4.47</v>
      </c>
      <c r="F27" s="345"/>
      <c r="G27" s="345"/>
      <c r="H27" s="345"/>
      <c r="I27" s="345">
        <f>E27+F27-(G27+H27)</f>
        <v>4.47</v>
      </c>
      <c r="J27" s="345">
        <v>4.47</v>
      </c>
      <c r="K27" s="345"/>
      <c r="L27" s="345"/>
      <c r="M27" s="346"/>
      <c r="N27" s="346">
        <f>J27+K27-(L27+M27)</f>
        <v>4.47</v>
      </c>
      <c r="O27" s="347"/>
      <c r="T27" s="349"/>
      <c r="U27" s="349"/>
      <c r="V27" s="349"/>
      <c r="W27" s="349"/>
      <c r="X27" s="349"/>
      <c r="Y27" s="349"/>
      <c r="Z27" s="349"/>
      <c r="AA27" s="349"/>
      <c r="AB27" s="349"/>
      <c r="AC27" s="349"/>
      <c r="AD27" s="349"/>
    </row>
    <row r="28" spans="1:30" s="328" customFormat="1" ht="18.75" customHeight="1">
      <c r="A28" s="336" t="s">
        <v>255</v>
      </c>
      <c r="B28" s="341" t="s">
        <v>848</v>
      </c>
      <c r="C28" s="338"/>
      <c r="D28" s="339">
        <v>30</v>
      </c>
      <c r="E28" s="339">
        <v>30</v>
      </c>
      <c r="F28" s="339"/>
      <c r="G28" s="339"/>
      <c r="H28" s="339">
        <f>D28*0.1</f>
        <v>3</v>
      </c>
      <c r="I28" s="339">
        <f>E28+F28-(G28+H28)</f>
        <v>27</v>
      </c>
      <c r="J28" s="339">
        <v>27</v>
      </c>
      <c r="K28" s="339"/>
      <c r="L28" s="339"/>
      <c r="M28" s="340"/>
      <c r="N28" s="340">
        <f>J28+K28-(L28+M28)</f>
        <v>27</v>
      </c>
      <c r="O28" s="297"/>
      <c r="T28" s="329"/>
      <c r="U28" s="329"/>
      <c r="V28" s="329"/>
      <c r="W28" s="329"/>
      <c r="X28" s="329"/>
      <c r="Y28" s="329"/>
      <c r="Z28" s="329"/>
      <c r="AA28" s="329"/>
      <c r="AB28" s="329"/>
      <c r="AC28" s="329"/>
      <c r="AD28" s="329"/>
    </row>
    <row r="29" spans="1:30" s="334" customFormat="1" ht="18.75" customHeight="1">
      <c r="A29" s="324">
        <v>4</v>
      </c>
      <c r="B29" s="323" t="s">
        <v>849</v>
      </c>
      <c r="C29" s="324">
        <f>'[9]Quy luong 2022'!C310</f>
        <v>19</v>
      </c>
      <c r="D29" s="326">
        <f>SUM(D30:D34)</f>
        <v>3222.87</v>
      </c>
      <c r="E29" s="326">
        <f>SUM(E30:E34)</f>
        <v>3222.87</v>
      </c>
      <c r="F29" s="326"/>
      <c r="G29" s="326">
        <f t="shared" ref="G29:N29" si="6">SUM(G30:G34)</f>
        <v>0</v>
      </c>
      <c r="H29" s="326">
        <f t="shared" si="6"/>
        <v>24</v>
      </c>
      <c r="I29" s="326">
        <f t="shared" si="6"/>
        <v>3198.87</v>
      </c>
      <c r="J29" s="326">
        <f t="shared" si="6"/>
        <v>3198.87</v>
      </c>
      <c r="K29" s="326">
        <f>SUM(K30:K34)</f>
        <v>78.7</v>
      </c>
      <c r="L29" s="326">
        <f t="shared" si="6"/>
        <v>250.88699999999997</v>
      </c>
      <c r="M29" s="326">
        <f t="shared" si="6"/>
        <v>32.051000000000002</v>
      </c>
      <c r="N29" s="326">
        <f t="shared" si="6"/>
        <v>2994.6319999999996</v>
      </c>
      <c r="O29" s="352"/>
      <c r="T29" s="335"/>
      <c r="U29" s="335"/>
      <c r="V29" s="335"/>
      <c r="W29" s="335"/>
      <c r="X29" s="335"/>
      <c r="Y29" s="335"/>
      <c r="Z29" s="335"/>
      <c r="AA29" s="335"/>
      <c r="AB29" s="335"/>
      <c r="AC29" s="335"/>
      <c r="AD29" s="335"/>
    </row>
    <row r="30" spans="1:30" s="328" customFormat="1" ht="18.75" customHeight="1">
      <c r="A30" s="338"/>
      <c r="B30" s="337" t="s">
        <v>843</v>
      </c>
      <c r="C30" s="338"/>
      <c r="D30" s="339">
        <v>2979</v>
      </c>
      <c r="E30" s="339">
        <v>2979</v>
      </c>
      <c r="F30" s="339"/>
      <c r="G30" s="339"/>
      <c r="H30" s="339"/>
      <c r="I30" s="339">
        <f>E30+F30-(G30+H30)</f>
        <v>2979</v>
      </c>
      <c r="J30" s="339">
        <v>2979</v>
      </c>
      <c r="K30" s="339"/>
      <c r="L30" s="339">
        <f>363.645-71.841-19.55-21.367</f>
        <v>250.88699999999997</v>
      </c>
      <c r="M30" s="340"/>
      <c r="N30" s="340">
        <f>J30+K30-(L30+M30)</f>
        <v>2728.1129999999998</v>
      </c>
      <c r="O30" s="297"/>
      <c r="T30" s="329">
        <v>6</v>
      </c>
      <c r="U30" s="329"/>
      <c r="V30" s="329"/>
      <c r="W30" s="329"/>
      <c r="X30" s="329"/>
      <c r="Y30" s="329"/>
      <c r="Z30" s="329"/>
      <c r="AA30" s="329"/>
      <c r="AB30" s="329"/>
      <c r="AC30" s="329"/>
      <c r="AD30" s="329"/>
    </row>
    <row r="31" spans="1:30" s="328" customFormat="1" ht="18.75" customHeight="1">
      <c r="A31" s="338"/>
      <c r="B31" s="341" t="s">
        <v>850</v>
      </c>
      <c r="C31" s="338"/>
      <c r="D31" s="339">
        <f>C29*12+11.4</f>
        <v>239.4</v>
      </c>
      <c r="E31" s="339">
        <v>239.4</v>
      </c>
      <c r="F31" s="339"/>
      <c r="G31" s="339"/>
      <c r="H31" s="339">
        <v>24</v>
      </c>
      <c r="I31" s="339">
        <f>E31+F31-(G31+H31)</f>
        <v>215.4</v>
      </c>
      <c r="J31" s="339">
        <v>215.4</v>
      </c>
      <c r="K31" s="339"/>
      <c r="L31" s="339"/>
      <c r="M31" s="340">
        <v>32.051000000000002</v>
      </c>
      <c r="N31" s="340">
        <f>J31+K31-(L31+M31)</f>
        <v>183.34899999999999</v>
      </c>
      <c r="O31" s="297"/>
      <c r="T31" s="329"/>
      <c r="U31" s="329"/>
      <c r="V31" s="329"/>
      <c r="W31" s="329"/>
      <c r="X31" s="329"/>
      <c r="Y31" s="329"/>
      <c r="Z31" s="329"/>
      <c r="AA31" s="329"/>
      <c r="AB31" s="329"/>
      <c r="AC31" s="329"/>
      <c r="AD31" s="329"/>
    </row>
    <row r="32" spans="1:30" s="348" customFormat="1" ht="18.75" customHeight="1">
      <c r="A32" s="343" t="s">
        <v>255</v>
      </c>
      <c r="B32" s="355" t="s">
        <v>851</v>
      </c>
      <c r="C32" s="344"/>
      <c r="D32" s="345"/>
      <c r="E32" s="345"/>
      <c r="F32" s="345"/>
      <c r="G32" s="345"/>
      <c r="H32" s="339"/>
      <c r="I32" s="339"/>
      <c r="J32" s="345"/>
      <c r="K32" s="345">
        <v>18.7</v>
      </c>
      <c r="L32" s="345"/>
      <c r="M32" s="346"/>
      <c r="N32" s="340">
        <f>J32+K32-(L32+M32)</f>
        <v>18.7</v>
      </c>
      <c r="O32" s="347"/>
      <c r="T32" s="349"/>
      <c r="U32" s="349"/>
      <c r="V32" s="349"/>
      <c r="W32" s="349"/>
      <c r="X32" s="349"/>
      <c r="Y32" s="349"/>
      <c r="Z32" s="349"/>
      <c r="AA32" s="350"/>
      <c r="AB32" s="349"/>
      <c r="AC32" s="349"/>
      <c r="AD32" s="349"/>
    </row>
    <row r="33" spans="1:30" s="348" customFormat="1" ht="18.75" customHeight="1">
      <c r="A33" s="343"/>
      <c r="B33" s="355" t="s">
        <v>852</v>
      </c>
      <c r="C33" s="344"/>
      <c r="D33" s="345"/>
      <c r="E33" s="345"/>
      <c r="F33" s="345"/>
      <c r="G33" s="345"/>
      <c r="H33" s="339"/>
      <c r="I33" s="339"/>
      <c r="J33" s="345"/>
      <c r="K33" s="345">
        <v>60</v>
      </c>
      <c r="L33" s="345"/>
      <c r="M33" s="346"/>
      <c r="N33" s="340">
        <f>J33+K33-(L33+M33)</f>
        <v>60</v>
      </c>
      <c r="O33" s="347"/>
      <c r="T33" s="349"/>
      <c r="U33" s="349"/>
      <c r="V33" s="349"/>
      <c r="W33" s="349"/>
      <c r="X33" s="349"/>
      <c r="Y33" s="349"/>
      <c r="Z33" s="349"/>
      <c r="AA33" s="350"/>
      <c r="AB33" s="349"/>
      <c r="AC33" s="349"/>
      <c r="AD33" s="349"/>
    </row>
    <row r="34" spans="1:30" s="328" customFormat="1" ht="30" customHeight="1">
      <c r="A34" s="338"/>
      <c r="B34" s="341" t="s">
        <v>841</v>
      </c>
      <c r="C34" s="338"/>
      <c r="D34" s="339">
        <v>4.47</v>
      </c>
      <c r="E34" s="339">
        <v>4.47</v>
      </c>
      <c r="F34" s="339"/>
      <c r="G34" s="339"/>
      <c r="H34" s="339"/>
      <c r="I34" s="339">
        <f>E34+F34-(G34+H34)</f>
        <v>4.47</v>
      </c>
      <c r="J34" s="339">
        <v>4.47</v>
      </c>
      <c r="K34" s="339"/>
      <c r="L34" s="339"/>
      <c r="M34" s="340"/>
      <c r="N34" s="340">
        <f>J34+K34-(L34+M34)</f>
        <v>4.47</v>
      </c>
      <c r="O34" s="297"/>
      <c r="T34" s="329"/>
      <c r="U34" s="329"/>
      <c r="V34" s="329">
        <v>0.57199999999999995</v>
      </c>
      <c r="W34" s="329"/>
      <c r="X34" s="329"/>
      <c r="Y34" s="329"/>
      <c r="Z34" s="329"/>
      <c r="AA34" s="329"/>
      <c r="AB34" s="329"/>
      <c r="AC34" s="329"/>
      <c r="AD34" s="329"/>
    </row>
    <row r="35" spans="1:30" s="334" customFormat="1" ht="18.75" customHeight="1">
      <c r="A35" s="324">
        <v>5</v>
      </c>
      <c r="B35" s="323" t="s">
        <v>853</v>
      </c>
      <c r="C35" s="324">
        <f>'[9]Quy luong 2022'!C118</f>
        <v>19</v>
      </c>
      <c r="D35" s="326">
        <f>SUM(D36:D38)</f>
        <v>2268.4699999999998</v>
      </c>
      <c r="E35" s="326">
        <f>SUM(E36:E38)</f>
        <v>2268.4699999999998</v>
      </c>
      <c r="F35" s="326"/>
      <c r="G35" s="326">
        <f t="shared" ref="G35:N35" si="7">SUM(G36:G38)</f>
        <v>0</v>
      </c>
      <c r="H35" s="326">
        <f t="shared" si="7"/>
        <v>22.8</v>
      </c>
      <c r="I35" s="326">
        <f t="shared" si="7"/>
        <v>2245.6699999999996</v>
      </c>
      <c r="J35" s="326">
        <f t="shared" si="7"/>
        <v>2245.6699999999996</v>
      </c>
      <c r="K35" s="326">
        <f t="shared" si="7"/>
        <v>51.115000000000002</v>
      </c>
      <c r="L35" s="326">
        <f t="shared" si="7"/>
        <v>0</v>
      </c>
      <c r="M35" s="326">
        <f t="shared" si="7"/>
        <v>12.42</v>
      </c>
      <c r="N35" s="326">
        <f t="shared" si="7"/>
        <v>2284.3649999999998</v>
      </c>
      <c r="O35" s="352"/>
      <c r="T35" s="335"/>
      <c r="U35" s="335"/>
      <c r="V35" s="335"/>
      <c r="W35" s="335"/>
      <c r="X35" s="335"/>
      <c r="Y35" s="335"/>
      <c r="Z35" s="335"/>
      <c r="AA35" s="335"/>
      <c r="AB35" s="335"/>
      <c r="AC35" s="335"/>
      <c r="AD35" s="335"/>
    </row>
    <row r="36" spans="1:30" s="328" customFormat="1" ht="18.75" customHeight="1">
      <c r="A36" s="338"/>
      <c r="B36" s="337" t="s">
        <v>843</v>
      </c>
      <c r="C36" s="338"/>
      <c r="D36" s="339">
        <v>2036</v>
      </c>
      <c r="E36" s="339">
        <v>2036</v>
      </c>
      <c r="F36" s="339"/>
      <c r="G36" s="339"/>
      <c r="H36" s="339"/>
      <c r="I36" s="339">
        <f>E36+F36-(G36+H36)</f>
        <v>2036</v>
      </c>
      <c r="J36" s="339">
        <v>2036</v>
      </c>
      <c r="K36" s="339">
        <f>9.235+33.6+8.28</f>
        <v>51.115000000000002</v>
      </c>
      <c r="L36" s="339"/>
      <c r="M36" s="340"/>
      <c r="N36" s="340">
        <f>J36+K36-(L36+M36)</f>
        <v>2087.1149999999998</v>
      </c>
      <c r="O36" s="297"/>
      <c r="T36" s="329"/>
      <c r="U36" s="329"/>
      <c r="V36" s="329"/>
      <c r="W36" s="329"/>
      <c r="X36" s="329"/>
      <c r="Y36" s="329"/>
      <c r="Z36" s="329"/>
      <c r="AA36" s="329"/>
      <c r="AB36" s="329"/>
      <c r="AC36" s="329"/>
      <c r="AD36" s="329"/>
    </row>
    <row r="37" spans="1:30" s="328" customFormat="1" ht="18.75" customHeight="1">
      <c r="A37" s="338"/>
      <c r="B37" s="341" t="s">
        <v>850</v>
      </c>
      <c r="C37" s="338"/>
      <c r="D37" s="339">
        <f>C35*12</f>
        <v>228</v>
      </c>
      <c r="E37" s="339">
        <v>228</v>
      </c>
      <c r="F37" s="339"/>
      <c r="G37" s="339"/>
      <c r="H37" s="339">
        <f>D37*0.1</f>
        <v>22.8</v>
      </c>
      <c r="I37" s="339">
        <f>E37+F37-(G37+H37)</f>
        <v>205.2</v>
      </c>
      <c r="J37" s="339">
        <v>205.2</v>
      </c>
      <c r="K37" s="339"/>
      <c r="L37" s="339"/>
      <c r="M37" s="340">
        <v>12.42</v>
      </c>
      <c r="N37" s="340">
        <f>J37+K37-(L37+M37)</f>
        <v>192.78</v>
      </c>
      <c r="O37" s="297"/>
      <c r="T37" s="329"/>
      <c r="U37" s="329"/>
      <c r="V37" s="329">
        <v>0.1</v>
      </c>
      <c r="W37" s="329"/>
      <c r="X37" s="329"/>
      <c r="Y37" s="329"/>
      <c r="Z37" s="329"/>
      <c r="AA37" s="329"/>
      <c r="AB37" s="329"/>
      <c r="AC37" s="329"/>
      <c r="AD37" s="329"/>
    </row>
    <row r="38" spans="1:30" s="328" customFormat="1" ht="30.75" customHeight="1">
      <c r="A38" s="338"/>
      <c r="B38" s="341" t="s">
        <v>841</v>
      </c>
      <c r="C38" s="338"/>
      <c r="D38" s="339">
        <v>4.47</v>
      </c>
      <c r="E38" s="339">
        <v>4.47</v>
      </c>
      <c r="F38" s="339"/>
      <c r="G38" s="339"/>
      <c r="H38" s="339"/>
      <c r="I38" s="339">
        <f>E38+F38-(G38+H38)</f>
        <v>4.47</v>
      </c>
      <c r="J38" s="339">
        <v>4.47</v>
      </c>
      <c r="K38" s="339"/>
      <c r="L38" s="339"/>
      <c r="M38" s="340"/>
      <c r="N38" s="340">
        <f>J38+K38-(L38+M38)</f>
        <v>4.47</v>
      </c>
      <c r="O38" s="297"/>
      <c r="T38" s="329"/>
      <c r="U38" s="329"/>
      <c r="V38" s="329"/>
      <c r="W38" s="329"/>
      <c r="X38" s="329"/>
      <c r="Y38" s="329"/>
      <c r="Z38" s="329"/>
      <c r="AA38" s="329"/>
      <c r="AB38" s="329"/>
      <c r="AC38" s="329"/>
      <c r="AD38" s="329"/>
    </row>
    <row r="39" spans="1:30" s="334" customFormat="1" ht="18.75" customHeight="1">
      <c r="A39" s="324">
        <v>6</v>
      </c>
      <c r="B39" s="323" t="s">
        <v>854</v>
      </c>
      <c r="C39" s="324">
        <f>'[9]Quy luong 2022'!C283</f>
        <v>23</v>
      </c>
      <c r="D39" s="326">
        <f>SUM(D40:D45)</f>
        <v>3450.172</v>
      </c>
      <c r="E39" s="326">
        <f>SUM(E40:E45)</f>
        <v>3450.172</v>
      </c>
      <c r="F39" s="326"/>
      <c r="G39" s="326">
        <f t="shared" ref="G39:N39" si="8">SUM(G40:G45)</f>
        <v>0</v>
      </c>
      <c r="H39" s="326">
        <f t="shared" si="8"/>
        <v>29</v>
      </c>
      <c r="I39" s="326">
        <f t="shared" si="8"/>
        <v>3421.172</v>
      </c>
      <c r="J39" s="326">
        <f t="shared" si="8"/>
        <v>3421.172</v>
      </c>
      <c r="K39" s="326">
        <f t="shared" si="8"/>
        <v>22.158999999999999</v>
      </c>
      <c r="L39" s="326">
        <f t="shared" si="8"/>
        <v>0.55099999999999483</v>
      </c>
      <c r="M39" s="326">
        <f t="shared" si="8"/>
        <v>49.896000000000001</v>
      </c>
      <c r="N39" s="326">
        <f t="shared" si="8"/>
        <v>3392.884</v>
      </c>
      <c r="O39" s="352"/>
      <c r="T39" s="335"/>
      <c r="U39" s="335"/>
      <c r="V39" s="335"/>
      <c r="W39" s="335"/>
      <c r="X39" s="335"/>
      <c r="Y39" s="335"/>
      <c r="Z39" s="335"/>
      <c r="AA39" s="335"/>
      <c r="AB39" s="335"/>
      <c r="AC39" s="335"/>
      <c r="AD39" s="335"/>
    </row>
    <row r="40" spans="1:30" s="328" customFormat="1" ht="18.75" customHeight="1">
      <c r="A40" s="336" t="s">
        <v>255</v>
      </c>
      <c r="B40" s="337" t="s">
        <v>837</v>
      </c>
      <c r="C40" s="338"/>
      <c r="D40" s="339">
        <v>3099</v>
      </c>
      <c r="E40" s="339">
        <v>3099</v>
      </c>
      <c r="F40" s="339"/>
      <c r="G40" s="339"/>
      <c r="H40" s="339"/>
      <c r="I40" s="339">
        <f>E40+F40-(G40+H40)</f>
        <v>3099</v>
      </c>
      <c r="J40" s="339">
        <v>3099</v>
      </c>
      <c r="K40" s="339"/>
      <c r="L40" s="339">
        <f>123.706-61.381-3.21-25.3-33.264</f>
        <v>0.55099999999999483</v>
      </c>
      <c r="M40" s="340"/>
      <c r="N40" s="340">
        <f t="shared" ref="N40:N45" si="9">J40+K40-(L40+M40)</f>
        <v>3098.4490000000001</v>
      </c>
      <c r="O40" s="297"/>
      <c r="T40" s="329"/>
      <c r="U40" s="329"/>
      <c r="V40" s="329"/>
      <c r="W40" s="329"/>
      <c r="X40" s="329"/>
      <c r="Y40" s="329"/>
      <c r="Z40" s="329"/>
      <c r="AA40" s="329"/>
      <c r="AB40" s="329"/>
      <c r="AC40" s="329"/>
      <c r="AD40" s="329"/>
    </row>
    <row r="41" spans="1:30" s="328" customFormat="1" ht="18.75" customHeight="1">
      <c r="A41" s="336" t="s">
        <v>255</v>
      </c>
      <c r="B41" s="341" t="s">
        <v>855</v>
      </c>
      <c r="C41" s="338"/>
      <c r="D41" s="339">
        <f>C39*12+13.8</f>
        <v>289.8</v>
      </c>
      <c r="E41" s="339">
        <v>289.8</v>
      </c>
      <c r="F41" s="339"/>
      <c r="G41" s="339"/>
      <c r="H41" s="339">
        <v>29</v>
      </c>
      <c r="I41" s="339">
        <f>E41+F41-(G41+H41)</f>
        <v>260.8</v>
      </c>
      <c r="J41" s="339">
        <v>260.8</v>
      </c>
      <c r="K41" s="339"/>
      <c r="L41" s="339"/>
      <c r="M41" s="340">
        <v>49.896000000000001</v>
      </c>
      <c r="N41" s="340">
        <f t="shared" si="9"/>
        <v>210.904</v>
      </c>
      <c r="O41" s="297"/>
      <c r="T41" s="329"/>
      <c r="U41" s="329"/>
      <c r="V41" s="329"/>
      <c r="W41" s="329"/>
      <c r="X41" s="329"/>
      <c r="Y41" s="329"/>
      <c r="Z41" s="329"/>
      <c r="AA41" s="329"/>
      <c r="AB41" s="329"/>
      <c r="AC41" s="329"/>
      <c r="AD41" s="329"/>
    </row>
    <row r="42" spans="1:30" s="328" customFormat="1" ht="18.75" customHeight="1">
      <c r="A42" s="336" t="s">
        <v>255</v>
      </c>
      <c r="B42" s="351" t="s">
        <v>840</v>
      </c>
      <c r="C42" s="338"/>
      <c r="D42" s="339"/>
      <c r="E42" s="339"/>
      <c r="F42" s="339"/>
      <c r="G42" s="339"/>
      <c r="H42" s="339"/>
      <c r="I42" s="339"/>
      <c r="J42" s="339"/>
      <c r="K42" s="339">
        <v>7.2590000000000003</v>
      </c>
      <c r="L42" s="339"/>
      <c r="M42" s="340"/>
      <c r="N42" s="340">
        <f t="shared" si="9"/>
        <v>7.2590000000000003</v>
      </c>
      <c r="O42" s="297"/>
      <c r="T42" s="329"/>
      <c r="U42" s="329"/>
      <c r="V42" s="329"/>
      <c r="W42" s="329"/>
      <c r="X42" s="329"/>
      <c r="Y42" s="329"/>
      <c r="Z42" s="329"/>
      <c r="AA42" s="329"/>
      <c r="AB42" s="329"/>
      <c r="AC42" s="329"/>
      <c r="AD42" s="329"/>
    </row>
    <row r="43" spans="1:30" s="328" customFormat="1" ht="18.75" customHeight="1">
      <c r="A43" s="336" t="s">
        <v>255</v>
      </c>
      <c r="B43" s="351" t="s">
        <v>856</v>
      </c>
      <c r="C43" s="338"/>
      <c r="D43" s="339"/>
      <c r="E43" s="339"/>
      <c r="F43" s="339"/>
      <c r="G43" s="339"/>
      <c r="H43" s="339"/>
      <c r="I43" s="339"/>
      <c r="J43" s="339"/>
      <c r="K43" s="339">
        <v>14.9</v>
      </c>
      <c r="L43" s="339"/>
      <c r="M43" s="340"/>
      <c r="N43" s="340">
        <f t="shared" si="9"/>
        <v>14.9</v>
      </c>
      <c r="O43" s="297"/>
    </row>
    <row r="44" spans="1:30" s="348" customFormat="1" ht="18.75" customHeight="1">
      <c r="A44" s="336" t="s">
        <v>255</v>
      </c>
      <c r="B44" s="341" t="s">
        <v>857</v>
      </c>
      <c r="C44" s="344"/>
      <c r="D44" s="345">
        <v>56.902000000000001</v>
      </c>
      <c r="E44" s="345">
        <v>56.902000000000001</v>
      </c>
      <c r="F44" s="345"/>
      <c r="G44" s="345"/>
      <c r="H44" s="339"/>
      <c r="I44" s="339">
        <f>E44+F44-(G44+H44)</f>
        <v>56.902000000000001</v>
      </c>
      <c r="J44" s="345">
        <v>56.902000000000001</v>
      </c>
      <c r="K44" s="345"/>
      <c r="L44" s="345"/>
      <c r="M44" s="346"/>
      <c r="N44" s="340">
        <f t="shared" si="9"/>
        <v>56.902000000000001</v>
      </c>
      <c r="O44" s="347"/>
    </row>
    <row r="45" spans="1:30" s="328" customFormat="1" ht="30" customHeight="1">
      <c r="A45" s="336" t="s">
        <v>255</v>
      </c>
      <c r="B45" s="341" t="s">
        <v>841</v>
      </c>
      <c r="C45" s="338"/>
      <c r="D45" s="339">
        <v>4.47</v>
      </c>
      <c r="E45" s="339">
        <v>4.47</v>
      </c>
      <c r="F45" s="339"/>
      <c r="G45" s="339"/>
      <c r="H45" s="339"/>
      <c r="I45" s="339">
        <f>E45+F45-(G45+H45)</f>
        <v>4.47</v>
      </c>
      <c r="J45" s="339">
        <v>4.47</v>
      </c>
      <c r="K45" s="339"/>
      <c r="L45" s="339"/>
      <c r="M45" s="340"/>
      <c r="N45" s="340">
        <f t="shared" si="9"/>
        <v>4.47</v>
      </c>
      <c r="O45" s="297"/>
    </row>
    <row r="46" spans="1:30" s="334" customFormat="1" ht="18.75" customHeight="1">
      <c r="A46" s="324">
        <v>7</v>
      </c>
      <c r="B46" s="323" t="s">
        <v>858</v>
      </c>
      <c r="C46" s="324">
        <f>'[9]Quy luong 2022'!C163</f>
        <v>28</v>
      </c>
      <c r="D46" s="326">
        <f>SUM(D47:D51)</f>
        <v>4239.3159999999998</v>
      </c>
      <c r="E46" s="326">
        <f>SUM(E47:E51)</f>
        <v>4239.3159999999998</v>
      </c>
      <c r="F46" s="326"/>
      <c r="G46" s="326">
        <f t="shared" ref="G46:N46" si="10">SUM(G47:G51)</f>
        <v>0</v>
      </c>
      <c r="H46" s="326">
        <f t="shared" si="10"/>
        <v>33.6</v>
      </c>
      <c r="I46" s="326">
        <f t="shared" si="10"/>
        <v>4205.7159999999994</v>
      </c>
      <c r="J46" s="326">
        <f t="shared" si="10"/>
        <v>4205.7159999999994</v>
      </c>
      <c r="K46" s="326">
        <f t="shared" si="10"/>
        <v>168.53399999999999</v>
      </c>
      <c r="L46" s="326">
        <f t="shared" si="10"/>
        <v>240.81100000000004</v>
      </c>
      <c r="M46" s="326">
        <f t="shared" si="10"/>
        <v>43.709000000000003</v>
      </c>
      <c r="N46" s="326">
        <f t="shared" si="10"/>
        <v>4089.7299999999996</v>
      </c>
      <c r="O46" s="352"/>
    </row>
    <row r="47" spans="1:30" s="328" customFormat="1" ht="18.75" customHeight="1">
      <c r="A47" s="338"/>
      <c r="B47" s="337" t="s">
        <v>843</v>
      </c>
      <c r="C47" s="338"/>
      <c r="D47" s="339">
        <v>3845</v>
      </c>
      <c r="E47" s="339">
        <v>3845</v>
      </c>
      <c r="F47" s="339"/>
      <c r="G47" s="339"/>
      <c r="H47" s="339"/>
      <c r="I47" s="339">
        <f>E47+F47-(G47+H47)</f>
        <v>3845</v>
      </c>
      <c r="J47" s="339">
        <v>3845</v>
      </c>
      <c r="K47" s="339"/>
      <c r="L47" s="339">
        <f>314.497-2.548-29.7-29.14-12.298</f>
        <v>240.81100000000004</v>
      </c>
      <c r="M47" s="340"/>
      <c r="N47" s="340">
        <f>J47+K47-(L47+M47)</f>
        <v>3604.1889999999999</v>
      </c>
      <c r="O47" s="297"/>
    </row>
    <row r="48" spans="1:30" s="328" customFormat="1" ht="18.75" customHeight="1">
      <c r="A48" s="338"/>
      <c r="B48" s="341" t="s">
        <v>859</v>
      </c>
      <c r="C48" s="338"/>
      <c r="D48" s="339">
        <f>C46*12</f>
        <v>336</v>
      </c>
      <c r="E48" s="339">
        <v>336</v>
      </c>
      <c r="F48" s="339"/>
      <c r="G48" s="339"/>
      <c r="H48" s="339">
        <f>D48*0.1</f>
        <v>33.6</v>
      </c>
      <c r="I48" s="339">
        <f>E48+F48-(G48+H48)</f>
        <v>302.39999999999998</v>
      </c>
      <c r="J48" s="339">
        <v>302.39999999999998</v>
      </c>
      <c r="K48" s="339"/>
      <c r="L48" s="339"/>
      <c r="M48" s="340">
        <v>43.709000000000003</v>
      </c>
      <c r="N48" s="340">
        <f>J48+K48-(L48+M48)</f>
        <v>258.69099999999997</v>
      </c>
      <c r="O48" s="297"/>
    </row>
    <row r="49" spans="1:15" s="328" customFormat="1" ht="18.75" customHeight="1">
      <c r="A49" s="336" t="s">
        <v>255</v>
      </c>
      <c r="B49" s="351" t="s">
        <v>860</v>
      </c>
      <c r="C49" s="338"/>
      <c r="D49" s="339"/>
      <c r="E49" s="339"/>
      <c r="F49" s="339"/>
      <c r="G49" s="339"/>
      <c r="H49" s="339"/>
      <c r="I49" s="339"/>
      <c r="J49" s="339"/>
      <c r="K49" s="339">
        <f>123.834+44.7</f>
        <v>168.53399999999999</v>
      </c>
      <c r="L49" s="339"/>
      <c r="M49" s="340"/>
      <c r="N49" s="340">
        <f>J49+K49-(L49+M49)</f>
        <v>168.53399999999999</v>
      </c>
      <c r="O49" s="297"/>
    </row>
    <row r="50" spans="1:15" s="348" customFormat="1" ht="18.75" customHeight="1">
      <c r="A50" s="344"/>
      <c r="B50" s="341" t="s">
        <v>857</v>
      </c>
      <c r="C50" s="344"/>
      <c r="D50" s="345">
        <v>53.845999999999997</v>
      </c>
      <c r="E50" s="345">
        <v>53.845999999999997</v>
      </c>
      <c r="F50" s="345"/>
      <c r="G50" s="345"/>
      <c r="H50" s="339"/>
      <c r="I50" s="339">
        <f>E50+F50-(G50+H50)</f>
        <v>53.845999999999997</v>
      </c>
      <c r="J50" s="345">
        <v>53.845999999999997</v>
      </c>
      <c r="K50" s="345"/>
      <c r="L50" s="345"/>
      <c r="M50" s="346"/>
      <c r="N50" s="340">
        <f>J50+K50-(L50+M50)</f>
        <v>53.845999999999997</v>
      </c>
      <c r="O50" s="347"/>
    </row>
    <row r="51" spans="1:15" s="328" customFormat="1" ht="29.25" customHeight="1">
      <c r="A51" s="338"/>
      <c r="B51" s="341" t="s">
        <v>841</v>
      </c>
      <c r="C51" s="338"/>
      <c r="D51" s="339">
        <v>4.47</v>
      </c>
      <c r="E51" s="339">
        <v>4.47</v>
      </c>
      <c r="F51" s="339"/>
      <c r="G51" s="339"/>
      <c r="H51" s="339"/>
      <c r="I51" s="339">
        <f>E51+F51-(G51+H51)</f>
        <v>4.47</v>
      </c>
      <c r="J51" s="339">
        <v>4.47</v>
      </c>
      <c r="K51" s="339"/>
      <c r="L51" s="339"/>
      <c r="M51" s="340"/>
      <c r="N51" s="340">
        <f>J51+K51-(L51+M51)</f>
        <v>4.47</v>
      </c>
      <c r="O51" s="297"/>
    </row>
    <row r="52" spans="1:15" s="334" customFormat="1" ht="18.75" customHeight="1">
      <c r="A52" s="324">
        <v>8</v>
      </c>
      <c r="B52" s="323" t="s">
        <v>861</v>
      </c>
      <c r="C52" s="324">
        <f>'[9]Quy luong 2022'!C264</f>
        <v>14</v>
      </c>
      <c r="D52" s="326">
        <f>SUM(D53:D55)</f>
        <v>2316.4699999999998</v>
      </c>
      <c r="E52" s="326">
        <f>SUM(E53:E55)</f>
        <v>2316.4699999999998</v>
      </c>
      <c r="F52" s="326"/>
      <c r="G52" s="326">
        <f t="shared" ref="G52:N52" si="11">SUM(G53:G55)</f>
        <v>973.9009880000001</v>
      </c>
      <c r="H52" s="326">
        <f t="shared" si="11"/>
        <v>16.8</v>
      </c>
      <c r="I52" s="356">
        <f t="shared" si="11"/>
        <v>1325.7690120000002</v>
      </c>
      <c r="J52" s="357">
        <f t="shared" si="11"/>
        <v>1325.7690000000002</v>
      </c>
      <c r="K52" s="326">
        <f t="shared" si="11"/>
        <v>0</v>
      </c>
      <c r="L52" s="326">
        <f t="shared" si="11"/>
        <v>0</v>
      </c>
      <c r="M52" s="326">
        <f t="shared" si="11"/>
        <v>0</v>
      </c>
      <c r="N52" s="326">
        <f t="shared" si="11"/>
        <v>1325.7690000000002</v>
      </c>
      <c r="O52" s="352"/>
    </row>
    <row r="53" spans="1:15" s="328" customFormat="1" ht="18.75" customHeight="1">
      <c r="A53" s="338"/>
      <c r="B53" s="337" t="s">
        <v>843</v>
      </c>
      <c r="C53" s="338"/>
      <c r="D53" s="339">
        <v>2144</v>
      </c>
      <c r="E53" s="339">
        <v>2144</v>
      </c>
      <c r="F53" s="339"/>
      <c r="G53" s="339">
        <f>939.999488</f>
        <v>939.99948800000004</v>
      </c>
      <c r="H53" s="339"/>
      <c r="I53" s="358">
        <f>E53+F53-(G53+H53)</f>
        <v>1204.0005120000001</v>
      </c>
      <c r="J53" s="358">
        <v>1204.0005000000001</v>
      </c>
      <c r="K53" s="339"/>
      <c r="L53" s="339"/>
      <c r="M53" s="340"/>
      <c r="N53" s="340">
        <f>J53+K53-(L53+M53)</f>
        <v>1204.0005000000001</v>
      </c>
      <c r="O53" s="297"/>
    </row>
    <row r="54" spans="1:15" s="328" customFormat="1" ht="18.75" customHeight="1">
      <c r="A54" s="338"/>
      <c r="B54" s="341" t="s">
        <v>862</v>
      </c>
      <c r="C54" s="338"/>
      <c r="D54" s="339">
        <f>C52*12</f>
        <v>168</v>
      </c>
      <c r="E54" s="339">
        <v>168</v>
      </c>
      <c r="F54" s="339"/>
      <c r="G54" s="339">
        <f>33.9015</f>
        <v>33.901499999999999</v>
      </c>
      <c r="H54" s="339">
        <f>D54*0.1</f>
        <v>16.8</v>
      </c>
      <c r="I54" s="358">
        <f>E54+F54-(G54+H54)</f>
        <v>117.2985</v>
      </c>
      <c r="J54" s="358">
        <v>117.2985</v>
      </c>
      <c r="K54" s="339"/>
      <c r="L54" s="339"/>
      <c r="M54" s="340">
        <v>0</v>
      </c>
      <c r="N54" s="340">
        <f>J54+K54-(L54+M54)</f>
        <v>117.2985</v>
      </c>
      <c r="O54" s="297"/>
    </row>
    <row r="55" spans="1:15" s="328" customFormat="1" ht="30.75" customHeight="1">
      <c r="A55" s="338"/>
      <c r="B55" s="341" t="s">
        <v>841</v>
      </c>
      <c r="C55" s="338"/>
      <c r="D55" s="339">
        <v>4.47</v>
      </c>
      <c r="E55" s="339">
        <v>4.47</v>
      </c>
      <c r="F55" s="339"/>
      <c r="G55" s="339"/>
      <c r="H55" s="339"/>
      <c r="I55" s="358">
        <f>E55+F55-(G55+H55)</f>
        <v>4.47</v>
      </c>
      <c r="J55" s="358">
        <v>4.47</v>
      </c>
      <c r="K55" s="339"/>
      <c r="L55" s="339"/>
      <c r="M55" s="340"/>
      <c r="N55" s="340">
        <f>J55+K55-(L55+M55)</f>
        <v>4.47</v>
      </c>
      <c r="O55" s="297"/>
    </row>
    <row r="56" spans="1:15" s="334" customFormat="1" ht="18.75" customHeight="1">
      <c r="A56" s="324">
        <v>9</v>
      </c>
      <c r="B56" s="323" t="s">
        <v>863</v>
      </c>
      <c r="C56" s="324">
        <f>'[9]Quy luong 2022'!C202</f>
        <v>16</v>
      </c>
      <c r="D56" s="326">
        <f>SUM(D57:D60)</f>
        <v>2846.47</v>
      </c>
      <c r="E56" s="326">
        <f>SUM(E57:E60)</f>
        <v>2846.47</v>
      </c>
      <c r="F56" s="326"/>
      <c r="G56" s="326">
        <f t="shared" ref="G56:N56" si="12">SUM(G57:G60)</f>
        <v>0</v>
      </c>
      <c r="H56" s="326">
        <f t="shared" si="12"/>
        <v>19</v>
      </c>
      <c r="I56" s="326">
        <f t="shared" si="12"/>
        <v>2827.47</v>
      </c>
      <c r="J56" s="326">
        <f t="shared" si="12"/>
        <v>2827.47</v>
      </c>
      <c r="K56" s="326">
        <f t="shared" si="12"/>
        <v>61.612000000000002</v>
      </c>
      <c r="L56" s="326">
        <f t="shared" si="12"/>
        <v>387.30300000000005</v>
      </c>
      <c r="M56" s="326">
        <f t="shared" si="12"/>
        <v>20.093</v>
      </c>
      <c r="N56" s="326">
        <f t="shared" si="12"/>
        <v>2481.6860000000001</v>
      </c>
      <c r="O56" s="352"/>
    </row>
    <row r="57" spans="1:15" s="328" customFormat="1" ht="18.75" customHeight="1">
      <c r="A57" s="338"/>
      <c r="B57" s="337" t="s">
        <v>843</v>
      </c>
      <c r="C57" s="338"/>
      <c r="D57" s="339">
        <v>2650</v>
      </c>
      <c r="E57" s="339">
        <v>2650</v>
      </c>
      <c r="F57" s="339"/>
      <c r="G57" s="339"/>
      <c r="H57" s="339"/>
      <c r="I57" s="339">
        <f>E57+F57-(G57+H57)</f>
        <v>2650</v>
      </c>
      <c r="J57" s="339">
        <v>2650</v>
      </c>
      <c r="K57" s="339"/>
      <c r="L57" s="339">
        <f>439.498-20.4-13.395-18.4</f>
        <v>387.30300000000005</v>
      </c>
      <c r="M57" s="340"/>
      <c r="N57" s="340">
        <f>J57+K57-(L57+M57)</f>
        <v>2262.6970000000001</v>
      </c>
      <c r="O57" s="297"/>
    </row>
    <row r="58" spans="1:15" s="328" customFormat="1" ht="18.75" customHeight="1">
      <c r="A58" s="338"/>
      <c r="B58" s="341" t="s">
        <v>864</v>
      </c>
      <c r="C58" s="338"/>
      <c r="D58" s="339">
        <f>C56*12</f>
        <v>192</v>
      </c>
      <c r="E58" s="339">
        <v>192</v>
      </c>
      <c r="F58" s="339"/>
      <c r="G58" s="339"/>
      <c r="H58" s="339">
        <v>19</v>
      </c>
      <c r="I58" s="339">
        <f>E58+F58-(G58+H58)</f>
        <v>173</v>
      </c>
      <c r="J58" s="339">
        <v>173</v>
      </c>
      <c r="K58" s="339"/>
      <c r="L58" s="339"/>
      <c r="M58" s="340">
        <v>20.093</v>
      </c>
      <c r="N58" s="340">
        <f>J58+K58-(L58+M58)</f>
        <v>152.90700000000001</v>
      </c>
      <c r="O58" s="297"/>
    </row>
    <row r="59" spans="1:15" s="328" customFormat="1" ht="18.75" customHeight="1">
      <c r="A59" s="336" t="s">
        <v>255</v>
      </c>
      <c r="B59" s="351" t="s">
        <v>860</v>
      </c>
      <c r="C59" s="338"/>
      <c r="D59" s="339"/>
      <c r="E59" s="339"/>
      <c r="F59" s="339"/>
      <c r="G59" s="339"/>
      <c r="H59" s="339"/>
      <c r="I59" s="339"/>
      <c r="J59" s="339"/>
      <c r="K59" s="339">
        <f>31.812+29.8</f>
        <v>61.612000000000002</v>
      </c>
      <c r="L59" s="339"/>
      <c r="M59" s="340"/>
      <c r="N59" s="340">
        <f>J59+K59-(L59+M59)</f>
        <v>61.612000000000002</v>
      </c>
      <c r="O59" s="297"/>
    </row>
    <row r="60" spans="1:15" s="328" customFormat="1" ht="28.5" customHeight="1">
      <c r="A60" s="338"/>
      <c r="B60" s="341" t="s">
        <v>841</v>
      </c>
      <c r="C60" s="338"/>
      <c r="D60" s="339">
        <v>4.47</v>
      </c>
      <c r="E60" s="339">
        <v>4.47</v>
      </c>
      <c r="F60" s="339"/>
      <c r="G60" s="339"/>
      <c r="H60" s="339"/>
      <c r="I60" s="339">
        <f>E60+F60-(G60+H60)</f>
        <v>4.47</v>
      </c>
      <c r="J60" s="339">
        <v>4.47</v>
      </c>
      <c r="K60" s="339"/>
      <c r="L60" s="339"/>
      <c r="M60" s="340"/>
      <c r="N60" s="340">
        <f>J60+K60-(L60+M60)</f>
        <v>4.47</v>
      </c>
      <c r="O60" s="297"/>
    </row>
    <row r="61" spans="1:15" s="334" customFormat="1" ht="18.75" customHeight="1">
      <c r="A61" s="324">
        <v>10</v>
      </c>
      <c r="B61" s="323" t="s">
        <v>865</v>
      </c>
      <c r="C61" s="324">
        <f>'[9]Quy luong 2022'!C143</f>
        <v>15</v>
      </c>
      <c r="D61" s="326">
        <f>SUM(D62:D64)</f>
        <v>1863.47</v>
      </c>
      <c r="E61" s="326">
        <f>SUM(E62:E64)</f>
        <v>1863.47</v>
      </c>
      <c r="F61" s="326"/>
      <c r="G61" s="326">
        <f t="shared" ref="G61:N61" si="13">SUM(G62:G64)</f>
        <v>0</v>
      </c>
      <c r="H61" s="326">
        <f t="shared" si="13"/>
        <v>18</v>
      </c>
      <c r="I61" s="326">
        <f t="shared" si="13"/>
        <v>1845.47</v>
      </c>
      <c r="J61" s="326">
        <f t="shared" si="13"/>
        <v>1845.47</v>
      </c>
      <c r="K61" s="326">
        <f t="shared" si="13"/>
        <v>42.321999999999996</v>
      </c>
      <c r="L61" s="326">
        <f t="shared" si="13"/>
        <v>0</v>
      </c>
      <c r="M61" s="326">
        <f t="shared" si="13"/>
        <v>9.1050000000000004</v>
      </c>
      <c r="N61" s="326">
        <f t="shared" si="13"/>
        <v>1878.6869999999999</v>
      </c>
      <c r="O61" s="352"/>
    </row>
    <row r="62" spans="1:15" s="328" customFormat="1" ht="18.75" customHeight="1">
      <c r="A62" s="338"/>
      <c r="B62" s="337" t="s">
        <v>843</v>
      </c>
      <c r="C62" s="338"/>
      <c r="D62" s="339">
        <v>1679</v>
      </c>
      <c r="E62" s="339">
        <v>1679</v>
      </c>
      <c r="F62" s="339"/>
      <c r="G62" s="339"/>
      <c r="H62" s="339"/>
      <c r="I62" s="339">
        <f>E62+F62-(G62+H62)</f>
        <v>1679</v>
      </c>
      <c r="J62" s="339">
        <v>1679</v>
      </c>
      <c r="K62" s="339">
        <f>17.852+18.4+6.07</f>
        <v>42.321999999999996</v>
      </c>
      <c r="L62" s="339"/>
      <c r="M62" s="340"/>
      <c r="N62" s="340">
        <f>J62+K62-(L62+M62)</f>
        <v>1721.3219999999999</v>
      </c>
      <c r="O62" s="297"/>
    </row>
    <row r="63" spans="1:15" s="328" customFormat="1" ht="18.75" customHeight="1">
      <c r="A63" s="338"/>
      <c r="B63" s="341" t="s">
        <v>866</v>
      </c>
      <c r="C63" s="338"/>
      <c r="D63" s="339">
        <f>C61*12</f>
        <v>180</v>
      </c>
      <c r="E63" s="339">
        <v>180</v>
      </c>
      <c r="F63" s="339"/>
      <c r="G63" s="339"/>
      <c r="H63" s="339">
        <f>D63*0.1</f>
        <v>18</v>
      </c>
      <c r="I63" s="339">
        <f>E63+F63-(G63+H63)</f>
        <v>162</v>
      </c>
      <c r="J63" s="339">
        <v>162</v>
      </c>
      <c r="K63" s="339"/>
      <c r="L63" s="339"/>
      <c r="M63" s="340">
        <v>9.1050000000000004</v>
      </c>
      <c r="N63" s="340">
        <f>J63+K63-(L63+M63)</f>
        <v>152.89500000000001</v>
      </c>
      <c r="O63" s="297"/>
    </row>
    <row r="64" spans="1:15" s="328" customFormat="1" ht="24.75" customHeight="1">
      <c r="A64" s="338"/>
      <c r="B64" s="341" t="s">
        <v>841</v>
      </c>
      <c r="C64" s="338"/>
      <c r="D64" s="339">
        <v>4.47</v>
      </c>
      <c r="E64" s="339">
        <v>4.47</v>
      </c>
      <c r="F64" s="339"/>
      <c r="G64" s="339"/>
      <c r="H64" s="339"/>
      <c r="I64" s="339">
        <f>E64+F64-(G64+H64)</f>
        <v>4.47</v>
      </c>
      <c r="J64" s="339">
        <v>4.47</v>
      </c>
      <c r="K64" s="339"/>
      <c r="L64" s="339"/>
      <c r="M64" s="340"/>
      <c r="N64" s="340">
        <f>J64+K64-(L64+M64)</f>
        <v>4.47</v>
      </c>
      <c r="O64" s="297"/>
    </row>
    <row r="65" spans="1:27" s="334" customFormat="1" ht="18.75" customHeight="1">
      <c r="A65" s="324">
        <v>11</v>
      </c>
      <c r="B65" s="323" t="s">
        <v>867</v>
      </c>
      <c r="C65" s="325">
        <f>'[9]Quy luong 2022'!C94</f>
        <v>19</v>
      </c>
      <c r="D65" s="326">
        <f>SUM(D66:D69)</f>
        <v>2452.4699999999998</v>
      </c>
      <c r="E65" s="326">
        <f>SUM(E66:E69)</f>
        <v>2452.4699999999998</v>
      </c>
      <c r="F65" s="326"/>
      <c r="G65" s="326">
        <f t="shared" ref="G65:N65" si="14">SUM(G66:G69)</f>
        <v>0</v>
      </c>
      <c r="H65" s="326">
        <f t="shared" si="14"/>
        <v>22.8</v>
      </c>
      <c r="I65" s="326">
        <f t="shared" si="14"/>
        <v>2429.6699999999996</v>
      </c>
      <c r="J65" s="326">
        <f t="shared" si="14"/>
        <v>2429.6699999999996</v>
      </c>
      <c r="K65" s="326">
        <f t="shared" si="14"/>
        <v>81.320999999999998</v>
      </c>
      <c r="L65" s="326">
        <f t="shared" si="14"/>
        <v>173.44900000000001</v>
      </c>
      <c r="M65" s="326">
        <f t="shared" si="14"/>
        <v>19.677</v>
      </c>
      <c r="N65" s="326">
        <f t="shared" si="14"/>
        <v>2317.8649999999998</v>
      </c>
      <c r="O65" s="352"/>
    </row>
    <row r="66" spans="1:27" s="328" customFormat="1" ht="18.75" customHeight="1">
      <c r="A66" s="338"/>
      <c r="B66" s="337" t="s">
        <v>843</v>
      </c>
      <c r="C66" s="338"/>
      <c r="D66" s="339">
        <v>2220</v>
      </c>
      <c r="E66" s="339">
        <v>2220</v>
      </c>
      <c r="F66" s="339"/>
      <c r="G66" s="339"/>
      <c r="H66" s="339"/>
      <c r="I66" s="339">
        <f>E66+F66-(G66+H66)</f>
        <v>2220</v>
      </c>
      <c r="J66" s="339">
        <v>2220</v>
      </c>
      <c r="K66" s="339"/>
      <c r="L66" s="339">
        <f>248.401-40.934-20.9-13.118</f>
        <v>173.44900000000001</v>
      </c>
      <c r="M66" s="340"/>
      <c r="N66" s="340">
        <f>J66+K66-(L66+M66)</f>
        <v>2046.5509999999999</v>
      </c>
      <c r="O66" s="297"/>
    </row>
    <row r="67" spans="1:27" s="328" customFormat="1" ht="18.75" customHeight="1">
      <c r="A67" s="338"/>
      <c r="B67" s="341" t="s">
        <v>850</v>
      </c>
      <c r="C67" s="338"/>
      <c r="D67" s="339">
        <f>C65*12</f>
        <v>228</v>
      </c>
      <c r="E67" s="339">
        <v>228</v>
      </c>
      <c r="F67" s="339"/>
      <c r="G67" s="339"/>
      <c r="H67" s="339">
        <f>D67*0.1</f>
        <v>22.8</v>
      </c>
      <c r="I67" s="339">
        <f>E67+F67-(G67+H67)</f>
        <v>205.2</v>
      </c>
      <c r="J67" s="339">
        <v>205.2</v>
      </c>
      <c r="K67" s="339"/>
      <c r="L67" s="339"/>
      <c r="M67" s="340">
        <v>19.677</v>
      </c>
      <c r="N67" s="340">
        <f>J67+K67-(L67+M67)</f>
        <v>185.523</v>
      </c>
      <c r="O67" s="297"/>
    </row>
    <row r="68" spans="1:27" s="328" customFormat="1" ht="18.75" customHeight="1">
      <c r="A68" s="338"/>
      <c r="B68" s="351" t="s">
        <v>868</v>
      </c>
      <c r="C68" s="338"/>
      <c r="D68" s="339"/>
      <c r="E68" s="339"/>
      <c r="F68" s="339"/>
      <c r="G68" s="339"/>
      <c r="H68" s="339"/>
      <c r="I68" s="339"/>
      <c r="J68" s="339"/>
      <c r="K68" s="339">
        <v>81.320999999999998</v>
      </c>
      <c r="L68" s="339"/>
      <c r="M68" s="340"/>
      <c r="N68" s="340">
        <f>J68+K68-(L68+M68)</f>
        <v>81.320999999999998</v>
      </c>
      <c r="O68" s="297"/>
    </row>
    <row r="69" spans="1:27" s="328" customFormat="1" ht="24.75" customHeight="1">
      <c r="A69" s="338"/>
      <c r="B69" s="341" t="s">
        <v>841</v>
      </c>
      <c r="C69" s="338"/>
      <c r="D69" s="339">
        <v>4.47</v>
      </c>
      <c r="E69" s="339">
        <v>4.47</v>
      </c>
      <c r="F69" s="339"/>
      <c r="G69" s="339"/>
      <c r="H69" s="339"/>
      <c r="I69" s="339">
        <f>E69+F69-(G69+H69)</f>
        <v>4.47</v>
      </c>
      <c r="J69" s="339">
        <v>4.47</v>
      </c>
      <c r="K69" s="339"/>
      <c r="L69" s="339"/>
      <c r="M69" s="340"/>
      <c r="N69" s="340">
        <f>J69+K69-(L69+M69)</f>
        <v>4.47</v>
      </c>
      <c r="O69" s="297"/>
    </row>
    <row r="70" spans="1:27" s="334" customFormat="1" ht="18.75" customHeight="1">
      <c r="A70" s="324">
        <v>12</v>
      </c>
      <c r="B70" s="323" t="s">
        <v>869</v>
      </c>
      <c r="C70" s="324">
        <f>'[9]Quy luong 2022'!C224</f>
        <v>15</v>
      </c>
      <c r="D70" s="326">
        <f>SUM(D71:D74)</f>
        <v>2279.4699999999998</v>
      </c>
      <c r="E70" s="326">
        <f>SUM(E71:E74)</f>
        <v>2279.4699999999998</v>
      </c>
      <c r="F70" s="326"/>
      <c r="G70" s="326">
        <f t="shared" ref="G70:N70" si="15">SUM(G71:G74)</f>
        <v>0</v>
      </c>
      <c r="H70" s="326">
        <f t="shared" si="15"/>
        <v>18</v>
      </c>
      <c r="I70" s="326">
        <f t="shared" si="15"/>
        <v>2261.4699999999998</v>
      </c>
      <c r="J70" s="326">
        <f t="shared" si="15"/>
        <v>2261.4699999999998</v>
      </c>
      <c r="K70" s="326">
        <f t="shared" si="15"/>
        <v>0</v>
      </c>
      <c r="L70" s="326">
        <f t="shared" si="15"/>
        <v>119.86300000000003</v>
      </c>
      <c r="M70" s="326">
        <f t="shared" si="15"/>
        <v>13.755000000000001</v>
      </c>
      <c r="N70" s="326">
        <f t="shared" si="15"/>
        <v>2127.8519999999999</v>
      </c>
      <c r="O70" s="352"/>
    </row>
    <row r="71" spans="1:27" s="328" customFormat="1" ht="18.75" customHeight="1">
      <c r="A71" s="338"/>
      <c r="B71" s="337" t="s">
        <v>843</v>
      </c>
      <c r="C71" s="338"/>
      <c r="D71" s="339">
        <v>2085</v>
      </c>
      <c r="E71" s="339">
        <v>2085</v>
      </c>
      <c r="F71" s="339"/>
      <c r="G71" s="339"/>
      <c r="H71" s="339"/>
      <c r="I71" s="339">
        <f>E71+F71-(G71+H71)</f>
        <v>2085</v>
      </c>
      <c r="J71" s="339">
        <v>2085</v>
      </c>
      <c r="K71" s="339"/>
      <c r="L71" s="339">
        <f>174.443-20.46-14.95-9.17-10</f>
        <v>119.86300000000003</v>
      </c>
      <c r="M71" s="340"/>
      <c r="N71" s="340">
        <f>J71+K71-(L71+M71)</f>
        <v>1965.1369999999999</v>
      </c>
      <c r="O71" s="297"/>
    </row>
    <row r="72" spans="1:27" s="328" customFormat="1" ht="18.75" customHeight="1">
      <c r="A72" s="338"/>
      <c r="B72" s="341" t="s">
        <v>866</v>
      </c>
      <c r="C72" s="338"/>
      <c r="D72" s="339">
        <f>C70*12</f>
        <v>180</v>
      </c>
      <c r="E72" s="339">
        <v>180</v>
      </c>
      <c r="F72" s="339"/>
      <c r="G72" s="339"/>
      <c r="H72" s="339">
        <f>D72*0.1</f>
        <v>18</v>
      </c>
      <c r="I72" s="339">
        <f>E72+F72-(G72+H72)</f>
        <v>162</v>
      </c>
      <c r="J72" s="339">
        <v>162</v>
      </c>
      <c r="K72" s="339"/>
      <c r="L72" s="339"/>
      <c r="M72" s="340">
        <v>13.755000000000001</v>
      </c>
      <c r="N72" s="340">
        <f>J72+K72-(L72+M72)</f>
        <v>148.245</v>
      </c>
      <c r="O72" s="297"/>
    </row>
    <row r="73" spans="1:27" s="328" customFormat="1" ht="25.5">
      <c r="A73" s="338"/>
      <c r="B73" s="341" t="s">
        <v>870</v>
      </c>
      <c r="C73" s="338"/>
      <c r="D73" s="339">
        <v>10</v>
      </c>
      <c r="E73" s="339">
        <v>10</v>
      </c>
      <c r="F73" s="339"/>
      <c r="G73" s="339"/>
      <c r="H73" s="339"/>
      <c r="I73" s="339">
        <f>E73+F73-(G73+H73)</f>
        <v>10</v>
      </c>
      <c r="J73" s="339">
        <v>10</v>
      </c>
      <c r="K73" s="339"/>
      <c r="L73" s="339"/>
      <c r="M73" s="340"/>
      <c r="N73" s="340">
        <f>J73+K73-(L73+M73)</f>
        <v>10</v>
      </c>
      <c r="O73" s="297"/>
    </row>
    <row r="74" spans="1:27" s="328" customFormat="1" ht="29.25" customHeight="1">
      <c r="A74" s="338"/>
      <c r="B74" s="341" t="s">
        <v>887</v>
      </c>
      <c r="C74" s="338"/>
      <c r="D74" s="339">
        <v>4.47</v>
      </c>
      <c r="E74" s="339">
        <v>4.47</v>
      </c>
      <c r="F74" s="339"/>
      <c r="G74" s="339"/>
      <c r="H74" s="339"/>
      <c r="I74" s="339">
        <f>E74+F74-(G74+H74)</f>
        <v>4.47</v>
      </c>
      <c r="J74" s="339">
        <v>4.47</v>
      </c>
      <c r="K74" s="339"/>
      <c r="L74" s="339"/>
      <c r="M74" s="340"/>
      <c r="N74" s="340">
        <f>J74+K74-(L74+M74)</f>
        <v>4.47</v>
      </c>
      <c r="O74" s="297"/>
    </row>
    <row r="75" spans="1:27" s="334" customFormat="1" ht="18.75" customHeight="1">
      <c r="A75" s="324">
        <v>13</v>
      </c>
      <c r="B75" s="323" t="s">
        <v>871</v>
      </c>
      <c r="C75" s="324">
        <f>'[9]Quy luong 2022'!C370</f>
        <v>19</v>
      </c>
      <c r="D75" s="326">
        <f>SUM(D76:D81)</f>
        <v>2737.87</v>
      </c>
      <c r="E75" s="326">
        <f>SUM(E76:E81)</f>
        <v>2737.87</v>
      </c>
      <c r="F75" s="326"/>
      <c r="G75" s="326">
        <f t="shared" ref="G75:N75" si="16">SUM(G76:G81)</f>
        <v>0</v>
      </c>
      <c r="H75" s="326">
        <f t="shared" si="16"/>
        <v>24</v>
      </c>
      <c r="I75" s="326">
        <f t="shared" si="16"/>
        <v>2713.87</v>
      </c>
      <c r="J75" s="326">
        <f t="shared" si="16"/>
        <v>2713.87</v>
      </c>
      <c r="K75" s="326">
        <f t="shared" si="16"/>
        <v>107.77500000000001</v>
      </c>
      <c r="L75" s="326">
        <f t="shared" si="16"/>
        <v>217.67299999999994</v>
      </c>
      <c r="M75" s="326">
        <f t="shared" si="16"/>
        <v>36.630000000000003</v>
      </c>
      <c r="N75" s="326">
        <f t="shared" si="16"/>
        <v>2567.3419999999996</v>
      </c>
      <c r="O75" s="352"/>
    </row>
    <row r="76" spans="1:27" s="328" customFormat="1" ht="18.75" customHeight="1">
      <c r="A76" s="338"/>
      <c r="B76" s="337" t="s">
        <v>843</v>
      </c>
      <c r="C76" s="338"/>
      <c r="D76" s="339">
        <v>2494</v>
      </c>
      <c r="E76" s="339">
        <v>2494</v>
      </c>
      <c r="F76" s="339"/>
      <c r="G76" s="339"/>
      <c r="H76" s="339"/>
      <c r="I76" s="339">
        <f>E76+F76-(G76+H76)</f>
        <v>2494</v>
      </c>
      <c r="J76" s="339">
        <v>2494</v>
      </c>
      <c r="K76" s="339"/>
      <c r="L76" s="339">
        <f>408.316-143.223-3.2-24.42-19.8</f>
        <v>217.67299999999994</v>
      </c>
      <c r="M76" s="340"/>
      <c r="N76" s="340">
        <f t="shared" ref="N76:N81" si="17">J76+K76-(L76+M76)</f>
        <v>2276.3270000000002</v>
      </c>
      <c r="O76" s="297"/>
    </row>
    <row r="77" spans="1:27" s="328" customFormat="1" ht="18.75" customHeight="1">
      <c r="A77" s="338"/>
      <c r="B77" s="341" t="s">
        <v>850</v>
      </c>
      <c r="C77" s="338"/>
      <c r="D77" s="339">
        <f>C75*12+11.4</f>
        <v>239.4</v>
      </c>
      <c r="E77" s="339">
        <v>239.4</v>
      </c>
      <c r="F77" s="339"/>
      <c r="G77" s="339"/>
      <c r="H77" s="339">
        <v>24</v>
      </c>
      <c r="I77" s="339">
        <f>E77+F77-(G77+H77)</f>
        <v>215.4</v>
      </c>
      <c r="J77" s="339">
        <v>215.4</v>
      </c>
      <c r="K77" s="339"/>
      <c r="L77" s="339"/>
      <c r="M77" s="340">
        <v>36.630000000000003</v>
      </c>
      <c r="N77" s="340">
        <f t="shared" si="17"/>
        <v>178.77</v>
      </c>
      <c r="O77" s="297"/>
    </row>
    <row r="78" spans="1:27" s="328" customFormat="1" ht="18.75" customHeight="1">
      <c r="A78" s="338"/>
      <c r="B78" s="355" t="s">
        <v>851</v>
      </c>
      <c r="C78" s="338"/>
      <c r="D78" s="339"/>
      <c r="E78" s="339"/>
      <c r="F78" s="339"/>
      <c r="G78" s="339"/>
      <c r="H78" s="339"/>
      <c r="I78" s="339"/>
      <c r="J78" s="339"/>
      <c r="K78" s="339">
        <v>12.939</v>
      </c>
      <c r="L78" s="339"/>
      <c r="M78" s="340"/>
      <c r="N78" s="340">
        <f t="shared" si="17"/>
        <v>12.939</v>
      </c>
      <c r="O78" s="297"/>
    </row>
    <row r="79" spans="1:27" s="328" customFormat="1" ht="18.75" customHeight="1">
      <c r="A79" s="338"/>
      <c r="B79" s="355" t="s">
        <v>976</v>
      </c>
      <c r="C79" s="338"/>
      <c r="D79" s="339"/>
      <c r="E79" s="339"/>
      <c r="F79" s="339"/>
      <c r="G79" s="339"/>
      <c r="H79" s="339"/>
      <c r="I79" s="339"/>
      <c r="J79" s="339"/>
      <c r="K79" s="339">
        <v>34.835999999999999</v>
      </c>
      <c r="L79" s="339"/>
      <c r="M79" s="340"/>
      <c r="N79" s="340">
        <f t="shared" si="17"/>
        <v>34.835999999999999</v>
      </c>
      <c r="O79" s="297"/>
    </row>
    <row r="80" spans="1:27" s="348" customFormat="1" ht="18.75" customHeight="1">
      <c r="A80" s="343"/>
      <c r="B80" s="355" t="s">
        <v>852</v>
      </c>
      <c r="C80" s="344"/>
      <c r="D80" s="345"/>
      <c r="E80" s="345"/>
      <c r="F80" s="345"/>
      <c r="G80" s="345"/>
      <c r="H80" s="339"/>
      <c r="I80" s="339"/>
      <c r="J80" s="345"/>
      <c r="K80" s="345">
        <v>60</v>
      </c>
      <c r="L80" s="345"/>
      <c r="M80" s="346"/>
      <c r="N80" s="340">
        <f t="shared" si="17"/>
        <v>60</v>
      </c>
      <c r="O80" s="347"/>
      <c r="AA80" s="359"/>
    </row>
    <row r="81" spans="1:15" s="328" customFormat="1" ht="30" customHeight="1">
      <c r="A81" s="338"/>
      <c r="B81" s="341" t="s">
        <v>887</v>
      </c>
      <c r="C81" s="338"/>
      <c r="D81" s="339">
        <v>4.47</v>
      </c>
      <c r="E81" s="339">
        <v>4.47</v>
      </c>
      <c r="F81" s="339"/>
      <c r="G81" s="339"/>
      <c r="H81" s="339"/>
      <c r="I81" s="339">
        <f>E81+F81-(G81+H81)</f>
        <v>4.47</v>
      </c>
      <c r="J81" s="339">
        <v>4.47</v>
      </c>
      <c r="K81" s="339"/>
      <c r="L81" s="339"/>
      <c r="M81" s="340"/>
      <c r="N81" s="340">
        <f t="shared" si="17"/>
        <v>4.47</v>
      </c>
      <c r="O81" s="297"/>
    </row>
    <row r="82" spans="1:15" s="334" customFormat="1" ht="18.75" customHeight="1">
      <c r="A82" s="324">
        <v>14</v>
      </c>
      <c r="B82" s="323" t="s">
        <v>872</v>
      </c>
      <c r="C82" s="324">
        <f>'[9]Quy luong 2022'!C246</f>
        <v>14</v>
      </c>
      <c r="D82" s="326">
        <f>SUM(D83:D85)</f>
        <v>2003.47</v>
      </c>
      <c r="E82" s="326">
        <f>SUM(E83:E85)</f>
        <v>2003.47</v>
      </c>
      <c r="F82" s="326"/>
      <c r="G82" s="326">
        <f t="shared" ref="G82:N82" si="18">SUM(G83:G85)</f>
        <v>992.28011400000003</v>
      </c>
      <c r="H82" s="326">
        <f t="shared" si="18"/>
        <v>16.8</v>
      </c>
      <c r="I82" s="326">
        <f t="shared" si="18"/>
        <v>994.38988600000005</v>
      </c>
      <c r="J82" s="326">
        <f t="shared" si="18"/>
        <v>994.3900000000001</v>
      </c>
      <c r="K82" s="326">
        <f t="shared" si="18"/>
        <v>0</v>
      </c>
      <c r="L82" s="326">
        <f t="shared" si="18"/>
        <v>0</v>
      </c>
      <c r="M82" s="326">
        <f t="shared" si="18"/>
        <v>0</v>
      </c>
      <c r="N82" s="326">
        <f t="shared" si="18"/>
        <v>994.3900000000001</v>
      </c>
      <c r="O82" s="352"/>
    </row>
    <row r="83" spans="1:15" s="328" customFormat="1" ht="18.75" customHeight="1">
      <c r="A83" s="338"/>
      <c r="B83" s="337" t="s">
        <v>843</v>
      </c>
      <c r="C83" s="338"/>
      <c r="D83" s="339">
        <v>1831</v>
      </c>
      <c r="E83" s="339">
        <v>1831</v>
      </c>
      <c r="F83" s="339"/>
      <c r="G83" s="339">
        <f>942.684256</f>
        <v>942.684256</v>
      </c>
      <c r="H83" s="339"/>
      <c r="I83" s="339">
        <f>E83+F83-(G83+H83)</f>
        <v>888.315744</v>
      </c>
      <c r="J83" s="339">
        <v>888.31600000000003</v>
      </c>
      <c r="K83" s="339"/>
      <c r="L83" s="339"/>
      <c r="M83" s="340"/>
      <c r="N83" s="340">
        <f>J83+K83-(L83+M83)</f>
        <v>888.31600000000003</v>
      </c>
      <c r="O83" s="297"/>
    </row>
    <row r="84" spans="1:15" s="328" customFormat="1" ht="18.75" customHeight="1">
      <c r="A84" s="338"/>
      <c r="B84" s="341" t="s">
        <v>862</v>
      </c>
      <c r="C84" s="338"/>
      <c r="D84" s="339">
        <f>C82*12</f>
        <v>168</v>
      </c>
      <c r="E84" s="339">
        <v>168</v>
      </c>
      <c r="F84" s="339"/>
      <c r="G84" s="339">
        <f>49.595858</f>
        <v>49.595858</v>
      </c>
      <c r="H84" s="339">
        <f>D84*0.1</f>
        <v>16.8</v>
      </c>
      <c r="I84" s="339">
        <f>E84+F84-(G84+H84)</f>
        <v>101.604142</v>
      </c>
      <c r="J84" s="339">
        <v>101.604</v>
      </c>
      <c r="K84" s="339"/>
      <c r="L84" s="339"/>
      <c r="M84" s="340"/>
      <c r="N84" s="340">
        <f>J84+K84-(L84+M84)</f>
        <v>101.604</v>
      </c>
      <c r="O84" s="297"/>
    </row>
    <row r="85" spans="1:15" s="328" customFormat="1" ht="25.5" customHeight="1">
      <c r="A85" s="338"/>
      <c r="B85" s="341" t="s">
        <v>887</v>
      </c>
      <c r="C85" s="338"/>
      <c r="D85" s="339">
        <v>4.47</v>
      </c>
      <c r="E85" s="339">
        <v>4.47</v>
      </c>
      <c r="F85" s="339"/>
      <c r="G85" s="339"/>
      <c r="H85" s="339"/>
      <c r="I85" s="339">
        <f>E85+F85-(G85+H85)</f>
        <v>4.47</v>
      </c>
      <c r="J85" s="339">
        <v>4.47</v>
      </c>
      <c r="K85" s="339"/>
      <c r="L85" s="339"/>
      <c r="M85" s="340"/>
      <c r="N85" s="340">
        <f>J85+K85-(L85+M85)</f>
        <v>4.47</v>
      </c>
      <c r="O85" s="297"/>
    </row>
    <row r="86" spans="1:15" s="334" customFormat="1" ht="18.75" customHeight="1">
      <c r="A86" s="324">
        <v>15</v>
      </c>
      <c r="B86" s="323" t="s">
        <v>873</v>
      </c>
      <c r="C86" s="324"/>
      <c r="D86" s="326">
        <f t="shared" ref="D86:N86" si="19">SUM(D87:D92)</f>
        <v>0</v>
      </c>
      <c r="E86" s="326">
        <f t="shared" si="19"/>
        <v>0</v>
      </c>
      <c r="F86" s="326">
        <f t="shared" si="19"/>
        <v>1966.181102</v>
      </c>
      <c r="G86" s="326">
        <f t="shared" si="19"/>
        <v>0</v>
      </c>
      <c r="H86" s="326">
        <f t="shared" si="19"/>
        <v>0</v>
      </c>
      <c r="I86" s="326">
        <f t="shared" si="19"/>
        <v>1966.181102</v>
      </c>
      <c r="J86" s="326">
        <f t="shared" si="19"/>
        <v>1966.181</v>
      </c>
      <c r="K86" s="326">
        <f t="shared" si="19"/>
        <v>937.02800000000002</v>
      </c>
      <c r="L86" s="326">
        <f t="shared" si="19"/>
        <v>812.32799999999997</v>
      </c>
      <c r="M86" s="326">
        <f t="shared" si="19"/>
        <v>32.445</v>
      </c>
      <c r="N86" s="326">
        <f t="shared" si="19"/>
        <v>2058.4359999999997</v>
      </c>
      <c r="O86" s="352"/>
    </row>
    <row r="87" spans="1:15" s="328" customFormat="1" ht="18.75" customHeight="1">
      <c r="A87" s="336" t="s">
        <v>255</v>
      </c>
      <c r="B87" s="337" t="s">
        <v>837</v>
      </c>
      <c r="C87" s="338"/>
      <c r="D87" s="339"/>
      <c r="E87" s="339"/>
      <c r="F87" s="339">
        <v>1882.6837439999999</v>
      </c>
      <c r="G87" s="339"/>
      <c r="H87" s="339"/>
      <c r="I87" s="339">
        <f>E87+F87-(G87+H87)</f>
        <v>1882.6837439999999</v>
      </c>
      <c r="J87" s="339">
        <v>1882.684</v>
      </c>
      <c r="K87" s="339"/>
      <c r="L87" s="339">
        <f>973.06-102.302-19.55-17.25-21.63</f>
        <v>812.32799999999997</v>
      </c>
      <c r="M87" s="340"/>
      <c r="N87" s="340">
        <f t="shared" ref="N87:N92" si="20">J87+K87-(L87+M87)</f>
        <v>1070.356</v>
      </c>
      <c r="O87" s="297"/>
    </row>
    <row r="88" spans="1:15" s="328" customFormat="1" ht="18.75" customHeight="1">
      <c r="A88" s="336" t="s">
        <v>255</v>
      </c>
      <c r="B88" s="341" t="s">
        <v>874</v>
      </c>
      <c r="C88" s="338"/>
      <c r="D88" s="339"/>
      <c r="E88" s="339"/>
      <c r="F88" s="339">
        <v>83.497358000000006</v>
      </c>
      <c r="G88" s="339"/>
      <c r="H88" s="339">
        <f>D88*0.1</f>
        <v>0</v>
      </c>
      <c r="I88" s="339">
        <f>E88+F88-(G88+H88)</f>
        <v>83.497358000000006</v>
      </c>
      <c r="J88" s="339">
        <v>83.497</v>
      </c>
      <c r="K88" s="339"/>
      <c r="L88" s="339"/>
      <c r="M88" s="340">
        <v>32.445</v>
      </c>
      <c r="N88" s="340">
        <f t="shared" si="20"/>
        <v>51.052</v>
      </c>
      <c r="O88" s="297"/>
    </row>
    <row r="89" spans="1:15" s="328" customFormat="1" ht="18.75" customHeight="1">
      <c r="A89" s="336" t="s">
        <v>255</v>
      </c>
      <c r="B89" s="351" t="s">
        <v>840</v>
      </c>
      <c r="C89" s="338"/>
      <c r="D89" s="339"/>
      <c r="E89" s="339"/>
      <c r="F89" s="339"/>
      <c r="G89" s="339"/>
      <c r="H89" s="339"/>
      <c r="I89" s="339"/>
      <c r="J89" s="339"/>
      <c r="K89" s="339">
        <v>17.846</v>
      </c>
      <c r="L89" s="339"/>
      <c r="M89" s="340"/>
      <c r="N89" s="340">
        <f t="shared" si="20"/>
        <v>17.846</v>
      </c>
      <c r="O89" s="297"/>
    </row>
    <row r="90" spans="1:15" s="328" customFormat="1" ht="18.75" customHeight="1">
      <c r="A90" s="336" t="s">
        <v>255</v>
      </c>
      <c r="B90" s="351" t="s">
        <v>875</v>
      </c>
      <c r="C90" s="338"/>
      <c r="D90" s="339"/>
      <c r="E90" s="339"/>
      <c r="F90" s="339"/>
      <c r="G90" s="339"/>
      <c r="H90" s="339"/>
      <c r="I90" s="339"/>
      <c r="J90" s="339"/>
      <c r="K90" s="339">
        <f>340.94+5.662</f>
        <v>346.60199999999998</v>
      </c>
      <c r="L90" s="339"/>
      <c r="M90" s="340"/>
      <c r="N90" s="340">
        <f t="shared" si="20"/>
        <v>346.60199999999998</v>
      </c>
      <c r="O90" s="297"/>
    </row>
    <row r="91" spans="1:15" s="328" customFormat="1" ht="18.75" customHeight="1">
      <c r="A91" s="336" t="s">
        <v>255</v>
      </c>
      <c r="B91" s="351" t="s">
        <v>876</v>
      </c>
      <c r="C91" s="338"/>
      <c r="D91" s="339"/>
      <c r="E91" s="339"/>
      <c r="F91" s="339"/>
      <c r="G91" s="339"/>
      <c r="H91" s="339"/>
      <c r="I91" s="339"/>
      <c r="J91" s="339"/>
      <c r="K91" s="339">
        <f>572.58</f>
        <v>572.58000000000004</v>
      </c>
      <c r="L91" s="339"/>
      <c r="M91" s="340"/>
      <c r="N91" s="340">
        <f t="shared" si="20"/>
        <v>572.58000000000004</v>
      </c>
      <c r="O91" s="297"/>
    </row>
    <row r="92" spans="1:15" s="348" customFormat="1" ht="30" customHeight="1">
      <c r="A92" s="343" t="s">
        <v>255</v>
      </c>
      <c r="B92" s="341" t="s">
        <v>847</v>
      </c>
      <c r="C92" s="344"/>
      <c r="D92" s="345"/>
      <c r="E92" s="345"/>
      <c r="F92" s="345"/>
      <c r="G92" s="345"/>
      <c r="H92" s="345"/>
      <c r="I92" s="345">
        <f>E92+F92-(G92+H92)</f>
        <v>0</v>
      </c>
      <c r="J92" s="345"/>
      <c r="K92" s="345"/>
      <c r="L92" s="345"/>
      <c r="M92" s="346"/>
      <c r="N92" s="346">
        <f t="shared" si="20"/>
        <v>0</v>
      </c>
      <c r="O92" s="347"/>
    </row>
    <row r="93" spans="1:15" s="334" customFormat="1" ht="18.75" customHeight="1">
      <c r="A93" s="323" t="s">
        <v>70</v>
      </c>
      <c r="B93" s="323" t="s">
        <v>877</v>
      </c>
      <c r="C93" s="360">
        <f>C94+C99+C107+C116+C124+C131+C139+C147</f>
        <v>238</v>
      </c>
      <c r="D93" s="361">
        <f>D94+D99+D107+D116+D124+D131+D139+D147</f>
        <v>40792.787000000004</v>
      </c>
      <c r="E93" s="361">
        <f>E94+E99+E107+E116+E124+E131+E139+E147</f>
        <v>40792.787000000004</v>
      </c>
      <c r="F93" s="361"/>
      <c r="G93" s="361">
        <f t="shared" ref="G93:N93" si="21">G94+G99+G107+G116+G124+G131+G139+G147</f>
        <v>0</v>
      </c>
      <c r="H93" s="361">
        <f t="shared" si="21"/>
        <v>285.98</v>
      </c>
      <c r="I93" s="361">
        <f t="shared" si="21"/>
        <v>40506.807000000001</v>
      </c>
      <c r="J93" s="361">
        <f t="shared" si="21"/>
        <v>40506.807000000001</v>
      </c>
      <c r="K93" s="361">
        <f t="shared" si="21"/>
        <v>1084.713</v>
      </c>
      <c r="L93" s="361">
        <f t="shared" si="21"/>
        <v>3491.3249999999998</v>
      </c>
      <c r="M93" s="361">
        <f t="shared" si="21"/>
        <v>0</v>
      </c>
      <c r="N93" s="361">
        <f t="shared" si="21"/>
        <v>38100.195000000007</v>
      </c>
      <c r="O93" s="352"/>
    </row>
    <row r="94" spans="1:15" s="334" customFormat="1" ht="18.75" customHeight="1">
      <c r="A94" s="324">
        <v>1</v>
      </c>
      <c r="B94" s="323" t="s">
        <v>878</v>
      </c>
      <c r="C94" s="324">
        <f>'[9]Quy luong 2022'!C443</f>
        <v>21</v>
      </c>
      <c r="D94" s="326">
        <f>SUM(D95:D98)</f>
        <v>2916.47</v>
      </c>
      <c r="E94" s="326">
        <f>SUM(E95:E98)</f>
        <v>2916.47</v>
      </c>
      <c r="F94" s="326"/>
      <c r="G94" s="326">
        <f t="shared" ref="G94:N94" si="22">SUM(G95:G98)</f>
        <v>0</v>
      </c>
      <c r="H94" s="326">
        <f t="shared" si="22"/>
        <v>25</v>
      </c>
      <c r="I94" s="326">
        <f t="shared" si="22"/>
        <v>2891.47</v>
      </c>
      <c r="J94" s="326">
        <f t="shared" si="22"/>
        <v>2891.47</v>
      </c>
      <c r="K94" s="326">
        <f t="shared" si="22"/>
        <v>7.7839999999999998</v>
      </c>
      <c r="L94" s="326">
        <f t="shared" si="22"/>
        <v>176.55400000000003</v>
      </c>
      <c r="M94" s="326">
        <f t="shared" si="22"/>
        <v>0</v>
      </c>
      <c r="N94" s="326">
        <f t="shared" si="22"/>
        <v>2722.7</v>
      </c>
      <c r="O94" s="352"/>
    </row>
    <row r="95" spans="1:15" s="328" customFormat="1" ht="18.75" customHeight="1">
      <c r="A95" s="338"/>
      <c r="B95" s="337" t="s">
        <v>843</v>
      </c>
      <c r="C95" s="338"/>
      <c r="D95" s="339">
        <v>2660</v>
      </c>
      <c r="E95" s="339">
        <v>2660</v>
      </c>
      <c r="F95" s="339"/>
      <c r="G95" s="339"/>
      <c r="H95" s="339"/>
      <c r="I95" s="339">
        <f>E95+F95-(G95+H95)</f>
        <v>2660</v>
      </c>
      <c r="J95" s="339">
        <v>2660</v>
      </c>
      <c r="K95" s="339"/>
      <c r="L95" s="339">
        <f>291.148-40.766-8.644-17.363-7.51-23.1-17.211</f>
        <v>176.55400000000003</v>
      </c>
      <c r="M95" s="340"/>
      <c r="N95" s="340">
        <f>J95+K95-(L95+M95)</f>
        <v>2483.4459999999999</v>
      </c>
      <c r="O95" s="297"/>
    </row>
    <row r="96" spans="1:15" s="328" customFormat="1" ht="18.75" customHeight="1">
      <c r="A96" s="338"/>
      <c r="B96" s="341" t="s">
        <v>879</v>
      </c>
      <c r="C96" s="338"/>
      <c r="D96" s="339">
        <f>C94*12</f>
        <v>252</v>
      </c>
      <c r="E96" s="339">
        <v>252</v>
      </c>
      <c r="F96" s="339"/>
      <c r="G96" s="339"/>
      <c r="H96" s="339">
        <v>25</v>
      </c>
      <c r="I96" s="339">
        <f>E96+F96-(G96+H96)</f>
        <v>227</v>
      </c>
      <c r="J96" s="339">
        <v>227</v>
      </c>
      <c r="K96" s="339"/>
      <c r="L96" s="339"/>
      <c r="M96" s="340"/>
      <c r="N96" s="340">
        <f>J96+K96-(L96+M96)</f>
        <v>227</v>
      </c>
      <c r="O96" s="297"/>
    </row>
    <row r="97" spans="1:15" s="328" customFormat="1" ht="18.75" customHeight="1">
      <c r="A97" s="338"/>
      <c r="B97" s="351" t="s">
        <v>880</v>
      </c>
      <c r="C97" s="338"/>
      <c r="D97" s="339"/>
      <c r="E97" s="339"/>
      <c r="F97" s="339"/>
      <c r="G97" s="339"/>
      <c r="H97" s="339"/>
      <c r="I97" s="339"/>
      <c r="J97" s="339"/>
      <c r="K97" s="339">
        <v>7.7839999999999998</v>
      </c>
      <c r="L97" s="339"/>
      <c r="M97" s="340"/>
      <c r="N97" s="340">
        <f>J97+K97-(L97+M97)</f>
        <v>7.7839999999999998</v>
      </c>
      <c r="O97" s="297"/>
    </row>
    <row r="98" spans="1:15" s="328" customFormat="1" ht="27.75" customHeight="1">
      <c r="A98" s="338"/>
      <c r="B98" s="341" t="s">
        <v>841</v>
      </c>
      <c r="C98" s="338"/>
      <c r="D98" s="339">
        <v>4.47</v>
      </c>
      <c r="E98" s="339">
        <v>4.47</v>
      </c>
      <c r="F98" s="339"/>
      <c r="G98" s="339"/>
      <c r="H98" s="339"/>
      <c r="I98" s="339">
        <f>E98+F98-(G98+H98)</f>
        <v>4.47</v>
      </c>
      <c r="J98" s="339">
        <v>4.47</v>
      </c>
      <c r="K98" s="339"/>
      <c r="L98" s="339"/>
      <c r="M98" s="340"/>
      <c r="N98" s="340">
        <f>J98+K98-(L98+M98)</f>
        <v>4.47</v>
      </c>
      <c r="O98" s="297"/>
    </row>
    <row r="99" spans="1:15" s="334" customFormat="1" ht="18.75" customHeight="1">
      <c r="A99" s="324">
        <v>2</v>
      </c>
      <c r="B99" s="323" t="s">
        <v>881</v>
      </c>
      <c r="C99" s="324">
        <f>'[9]Quy luong 2022'!C683</f>
        <v>39</v>
      </c>
      <c r="D99" s="326">
        <f>SUM(D100:D106)</f>
        <v>6811.92</v>
      </c>
      <c r="E99" s="326">
        <f>SUM(E100:E106)</f>
        <v>6811.92</v>
      </c>
      <c r="F99" s="326"/>
      <c r="G99" s="326">
        <f t="shared" ref="G99:N99" si="23">SUM(G100:G106)</f>
        <v>0</v>
      </c>
      <c r="H99" s="326">
        <f t="shared" si="23"/>
        <v>47</v>
      </c>
      <c r="I99" s="326">
        <f t="shared" si="23"/>
        <v>6764.92</v>
      </c>
      <c r="J99" s="326">
        <f t="shared" si="23"/>
        <v>6764.92</v>
      </c>
      <c r="K99" s="326">
        <f t="shared" si="23"/>
        <v>82.087999999999994</v>
      </c>
      <c r="L99" s="326">
        <f t="shared" si="23"/>
        <v>0</v>
      </c>
      <c r="M99" s="326">
        <f t="shared" si="23"/>
        <v>0</v>
      </c>
      <c r="N99" s="326">
        <f t="shared" si="23"/>
        <v>6847.0080000000007</v>
      </c>
      <c r="O99" s="352"/>
    </row>
    <row r="100" spans="1:15" s="328" customFormat="1" ht="18.75" customHeight="1">
      <c r="A100" s="338"/>
      <c r="B100" s="337" t="s">
        <v>843</v>
      </c>
      <c r="C100" s="338"/>
      <c r="D100" s="339">
        <v>6337</v>
      </c>
      <c r="E100" s="339">
        <v>6337</v>
      </c>
      <c r="F100" s="339"/>
      <c r="G100" s="339"/>
      <c r="H100" s="339"/>
      <c r="I100" s="339">
        <f>E100+F100-(G100+H100)</f>
        <v>6337</v>
      </c>
      <c r="J100" s="339">
        <v>6337</v>
      </c>
      <c r="K100" s="339">
        <v>40.607999999999997</v>
      </c>
      <c r="L100" s="339"/>
      <c r="M100" s="340"/>
      <c r="N100" s="340">
        <f t="shared" ref="N100:N106" si="24">J100+K100-(L100+M100)</f>
        <v>6377.6080000000002</v>
      </c>
      <c r="O100" s="297"/>
    </row>
    <row r="101" spans="1:15" s="328" customFormat="1" ht="18.75" customHeight="1">
      <c r="A101" s="338"/>
      <c r="B101" s="341" t="s">
        <v>882</v>
      </c>
      <c r="C101" s="338"/>
      <c r="D101" s="339">
        <f>C99*11+21.45</f>
        <v>450.45</v>
      </c>
      <c r="E101" s="339">
        <v>450.45</v>
      </c>
      <c r="F101" s="339"/>
      <c r="G101" s="339"/>
      <c r="H101" s="339">
        <v>45</v>
      </c>
      <c r="I101" s="339">
        <f>E101+F101-(G101+H101)</f>
        <v>405.45</v>
      </c>
      <c r="J101" s="339">
        <v>405.45</v>
      </c>
      <c r="K101" s="339"/>
      <c r="L101" s="339"/>
      <c r="M101" s="340"/>
      <c r="N101" s="340">
        <f t="shared" si="24"/>
        <v>405.45</v>
      </c>
      <c r="O101" s="297"/>
    </row>
    <row r="102" spans="1:15" s="328" customFormat="1" ht="18.75" customHeight="1">
      <c r="A102" s="338"/>
      <c r="B102" s="351" t="s">
        <v>840</v>
      </c>
      <c r="C102" s="338"/>
      <c r="D102" s="339"/>
      <c r="E102" s="339"/>
      <c r="F102" s="339"/>
      <c r="G102" s="339"/>
      <c r="H102" s="339"/>
      <c r="I102" s="339"/>
      <c r="J102" s="339"/>
      <c r="K102" s="339">
        <v>24.8</v>
      </c>
      <c r="L102" s="339"/>
      <c r="M102" s="340"/>
      <c r="N102" s="340">
        <f t="shared" si="24"/>
        <v>24.8</v>
      </c>
      <c r="O102" s="297"/>
    </row>
    <row r="103" spans="1:15" s="328" customFormat="1" ht="18.75" customHeight="1">
      <c r="A103" s="338"/>
      <c r="B103" s="351" t="s">
        <v>880</v>
      </c>
      <c r="C103" s="338"/>
      <c r="D103" s="339"/>
      <c r="E103" s="339"/>
      <c r="F103" s="339"/>
      <c r="G103" s="339"/>
      <c r="H103" s="339"/>
      <c r="I103" s="339"/>
      <c r="J103" s="339"/>
      <c r="K103" s="339">
        <v>16.68</v>
      </c>
      <c r="L103" s="339"/>
      <c r="M103" s="340"/>
      <c r="N103" s="340">
        <f t="shared" si="24"/>
        <v>16.68</v>
      </c>
      <c r="O103" s="297"/>
    </row>
    <row r="104" spans="1:15" s="328" customFormat="1" ht="18.75" customHeight="1">
      <c r="A104" s="338"/>
      <c r="B104" s="341" t="s">
        <v>883</v>
      </c>
      <c r="C104" s="338"/>
      <c r="D104" s="339">
        <v>10</v>
      </c>
      <c r="E104" s="339">
        <v>10</v>
      </c>
      <c r="F104" s="339"/>
      <c r="G104" s="339"/>
      <c r="H104" s="339">
        <f>D104*0.1</f>
        <v>1</v>
      </c>
      <c r="I104" s="339">
        <f>E104+F104-(G104+H104)</f>
        <v>9</v>
      </c>
      <c r="J104" s="339">
        <v>9</v>
      </c>
      <c r="K104" s="339"/>
      <c r="L104" s="339"/>
      <c r="M104" s="340"/>
      <c r="N104" s="340">
        <f t="shared" si="24"/>
        <v>9</v>
      </c>
      <c r="O104" s="297"/>
    </row>
    <row r="105" spans="1:15" s="328" customFormat="1" ht="30.75" customHeight="1">
      <c r="A105" s="338"/>
      <c r="B105" s="341" t="s">
        <v>884</v>
      </c>
      <c r="C105" s="338"/>
      <c r="D105" s="339">
        <v>10</v>
      </c>
      <c r="E105" s="339">
        <v>10</v>
      </c>
      <c r="F105" s="339"/>
      <c r="G105" s="339"/>
      <c r="H105" s="339">
        <f>D105*0.1</f>
        <v>1</v>
      </c>
      <c r="I105" s="339">
        <f>E105+F105-(G105+H105)</f>
        <v>9</v>
      </c>
      <c r="J105" s="339">
        <v>9</v>
      </c>
      <c r="K105" s="339"/>
      <c r="L105" s="339"/>
      <c r="M105" s="340"/>
      <c r="N105" s="340">
        <f t="shared" si="24"/>
        <v>9</v>
      </c>
      <c r="O105" s="297"/>
    </row>
    <row r="106" spans="1:15" s="328" customFormat="1" ht="27.75" customHeight="1">
      <c r="A106" s="338"/>
      <c r="B106" s="341" t="s">
        <v>841</v>
      </c>
      <c r="C106" s="338"/>
      <c r="D106" s="339">
        <v>4.47</v>
      </c>
      <c r="E106" s="339">
        <v>4.47</v>
      </c>
      <c r="F106" s="339"/>
      <c r="G106" s="339"/>
      <c r="H106" s="339"/>
      <c r="I106" s="339">
        <f>E106+F106-(G106+H106)</f>
        <v>4.47</v>
      </c>
      <c r="J106" s="339">
        <v>4.47</v>
      </c>
      <c r="K106" s="339"/>
      <c r="L106" s="339"/>
      <c r="M106" s="340"/>
      <c r="N106" s="340">
        <f t="shared" si="24"/>
        <v>4.47</v>
      </c>
      <c r="O106" s="297"/>
    </row>
    <row r="107" spans="1:15" s="334" customFormat="1" ht="18.75" customHeight="1">
      <c r="A107" s="324">
        <v>3</v>
      </c>
      <c r="B107" s="323" t="s">
        <v>885</v>
      </c>
      <c r="C107" s="324">
        <f>'[9]Quy luong 2022'!C564</f>
        <v>36</v>
      </c>
      <c r="D107" s="326">
        <f>SUM(D108:D115)</f>
        <v>6911.9970000000003</v>
      </c>
      <c r="E107" s="326">
        <f>SUM(E108:E115)</f>
        <v>6911.9970000000003</v>
      </c>
      <c r="F107" s="326"/>
      <c r="G107" s="326">
        <f t="shared" ref="G107:N107" si="25">SUM(G108:G115)</f>
        <v>0</v>
      </c>
      <c r="H107" s="326">
        <f t="shared" si="25"/>
        <v>42.580000000000005</v>
      </c>
      <c r="I107" s="326">
        <f t="shared" si="25"/>
        <v>6869.4170000000004</v>
      </c>
      <c r="J107" s="326">
        <f t="shared" si="25"/>
        <v>6869.4170000000004</v>
      </c>
      <c r="K107" s="326">
        <f t="shared" si="25"/>
        <v>111.554</v>
      </c>
      <c r="L107" s="326">
        <f t="shared" si="25"/>
        <v>696.096</v>
      </c>
      <c r="M107" s="326">
        <f t="shared" si="25"/>
        <v>0</v>
      </c>
      <c r="N107" s="326">
        <f t="shared" si="25"/>
        <v>6284.8750000000009</v>
      </c>
      <c r="O107" s="352"/>
    </row>
    <row r="108" spans="1:15" s="328" customFormat="1" ht="18.75" customHeight="1">
      <c r="A108" s="338"/>
      <c r="B108" s="337" t="s">
        <v>843</v>
      </c>
      <c r="C108" s="338"/>
      <c r="D108" s="339">
        <v>6356</v>
      </c>
      <c r="E108" s="339">
        <v>6356</v>
      </c>
      <c r="F108" s="339"/>
      <c r="G108" s="339"/>
      <c r="H108" s="339"/>
      <c r="I108" s="339">
        <f>E108+F108-(G108+H108)</f>
        <v>6356</v>
      </c>
      <c r="J108" s="339">
        <v>6356</v>
      </c>
      <c r="K108" s="339"/>
      <c r="L108" s="339">
        <f>759.128-5.696-12.874-44.462</f>
        <v>696.096</v>
      </c>
      <c r="M108" s="340"/>
      <c r="N108" s="340">
        <f t="shared" ref="N108:N115" si="26">J108+K108-(L108+M108)</f>
        <v>5659.9040000000005</v>
      </c>
      <c r="O108" s="297"/>
    </row>
    <row r="109" spans="1:15" s="328" customFormat="1" ht="18.75" customHeight="1">
      <c r="A109" s="338"/>
      <c r="B109" s="341" t="s">
        <v>886</v>
      </c>
      <c r="C109" s="338"/>
      <c r="D109" s="339">
        <f>C107*11+19.8</f>
        <v>415.8</v>
      </c>
      <c r="E109" s="339">
        <v>415.8</v>
      </c>
      <c r="F109" s="339"/>
      <c r="G109" s="339"/>
      <c r="H109" s="339">
        <f>D109*0.1</f>
        <v>41.580000000000005</v>
      </c>
      <c r="I109" s="339">
        <f>E109+F109-(G109+H109)</f>
        <v>374.22</v>
      </c>
      <c r="J109" s="339">
        <v>374.22</v>
      </c>
      <c r="K109" s="339"/>
      <c r="L109" s="339"/>
      <c r="M109" s="340"/>
      <c r="N109" s="340">
        <f t="shared" si="26"/>
        <v>374.22</v>
      </c>
      <c r="O109" s="297"/>
    </row>
    <row r="110" spans="1:15" s="328" customFormat="1" ht="18.75" customHeight="1">
      <c r="A110" s="338"/>
      <c r="B110" s="351" t="s">
        <v>880</v>
      </c>
      <c r="C110" s="338"/>
      <c r="D110" s="339"/>
      <c r="E110" s="339"/>
      <c r="F110" s="339"/>
      <c r="G110" s="339"/>
      <c r="H110" s="339"/>
      <c r="I110" s="339"/>
      <c r="J110" s="339"/>
      <c r="K110" s="339">
        <v>15.568</v>
      </c>
      <c r="L110" s="339"/>
      <c r="M110" s="340"/>
      <c r="N110" s="340">
        <f t="shared" si="26"/>
        <v>15.568</v>
      </c>
      <c r="O110" s="297"/>
    </row>
    <row r="111" spans="1:15" s="328" customFormat="1" ht="18.75" customHeight="1">
      <c r="A111" s="338"/>
      <c r="B111" s="351" t="s">
        <v>840</v>
      </c>
      <c r="C111" s="338"/>
      <c r="D111" s="339"/>
      <c r="E111" s="339"/>
      <c r="F111" s="339"/>
      <c r="G111" s="339"/>
      <c r="H111" s="339"/>
      <c r="I111" s="339"/>
      <c r="J111" s="339"/>
      <c r="K111" s="339">
        <v>71.155000000000001</v>
      </c>
      <c r="L111" s="339"/>
      <c r="M111" s="340"/>
      <c r="N111" s="340">
        <f t="shared" si="26"/>
        <v>71.155000000000001</v>
      </c>
      <c r="O111" s="297"/>
    </row>
    <row r="112" spans="1:15" s="328" customFormat="1" ht="18.75" customHeight="1">
      <c r="A112" s="338"/>
      <c r="B112" s="341" t="s">
        <v>876</v>
      </c>
      <c r="C112" s="338"/>
      <c r="D112" s="339"/>
      <c r="E112" s="339"/>
      <c r="F112" s="339"/>
      <c r="G112" s="339"/>
      <c r="H112" s="339"/>
      <c r="I112" s="339"/>
      <c r="J112" s="339"/>
      <c r="K112" s="339">
        <v>24.831</v>
      </c>
      <c r="L112" s="339"/>
      <c r="M112" s="340"/>
      <c r="N112" s="340">
        <f t="shared" si="26"/>
        <v>24.831</v>
      </c>
      <c r="O112" s="297"/>
    </row>
    <row r="113" spans="1:15" s="328" customFormat="1" ht="18.75" customHeight="1">
      <c r="A113" s="338"/>
      <c r="B113" s="341" t="s">
        <v>883</v>
      </c>
      <c r="C113" s="338"/>
      <c r="D113" s="339">
        <v>10</v>
      </c>
      <c r="E113" s="339">
        <v>10</v>
      </c>
      <c r="F113" s="339"/>
      <c r="G113" s="339"/>
      <c r="H113" s="339">
        <f>D113*0.1</f>
        <v>1</v>
      </c>
      <c r="I113" s="339">
        <f>E113+F113-(G113+H113)</f>
        <v>9</v>
      </c>
      <c r="J113" s="339">
        <v>9</v>
      </c>
      <c r="K113" s="339"/>
      <c r="L113" s="339"/>
      <c r="M113" s="340"/>
      <c r="N113" s="340">
        <f t="shared" si="26"/>
        <v>9</v>
      </c>
      <c r="O113" s="297"/>
    </row>
    <row r="114" spans="1:15" s="348" customFormat="1" ht="18.75" customHeight="1">
      <c r="A114" s="344"/>
      <c r="B114" s="341" t="s">
        <v>857</v>
      </c>
      <c r="C114" s="344"/>
      <c r="D114" s="345">
        <v>125.727</v>
      </c>
      <c r="E114" s="345">
        <v>125.727</v>
      </c>
      <c r="F114" s="345"/>
      <c r="G114" s="345"/>
      <c r="H114" s="339"/>
      <c r="I114" s="339">
        <f>E114+F114-(G114+H114)</f>
        <v>125.727</v>
      </c>
      <c r="J114" s="345">
        <v>125.727</v>
      </c>
      <c r="K114" s="345"/>
      <c r="L114" s="345"/>
      <c r="M114" s="346"/>
      <c r="N114" s="340">
        <f t="shared" si="26"/>
        <v>125.727</v>
      </c>
      <c r="O114" s="347"/>
    </row>
    <row r="115" spans="1:15" s="328" customFormat="1" ht="29.25" customHeight="1">
      <c r="A115" s="338"/>
      <c r="B115" s="341" t="s">
        <v>887</v>
      </c>
      <c r="C115" s="338"/>
      <c r="D115" s="339">
        <v>4.47</v>
      </c>
      <c r="E115" s="339">
        <v>4.47</v>
      </c>
      <c r="F115" s="339"/>
      <c r="G115" s="339"/>
      <c r="H115" s="339"/>
      <c r="I115" s="339">
        <f>E115+F115-(G115+H115)</f>
        <v>4.47</v>
      </c>
      <c r="J115" s="339">
        <v>4.47</v>
      </c>
      <c r="K115" s="339"/>
      <c r="L115" s="339"/>
      <c r="M115" s="340"/>
      <c r="N115" s="340">
        <f t="shared" si="26"/>
        <v>4.47</v>
      </c>
      <c r="O115" s="297"/>
    </row>
    <row r="116" spans="1:15" s="334" customFormat="1" ht="18.75" customHeight="1">
      <c r="A116" s="324">
        <v>4</v>
      </c>
      <c r="B116" s="323" t="s">
        <v>888</v>
      </c>
      <c r="C116" s="324">
        <f>'[9]Quy luong 2022'!C606</f>
        <v>30</v>
      </c>
      <c r="D116" s="326">
        <f>SUM(D117:D123)</f>
        <v>5549.47</v>
      </c>
      <c r="E116" s="326">
        <f>SUM(E117:E123)</f>
        <v>5549.47</v>
      </c>
      <c r="F116" s="326"/>
      <c r="G116" s="326">
        <f t="shared" ref="G116:N116" si="27">SUM(G117:G123)</f>
        <v>0</v>
      </c>
      <c r="H116" s="326">
        <f t="shared" si="27"/>
        <v>38.800000000000004</v>
      </c>
      <c r="I116" s="326">
        <f t="shared" si="27"/>
        <v>5510.67</v>
      </c>
      <c r="J116" s="326">
        <f t="shared" si="27"/>
        <v>5510.67</v>
      </c>
      <c r="K116" s="326">
        <f t="shared" si="27"/>
        <v>104.126</v>
      </c>
      <c r="L116" s="326">
        <f t="shared" si="27"/>
        <v>101.64700000000002</v>
      </c>
      <c r="M116" s="326">
        <f t="shared" si="27"/>
        <v>0</v>
      </c>
      <c r="N116" s="326">
        <f t="shared" si="27"/>
        <v>5513.1490000000003</v>
      </c>
      <c r="O116" s="352"/>
    </row>
    <row r="117" spans="1:15" s="328" customFormat="1" ht="18.75" customHeight="1">
      <c r="A117" s="338"/>
      <c r="B117" s="337" t="s">
        <v>843</v>
      </c>
      <c r="C117" s="338"/>
      <c r="D117" s="339">
        <v>5157</v>
      </c>
      <c r="E117" s="339">
        <v>5157</v>
      </c>
      <c r="F117" s="339"/>
      <c r="G117" s="339"/>
      <c r="H117" s="339"/>
      <c r="I117" s="339">
        <f>E117+F117-(G117+H117)</f>
        <v>5157</v>
      </c>
      <c r="J117" s="339">
        <v>5157</v>
      </c>
      <c r="K117" s="339"/>
      <c r="L117" s="339">
        <f>177.978-20.517-4.534-17.18-34.1</f>
        <v>101.64700000000002</v>
      </c>
      <c r="M117" s="340"/>
      <c r="N117" s="340">
        <f t="shared" ref="N117:N123" si="28">J117+K117-(L117+M117)</f>
        <v>5055.3530000000001</v>
      </c>
      <c r="O117" s="297"/>
    </row>
    <row r="118" spans="1:15" s="328" customFormat="1" ht="18.75" customHeight="1">
      <c r="A118" s="338"/>
      <c r="B118" s="341" t="s">
        <v>889</v>
      </c>
      <c r="C118" s="338"/>
      <c r="D118" s="339">
        <f>C116*12+18</f>
        <v>378</v>
      </c>
      <c r="E118" s="339">
        <v>378</v>
      </c>
      <c r="F118" s="339"/>
      <c r="G118" s="339"/>
      <c r="H118" s="339">
        <f>D118*0.1</f>
        <v>37.800000000000004</v>
      </c>
      <c r="I118" s="339">
        <f>E118+F118-(G118+H118)</f>
        <v>340.2</v>
      </c>
      <c r="J118" s="339">
        <v>340.2</v>
      </c>
      <c r="K118" s="339"/>
      <c r="L118" s="339"/>
      <c r="M118" s="340"/>
      <c r="N118" s="340">
        <f t="shared" si="28"/>
        <v>340.2</v>
      </c>
      <c r="O118" s="297"/>
    </row>
    <row r="119" spans="1:15" s="328" customFormat="1" ht="18.75" customHeight="1">
      <c r="A119" s="338"/>
      <c r="B119" s="351" t="s">
        <v>880</v>
      </c>
      <c r="C119" s="338"/>
      <c r="D119" s="339"/>
      <c r="E119" s="339"/>
      <c r="F119" s="339"/>
      <c r="G119" s="339"/>
      <c r="H119" s="339"/>
      <c r="I119" s="339"/>
      <c r="J119" s="339"/>
      <c r="K119" s="339">
        <v>14.456</v>
      </c>
      <c r="L119" s="339"/>
      <c r="M119" s="340"/>
      <c r="N119" s="340">
        <f t="shared" si="28"/>
        <v>14.456</v>
      </c>
      <c r="O119" s="297"/>
    </row>
    <row r="120" spans="1:15" s="328" customFormat="1" ht="18.75" customHeight="1">
      <c r="A120" s="338"/>
      <c r="B120" s="351" t="s">
        <v>840</v>
      </c>
      <c r="C120" s="338"/>
      <c r="D120" s="339"/>
      <c r="E120" s="339"/>
      <c r="F120" s="339"/>
      <c r="G120" s="339"/>
      <c r="H120" s="339"/>
      <c r="I120" s="339"/>
      <c r="J120" s="339"/>
      <c r="K120" s="339">
        <v>53.91</v>
      </c>
      <c r="L120" s="339"/>
      <c r="M120" s="340"/>
      <c r="N120" s="340">
        <f t="shared" si="28"/>
        <v>53.91</v>
      </c>
      <c r="O120" s="297"/>
    </row>
    <row r="121" spans="1:15" s="328" customFormat="1" ht="18.75" customHeight="1">
      <c r="A121" s="338"/>
      <c r="B121" s="341" t="s">
        <v>876</v>
      </c>
      <c r="C121" s="338"/>
      <c r="D121" s="339"/>
      <c r="E121" s="339"/>
      <c r="F121" s="339"/>
      <c r="G121" s="339"/>
      <c r="H121" s="339"/>
      <c r="I121" s="339"/>
      <c r="J121" s="339"/>
      <c r="K121" s="339">
        <v>35.76</v>
      </c>
      <c r="L121" s="339"/>
      <c r="M121" s="340"/>
      <c r="N121" s="340">
        <f t="shared" si="28"/>
        <v>35.76</v>
      </c>
      <c r="O121" s="297"/>
    </row>
    <row r="122" spans="1:15" s="328" customFormat="1" ht="18.75" customHeight="1">
      <c r="A122" s="338"/>
      <c r="B122" s="341" t="s">
        <v>883</v>
      </c>
      <c r="C122" s="338"/>
      <c r="D122" s="339">
        <v>10</v>
      </c>
      <c r="E122" s="339">
        <v>10</v>
      </c>
      <c r="F122" s="339"/>
      <c r="G122" s="339"/>
      <c r="H122" s="339">
        <f>D122*0.1</f>
        <v>1</v>
      </c>
      <c r="I122" s="339">
        <f>E122+F122-(G122+H122)</f>
        <v>9</v>
      </c>
      <c r="J122" s="339">
        <v>9</v>
      </c>
      <c r="K122" s="339"/>
      <c r="L122" s="339"/>
      <c r="M122" s="340"/>
      <c r="N122" s="340">
        <f t="shared" si="28"/>
        <v>9</v>
      </c>
      <c r="O122" s="297"/>
    </row>
    <row r="123" spans="1:15" s="328" customFormat="1" ht="26.25" customHeight="1">
      <c r="A123" s="338"/>
      <c r="B123" s="341" t="s">
        <v>841</v>
      </c>
      <c r="C123" s="338"/>
      <c r="D123" s="339">
        <v>4.47</v>
      </c>
      <c r="E123" s="339">
        <v>4.47</v>
      </c>
      <c r="F123" s="339"/>
      <c r="G123" s="339"/>
      <c r="H123" s="339"/>
      <c r="I123" s="339">
        <f>E123+F123-(G123+H123)</f>
        <v>4.47</v>
      </c>
      <c r="J123" s="339">
        <v>4.47</v>
      </c>
      <c r="K123" s="339"/>
      <c r="L123" s="339"/>
      <c r="M123" s="340"/>
      <c r="N123" s="340">
        <f t="shared" si="28"/>
        <v>4.47</v>
      </c>
      <c r="O123" s="297"/>
    </row>
    <row r="124" spans="1:15" s="334" customFormat="1" ht="18.75" customHeight="1">
      <c r="A124" s="324">
        <v>5</v>
      </c>
      <c r="B124" s="323" t="s">
        <v>890</v>
      </c>
      <c r="C124" s="324">
        <f>'[9]Quy luong 2022'!C506</f>
        <v>20</v>
      </c>
      <c r="D124" s="326">
        <f>SUM(D125:D130)</f>
        <v>3337.47</v>
      </c>
      <c r="E124" s="326">
        <f>SUM(E125:E130)</f>
        <v>3337.47</v>
      </c>
      <c r="F124" s="326"/>
      <c r="G124" s="326">
        <f t="shared" ref="G124:N124" si="29">SUM(G125:G130)</f>
        <v>0</v>
      </c>
      <c r="H124" s="326">
        <f t="shared" si="29"/>
        <v>24</v>
      </c>
      <c r="I124" s="326">
        <f t="shared" si="29"/>
        <v>3313.47</v>
      </c>
      <c r="J124" s="326">
        <f t="shared" si="29"/>
        <v>3313.47</v>
      </c>
      <c r="K124" s="326">
        <f t="shared" si="29"/>
        <v>485.68100000000004</v>
      </c>
      <c r="L124" s="326">
        <f t="shared" si="29"/>
        <v>769.15000000000009</v>
      </c>
      <c r="M124" s="326">
        <f t="shared" si="29"/>
        <v>0</v>
      </c>
      <c r="N124" s="326">
        <f t="shared" si="29"/>
        <v>3030.0009999999997</v>
      </c>
      <c r="O124" s="352"/>
    </row>
    <row r="125" spans="1:15" s="328" customFormat="1" ht="18.75" customHeight="1">
      <c r="A125" s="338"/>
      <c r="B125" s="337" t="s">
        <v>843</v>
      </c>
      <c r="C125" s="338"/>
      <c r="D125" s="339">
        <v>3093</v>
      </c>
      <c r="E125" s="339">
        <v>3093</v>
      </c>
      <c r="F125" s="339"/>
      <c r="G125" s="339"/>
      <c r="H125" s="339"/>
      <c r="I125" s="339">
        <f>E125+F125-(G125+H125)</f>
        <v>3093</v>
      </c>
      <c r="J125" s="339">
        <v>3093</v>
      </c>
      <c r="K125" s="339"/>
      <c r="L125" s="339">
        <f>850.364-54.354-2.834-2.026-22</f>
        <v>769.15000000000009</v>
      </c>
      <c r="M125" s="340"/>
      <c r="N125" s="340">
        <f t="shared" ref="N125:N130" si="30">J125+K125-(L125+M125)</f>
        <v>2323.85</v>
      </c>
      <c r="O125" s="297"/>
    </row>
    <row r="126" spans="1:15" s="328" customFormat="1" ht="18.75" customHeight="1">
      <c r="A126" s="338"/>
      <c r="B126" s="341" t="s">
        <v>891</v>
      </c>
      <c r="C126" s="338"/>
      <c r="D126" s="339">
        <f>C124*12</f>
        <v>240</v>
      </c>
      <c r="E126" s="339">
        <v>240</v>
      </c>
      <c r="F126" s="339"/>
      <c r="G126" s="339"/>
      <c r="H126" s="339">
        <f>D126*0.1</f>
        <v>24</v>
      </c>
      <c r="I126" s="339">
        <f>E126+F126-(G126+H126)</f>
        <v>216</v>
      </c>
      <c r="J126" s="339">
        <v>216</v>
      </c>
      <c r="K126" s="339"/>
      <c r="L126" s="339"/>
      <c r="M126" s="340"/>
      <c r="N126" s="340">
        <f t="shared" si="30"/>
        <v>216</v>
      </c>
      <c r="O126" s="297"/>
    </row>
    <row r="127" spans="1:15" s="328" customFormat="1" ht="18.75" customHeight="1">
      <c r="A127" s="338"/>
      <c r="B127" s="351" t="s">
        <v>880</v>
      </c>
      <c r="C127" s="338"/>
      <c r="D127" s="339"/>
      <c r="E127" s="339"/>
      <c r="F127" s="339"/>
      <c r="G127" s="339"/>
      <c r="H127" s="339"/>
      <c r="I127" s="339"/>
      <c r="J127" s="339"/>
      <c r="K127" s="339">
        <v>6.6719999999999997</v>
      </c>
      <c r="L127" s="339"/>
      <c r="M127" s="340"/>
      <c r="N127" s="340">
        <f t="shared" si="30"/>
        <v>6.6719999999999997</v>
      </c>
      <c r="O127" s="297"/>
    </row>
    <row r="128" spans="1:15" s="328" customFormat="1" ht="18.75" customHeight="1">
      <c r="A128" s="338"/>
      <c r="B128" s="351" t="s">
        <v>840</v>
      </c>
      <c r="C128" s="338"/>
      <c r="D128" s="339"/>
      <c r="E128" s="339"/>
      <c r="F128" s="339"/>
      <c r="G128" s="339"/>
      <c r="H128" s="339"/>
      <c r="I128" s="339"/>
      <c r="J128" s="339"/>
      <c r="K128" s="339">
        <v>22.670999999999999</v>
      </c>
      <c r="L128" s="339"/>
      <c r="M128" s="340"/>
      <c r="N128" s="340">
        <f t="shared" si="30"/>
        <v>22.670999999999999</v>
      </c>
      <c r="O128" s="297"/>
    </row>
    <row r="129" spans="1:15" s="328" customFormat="1" ht="18.75" customHeight="1">
      <c r="A129" s="338"/>
      <c r="B129" s="341" t="s">
        <v>876</v>
      </c>
      <c r="C129" s="338"/>
      <c r="D129" s="339"/>
      <c r="E129" s="339"/>
      <c r="F129" s="339"/>
      <c r="G129" s="339"/>
      <c r="H129" s="339"/>
      <c r="I129" s="339"/>
      <c r="J129" s="339"/>
      <c r="K129" s="339">
        <v>456.33800000000002</v>
      </c>
      <c r="L129" s="339"/>
      <c r="M129" s="340"/>
      <c r="N129" s="340">
        <f t="shared" si="30"/>
        <v>456.33800000000002</v>
      </c>
      <c r="O129" s="297"/>
    </row>
    <row r="130" spans="1:15" s="328" customFormat="1" ht="29.25" customHeight="1">
      <c r="A130" s="338"/>
      <c r="B130" s="341" t="s">
        <v>841</v>
      </c>
      <c r="C130" s="338"/>
      <c r="D130" s="339">
        <v>4.47</v>
      </c>
      <c r="E130" s="339">
        <v>4.47</v>
      </c>
      <c r="F130" s="339"/>
      <c r="G130" s="339"/>
      <c r="H130" s="339"/>
      <c r="I130" s="339">
        <f>E130+F130-(G130+H130)</f>
        <v>4.47</v>
      </c>
      <c r="J130" s="339">
        <v>4.47</v>
      </c>
      <c r="K130" s="339"/>
      <c r="L130" s="339"/>
      <c r="M130" s="340"/>
      <c r="N130" s="340">
        <f t="shared" si="30"/>
        <v>4.47</v>
      </c>
      <c r="O130" s="297"/>
    </row>
    <row r="131" spans="1:15" s="334" customFormat="1" ht="18.75" customHeight="1">
      <c r="A131" s="324">
        <v>6</v>
      </c>
      <c r="B131" s="323" t="s">
        <v>892</v>
      </c>
      <c r="C131" s="324">
        <f>'[9]Quy luong 2022'!C532</f>
        <v>22</v>
      </c>
      <c r="D131" s="326">
        <f>SUM(D132:D138)</f>
        <v>3942.47</v>
      </c>
      <c r="E131" s="326">
        <f>SUM(E132:E138)</f>
        <v>3942.47</v>
      </c>
      <c r="F131" s="326"/>
      <c r="G131" s="326">
        <f t="shared" ref="G131:N131" si="31">SUM(G132:G138)</f>
        <v>0</v>
      </c>
      <c r="H131" s="326">
        <f t="shared" si="31"/>
        <v>27.400000000000002</v>
      </c>
      <c r="I131" s="326">
        <f t="shared" si="31"/>
        <v>3915.0699999999997</v>
      </c>
      <c r="J131" s="326">
        <f t="shared" si="31"/>
        <v>3915.0699999999997</v>
      </c>
      <c r="K131" s="326">
        <f t="shared" si="31"/>
        <v>188.94900000000001</v>
      </c>
      <c r="L131" s="326">
        <f t="shared" si="31"/>
        <v>730.39699999999993</v>
      </c>
      <c r="M131" s="326">
        <f t="shared" si="31"/>
        <v>0</v>
      </c>
      <c r="N131" s="326">
        <f t="shared" si="31"/>
        <v>3373.6219999999998</v>
      </c>
      <c r="O131" s="352"/>
    </row>
    <row r="132" spans="1:15" s="366" customFormat="1" ht="18.75" customHeight="1">
      <c r="A132" s="338"/>
      <c r="B132" s="362" t="s">
        <v>843</v>
      </c>
      <c r="C132" s="338"/>
      <c r="D132" s="363">
        <v>3664</v>
      </c>
      <c r="E132" s="363">
        <v>3664</v>
      </c>
      <c r="F132" s="363"/>
      <c r="G132" s="363"/>
      <c r="H132" s="363"/>
      <c r="I132" s="363">
        <f>E132+F132-(G132+H132)</f>
        <v>3664</v>
      </c>
      <c r="J132" s="363">
        <v>3664</v>
      </c>
      <c r="K132" s="363"/>
      <c r="L132" s="363">
        <f>907.385-54.354-7.832-10.182-73.097-4.023-27.5</f>
        <v>730.39699999999993</v>
      </c>
      <c r="M132" s="364"/>
      <c r="N132" s="364">
        <f t="shared" ref="N132:N138" si="32">J132+K132-(L132+M132)</f>
        <v>2933.6030000000001</v>
      </c>
      <c r="O132" s="365"/>
    </row>
    <row r="133" spans="1:15" s="328" customFormat="1" ht="18.75" customHeight="1">
      <c r="A133" s="338"/>
      <c r="B133" s="341" t="s">
        <v>893</v>
      </c>
      <c r="C133" s="338"/>
      <c r="D133" s="339">
        <f>C131*12</f>
        <v>264</v>
      </c>
      <c r="E133" s="339">
        <v>264</v>
      </c>
      <c r="F133" s="339"/>
      <c r="G133" s="339"/>
      <c r="H133" s="339">
        <f>D133*0.1</f>
        <v>26.400000000000002</v>
      </c>
      <c r="I133" s="339">
        <f>E133+F133-(G133+H133)</f>
        <v>237.6</v>
      </c>
      <c r="J133" s="339">
        <v>237.6</v>
      </c>
      <c r="K133" s="339"/>
      <c r="L133" s="339"/>
      <c r="M133" s="340"/>
      <c r="N133" s="340">
        <f t="shared" si="32"/>
        <v>237.6</v>
      </c>
      <c r="O133" s="297"/>
    </row>
    <row r="134" spans="1:15" s="328" customFormat="1" ht="18.75" customHeight="1">
      <c r="A134" s="338"/>
      <c r="B134" s="351" t="s">
        <v>880</v>
      </c>
      <c r="C134" s="338"/>
      <c r="D134" s="339"/>
      <c r="E134" s="339"/>
      <c r="F134" s="339"/>
      <c r="G134" s="339"/>
      <c r="H134" s="339"/>
      <c r="I134" s="339"/>
      <c r="J134" s="339"/>
      <c r="K134" s="339">
        <v>8.8960000000000008</v>
      </c>
      <c r="L134" s="339"/>
      <c r="M134" s="340"/>
      <c r="N134" s="340">
        <f t="shared" si="32"/>
        <v>8.8960000000000008</v>
      </c>
      <c r="O134" s="297"/>
    </row>
    <row r="135" spans="1:15" s="328" customFormat="1" ht="18.75" customHeight="1">
      <c r="A135" s="338"/>
      <c r="B135" s="351" t="s">
        <v>840</v>
      </c>
      <c r="C135" s="338"/>
      <c r="D135" s="339"/>
      <c r="E135" s="339"/>
      <c r="F135" s="339"/>
      <c r="G135" s="339"/>
      <c r="H135" s="339"/>
      <c r="I135" s="339"/>
      <c r="J135" s="339"/>
      <c r="K135" s="339">
        <v>82.353999999999999</v>
      </c>
      <c r="L135" s="339"/>
      <c r="M135" s="340"/>
      <c r="N135" s="340">
        <f t="shared" si="32"/>
        <v>82.353999999999999</v>
      </c>
      <c r="O135" s="297"/>
    </row>
    <row r="136" spans="1:15" s="328" customFormat="1" ht="18.75" customHeight="1">
      <c r="A136" s="338"/>
      <c r="B136" s="341" t="s">
        <v>876</v>
      </c>
      <c r="C136" s="338"/>
      <c r="D136" s="339"/>
      <c r="E136" s="339"/>
      <c r="F136" s="339"/>
      <c r="G136" s="339"/>
      <c r="H136" s="339"/>
      <c r="I136" s="339"/>
      <c r="J136" s="339"/>
      <c r="K136" s="339">
        <v>97.698999999999998</v>
      </c>
      <c r="L136" s="339"/>
      <c r="M136" s="340"/>
      <c r="N136" s="340">
        <f t="shared" si="32"/>
        <v>97.698999999999998</v>
      </c>
      <c r="O136" s="297"/>
    </row>
    <row r="137" spans="1:15" s="328" customFormat="1" ht="18.75" customHeight="1">
      <c r="A137" s="338"/>
      <c r="B137" s="341" t="s">
        <v>883</v>
      </c>
      <c r="C137" s="338"/>
      <c r="D137" s="339">
        <v>10</v>
      </c>
      <c r="E137" s="339">
        <v>10</v>
      </c>
      <c r="F137" s="339"/>
      <c r="G137" s="339"/>
      <c r="H137" s="339">
        <f>D137*0.1</f>
        <v>1</v>
      </c>
      <c r="I137" s="339">
        <f>E137+F137-(G137+H137)</f>
        <v>9</v>
      </c>
      <c r="J137" s="339">
        <v>9</v>
      </c>
      <c r="K137" s="339"/>
      <c r="L137" s="339"/>
      <c r="M137" s="340"/>
      <c r="N137" s="340">
        <f t="shared" si="32"/>
        <v>9</v>
      </c>
      <c r="O137" s="297"/>
    </row>
    <row r="138" spans="1:15" s="328" customFormat="1" ht="28.5" customHeight="1">
      <c r="A138" s="338"/>
      <c r="B138" s="341" t="s">
        <v>841</v>
      </c>
      <c r="C138" s="338"/>
      <c r="D138" s="339">
        <v>4.47</v>
      </c>
      <c r="E138" s="339">
        <v>4.47</v>
      </c>
      <c r="F138" s="339"/>
      <c r="G138" s="339"/>
      <c r="H138" s="339"/>
      <c r="I138" s="339">
        <f>E138+F138-(G138+H138)</f>
        <v>4.47</v>
      </c>
      <c r="J138" s="339">
        <v>4.47</v>
      </c>
      <c r="K138" s="339"/>
      <c r="L138" s="339"/>
      <c r="M138" s="340"/>
      <c r="N138" s="340">
        <f t="shared" si="32"/>
        <v>4.47</v>
      </c>
      <c r="O138" s="297"/>
    </row>
    <row r="139" spans="1:15" s="334" customFormat="1" ht="18.75" customHeight="1">
      <c r="A139" s="324">
        <v>7</v>
      </c>
      <c r="B139" s="323" t="s">
        <v>894</v>
      </c>
      <c r="C139" s="324">
        <f>'[9]Quy luong 2022'!C645</f>
        <v>31</v>
      </c>
      <c r="D139" s="326">
        <f>SUM(D140:D146)</f>
        <v>5944.52</v>
      </c>
      <c r="E139" s="326">
        <f>SUM(E140:E146)</f>
        <v>5944.52</v>
      </c>
      <c r="F139" s="326"/>
      <c r="G139" s="326">
        <f t="shared" ref="G139:N139" si="33">SUM(G140:G146)</f>
        <v>0</v>
      </c>
      <c r="H139" s="326">
        <f t="shared" si="33"/>
        <v>36.799999999999997</v>
      </c>
      <c r="I139" s="326">
        <f t="shared" si="33"/>
        <v>5907.72</v>
      </c>
      <c r="J139" s="326">
        <f t="shared" si="33"/>
        <v>5907.72</v>
      </c>
      <c r="K139" s="326">
        <f t="shared" si="33"/>
        <v>67.037000000000006</v>
      </c>
      <c r="L139" s="326">
        <f t="shared" si="33"/>
        <v>855.57299999999987</v>
      </c>
      <c r="M139" s="326">
        <f t="shared" si="33"/>
        <v>0</v>
      </c>
      <c r="N139" s="326">
        <f t="shared" si="33"/>
        <v>5119.1840000000011</v>
      </c>
      <c r="O139" s="352"/>
    </row>
    <row r="140" spans="1:15" s="328" customFormat="1" ht="18.75" customHeight="1">
      <c r="A140" s="338"/>
      <c r="B140" s="337" t="s">
        <v>843</v>
      </c>
      <c r="C140" s="338"/>
      <c r="D140" s="339">
        <v>5572</v>
      </c>
      <c r="E140" s="339">
        <v>5572</v>
      </c>
      <c r="F140" s="339"/>
      <c r="G140" s="339"/>
      <c r="H140" s="339"/>
      <c r="I140" s="339">
        <f>E140+F140-(G140+H140)</f>
        <v>5572</v>
      </c>
      <c r="J140" s="339">
        <v>5572</v>
      </c>
      <c r="K140" s="339"/>
      <c r="L140" s="339">
        <f>922.549-20.46-5.52-5.796-35.2</f>
        <v>855.57299999999987</v>
      </c>
      <c r="M140" s="340"/>
      <c r="N140" s="340">
        <f t="shared" ref="N140:N146" si="34">J140+K140-(L140+M140)</f>
        <v>4716.4269999999997</v>
      </c>
      <c r="O140" s="297"/>
    </row>
    <row r="141" spans="1:15" s="328" customFormat="1" ht="18.75" customHeight="1">
      <c r="A141" s="338"/>
      <c r="B141" s="341" t="s">
        <v>895</v>
      </c>
      <c r="C141" s="338"/>
      <c r="D141" s="339">
        <f>C139*11+17.05</f>
        <v>358.05</v>
      </c>
      <c r="E141" s="339">
        <v>358.05</v>
      </c>
      <c r="F141" s="339"/>
      <c r="G141" s="339"/>
      <c r="H141" s="339">
        <v>35.799999999999997</v>
      </c>
      <c r="I141" s="339">
        <f>E141+F141-(G141+H141)</f>
        <v>322.25</v>
      </c>
      <c r="J141" s="339">
        <v>322.25</v>
      </c>
      <c r="K141" s="339"/>
      <c r="L141" s="339"/>
      <c r="M141" s="340"/>
      <c r="N141" s="340">
        <f t="shared" si="34"/>
        <v>322.25</v>
      </c>
      <c r="O141" s="297"/>
    </row>
    <row r="142" spans="1:15" s="328" customFormat="1" ht="18.75" customHeight="1">
      <c r="A142" s="338"/>
      <c r="B142" s="351" t="s">
        <v>880</v>
      </c>
      <c r="C142" s="338"/>
      <c r="D142" s="339"/>
      <c r="E142" s="339"/>
      <c r="F142" s="339"/>
      <c r="G142" s="339"/>
      <c r="H142" s="339"/>
      <c r="I142" s="339"/>
      <c r="J142" s="339"/>
      <c r="K142" s="339">
        <v>13.377000000000001</v>
      </c>
      <c r="L142" s="339"/>
      <c r="M142" s="340"/>
      <c r="N142" s="340">
        <f t="shared" si="34"/>
        <v>13.377000000000001</v>
      </c>
      <c r="O142" s="297"/>
    </row>
    <row r="143" spans="1:15" s="328" customFormat="1" ht="18.75" customHeight="1">
      <c r="A143" s="338"/>
      <c r="B143" s="351" t="s">
        <v>840</v>
      </c>
      <c r="C143" s="338"/>
      <c r="D143" s="339"/>
      <c r="E143" s="339"/>
      <c r="F143" s="339"/>
      <c r="G143" s="339"/>
      <c r="H143" s="339"/>
      <c r="I143" s="339"/>
      <c r="J143" s="339"/>
      <c r="K143" s="339">
        <v>31.779</v>
      </c>
      <c r="L143" s="339"/>
      <c r="M143" s="340"/>
      <c r="N143" s="340">
        <f t="shared" si="34"/>
        <v>31.779</v>
      </c>
      <c r="O143" s="297"/>
    </row>
    <row r="144" spans="1:15" s="328" customFormat="1" ht="18.75" customHeight="1">
      <c r="A144" s="338"/>
      <c r="B144" s="341" t="s">
        <v>876</v>
      </c>
      <c r="C144" s="338"/>
      <c r="D144" s="339"/>
      <c r="E144" s="339"/>
      <c r="F144" s="339"/>
      <c r="G144" s="339"/>
      <c r="H144" s="339"/>
      <c r="I144" s="339"/>
      <c r="J144" s="339"/>
      <c r="K144" s="339">
        <v>21.881</v>
      </c>
      <c r="L144" s="339"/>
      <c r="M144" s="340"/>
      <c r="N144" s="340">
        <f t="shared" si="34"/>
        <v>21.881</v>
      </c>
      <c r="O144" s="297"/>
    </row>
    <row r="145" spans="1:15" s="328" customFormat="1" ht="31.5" customHeight="1">
      <c r="A145" s="338"/>
      <c r="B145" s="341" t="s">
        <v>884</v>
      </c>
      <c r="C145" s="338"/>
      <c r="D145" s="339">
        <v>10</v>
      </c>
      <c r="E145" s="339">
        <v>10</v>
      </c>
      <c r="F145" s="339"/>
      <c r="G145" s="339"/>
      <c r="H145" s="339">
        <f>D145*0.1</f>
        <v>1</v>
      </c>
      <c r="I145" s="339">
        <f>E145+F145-(G145+H145)</f>
        <v>9</v>
      </c>
      <c r="J145" s="339">
        <v>9</v>
      </c>
      <c r="K145" s="339"/>
      <c r="L145" s="339"/>
      <c r="M145" s="340"/>
      <c r="N145" s="340">
        <f t="shared" si="34"/>
        <v>9</v>
      </c>
      <c r="O145" s="297"/>
    </row>
    <row r="146" spans="1:15" s="328" customFormat="1" ht="29.25" customHeight="1">
      <c r="A146" s="338"/>
      <c r="B146" s="341" t="s">
        <v>841</v>
      </c>
      <c r="C146" s="338"/>
      <c r="D146" s="339">
        <v>4.47</v>
      </c>
      <c r="E146" s="339">
        <v>4.47</v>
      </c>
      <c r="F146" s="339"/>
      <c r="G146" s="339"/>
      <c r="H146" s="339"/>
      <c r="I146" s="339">
        <f>E146+F146-(G146+H146)</f>
        <v>4.47</v>
      </c>
      <c r="J146" s="339">
        <v>4.47</v>
      </c>
      <c r="K146" s="339"/>
      <c r="L146" s="339"/>
      <c r="M146" s="340"/>
      <c r="N146" s="340">
        <f t="shared" si="34"/>
        <v>4.47</v>
      </c>
      <c r="O146" s="297"/>
    </row>
    <row r="147" spans="1:15" s="334" customFormat="1" ht="18.75" customHeight="1">
      <c r="A147" s="324">
        <v>8</v>
      </c>
      <c r="B147" s="323" t="s">
        <v>896</v>
      </c>
      <c r="C147" s="324">
        <f>'[9]Quy luong 2022'!C396</f>
        <v>39</v>
      </c>
      <c r="D147" s="326">
        <f>SUM(D148:D153)</f>
        <v>5378.47</v>
      </c>
      <c r="E147" s="326">
        <f>SUM(E148:E153)</f>
        <v>5378.47</v>
      </c>
      <c r="F147" s="326"/>
      <c r="G147" s="326">
        <f t="shared" ref="G147:N147" si="35">SUM(G148:G153)</f>
        <v>0</v>
      </c>
      <c r="H147" s="326">
        <f t="shared" si="35"/>
        <v>44.400000000000006</v>
      </c>
      <c r="I147" s="326">
        <f t="shared" si="35"/>
        <v>5334.0700000000006</v>
      </c>
      <c r="J147" s="326">
        <f t="shared" si="35"/>
        <v>5334.0700000000006</v>
      </c>
      <c r="K147" s="326">
        <f t="shared" si="35"/>
        <v>37.494</v>
      </c>
      <c r="L147" s="326">
        <f t="shared" si="35"/>
        <v>161.90800000000004</v>
      </c>
      <c r="M147" s="326">
        <f t="shared" si="35"/>
        <v>0</v>
      </c>
      <c r="N147" s="326">
        <f t="shared" si="35"/>
        <v>5209.6560000000009</v>
      </c>
      <c r="O147" s="352"/>
    </row>
    <row r="148" spans="1:15" s="328" customFormat="1" ht="18.75" customHeight="1">
      <c r="A148" s="338"/>
      <c r="B148" s="337" t="s">
        <v>843</v>
      </c>
      <c r="C148" s="338"/>
      <c r="D148" s="339">
        <v>4930</v>
      </c>
      <c r="E148" s="339">
        <v>4930</v>
      </c>
      <c r="F148" s="339"/>
      <c r="G148" s="339"/>
      <c r="H148" s="339"/>
      <c r="I148" s="339">
        <f>E148+F148-(G148+H148)</f>
        <v>4930</v>
      </c>
      <c r="J148" s="339">
        <v>4930</v>
      </c>
      <c r="K148" s="339"/>
      <c r="L148" s="339">
        <f>281.418-40.766-8.98-3.029-11.652-41.8-13.283</f>
        <v>161.90800000000004</v>
      </c>
      <c r="M148" s="340"/>
      <c r="N148" s="340">
        <f t="shared" ref="N148:N153" si="36">J148+K148-(L148+M148)</f>
        <v>4768.0919999999996</v>
      </c>
      <c r="O148" s="297"/>
    </row>
    <row r="149" spans="1:15" s="328" customFormat="1" ht="18.75" customHeight="1">
      <c r="A149" s="338"/>
      <c r="B149" s="341" t="s">
        <v>882</v>
      </c>
      <c r="C149" s="338"/>
      <c r="D149" s="339">
        <f>C147*11</f>
        <v>429</v>
      </c>
      <c r="E149" s="339">
        <v>429</v>
      </c>
      <c r="F149" s="339"/>
      <c r="G149" s="339"/>
      <c r="H149" s="339">
        <f>D149*0.1</f>
        <v>42.900000000000006</v>
      </c>
      <c r="I149" s="339">
        <f>E149+F149-(G149+H149)</f>
        <v>386.1</v>
      </c>
      <c r="J149" s="339">
        <v>386.1</v>
      </c>
      <c r="K149" s="339"/>
      <c r="L149" s="339"/>
      <c r="M149" s="340"/>
      <c r="N149" s="340">
        <f t="shared" si="36"/>
        <v>386.1</v>
      </c>
      <c r="O149" s="297"/>
    </row>
    <row r="150" spans="1:15" s="328" customFormat="1" ht="18.75" customHeight="1">
      <c r="A150" s="338"/>
      <c r="B150" s="351" t="s">
        <v>880</v>
      </c>
      <c r="C150" s="338"/>
      <c r="D150" s="339"/>
      <c r="E150" s="339"/>
      <c r="F150" s="339"/>
      <c r="G150" s="339"/>
      <c r="H150" s="339"/>
      <c r="I150" s="339"/>
      <c r="J150" s="339"/>
      <c r="K150" s="339">
        <v>15.568</v>
      </c>
      <c r="L150" s="339"/>
      <c r="M150" s="340"/>
      <c r="N150" s="340">
        <f t="shared" si="36"/>
        <v>15.568</v>
      </c>
      <c r="O150" s="297"/>
    </row>
    <row r="151" spans="1:15" s="328" customFormat="1" ht="18.75" customHeight="1">
      <c r="A151" s="338"/>
      <c r="B151" s="351" t="s">
        <v>840</v>
      </c>
      <c r="C151" s="338"/>
      <c r="D151" s="339"/>
      <c r="E151" s="339"/>
      <c r="F151" s="339"/>
      <c r="G151" s="339"/>
      <c r="H151" s="339"/>
      <c r="I151" s="339"/>
      <c r="J151" s="339"/>
      <c r="K151" s="339">
        <v>21.925999999999998</v>
      </c>
      <c r="L151" s="339"/>
      <c r="M151" s="340"/>
      <c r="N151" s="340">
        <f t="shared" si="36"/>
        <v>21.925999999999998</v>
      </c>
      <c r="O151" s="297"/>
    </row>
    <row r="152" spans="1:15" s="328" customFormat="1" ht="18.75" customHeight="1">
      <c r="A152" s="338"/>
      <c r="B152" s="341" t="s">
        <v>897</v>
      </c>
      <c r="C152" s="338"/>
      <c r="D152" s="339">
        <v>15</v>
      </c>
      <c r="E152" s="339">
        <v>15</v>
      </c>
      <c r="F152" s="339"/>
      <c r="G152" s="339"/>
      <c r="H152" s="339">
        <f>D152*0.1</f>
        <v>1.5</v>
      </c>
      <c r="I152" s="339">
        <f>E152+F152-(G152+H152)</f>
        <v>13.5</v>
      </c>
      <c r="J152" s="339">
        <v>13.5</v>
      </c>
      <c r="K152" s="339"/>
      <c r="L152" s="339"/>
      <c r="M152" s="340"/>
      <c r="N152" s="340">
        <f t="shared" si="36"/>
        <v>13.5</v>
      </c>
      <c r="O152" s="297"/>
    </row>
    <row r="153" spans="1:15" s="328" customFormat="1" ht="32.25" customHeight="1">
      <c r="A153" s="338"/>
      <c r="B153" s="341" t="s">
        <v>841</v>
      </c>
      <c r="C153" s="338"/>
      <c r="D153" s="339">
        <v>4.47</v>
      </c>
      <c r="E153" s="339">
        <v>4.47</v>
      </c>
      <c r="F153" s="339"/>
      <c r="G153" s="339"/>
      <c r="H153" s="339"/>
      <c r="I153" s="339">
        <f>E153+F153-(G153+H153)</f>
        <v>4.47</v>
      </c>
      <c r="J153" s="339">
        <v>4.47</v>
      </c>
      <c r="K153" s="339"/>
      <c r="L153" s="339"/>
      <c r="M153" s="340"/>
      <c r="N153" s="340">
        <f t="shared" si="36"/>
        <v>4.47</v>
      </c>
      <c r="O153" s="297"/>
    </row>
    <row r="154" spans="1:15" s="334" customFormat="1" ht="18.75" customHeight="1">
      <c r="A154" s="323" t="s">
        <v>94</v>
      </c>
      <c r="B154" s="323" t="s">
        <v>898</v>
      </c>
      <c r="C154" s="324">
        <f>C155+C162+C171+C179+C186+C194+C199+C207+C214+C224+C230+C239+C246+C260+C254</f>
        <v>484</v>
      </c>
      <c r="D154" s="361">
        <f>D155+D162+D171+D179+D186+D194+D199+D207+D214+D224+D230+D239+D246+D254+D260</f>
        <v>81234.051000000007</v>
      </c>
      <c r="E154" s="361">
        <f>E155+E162+E171+E179+E186+E194+E199+E207+E214+E224+E230+E239+E246+E254+E260</f>
        <v>81234.051000000007</v>
      </c>
      <c r="F154" s="361"/>
      <c r="G154" s="361">
        <f t="shared" ref="G154:N154" si="37">G155+G162+G171+G179+G186+G194+G199+G207+G214+G224+G230+G239+G246+G254+G260</f>
        <v>0</v>
      </c>
      <c r="H154" s="361">
        <f t="shared" si="37"/>
        <v>586.86</v>
      </c>
      <c r="I154" s="361">
        <f t="shared" si="37"/>
        <v>80647.191000000021</v>
      </c>
      <c r="J154" s="361">
        <f t="shared" si="37"/>
        <v>80647.191000000021</v>
      </c>
      <c r="K154" s="361">
        <f t="shared" si="37"/>
        <v>2912.5239999999999</v>
      </c>
      <c r="L154" s="361">
        <f t="shared" si="37"/>
        <v>2470.9019999999996</v>
      </c>
      <c r="M154" s="361">
        <f t="shared" si="37"/>
        <v>337.85199999999992</v>
      </c>
      <c r="N154" s="361">
        <f t="shared" si="37"/>
        <v>80750.96100000001</v>
      </c>
      <c r="O154" s="352"/>
    </row>
    <row r="155" spans="1:15" s="334" customFormat="1" ht="18.75" customHeight="1">
      <c r="A155" s="324">
        <v>1</v>
      </c>
      <c r="B155" s="323" t="s">
        <v>899</v>
      </c>
      <c r="C155" s="324">
        <f>'[9]Quy luong 2022'!C737</f>
        <v>42</v>
      </c>
      <c r="D155" s="326">
        <f>D156+D157+D159+D160+D161</f>
        <v>5565.47</v>
      </c>
      <c r="E155" s="326">
        <f>E156+E157+E159+E160+E161</f>
        <v>5565.47</v>
      </c>
      <c r="F155" s="326"/>
      <c r="G155" s="326">
        <f t="shared" ref="G155:N155" si="38">G156+G157+G159+G160+G161</f>
        <v>0</v>
      </c>
      <c r="H155" s="326">
        <f t="shared" si="38"/>
        <v>53.7</v>
      </c>
      <c r="I155" s="326">
        <f t="shared" si="38"/>
        <v>5511.77</v>
      </c>
      <c r="J155" s="326">
        <f t="shared" si="38"/>
        <v>5511.77</v>
      </c>
      <c r="K155" s="326">
        <f t="shared" si="38"/>
        <v>178.29900000000001</v>
      </c>
      <c r="L155" s="326">
        <f t="shared" si="38"/>
        <v>0</v>
      </c>
      <c r="M155" s="326">
        <f t="shared" si="38"/>
        <v>50.902000000000001</v>
      </c>
      <c r="N155" s="326">
        <f t="shared" si="38"/>
        <v>5639.1670000000004</v>
      </c>
      <c r="O155" s="352"/>
    </row>
    <row r="156" spans="1:15" s="348" customFormat="1" ht="18.75" customHeight="1">
      <c r="A156" s="344"/>
      <c r="B156" s="367" t="s">
        <v>843</v>
      </c>
      <c r="C156" s="344"/>
      <c r="D156" s="345">
        <v>5024</v>
      </c>
      <c r="E156" s="345">
        <v>5024</v>
      </c>
      <c r="F156" s="345"/>
      <c r="G156" s="345"/>
      <c r="H156" s="345"/>
      <c r="I156" s="345">
        <f>E156+F156-(G156+H156)</f>
        <v>5024</v>
      </c>
      <c r="J156" s="345">
        <v>5024</v>
      </c>
      <c r="K156" s="345">
        <f>50.17+6.929+8.925+373.855-346.469+45.1+33.934+5.855</f>
        <v>178.29900000000001</v>
      </c>
      <c r="L156" s="345"/>
      <c r="M156" s="346"/>
      <c r="N156" s="346">
        <f t="shared" ref="N156:N161" si="39">J156+K156-(L156+M156)</f>
        <v>5202.299</v>
      </c>
      <c r="O156" s="347"/>
    </row>
    <row r="157" spans="1:15" s="328" customFormat="1" ht="18.75" customHeight="1">
      <c r="A157" s="338"/>
      <c r="B157" s="341" t="s">
        <v>900</v>
      </c>
      <c r="C157" s="338"/>
      <c r="D157" s="339">
        <f>C155*11</f>
        <v>462</v>
      </c>
      <c r="E157" s="339">
        <v>462</v>
      </c>
      <c r="F157" s="339"/>
      <c r="G157" s="339"/>
      <c r="H157" s="339">
        <f>D157*0.1</f>
        <v>46.2</v>
      </c>
      <c r="I157" s="339">
        <f>E157+F157-(G157+H157)</f>
        <v>415.8</v>
      </c>
      <c r="J157" s="339">
        <v>415.8</v>
      </c>
      <c r="K157" s="339"/>
      <c r="L157" s="339"/>
      <c r="M157" s="340">
        <v>50.902000000000001</v>
      </c>
      <c r="N157" s="340">
        <f t="shared" si="39"/>
        <v>364.89800000000002</v>
      </c>
      <c r="O157" s="297"/>
    </row>
    <row r="158" spans="1:15" s="328" customFormat="1" ht="18.75" customHeight="1">
      <c r="A158" s="338"/>
      <c r="B158" s="351" t="s">
        <v>901</v>
      </c>
      <c r="C158" s="338"/>
      <c r="D158" s="339"/>
      <c r="E158" s="339"/>
      <c r="F158" s="339"/>
      <c r="G158" s="339"/>
      <c r="H158" s="339"/>
      <c r="I158" s="339"/>
      <c r="J158" s="339"/>
      <c r="K158" s="339">
        <v>7.2439999999999998</v>
      </c>
      <c r="L158" s="339"/>
      <c r="M158" s="340"/>
      <c r="N158" s="340">
        <f t="shared" si="39"/>
        <v>7.2439999999999998</v>
      </c>
      <c r="O158" s="297"/>
    </row>
    <row r="159" spans="1:15" s="328" customFormat="1" ht="18.75" customHeight="1">
      <c r="A159" s="338"/>
      <c r="B159" s="341" t="s">
        <v>897</v>
      </c>
      <c r="C159" s="338"/>
      <c r="D159" s="339">
        <v>15</v>
      </c>
      <c r="E159" s="339">
        <v>15</v>
      </c>
      <c r="F159" s="339"/>
      <c r="G159" s="339"/>
      <c r="H159" s="339">
        <f>D159*0.1</f>
        <v>1.5</v>
      </c>
      <c r="I159" s="339">
        <f>E159+F159-(G159+H159)</f>
        <v>13.5</v>
      </c>
      <c r="J159" s="339">
        <v>13.5</v>
      </c>
      <c r="K159" s="339"/>
      <c r="L159" s="339"/>
      <c r="M159" s="340"/>
      <c r="N159" s="340">
        <f t="shared" si="39"/>
        <v>13.5</v>
      </c>
      <c r="O159" s="297"/>
    </row>
    <row r="160" spans="1:15" s="328" customFormat="1" ht="28.5" customHeight="1">
      <c r="A160" s="338"/>
      <c r="B160" s="341" t="s">
        <v>841</v>
      </c>
      <c r="C160" s="338"/>
      <c r="D160" s="339">
        <v>4.47</v>
      </c>
      <c r="E160" s="339">
        <v>4.47</v>
      </c>
      <c r="F160" s="339"/>
      <c r="G160" s="339"/>
      <c r="H160" s="339"/>
      <c r="I160" s="339">
        <f>E160+F160-(G160+H160)</f>
        <v>4.47</v>
      </c>
      <c r="J160" s="339">
        <v>4.47</v>
      </c>
      <c r="K160" s="339"/>
      <c r="L160" s="339"/>
      <c r="M160" s="340"/>
      <c r="N160" s="340">
        <f t="shared" si="39"/>
        <v>4.47</v>
      </c>
      <c r="O160" s="297"/>
    </row>
    <row r="161" spans="1:27" s="328" customFormat="1" ht="18.75" customHeight="1">
      <c r="A161" s="338"/>
      <c r="B161" s="341" t="s">
        <v>902</v>
      </c>
      <c r="C161" s="338"/>
      <c r="D161" s="339">
        <v>60</v>
      </c>
      <c r="E161" s="339">
        <v>60</v>
      </c>
      <c r="F161" s="339"/>
      <c r="G161" s="339"/>
      <c r="H161" s="339">
        <f>D161*0.1</f>
        <v>6</v>
      </c>
      <c r="I161" s="339">
        <f>E161+F161-(G161+H161)</f>
        <v>54</v>
      </c>
      <c r="J161" s="339">
        <v>54</v>
      </c>
      <c r="K161" s="339"/>
      <c r="L161" s="339"/>
      <c r="M161" s="340"/>
      <c r="N161" s="340">
        <f t="shared" si="39"/>
        <v>54</v>
      </c>
      <c r="O161" s="297"/>
    </row>
    <row r="162" spans="1:27" s="334" customFormat="1" ht="18.75" customHeight="1">
      <c r="A162" s="324">
        <v>2</v>
      </c>
      <c r="B162" s="323" t="s">
        <v>903</v>
      </c>
      <c r="C162" s="324">
        <f>'[9]Quy luong 2022'!C1055</f>
        <v>30</v>
      </c>
      <c r="D162" s="326">
        <f>SUM(D163:D170)</f>
        <v>5260.47</v>
      </c>
      <c r="E162" s="326">
        <f>SUM(E163:E170)</f>
        <v>5260.47</v>
      </c>
      <c r="F162" s="326"/>
      <c r="G162" s="326">
        <f t="shared" ref="G162:N162" si="40">SUM(G163:G170)</f>
        <v>0</v>
      </c>
      <c r="H162" s="326">
        <f t="shared" si="40"/>
        <v>37</v>
      </c>
      <c r="I162" s="326">
        <f t="shared" si="40"/>
        <v>5223.47</v>
      </c>
      <c r="J162" s="326">
        <f t="shared" si="40"/>
        <v>5223.47</v>
      </c>
      <c r="K162" s="326">
        <f t="shared" si="40"/>
        <v>232.27800000000002</v>
      </c>
      <c r="L162" s="326">
        <f t="shared" si="40"/>
        <v>406.33300000000003</v>
      </c>
      <c r="M162" s="326">
        <f t="shared" si="40"/>
        <v>13.388999999999999</v>
      </c>
      <c r="N162" s="326">
        <f t="shared" si="40"/>
        <v>5036.0260000000007</v>
      </c>
      <c r="O162" s="352"/>
    </row>
    <row r="163" spans="1:27" s="328" customFormat="1" ht="18.75" customHeight="1">
      <c r="A163" s="338"/>
      <c r="B163" s="337" t="s">
        <v>843</v>
      </c>
      <c r="C163" s="338"/>
      <c r="D163" s="339">
        <v>4886</v>
      </c>
      <c r="E163" s="339">
        <v>4886</v>
      </c>
      <c r="F163" s="339"/>
      <c r="G163" s="339"/>
      <c r="H163" s="339"/>
      <c r="I163" s="339">
        <f>E163+F163-(G163+H163)</f>
        <v>4886</v>
      </c>
      <c r="J163" s="339">
        <v>4886</v>
      </c>
      <c r="K163" s="339"/>
      <c r="L163" s="339">
        <f>520.106-20.46-6.839-17.151-8.243-20.254-8.926-31.9</f>
        <v>406.33300000000003</v>
      </c>
      <c r="M163" s="340"/>
      <c r="N163" s="340">
        <f t="shared" ref="N163:N170" si="41">J163+K163-(L163+M163)</f>
        <v>4479.6670000000004</v>
      </c>
      <c r="O163" s="297"/>
    </row>
    <row r="164" spans="1:27" s="328" customFormat="1" ht="18.75" customHeight="1">
      <c r="A164" s="338"/>
      <c r="B164" s="341" t="s">
        <v>844</v>
      </c>
      <c r="C164" s="338"/>
      <c r="D164" s="339">
        <f>C162*12</f>
        <v>360</v>
      </c>
      <c r="E164" s="339">
        <v>360</v>
      </c>
      <c r="F164" s="339"/>
      <c r="G164" s="339"/>
      <c r="H164" s="339">
        <f>D164*0.1</f>
        <v>36</v>
      </c>
      <c r="I164" s="339">
        <f>E164+F164-(G164+H164)</f>
        <v>324</v>
      </c>
      <c r="J164" s="339">
        <v>324</v>
      </c>
      <c r="K164" s="339"/>
      <c r="L164" s="339"/>
      <c r="M164" s="340">
        <v>13.388999999999999</v>
      </c>
      <c r="N164" s="340">
        <f t="shared" si="41"/>
        <v>310.61099999999999</v>
      </c>
      <c r="O164" s="297"/>
    </row>
    <row r="165" spans="1:27" s="328" customFormat="1" ht="18.75" customHeight="1">
      <c r="A165" s="338"/>
      <c r="B165" s="351" t="s">
        <v>840</v>
      </c>
      <c r="C165" s="338"/>
      <c r="D165" s="339"/>
      <c r="E165" s="339"/>
      <c r="F165" s="339"/>
      <c r="G165" s="339"/>
      <c r="H165" s="339"/>
      <c r="I165" s="339"/>
      <c r="J165" s="339"/>
      <c r="K165" s="339">
        <v>40.212000000000003</v>
      </c>
      <c r="L165" s="339"/>
      <c r="M165" s="340"/>
      <c r="N165" s="340">
        <f t="shared" si="41"/>
        <v>40.212000000000003</v>
      </c>
      <c r="O165" s="297"/>
    </row>
    <row r="166" spans="1:27" s="328" customFormat="1" ht="18.75" customHeight="1">
      <c r="A166" s="338"/>
      <c r="B166" s="351" t="s">
        <v>904</v>
      </c>
      <c r="C166" s="338"/>
      <c r="D166" s="339"/>
      <c r="E166" s="339"/>
      <c r="F166" s="339"/>
      <c r="G166" s="339"/>
      <c r="H166" s="339"/>
      <c r="I166" s="339"/>
      <c r="J166" s="339"/>
      <c r="K166" s="339">
        <v>13.916</v>
      </c>
      <c r="L166" s="339"/>
      <c r="M166" s="340"/>
      <c r="N166" s="340">
        <f t="shared" si="41"/>
        <v>13.916</v>
      </c>
      <c r="O166" s="297"/>
    </row>
    <row r="167" spans="1:27" s="348" customFormat="1" ht="18.75" customHeight="1">
      <c r="A167" s="343"/>
      <c r="B167" s="355" t="s">
        <v>905</v>
      </c>
      <c r="C167" s="344"/>
      <c r="D167" s="345"/>
      <c r="E167" s="345"/>
      <c r="F167" s="345"/>
      <c r="G167" s="345"/>
      <c r="H167" s="339"/>
      <c r="I167" s="339"/>
      <c r="J167" s="345"/>
      <c r="K167" s="345">
        <v>60</v>
      </c>
      <c r="L167" s="345"/>
      <c r="M167" s="346"/>
      <c r="N167" s="340">
        <f>J167+K167-(L167+M167)</f>
        <v>60</v>
      </c>
      <c r="O167" s="347"/>
      <c r="AA167" s="359"/>
    </row>
    <row r="168" spans="1:27" s="328" customFormat="1" ht="18.75" customHeight="1">
      <c r="A168" s="338"/>
      <c r="B168" s="341" t="s">
        <v>906</v>
      </c>
      <c r="C168" s="338"/>
      <c r="D168" s="339"/>
      <c r="E168" s="339"/>
      <c r="F168" s="339"/>
      <c r="G168" s="339"/>
      <c r="H168" s="339"/>
      <c r="I168" s="339"/>
      <c r="J168" s="339"/>
      <c r="K168" s="339">
        <f>73.45+44.7</f>
        <v>118.15</v>
      </c>
      <c r="L168" s="339"/>
      <c r="M168" s="340"/>
      <c r="N168" s="340">
        <f t="shared" si="41"/>
        <v>118.15</v>
      </c>
      <c r="O168" s="297"/>
    </row>
    <row r="169" spans="1:27" s="328" customFormat="1" ht="18.75" customHeight="1">
      <c r="A169" s="338"/>
      <c r="B169" s="341" t="s">
        <v>883</v>
      </c>
      <c r="C169" s="338"/>
      <c r="D169" s="339">
        <v>10</v>
      </c>
      <c r="E169" s="339">
        <v>10</v>
      </c>
      <c r="F169" s="339"/>
      <c r="G169" s="339"/>
      <c r="H169" s="339">
        <f>D169*0.1</f>
        <v>1</v>
      </c>
      <c r="I169" s="339">
        <f>E169+F169-(G169+H169)</f>
        <v>9</v>
      </c>
      <c r="J169" s="339">
        <v>9</v>
      </c>
      <c r="K169" s="339"/>
      <c r="L169" s="339"/>
      <c r="M169" s="340"/>
      <c r="N169" s="340">
        <f t="shared" si="41"/>
        <v>9</v>
      </c>
      <c r="O169" s="297"/>
    </row>
    <row r="170" spans="1:27" s="328" customFormat="1" ht="30.75" customHeight="1">
      <c r="A170" s="338"/>
      <c r="B170" s="341" t="s">
        <v>841</v>
      </c>
      <c r="C170" s="338"/>
      <c r="D170" s="339">
        <v>4.47</v>
      </c>
      <c r="E170" s="339">
        <v>4.47</v>
      </c>
      <c r="F170" s="339"/>
      <c r="G170" s="339"/>
      <c r="H170" s="339"/>
      <c r="I170" s="339">
        <f>E170+F170-(G170+H170)</f>
        <v>4.47</v>
      </c>
      <c r="J170" s="339">
        <v>4.47</v>
      </c>
      <c r="K170" s="339"/>
      <c r="L170" s="339"/>
      <c r="M170" s="340"/>
      <c r="N170" s="340">
        <f t="shared" si="41"/>
        <v>4.47</v>
      </c>
      <c r="O170" s="297"/>
    </row>
    <row r="171" spans="1:27" s="334" customFormat="1" ht="18.75" customHeight="1">
      <c r="A171" s="324">
        <v>3</v>
      </c>
      <c r="B171" s="323" t="s">
        <v>907</v>
      </c>
      <c r="C171" s="324">
        <f>'[9]Quy luong 2022'!C1137</f>
        <v>27</v>
      </c>
      <c r="D171" s="326">
        <f>SUM(D172:D178)</f>
        <v>4893.47</v>
      </c>
      <c r="E171" s="326">
        <f>SUM(E172:E178)</f>
        <v>4893.47</v>
      </c>
      <c r="F171" s="326"/>
      <c r="G171" s="326">
        <f t="shared" ref="G171:N171" si="42">SUM(G172:G178)</f>
        <v>0</v>
      </c>
      <c r="H171" s="326">
        <f t="shared" si="42"/>
        <v>33.4</v>
      </c>
      <c r="I171" s="326">
        <f t="shared" si="42"/>
        <v>4860.0700000000006</v>
      </c>
      <c r="J171" s="326">
        <f t="shared" si="42"/>
        <v>4860.0700000000006</v>
      </c>
      <c r="K171" s="326">
        <f t="shared" si="42"/>
        <v>745.67000000000007</v>
      </c>
      <c r="L171" s="326">
        <f t="shared" si="42"/>
        <v>1109.6870000000001</v>
      </c>
      <c r="M171" s="326">
        <f t="shared" si="42"/>
        <v>20.975999999999999</v>
      </c>
      <c r="N171" s="326">
        <f t="shared" si="42"/>
        <v>4475.0770000000002</v>
      </c>
      <c r="O171" s="352"/>
    </row>
    <row r="172" spans="1:27" s="328" customFormat="1" ht="18.75" customHeight="1">
      <c r="A172" s="336" t="s">
        <v>255</v>
      </c>
      <c r="B172" s="337" t="s">
        <v>837</v>
      </c>
      <c r="C172" s="338"/>
      <c r="D172" s="339">
        <v>4555</v>
      </c>
      <c r="E172" s="339">
        <v>4555</v>
      </c>
      <c r="F172" s="339"/>
      <c r="G172" s="339"/>
      <c r="H172" s="339"/>
      <c r="I172" s="339">
        <f>E172+F172-(G172+H172)</f>
        <v>4555</v>
      </c>
      <c r="J172" s="339">
        <v>4555</v>
      </c>
      <c r="K172" s="339"/>
      <c r="L172" s="339">
        <f>1279.893-25.085-60.585-0.384-7.033-31.9-13.984-31.235</f>
        <v>1109.6870000000001</v>
      </c>
      <c r="M172" s="340"/>
      <c r="N172" s="340">
        <f t="shared" ref="N172:N178" si="43">J172+K172-(L172+M172)</f>
        <v>3445.3130000000001</v>
      </c>
      <c r="O172" s="297"/>
    </row>
    <row r="173" spans="1:27" s="328" customFormat="1" ht="18.75" customHeight="1">
      <c r="A173" s="336" t="s">
        <v>255</v>
      </c>
      <c r="B173" s="341" t="s">
        <v>908</v>
      </c>
      <c r="C173" s="338"/>
      <c r="D173" s="339">
        <f>C171*12</f>
        <v>324</v>
      </c>
      <c r="E173" s="339">
        <v>324</v>
      </c>
      <c r="F173" s="339"/>
      <c r="G173" s="339"/>
      <c r="H173" s="339">
        <f>D173*0.1</f>
        <v>32.4</v>
      </c>
      <c r="I173" s="339">
        <f>E173+F173-(G173+H173)</f>
        <v>291.60000000000002</v>
      </c>
      <c r="J173" s="339">
        <v>291.60000000000002</v>
      </c>
      <c r="K173" s="339"/>
      <c r="L173" s="339"/>
      <c r="M173" s="340">
        <v>20.975999999999999</v>
      </c>
      <c r="N173" s="340">
        <f t="shared" si="43"/>
        <v>270.62400000000002</v>
      </c>
      <c r="O173" s="297"/>
    </row>
    <row r="174" spans="1:27" s="328" customFormat="1" ht="18.75" customHeight="1">
      <c r="A174" s="336" t="s">
        <v>255</v>
      </c>
      <c r="B174" s="351" t="s">
        <v>909</v>
      </c>
      <c r="C174" s="338"/>
      <c r="D174" s="339"/>
      <c r="E174" s="339"/>
      <c r="F174" s="339"/>
      <c r="G174" s="339"/>
      <c r="H174" s="339"/>
      <c r="I174" s="339"/>
      <c r="J174" s="339"/>
      <c r="K174" s="339">
        <f>7.244</f>
        <v>7.2439999999999998</v>
      </c>
      <c r="L174" s="339"/>
      <c r="M174" s="340"/>
      <c r="N174" s="340">
        <f t="shared" si="43"/>
        <v>7.2439999999999998</v>
      </c>
      <c r="O174" s="297"/>
    </row>
    <row r="175" spans="1:27" s="348" customFormat="1" ht="18.75" customHeight="1">
      <c r="A175" s="343"/>
      <c r="B175" s="355" t="s">
        <v>910</v>
      </c>
      <c r="C175" s="344"/>
      <c r="D175" s="345"/>
      <c r="E175" s="345"/>
      <c r="F175" s="345"/>
      <c r="G175" s="345"/>
      <c r="H175" s="339"/>
      <c r="I175" s="339"/>
      <c r="J175" s="345"/>
      <c r="K175" s="345">
        <v>40</v>
      </c>
      <c r="L175" s="345"/>
      <c r="M175" s="346"/>
      <c r="N175" s="340">
        <f t="shared" si="43"/>
        <v>40</v>
      </c>
      <c r="O175" s="347"/>
      <c r="AA175" s="359"/>
    </row>
    <row r="176" spans="1:27" s="328" customFormat="1" ht="18.75" customHeight="1">
      <c r="A176" s="336" t="s">
        <v>255</v>
      </c>
      <c r="B176" s="341" t="s">
        <v>906</v>
      </c>
      <c r="C176" s="338"/>
      <c r="D176" s="339"/>
      <c r="E176" s="339"/>
      <c r="F176" s="339"/>
      <c r="G176" s="339"/>
      <c r="H176" s="339"/>
      <c r="I176" s="339"/>
      <c r="J176" s="339"/>
      <c r="K176" s="339">
        <f>698.426</f>
        <v>698.42600000000004</v>
      </c>
      <c r="L176" s="339"/>
      <c r="M176" s="340"/>
      <c r="N176" s="340">
        <f t="shared" si="43"/>
        <v>698.42600000000004</v>
      </c>
      <c r="O176" s="297"/>
    </row>
    <row r="177" spans="1:27" s="328" customFormat="1" ht="18.75" customHeight="1">
      <c r="A177" s="336" t="s">
        <v>255</v>
      </c>
      <c r="B177" s="341" t="s">
        <v>911</v>
      </c>
      <c r="C177" s="338"/>
      <c r="D177" s="339">
        <v>10</v>
      </c>
      <c r="E177" s="339">
        <v>10</v>
      </c>
      <c r="F177" s="339"/>
      <c r="G177" s="339"/>
      <c r="H177" s="339">
        <f>D177*0.1</f>
        <v>1</v>
      </c>
      <c r="I177" s="339">
        <f>E177+F177-(G177+H177)</f>
        <v>9</v>
      </c>
      <c r="J177" s="339">
        <v>9</v>
      </c>
      <c r="K177" s="339"/>
      <c r="L177" s="339"/>
      <c r="M177" s="340"/>
      <c r="N177" s="340">
        <f t="shared" si="43"/>
        <v>9</v>
      </c>
      <c r="O177" s="297"/>
    </row>
    <row r="178" spans="1:27" s="328" customFormat="1" ht="30" customHeight="1">
      <c r="A178" s="336" t="s">
        <v>255</v>
      </c>
      <c r="B178" s="341" t="s">
        <v>847</v>
      </c>
      <c r="C178" s="338"/>
      <c r="D178" s="339">
        <v>4.47</v>
      </c>
      <c r="E178" s="339">
        <v>4.47</v>
      </c>
      <c r="F178" s="339"/>
      <c r="G178" s="339"/>
      <c r="H178" s="339"/>
      <c r="I178" s="339">
        <f>E178+F178-(G178+H178)</f>
        <v>4.47</v>
      </c>
      <c r="J178" s="339">
        <v>4.47</v>
      </c>
      <c r="K178" s="339"/>
      <c r="L178" s="339"/>
      <c r="M178" s="340"/>
      <c r="N178" s="340">
        <f t="shared" si="43"/>
        <v>4.47</v>
      </c>
      <c r="O178" s="297"/>
    </row>
    <row r="179" spans="1:27" s="334" customFormat="1" ht="18.75" customHeight="1">
      <c r="A179" s="324">
        <v>4</v>
      </c>
      <c r="B179" s="323" t="s">
        <v>912</v>
      </c>
      <c r="C179" s="324">
        <f>'[9]Quy luong 2022'!C1022</f>
        <v>22</v>
      </c>
      <c r="D179" s="326">
        <f>SUM(D180:D185)</f>
        <v>3873.47</v>
      </c>
      <c r="E179" s="326">
        <f>SUM(E180:E185)</f>
        <v>3873.47</v>
      </c>
      <c r="F179" s="326"/>
      <c r="G179" s="326">
        <f t="shared" ref="G179:N179" si="44">SUM(G180:G185)</f>
        <v>0</v>
      </c>
      <c r="H179" s="326">
        <f t="shared" si="44"/>
        <v>26.400000000000002</v>
      </c>
      <c r="I179" s="326">
        <f t="shared" si="44"/>
        <v>3847.0699999999997</v>
      </c>
      <c r="J179" s="326">
        <f t="shared" si="44"/>
        <v>3847.0699999999997</v>
      </c>
      <c r="K179" s="326">
        <f t="shared" si="44"/>
        <v>147.44800000000001</v>
      </c>
      <c r="L179" s="326">
        <f t="shared" si="44"/>
        <v>0</v>
      </c>
      <c r="M179" s="326">
        <f t="shared" si="44"/>
        <v>12.375999999999999</v>
      </c>
      <c r="N179" s="326">
        <f t="shared" si="44"/>
        <v>3982.1419999999998</v>
      </c>
      <c r="O179" s="352"/>
    </row>
    <row r="180" spans="1:27" s="328" customFormat="1" ht="18.75" customHeight="1">
      <c r="A180" s="336" t="s">
        <v>255</v>
      </c>
      <c r="B180" s="337" t="s">
        <v>837</v>
      </c>
      <c r="C180" s="338"/>
      <c r="D180" s="339">
        <v>3605</v>
      </c>
      <c r="E180" s="339">
        <v>3605</v>
      </c>
      <c r="F180" s="339"/>
      <c r="G180" s="339"/>
      <c r="H180" s="339"/>
      <c r="I180" s="339">
        <f>E180+F180-(G180+H180)</f>
        <v>3605</v>
      </c>
      <c r="J180" s="339">
        <v>3605</v>
      </c>
      <c r="K180" s="339">
        <v>42.932000000000002</v>
      </c>
      <c r="L180" s="339"/>
      <c r="M180" s="340"/>
      <c r="N180" s="340">
        <f t="shared" ref="N180:N185" si="45">J180+K180-(L180+M180)</f>
        <v>3647.9319999999998</v>
      </c>
      <c r="O180" s="297"/>
    </row>
    <row r="181" spans="1:27" s="328" customFormat="1" ht="18.75" customHeight="1">
      <c r="A181" s="336" t="s">
        <v>255</v>
      </c>
      <c r="B181" s="341" t="s">
        <v>913</v>
      </c>
      <c r="C181" s="338"/>
      <c r="D181" s="339">
        <f>C179*12</f>
        <v>264</v>
      </c>
      <c r="E181" s="339">
        <v>264</v>
      </c>
      <c r="F181" s="339"/>
      <c r="G181" s="339"/>
      <c r="H181" s="339">
        <f>D181*0.1</f>
        <v>26.400000000000002</v>
      </c>
      <c r="I181" s="339">
        <f>E181+F181-(G181+H181)</f>
        <v>237.6</v>
      </c>
      <c r="J181" s="339">
        <v>237.6</v>
      </c>
      <c r="K181" s="339"/>
      <c r="L181" s="339"/>
      <c r="M181" s="340">
        <v>12.375999999999999</v>
      </c>
      <c r="N181" s="340">
        <f t="shared" si="45"/>
        <v>225.22399999999999</v>
      </c>
      <c r="O181" s="297"/>
    </row>
    <row r="182" spans="1:27" s="328" customFormat="1" ht="18.75" customHeight="1">
      <c r="A182" s="336" t="s">
        <v>255</v>
      </c>
      <c r="B182" s="351" t="s">
        <v>840</v>
      </c>
      <c r="C182" s="338"/>
      <c r="D182" s="339"/>
      <c r="E182" s="339"/>
      <c r="F182" s="339"/>
      <c r="G182" s="339"/>
      <c r="H182" s="339"/>
      <c r="I182" s="339"/>
      <c r="J182" s="339"/>
      <c r="K182" s="339">
        <f>80.824</f>
        <v>80.823999999999998</v>
      </c>
      <c r="L182" s="339"/>
      <c r="M182" s="340"/>
      <c r="N182" s="340">
        <f t="shared" si="45"/>
        <v>80.823999999999998</v>
      </c>
      <c r="O182" s="297"/>
    </row>
    <row r="183" spans="1:27" s="328" customFormat="1" ht="18.75" customHeight="1">
      <c r="A183" s="336" t="s">
        <v>255</v>
      </c>
      <c r="B183" s="351" t="s">
        <v>904</v>
      </c>
      <c r="C183" s="338"/>
      <c r="D183" s="339"/>
      <c r="E183" s="339"/>
      <c r="F183" s="339"/>
      <c r="G183" s="339"/>
      <c r="H183" s="339"/>
      <c r="I183" s="339"/>
      <c r="J183" s="339"/>
      <c r="K183" s="339">
        <v>10.58</v>
      </c>
      <c r="L183" s="339"/>
      <c r="M183" s="340"/>
      <c r="N183" s="340">
        <f t="shared" si="45"/>
        <v>10.58</v>
      </c>
      <c r="O183" s="297"/>
    </row>
    <row r="184" spans="1:27" s="328" customFormat="1" ht="18.75" customHeight="1">
      <c r="A184" s="336" t="s">
        <v>255</v>
      </c>
      <c r="B184" s="368" t="s">
        <v>914</v>
      </c>
      <c r="C184" s="338"/>
      <c r="D184" s="339"/>
      <c r="E184" s="339"/>
      <c r="F184" s="339"/>
      <c r="G184" s="339"/>
      <c r="H184" s="339"/>
      <c r="I184" s="339"/>
      <c r="J184" s="339"/>
      <c r="K184" s="339">
        <f>13.112</f>
        <v>13.112</v>
      </c>
      <c r="L184" s="339"/>
      <c r="M184" s="340"/>
      <c r="N184" s="340">
        <f t="shared" si="45"/>
        <v>13.112</v>
      </c>
      <c r="O184" s="297"/>
    </row>
    <row r="185" spans="1:27" s="328" customFormat="1" ht="29.25" customHeight="1">
      <c r="A185" s="336" t="s">
        <v>255</v>
      </c>
      <c r="B185" s="341" t="s">
        <v>915</v>
      </c>
      <c r="C185" s="338"/>
      <c r="D185" s="339">
        <v>4.47</v>
      </c>
      <c r="E185" s="339">
        <v>4.47</v>
      </c>
      <c r="F185" s="339"/>
      <c r="G185" s="339"/>
      <c r="H185" s="339"/>
      <c r="I185" s="339">
        <f>E185+F185-(G185+H185)</f>
        <v>4.47</v>
      </c>
      <c r="J185" s="339">
        <v>4.47</v>
      </c>
      <c r="K185" s="339"/>
      <c r="L185" s="339"/>
      <c r="M185" s="340"/>
      <c r="N185" s="340">
        <f t="shared" si="45"/>
        <v>4.47</v>
      </c>
      <c r="O185" s="297"/>
    </row>
    <row r="186" spans="1:27" s="334" customFormat="1" ht="18.75" customHeight="1">
      <c r="A186" s="324">
        <v>5</v>
      </c>
      <c r="B186" s="323" t="s">
        <v>916</v>
      </c>
      <c r="C186" s="324">
        <f>'[9]Quy luong 2022'!C1171</f>
        <v>26</v>
      </c>
      <c r="D186" s="326">
        <f>SUM(D187:D193)</f>
        <v>4969.0700000000006</v>
      </c>
      <c r="E186" s="326">
        <f>SUM(E187:E193)</f>
        <v>4969.0700000000006</v>
      </c>
      <c r="F186" s="326"/>
      <c r="G186" s="326">
        <f t="shared" ref="G186:N186" si="46">SUM(G187:G193)</f>
        <v>0</v>
      </c>
      <c r="H186" s="326">
        <f t="shared" si="46"/>
        <v>33.760000000000005</v>
      </c>
      <c r="I186" s="326">
        <f t="shared" si="46"/>
        <v>4935.3100000000004</v>
      </c>
      <c r="J186" s="326">
        <f t="shared" si="46"/>
        <v>4935.3100000000004</v>
      </c>
      <c r="K186" s="326">
        <f t="shared" si="46"/>
        <v>224.38600000000002</v>
      </c>
      <c r="L186" s="326">
        <f t="shared" si="46"/>
        <v>0</v>
      </c>
      <c r="M186" s="326">
        <f t="shared" si="46"/>
        <v>35.317</v>
      </c>
      <c r="N186" s="326">
        <f t="shared" si="46"/>
        <v>5124.3789999999999</v>
      </c>
      <c r="O186" s="352"/>
    </row>
    <row r="187" spans="1:27" s="328" customFormat="1" ht="18.75" customHeight="1">
      <c r="A187" s="338"/>
      <c r="B187" s="337" t="s">
        <v>843</v>
      </c>
      <c r="C187" s="338"/>
      <c r="D187" s="339">
        <v>4627</v>
      </c>
      <c r="E187" s="339">
        <v>4627</v>
      </c>
      <c r="F187" s="339"/>
      <c r="G187" s="339"/>
      <c r="H187" s="339"/>
      <c r="I187" s="339">
        <f>E187+F187-(G187+H187)</f>
        <v>4627</v>
      </c>
      <c r="J187" s="339">
        <v>4627</v>
      </c>
      <c r="K187" s="339">
        <f>22.67+0.1+5.751-1.33+29.7+23.545</f>
        <v>80.436000000000007</v>
      </c>
      <c r="L187" s="339"/>
      <c r="M187" s="340"/>
      <c r="N187" s="340">
        <f t="shared" ref="N187:N193" si="47">J187+K187-(L187+M187)</f>
        <v>4707.4359999999997</v>
      </c>
      <c r="O187" s="297"/>
    </row>
    <row r="188" spans="1:27" s="328" customFormat="1" ht="18.75" customHeight="1">
      <c r="A188" s="338"/>
      <c r="B188" s="341" t="s">
        <v>917</v>
      </c>
      <c r="C188" s="338"/>
      <c r="D188" s="339">
        <f>C186*12+15.6</f>
        <v>327.60000000000002</v>
      </c>
      <c r="E188" s="339">
        <v>327.60000000000002</v>
      </c>
      <c r="F188" s="339"/>
      <c r="G188" s="339"/>
      <c r="H188" s="339">
        <f>D188*0.1</f>
        <v>32.760000000000005</v>
      </c>
      <c r="I188" s="339">
        <f>E188+F188-(G188+H188)</f>
        <v>294.84000000000003</v>
      </c>
      <c r="J188" s="339">
        <v>294.83999999999997</v>
      </c>
      <c r="K188" s="339"/>
      <c r="L188" s="339"/>
      <c r="M188" s="340">
        <v>35.317</v>
      </c>
      <c r="N188" s="340">
        <f t="shared" si="47"/>
        <v>259.52299999999997</v>
      </c>
      <c r="O188" s="297"/>
    </row>
    <row r="189" spans="1:27" s="328" customFormat="1" ht="18.75" customHeight="1">
      <c r="A189" s="338"/>
      <c r="B189" s="351" t="s">
        <v>901</v>
      </c>
      <c r="C189" s="338"/>
      <c r="D189" s="339"/>
      <c r="E189" s="339"/>
      <c r="F189" s="339"/>
      <c r="G189" s="339"/>
      <c r="H189" s="339"/>
      <c r="I189" s="339"/>
      <c r="J189" s="339"/>
      <c r="K189" s="339">
        <v>7.2439999999999998</v>
      </c>
      <c r="L189" s="339"/>
      <c r="M189" s="340"/>
      <c r="N189" s="340">
        <f t="shared" si="47"/>
        <v>7.2439999999999998</v>
      </c>
      <c r="O189" s="297"/>
    </row>
    <row r="190" spans="1:27" s="348" customFormat="1" ht="18.75" customHeight="1">
      <c r="A190" s="343"/>
      <c r="B190" s="355" t="s">
        <v>905</v>
      </c>
      <c r="C190" s="344"/>
      <c r="D190" s="345"/>
      <c r="E190" s="345"/>
      <c r="F190" s="345"/>
      <c r="G190" s="345"/>
      <c r="H190" s="339"/>
      <c r="I190" s="339"/>
      <c r="J190" s="345"/>
      <c r="K190" s="345">
        <v>60</v>
      </c>
      <c r="L190" s="345"/>
      <c r="M190" s="346"/>
      <c r="N190" s="340">
        <f>J190+K190-(L190+M190)</f>
        <v>60</v>
      </c>
      <c r="O190" s="347"/>
      <c r="AA190" s="359"/>
    </row>
    <row r="191" spans="1:27" s="328" customFormat="1" ht="18.75" customHeight="1">
      <c r="A191" s="338"/>
      <c r="B191" s="341" t="s">
        <v>977</v>
      </c>
      <c r="C191" s="338"/>
      <c r="D191" s="339"/>
      <c r="E191" s="339"/>
      <c r="F191" s="339"/>
      <c r="G191" s="339"/>
      <c r="H191" s="339"/>
      <c r="I191" s="339"/>
      <c r="J191" s="339"/>
      <c r="K191" s="339">
        <f>76.706</f>
        <v>76.706000000000003</v>
      </c>
      <c r="L191" s="339"/>
      <c r="M191" s="340"/>
      <c r="N191" s="340">
        <f t="shared" si="47"/>
        <v>76.706000000000003</v>
      </c>
      <c r="O191" s="297"/>
    </row>
    <row r="192" spans="1:27" s="328" customFormat="1" ht="18.75" customHeight="1">
      <c r="A192" s="338"/>
      <c r="B192" s="341" t="s">
        <v>883</v>
      </c>
      <c r="C192" s="338"/>
      <c r="D192" s="339">
        <v>10</v>
      </c>
      <c r="E192" s="339">
        <v>10</v>
      </c>
      <c r="F192" s="339"/>
      <c r="G192" s="339"/>
      <c r="H192" s="339">
        <f>D192*0.1</f>
        <v>1</v>
      </c>
      <c r="I192" s="339">
        <f>E192+F192-(G192+H192)</f>
        <v>9</v>
      </c>
      <c r="J192" s="339">
        <v>9</v>
      </c>
      <c r="K192" s="339"/>
      <c r="L192" s="339"/>
      <c r="M192" s="340"/>
      <c r="N192" s="340">
        <f t="shared" si="47"/>
        <v>9</v>
      </c>
      <c r="O192" s="297"/>
    </row>
    <row r="193" spans="1:27" s="328" customFormat="1" ht="33" customHeight="1">
      <c r="A193" s="338"/>
      <c r="B193" s="341" t="s">
        <v>841</v>
      </c>
      <c r="C193" s="338"/>
      <c r="D193" s="339">
        <v>4.47</v>
      </c>
      <c r="E193" s="339">
        <v>4.47</v>
      </c>
      <c r="F193" s="339"/>
      <c r="G193" s="339"/>
      <c r="H193" s="339"/>
      <c r="I193" s="339">
        <f>E193+F193-(G193+H193)</f>
        <v>4.47</v>
      </c>
      <c r="J193" s="339">
        <v>4.47</v>
      </c>
      <c r="K193" s="339"/>
      <c r="L193" s="339"/>
      <c r="M193" s="340"/>
      <c r="N193" s="340">
        <f t="shared" si="47"/>
        <v>4.47</v>
      </c>
      <c r="O193" s="297"/>
    </row>
    <row r="194" spans="1:27" s="334" customFormat="1" ht="18.75" customHeight="1">
      <c r="A194" s="324">
        <v>6</v>
      </c>
      <c r="B194" s="323" t="s">
        <v>918</v>
      </c>
      <c r="C194" s="324">
        <f>'[9]Quy luong 2022'!C920</f>
        <v>30</v>
      </c>
      <c r="D194" s="326">
        <f>SUM(D195:D198)</f>
        <v>4421.47</v>
      </c>
      <c r="E194" s="326">
        <f>SUM(E195:E198)</f>
        <v>4421.47</v>
      </c>
      <c r="F194" s="326"/>
      <c r="G194" s="326">
        <f t="shared" ref="G194:N194" si="48">SUM(G195:G198)</f>
        <v>0</v>
      </c>
      <c r="H194" s="326">
        <f t="shared" si="48"/>
        <v>36</v>
      </c>
      <c r="I194" s="326">
        <f t="shared" si="48"/>
        <v>4385.47</v>
      </c>
      <c r="J194" s="326">
        <f t="shared" si="48"/>
        <v>4385.47</v>
      </c>
      <c r="K194" s="326">
        <f t="shared" si="48"/>
        <v>13.916</v>
      </c>
      <c r="L194" s="326">
        <f t="shared" si="48"/>
        <v>295.21599999999995</v>
      </c>
      <c r="M194" s="326">
        <f t="shared" si="48"/>
        <v>6.8</v>
      </c>
      <c r="N194" s="326">
        <f t="shared" si="48"/>
        <v>4097.37</v>
      </c>
      <c r="O194" s="352"/>
    </row>
    <row r="195" spans="1:27" s="328" customFormat="1" ht="18.75" customHeight="1">
      <c r="A195" s="336" t="s">
        <v>255</v>
      </c>
      <c r="B195" s="337" t="s">
        <v>837</v>
      </c>
      <c r="C195" s="338"/>
      <c r="D195" s="339">
        <v>4057</v>
      </c>
      <c r="E195" s="339">
        <v>4057</v>
      </c>
      <c r="F195" s="339"/>
      <c r="G195" s="339"/>
      <c r="H195" s="339"/>
      <c r="I195" s="339">
        <f>E195+F195-(G195+H195)</f>
        <v>4057</v>
      </c>
      <c r="J195" s="339">
        <v>4057</v>
      </c>
      <c r="K195" s="339"/>
      <c r="L195" s="339">
        <f>425.363-78.831-1.409-7.951-4.423-4.533-33</f>
        <v>295.21599999999995</v>
      </c>
      <c r="M195" s="340"/>
      <c r="N195" s="340">
        <f>J195+K195-(L195+M195)</f>
        <v>3761.7840000000001</v>
      </c>
      <c r="O195" s="297"/>
    </row>
    <row r="196" spans="1:27" s="328" customFormat="1" ht="18.75" customHeight="1">
      <c r="A196" s="336" t="s">
        <v>255</v>
      </c>
      <c r="B196" s="341" t="s">
        <v>919</v>
      </c>
      <c r="C196" s="338"/>
      <c r="D196" s="339">
        <f>C194*12</f>
        <v>360</v>
      </c>
      <c r="E196" s="339">
        <v>360</v>
      </c>
      <c r="F196" s="339"/>
      <c r="G196" s="339"/>
      <c r="H196" s="339">
        <f>D196*0.1</f>
        <v>36</v>
      </c>
      <c r="I196" s="339">
        <f>E196+F196-(G196+H196)</f>
        <v>324</v>
      </c>
      <c r="J196" s="339">
        <v>324</v>
      </c>
      <c r="K196" s="339"/>
      <c r="L196" s="339"/>
      <c r="M196" s="340">
        <v>6.8</v>
      </c>
      <c r="N196" s="340">
        <f>J196+K196-(L196+M196)</f>
        <v>317.2</v>
      </c>
      <c r="O196" s="297"/>
    </row>
    <row r="197" spans="1:27" s="328" customFormat="1" ht="18.75" customHeight="1">
      <c r="A197" s="336" t="s">
        <v>255</v>
      </c>
      <c r="B197" s="351" t="s">
        <v>901</v>
      </c>
      <c r="C197" s="338"/>
      <c r="D197" s="339"/>
      <c r="E197" s="339"/>
      <c r="F197" s="339"/>
      <c r="G197" s="339"/>
      <c r="H197" s="339"/>
      <c r="I197" s="339"/>
      <c r="J197" s="339"/>
      <c r="K197" s="339">
        <v>13.916</v>
      </c>
      <c r="L197" s="339"/>
      <c r="M197" s="340"/>
      <c r="N197" s="340">
        <f>J197+K197-(L197+M197)</f>
        <v>13.916</v>
      </c>
      <c r="O197" s="297"/>
    </row>
    <row r="198" spans="1:27" s="328" customFormat="1" ht="28.5" customHeight="1">
      <c r="A198" s="336" t="s">
        <v>255</v>
      </c>
      <c r="B198" s="341" t="s">
        <v>847</v>
      </c>
      <c r="C198" s="338"/>
      <c r="D198" s="339">
        <v>4.47</v>
      </c>
      <c r="E198" s="339">
        <v>4.47</v>
      </c>
      <c r="F198" s="339"/>
      <c r="G198" s="339"/>
      <c r="H198" s="339"/>
      <c r="I198" s="339">
        <f>E198+F198-(G198+H198)</f>
        <v>4.47</v>
      </c>
      <c r="J198" s="339">
        <v>4.47</v>
      </c>
      <c r="K198" s="339"/>
      <c r="L198" s="339"/>
      <c r="M198" s="340"/>
      <c r="N198" s="340">
        <f>J198+K198-(L198+M198)</f>
        <v>4.47</v>
      </c>
      <c r="O198" s="297"/>
    </row>
    <row r="199" spans="1:27" s="334" customFormat="1" ht="18.75" customHeight="1">
      <c r="A199" s="324">
        <v>7</v>
      </c>
      <c r="B199" s="323" t="s">
        <v>920</v>
      </c>
      <c r="C199" s="324">
        <f>'[9]Quy luong 2022'!C1206</f>
        <v>19</v>
      </c>
      <c r="D199" s="326">
        <f>SUM(D200:D206)</f>
        <v>3957.87</v>
      </c>
      <c r="E199" s="326">
        <f>SUM(E200:E206)</f>
        <v>3957.87</v>
      </c>
      <c r="F199" s="326"/>
      <c r="G199" s="326">
        <f t="shared" ref="G199:N199" si="49">SUM(G200:G206)</f>
        <v>0</v>
      </c>
      <c r="H199" s="326">
        <f t="shared" si="49"/>
        <v>25</v>
      </c>
      <c r="I199" s="326">
        <f t="shared" si="49"/>
        <v>3932.87</v>
      </c>
      <c r="J199" s="326">
        <f>SUM(J200:J206)</f>
        <v>3932.87</v>
      </c>
      <c r="K199" s="326">
        <f t="shared" si="49"/>
        <v>241.411</v>
      </c>
      <c r="L199" s="326">
        <f t="shared" si="49"/>
        <v>0</v>
      </c>
      <c r="M199" s="326">
        <f t="shared" si="49"/>
        <v>22.509</v>
      </c>
      <c r="N199" s="326">
        <f t="shared" si="49"/>
        <v>4151.7719999999999</v>
      </c>
      <c r="O199" s="352"/>
    </row>
    <row r="200" spans="1:27" s="328" customFormat="1" ht="18.75" customHeight="1">
      <c r="A200" s="338"/>
      <c r="B200" s="337" t="s">
        <v>843</v>
      </c>
      <c r="C200" s="338"/>
      <c r="D200" s="339">
        <v>3704</v>
      </c>
      <c r="E200" s="339">
        <v>3704</v>
      </c>
      <c r="F200" s="339"/>
      <c r="G200" s="339"/>
      <c r="H200" s="339"/>
      <c r="I200" s="339">
        <f>E200+F200-(G200+H200)</f>
        <v>3704</v>
      </c>
      <c r="J200" s="339">
        <v>3704</v>
      </c>
      <c r="K200" s="339">
        <f>23.947+3.158+92.669+5.548-15.006+19.5+15.006</f>
        <v>144.822</v>
      </c>
      <c r="L200" s="339"/>
      <c r="M200" s="340"/>
      <c r="N200" s="340">
        <f t="shared" ref="N200:N206" si="50">J200+K200-(L200+M200)</f>
        <v>3848.8220000000001</v>
      </c>
      <c r="O200" s="297"/>
    </row>
    <row r="201" spans="1:27" s="328" customFormat="1" ht="18.75" customHeight="1">
      <c r="A201" s="338"/>
      <c r="B201" s="341" t="s">
        <v>850</v>
      </c>
      <c r="C201" s="338"/>
      <c r="D201" s="339">
        <f>C199*12+11.4</f>
        <v>239.4</v>
      </c>
      <c r="E201" s="339">
        <v>239.4</v>
      </c>
      <c r="F201" s="339"/>
      <c r="G201" s="339"/>
      <c r="H201" s="339">
        <v>24</v>
      </c>
      <c r="I201" s="339">
        <f>E201+F201-(G201+H201)</f>
        <v>215.4</v>
      </c>
      <c r="J201" s="339">
        <v>215.4</v>
      </c>
      <c r="K201" s="339"/>
      <c r="L201" s="339"/>
      <c r="M201" s="340">
        <v>22.509</v>
      </c>
      <c r="N201" s="340">
        <f t="shared" si="50"/>
        <v>192.89100000000002</v>
      </c>
      <c r="O201" s="297"/>
    </row>
    <row r="202" spans="1:27" s="328" customFormat="1" ht="18.75" customHeight="1">
      <c r="A202" s="338"/>
      <c r="B202" s="351" t="s">
        <v>901</v>
      </c>
      <c r="C202" s="338"/>
      <c r="D202" s="339"/>
      <c r="E202" s="339"/>
      <c r="F202" s="339"/>
      <c r="G202" s="339"/>
      <c r="H202" s="339"/>
      <c r="I202" s="339"/>
      <c r="J202" s="339"/>
      <c r="K202" s="339">
        <v>7.2439999999999998</v>
      </c>
      <c r="L202" s="339"/>
      <c r="M202" s="340"/>
      <c r="N202" s="340">
        <f t="shared" si="50"/>
        <v>7.2439999999999998</v>
      </c>
      <c r="O202" s="297"/>
    </row>
    <row r="203" spans="1:27" s="328" customFormat="1" ht="18.75" customHeight="1">
      <c r="A203" s="338"/>
      <c r="B203" s="368" t="s">
        <v>921</v>
      </c>
      <c r="C203" s="338"/>
      <c r="D203" s="339"/>
      <c r="E203" s="339"/>
      <c r="F203" s="339"/>
      <c r="G203" s="339"/>
      <c r="H203" s="339"/>
      <c r="I203" s="339"/>
      <c r="J203" s="339"/>
      <c r="K203" s="339">
        <v>29.344999999999999</v>
      </c>
      <c r="L203" s="339"/>
      <c r="M203" s="340"/>
      <c r="N203" s="340">
        <f t="shared" si="50"/>
        <v>29.344999999999999</v>
      </c>
      <c r="O203" s="297"/>
    </row>
    <row r="204" spans="1:27" s="348" customFormat="1" ht="18.75" customHeight="1">
      <c r="A204" s="343"/>
      <c r="B204" s="355" t="s">
        <v>905</v>
      </c>
      <c r="C204" s="344"/>
      <c r="D204" s="345"/>
      <c r="E204" s="345"/>
      <c r="F204" s="345"/>
      <c r="G204" s="345"/>
      <c r="H204" s="339"/>
      <c r="I204" s="339"/>
      <c r="J204" s="345"/>
      <c r="K204" s="345">
        <v>60</v>
      </c>
      <c r="L204" s="345"/>
      <c r="M204" s="346"/>
      <c r="N204" s="340">
        <f>J204+K204-(L204+M204)</f>
        <v>60</v>
      </c>
      <c r="O204" s="347"/>
      <c r="AA204" s="359"/>
    </row>
    <row r="205" spans="1:27" s="328" customFormat="1" ht="18.75" customHeight="1">
      <c r="A205" s="338"/>
      <c r="B205" s="341" t="s">
        <v>883</v>
      </c>
      <c r="C205" s="338"/>
      <c r="D205" s="339">
        <v>10</v>
      </c>
      <c r="E205" s="339">
        <v>10</v>
      </c>
      <c r="F205" s="339"/>
      <c r="G205" s="339"/>
      <c r="H205" s="339">
        <f>D205*0.1</f>
        <v>1</v>
      </c>
      <c r="I205" s="339">
        <f>E205+F205-(G205+H205)</f>
        <v>9</v>
      </c>
      <c r="J205" s="339">
        <v>9</v>
      </c>
      <c r="K205" s="339"/>
      <c r="L205" s="339"/>
      <c r="M205" s="340"/>
      <c r="N205" s="340">
        <f t="shared" si="50"/>
        <v>9</v>
      </c>
      <c r="O205" s="297"/>
    </row>
    <row r="206" spans="1:27" s="328" customFormat="1" ht="29.25" customHeight="1">
      <c r="A206" s="338"/>
      <c r="B206" s="341" t="s">
        <v>841</v>
      </c>
      <c r="C206" s="338"/>
      <c r="D206" s="339">
        <v>4.47</v>
      </c>
      <c r="E206" s="339">
        <v>4.47</v>
      </c>
      <c r="F206" s="339"/>
      <c r="G206" s="339"/>
      <c r="H206" s="339"/>
      <c r="I206" s="339">
        <f>E206+F206-(G206+H206)</f>
        <v>4.47</v>
      </c>
      <c r="J206" s="339">
        <v>4.47</v>
      </c>
      <c r="K206" s="339"/>
      <c r="L206" s="339"/>
      <c r="M206" s="340"/>
      <c r="N206" s="340">
        <f t="shared" si="50"/>
        <v>4.47</v>
      </c>
      <c r="O206" s="297"/>
    </row>
    <row r="207" spans="1:27" s="334" customFormat="1" ht="18.75" customHeight="1">
      <c r="A207" s="324">
        <v>8</v>
      </c>
      <c r="B207" s="323" t="s">
        <v>922</v>
      </c>
      <c r="C207" s="324">
        <f>'[9]Quy luong 2022'!C832</f>
        <v>33</v>
      </c>
      <c r="D207" s="326">
        <f>SUM(D208:D213)</f>
        <v>5182.47</v>
      </c>
      <c r="E207" s="326">
        <f>SUM(E208:E213)</f>
        <v>5182.47</v>
      </c>
      <c r="F207" s="326"/>
      <c r="G207" s="326">
        <f t="shared" ref="G207:N207" si="51">SUM(G208:G213)</f>
        <v>0</v>
      </c>
      <c r="H207" s="326">
        <f t="shared" si="51"/>
        <v>38</v>
      </c>
      <c r="I207" s="326">
        <f t="shared" si="51"/>
        <v>5144.47</v>
      </c>
      <c r="J207" s="326">
        <f t="shared" si="51"/>
        <v>5144.47</v>
      </c>
      <c r="K207" s="326">
        <f t="shared" si="51"/>
        <v>150.71699999999998</v>
      </c>
      <c r="L207" s="326">
        <f t="shared" si="51"/>
        <v>0</v>
      </c>
      <c r="M207" s="326">
        <f t="shared" si="51"/>
        <v>9.3539999999999992</v>
      </c>
      <c r="N207" s="326">
        <f t="shared" si="51"/>
        <v>5285.8330000000005</v>
      </c>
      <c r="O207" s="352"/>
    </row>
    <row r="208" spans="1:27" s="328" customFormat="1" ht="18.75" customHeight="1">
      <c r="A208" s="338"/>
      <c r="B208" s="337" t="s">
        <v>843</v>
      </c>
      <c r="C208" s="338"/>
      <c r="D208" s="339">
        <v>4795</v>
      </c>
      <c r="E208" s="339">
        <v>4795</v>
      </c>
      <c r="F208" s="339"/>
      <c r="G208" s="339"/>
      <c r="H208" s="339"/>
      <c r="I208" s="339">
        <f>E208+F208-(G208+H208)</f>
        <v>4795</v>
      </c>
      <c r="J208" s="339">
        <v>4795</v>
      </c>
      <c r="K208" s="339">
        <v>35.698</v>
      </c>
      <c r="L208" s="339"/>
      <c r="M208" s="340"/>
      <c r="N208" s="340">
        <f t="shared" ref="N208:N213" si="52">J208+K208-(L208+M208)</f>
        <v>4830.6980000000003</v>
      </c>
      <c r="O208" s="297"/>
    </row>
    <row r="209" spans="1:27" s="328" customFormat="1" ht="18.75" customHeight="1">
      <c r="A209" s="338"/>
      <c r="B209" s="341" t="s">
        <v>923</v>
      </c>
      <c r="C209" s="338"/>
      <c r="D209" s="339">
        <f>C207*11+20</f>
        <v>383</v>
      </c>
      <c r="E209" s="339">
        <v>383</v>
      </c>
      <c r="F209" s="339"/>
      <c r="G209" s="339"/>
      <c r="H209" s="339">
        <v>38</v>
      </c>
      <c r="I209" s="339">
        <f>E209+F209-(G209+H209)</f>
        <v>345</v>
      </c>
      <c r="J209" s="339">
        <v>345</v>
      </c>
      <c r="K209" s="339"/>
      <c r="L209" s="339"/>
      <c r="M209" s="340">
        <v>9.3539999999999992</v>
      </c>
      <c r="N209" s="340">
        <f t="shared" si="52"/>
        <v>335.64600000000002</v>
      </c>
      <c r="O209" s="297"/>
    </row>
    <row r="210" spans="1:27" s="328" customFormat="1" ht="18.75" customHeight="1">
      <c r="A210" s="338"/>
      <c r="B210" s="351" t="s">
        <v>840</v>
      </c>
      <c r="C210" s="338"/>
      <c r="D210" s="339"/>
      <c r="E210" s="339"/>
      <c r="F210" s="339"/>
      <c r="G210" s="339"/>
      <c r="H210" s="339"/>
      <c r="I210" s="339"/>
      <c r="J210" s="339"/>
      <c r="K210" s="339">
        <v>41.103000000000002</v>
      </c>
      <c r="L210" s="339"/>
      <c r="M210" s="340"/>
      <c r="N210" s="340">
        <f t="shared" si="52"/>
        <v>41.103000000000002</v>
      </c>
      <c r="O210" s="297"/>
    </row>
    <row r="211" spans="1:27" s="328" customFormat="1" ht="18.75" customHeight="1">
      <c r="A211" s="338"/>
      <c r="B211" s="351" t="s">
        <v>904</v>
      </c>
      <c r="C211" s="338"/>
      <c r="D211" s="339"/>
      <c r="E211" s="339"/>
      <c r="F211" s="339"/>
      <c r="G211" s="339"/>
      <c r="H211" s="339"/>
      <c r="I211" s="339"/>
      <c r="J211" s="339"/>
      <c r="K211" s="339">
        <v>13.916</v>
      </c>
      <c r="L211" s="339"/>
      <c r="M211" s="340"/>
      <c r="N211" s="340">
        <f t="shared" si="52"/>
        <v>13.916</v>
      </c>
      <c r="O211" s="297"/>
    </row>
    <row r="212" spans="1:27" s="348" customFormat="1" ht="18.75" customHeight="1">
      <c r="A212" s="343"/>
      <c r="B212" s="355" t="s">
        <v>905</v>
      </c>
      <c r="C212" s="344"/>
      <c r="D212" s="345"/>
      <c r="E212" s="345"/>
      <c r="F212" s="345"/>
      <c r="G212" s="345"/>
      <c r="H212" s="339"/>
      <c r="I212" s="339"/>
      <c r="J212" s="345"/>
      <c r="K212" s="345">
        <v>60</v>
      </c>
      <c r="L212" s="345"/>
      <c r="M212" s="346"/>
      <c r="N212" s="340">
        <f t="shared" si="52"/>
        <v>60</v>
      </c>
      <c r="O212" s="347"/>
      <c r="AA212" s="359"/>
    </row>
    <row r="213" spans="1:27" s="328" customFormat="1" ht="24.75" customHeight="1">
      <c r="A213" s="338"/>
      <c r="B213" s="341" t="s">
        <v>887</v>
      </c>
      <c r="C213" s="338"/>
      <c r="D213" s="339">
        <v>4.47</v>
      </c>
      <c r="E213" s="339">
        <v>4.47</v>
      </c>
      <c r="F213" s="339"/>
      <c r="G213" s="339"/>
      <c r="H213" s="339"/>
      <c r="I213" s="339">
        <f>E213+F213-(G213+H213)</f>
        <v>4.47</v>
      </c>
      <c r="J213" s="339">
        <v>4.47</v>
      </c>
      <c r="K213" s="339"/>
      <c r="L213" s="339"/>
      <c r="M213" s="340"/>
      <c r="N213" s="340">
        <f t="shared" si="52"/>
        <v>4.47</v>
      </c>
      <c r="O213" s="297"/>
    </row>
    <row r="214" spans="1:27" s="334" customFormat="1" ht="18.75" customHeight="1">
      <c r="A214" s="324">
        <v>9</v>
      </c>
      <c r="B214" s="323" t="s">
        <v>924</v>
      </c>
      <c r="C214" s="324">
        <f>'[9]Quy luong 2022'!C1277</f>
        <v>40</v>
      </c>
      <c r="D214" s="326">
        <f>SUM(D215:D223)</f>
        <v>6916.47</v>
      </c>
      <c r="E214" s="326">
        <f>SUM(E215:E223)</f>
        <v>6916.47</v>
      </c>
      <c r="F214" s="326"/>
      <c r="G214" s="326">
        <f t="shared" ref="G214:N214" si="53">SUM(G215:G223)</f>
        <v>0</v>
      </c>
      <c r="H214" s="326">
        <f t="shared" si="53"/>
        <v>48</v>
      </c>
      <c r="I214" s="326">
        <f t="shared" si="53"/>
        <v>6868.47</v>
      </c>
      <c r="J214" s="326">
        <f t="shared" si="53"/>
        <v>6868.47</v>
      </c>
      <c r="K214" s="326">
        <f t="shared" si="53"/>
        <v>299.27500000000003</v>
      </c>
      <c r="L214" s="326">
        <f t="shared" si="53"/>
        <v>0</v>
      </c>
      <c r="M214" s="326">
        <f t="shared" si="53"/>
        <v>66.753</v>
      </c>
      <c r="N214" s="326">
        <f t="shared" si="53"/>
        <v>7100.9920000000002</v>
      </c>
      <c r="O214" s="352"/>
    </row>
    <row r="215" spans="1:27" s="328" customFormat="1" ht="18.75" customHeight="1">
      <c r="A215" s="338"/>
      <c r="B215" s="337" t="s">
        <v>843</v>
      </c>
      <c r="C215" s="338"/>
      <c r="D215" s="339">
        <v>6430</v>
      </c>
      <c r="E215" s="339">
        <v>6430</v>
      </c>
      <c r="F215" s="339"/>
      <c r="G215" s="339"/>
      <c r="H215" s="339"/>
      <c r="I215" s="339">
        <f>E215+F215-(G215+H215)</f>
        <v>6430</v>
      </c>
      <c r="J215" s="339">
        <v>6430</v>
      </c>
      <c r="K215" s="339">
        <f>40.921+184.506+19.06+10.728-247.666+42.9+44.502</f>
        <v>94.951000000000008</v>
      </c>
      <c r="L215" s="339"/>
      <c r="M215" s="340"/>
      <c r="N215" s="340">
        <f t="shared" ref="N215:N223" si="54">J215+K215-(L215+M215)</f>
        <v>6524.951</v>
      </c>
      <c r="O215" s="297"/>
    </row>
    <row r="216" spans="1:27" s="328" customFormat="1" ht="18.75" customHeight="1">
      <c r="A216" s="338"/>
      <c r="B216" s="341" t="s">
        <v>925</v>
      </c>
      <c r="C216" s="338"/>
      <c r="D216" s="339">
        <f>C214*11+22</f>
        <v>462</v>
      </c>
      <c r="E216" s="339">
        <v>462</v>
      </c>
      <c r="F216" s="339"/>
      <c r="G216" s="339"/>
      <c r="H216" s="339">
        <v>46</v>
      </c>
      <c r="I216" s="339">
        <f>E216+F216-(G216+H216)</f>
        <v>416</v>
      </c>
      <c r="J216" s="339">
        <v>416</v>
      </c>
      <c r="K216" s="339"/>
      <c r="L216" s="339"/>
      <c r="M216" s="340">
        <v>66.753</v>
      </c>
      <c r="N216" s="340">
        <f t="shared" si="54"/>
        <v>349.24700000000001</v>
      </c>
      <c r="O216" s="297"/>
    </row>
    <row r="217" spans="1:27" s="328" customFormat="1" ht="18.75" customHeight="1">
      <c r="A217" s="338"/>
      <c r="B217" s="351" t="s">
        <v>840</v>
      </c>
      <c r="C217" s="338"/>
      <c r="D217" s="339"/>
      <c r="E217" s="339"/>
      <c r="F217" s="339"/>
      <c r="G217" s="339"/>
      <c r="H217" s="339"/>
      <c r="I217" s="339"/>
      <c r="J217" s="339"/>
      <c r="K217" s="339"/>
      <c r="L217" s="339"/>
      <c r="M217" s="340"/>
      <c r="N217" s="340">
        <f t="shared" si="54"/>
        <v>0</v>
      </c>
      <c r="O217" s="297"/>
    </row>
    <row r="218" spans="1:27" s="328" customFormat="1" ht="18.75" customHeight="1">
      <c r="A218" s="338"/>
      <c r="B218" s="351" t="s">
        <v>904</v>
      </c>
      <c r="C218" s="338"/>
      <c r="D218" s="339"/>
      <c r="E218" s="339"/>
      <c r="F218" s="339"/>
      <c r="G218" s="339"/>
      <c r="H218" s="339"/>
      <c r="I218" s="339"/>
      <c r="J218" s="339"/>
      <c r="K218" s="339">
        <v>7.2439999999999998</v>
      </c>
      <c r="L218" s="339"/>
      <c r="M218" s="340"/>
      <c r="N218" s="340">
        <f t="shared" si="54"/>
        <v>7.2439999999999998</v>
      </c>
      <c r="O218" s="297"/>
    </row>
    <row r="219" spans="1:27" s="328" customFormat="1" ht="18.75" customHeight="1">
      <c r="A219" s="338"/>
      <c r="B219" s="351" t="s">
        <v>926</v>
      </c>
      <c r="C219" s="338"/>
      <c r="D219" s="339"/>
      <c r="E219" s="339"/>
      <c r="F219" s="339"/>
      <c r="G219" s="339"/>
      <c r="H219" s="339"/>
      <c r="I219" s="339"/>
      <c r="J219" s="339"/>
      <c r="K219" s="339">
        <f>14.9+122.18</f>
        <v>137.08000000000001</v>
      </c>
      <c r="L219" s="339"/>
      <c r="M219" s="340"/>
      <c r="N219" s="340">
        <f t="shared" si="54"/>
        <v>137.08000000000001</v>
      </c>
      <c r="O219" s="297"/>
    </row>
    <row r="220" spans="1:27" s="348" customFormat="1" ht="18.75" customHeight="1">
      <c r="A220" s="343"/>
      <c r="B220" s="355" t="s">
        <v>905</v>
      </c>
      <c r="C220" s="344"/>
      <c r="D220" s="345"/>
      <c r="E220" s="345"/>
      <c r="F220" s="345"/>
      <c r="G220" s="345"/>
      <c r="H220" s="339"/>
      <c r="I220" s="339"/>
      <c r="J220" s="345"/>
      <c r="K220" s="345">
        <v>60</v>
      </c>
      <c r="L220" s="345"/>
      <c r="M220" s="346"/>
      <c r="N220" s="340">
        <f>J220+K220-(L220+M220)</f>
        <v>60</v>
      </c>
      <c r="O220" s="347"/>
      <c r="AA220" s="359"/>
    </row>
    <row r="221" spans="1:27" s="328" customFormat="1" ht="18.75" customHeight="1">
      <c r="A221" s="338"/>
      <c r="B221" s="341" t="s">
        <v>883</v>
      </c>
      <c r="C221" s="338"/>
      <c r="D221" s="339">
        <v>10</v>
      </c>
      <c r="E221" s="339">
        <v>10</v>
      </c>
      <c r="F221" s="339"/>
      <c r="G221" s="339"/>
      <c r="H221" s="339">
        <f>D221*0.1</f>
        <v>1</v>
      </c>
      <c r="I221" s="339">
        <f>E221+F221-(G221+H221)</f>
        <v>9</v>
      </c>
      <c r="J221" s="339">
        <v>9</v>
      </c>
      <c r="K221" s="339"/>
      <c r="L221" s="339"/>
      <c r="M221" s="340"/>
      <c r="N221" s="340">
        <f t="shared" si="54"/>
        <v>9</v>
      </c>
      <c r="O221" s="297"/>
    </row>
    <row r="222" spans="1:27" s="328" customFormat="1" ht="34.5" customHeight="1">
      <c r="A222" s="338"/>
      <c r="B222" s="341" t="s">
        <v>884</v>
      </c>
      <c r="C222" s="338"/>
      <c r="D222" s="339">
        <v>10</v>
      </c>
      <c r="E222" s="339">
        <v>10</v>
      </c>
      <c r="F222" s="339"/>
      <c r="G222" s="339"/>
      <c r="H222" s="339">
        <f>D222*0.1</f>
        <v>1</v>
      </c>
      <c r="I222" s="339">
        <f>E222+F222-(G222+H222)</f>
        <v>9</v>
      </c>
      <c r="J222" s="339">
        <v>9</v>
      </c>
      <c r="K222" s="339"/>
      <c r="L222" s="339"/>
      <c r="M222" s="340"/>
      <c r="N222" s="340">
        <f t="shared" si="54"/>
        <v>9</v>
      </c>
      <c r="O222" s="297"/>
    </row>
    <row r="223" spans="1:27" s="328" customFormat="1" ht="24.75" customHeight="1">
      <c r="A223" s="338"/>
      <c r="B223" s="341" t="s">
        <v>841</v>
      </c>
      <c r="C223" s="338"/>
      <c r="D223" s="339">
        <v>4.47</v>
      </c>
      <c r="E223" s="339">
        <v>4.47</v>
      </c>
      <c r="F223" s="339"/>
      <c r="G223" s="339"/>
      <c r="H223" s="339"/>
      <c r="I223" s="339">
        <f>E223+F223-(G223+H223)</f>
        <v>4.47</v>
      </c>
      <c r="J223" s="339">
        <v>4.47</v>
      </c>
      <c r="K223" s="339"/>
      <c r="L223" s="339"/>
      <c r="M223" s="340"/>
      <c r="N223" s="340">
        <f t="shared" si="54"/>
        <v>4.47</v>
      </c>
      <c r="O223" s="297"/>
    </row>
    <row r="224" spans="1:27" s="334" customFormat="1" ht="18.75" customHeight="1">
      <c r="A224" s="324">
        <v>10</v>
      </c>
      <c r="B224" s="323" t="s">
        <v>927</v>
      </c>
      <c r="C224" s="324">
        <f>'[9]Quy luong 2022'!C1100</f>
        <v>28</v>
      </c>
      <c r="D224" s="326">
        <f>SUM(D225:D229)</f>
        <v>5352.47</v>
      </c>
      <c r="E224" s="326">
        <f>SUM(E225:E229)</f>
        <v>5352.47</v>
      </c>
      <c r="F224" s="326"/>
      <c r="G224" s="326">
        <f t="shared" ref="G224:N224" si="55">SUM(G225:G229)</f>
        <v>0</v>
      </c>
      <c r="H224" s="326">
        <f t="shared" si="55"/>
        <v>34.6</v>
      </c>
      <c r="I224" s="326">
        <f t="shared" si="55"/>
        <v>5317.87</v>
      </c>
      <c r="J224" s="326">
        <f t="shared" si="55"/>
        <v>5317.87</v>
      </c>
      <c r="K224" s="326">
        <f t="shared" si="55"/>
        <v>110.83000000000001</v>
      </c>
      <c r="L224" s="326">
        <f t="shared" si="55"/>
        <v>0</v>
      </c>
      <c r="M224" s="326">
        <f t="shared" si="55"/>
        <v>12.135999999999999</v>
      </c>
      <c r="N224" s="326">
        <f t="shared" si="55"/>
        <v>5416.5640000000003</v>
      </c>
      <c r="O224" s="352"/>
    </row>
    <row r="225" spans="1:15" s="328" customFormat="1" ht="18.75" customHeight="1">
      <c r="A225" s="338"/>
      <c r="B225" s="337" t="s">
        <v>843</v>
      </c>
      <c r="C225" s="338"/>
      <c r="D225" s="339">
        <v>5002</v>
      </c>
      <c r="E225" s="339">
        <v>5002</v>
      </c>
      <c r="F225" s="339"/>
      <c r="G225" s="339"/>
      <c r="H225" s="339"/>
      <c r="I225" s="339">
        <f>E225+F225-(G225+H225)</f>
        <v>5002</v>
      </c>
      <c r="J225" s="339">
        <v>5002</v>
      </c>
      <c r="K225" s="339">
        <f>14.373+20.46+7.212+4.139+10.74+31.9+8.09</f>
        <v>96.914000000000016</v>
      </c>
      <c r="L225" s="339">
        <f>0</f>
        <v>0</v>
      </c>
      <c r="M225" s="340"/>
      <c r="N225" s="340">
        <f>J225+K225-(L225+M225)</f>
        <v>5098.9139999999998</v>
      </c>
      <c r="O225" s="297"/>
    </row>
    <row r="226" spans="1:15" s="328" customFormat="1" ht="18.75" customHeight="1">
      <c r="A226" s="338"/>
      <c r="B226" s="341" t="s">
        <v>859</v>
      </c>
      <c r="C226" s="338"/>
      <c r="D226" s="339">
        <f>C224*12</f>
        <v>336</v>
      </c>
      <c r="E226" s="339">
        <v>336</v>
      </c>
      <c r="F226" s="339"/>
      <c r="G226" s="339"/>
      <c r="H226" s="339">
        <f>D226*0.1</f>
        <v>33.6</v>
      </c>
      <c r="I226" s="339">
        <f>E226+F226-(G226+H226)</f>
        <v>302.39999999999998</v>
      </c>
      <c r="J226" s="339">
        <v>302.39999999999998</v>
      </c>
      <c r="K226" s="339"/>
      <c r="L226" s="339"/>
      <c r="M226" s="340">
        <v>12.135999999999999</v>
      </c>
      <c r="N226" s="340">
        <f>J226+K226-(L226+M226)</f>
        <v>290.26399999999995</v>
      </c>
      <c r="O226" s="297"/>
    </row>
    <row r="227" spans="1:15" s="328" customFormat="1" ht="18.75" customHeight="1">
      <c r="A227" s="338"/>
      <c r="B227" s="351" t="s">
        <v>904</v>
      </c>
      <c r="C227" s="338"/>
      <c r="D227" s="339"/>
      <c r="E227" s="339"/>
      <c r="F227" s="339"/>
      <c r="G227" s="339"/>
      <c r="H227" s="339"/>
      <c r="I227" s="339"/>
      <c r="J227" s="339"/>
      <c r="K227" s="339">
        <f>13.916</f>
        <v>13.916</v>
      </c>
      <c r="L227" s="339"/>
      <c r="M227" s="340"/>
      <c r="N227" s="340">
        <f>J227+K227-(L227+M227)</f>
        <v>13.916</v>
      </c>
      <c r="O227" s="297"/>
    </row>
    <row r="228" spans="1:15" s="328" customFormat="1" ht="18.75" customHeight="1">
      <c r="A228" s="338"/>
      <c r="B228" s="341" t="s">
        <v>883</v>
      </c>
      <c r="C228" s="338"/>
      <c r="D228" s="339">
        <v>10</v>
      </c>
      <c r="E228" s="339">
        <v>10</v>
      </c>
      <c r="F228" s="339"/>
      <c r="G228" s="339"/>
      <c r="H228" s="339">
        <f>D228*0.1</f>
        <v>1</v>
      </c>
      <c r="I228" s="339">
        <f>E228+F228-(G228+H228)</f>
        <v>9</v>
      </c>
      <c r="J228" s="339">
        <v>9</v>
      </c>
      <c r="K228" s="339"/>
      <c r="L228" s="339"/>
      <c r="M228" s="340"/>
      <c r="N228" s="340">
        <f>J228+K228-(L228+M228)</f>
        <v>9</v>
      </c>
      <c r="O228" s="297"/>
    </row>
    <row r="229" spans="1:15" s="328" customFormat="1" ht="25.5" customHeight="1">
      <c r="A229" s="338"/>
      <c r="B229" s="341" t="s">
        <v>841</v>
      </c>
      <c r="C229" s="338"/>
      <c r="D229" s="339">
        <v>4.47</v>
      </c>
      <c r="E229" s="339">
        <v>4.47</v>
      </c>
      <c r="F229" s="339"/>
      <c r="G229" s="339"/>
      <c r="H229" s="339"/>
      <c r="I229" s="339">
        <f>E229+F229-(G229+H229)</f>
        <v>4.47</v>
      </c>
      <c r="J229" s="339">
        <v>4.47</v>
      </c>
      <c r="K229" s="339"/>
      <c r="L229" s="339"/>
      <c r="M229" s="340"/>
      <c r="N229" s="340">
        <f>J229+K229-(L229+M229)</f>
        <v>4.47</v>
      </c>
      <c r="O229" s="297"/>
    </row>
    <row r="230" spans="1:15" s="334" customFormat="1" ht="18.75" customHeight="1">
      <c r="A230" s="324">
        <v>11</v>
      </c>
      <c r="B230" s="323" t="s">
        <v>928</v>
      </c>
      <c r="C230" s="324">
        <f>'[9]Quy luong 2022'!C957</f>
        <v>53</v>
      </c>
      <c r="D230" s="326">
        <f>SUM(D231:D238)</f>
        <v>10200.120999999999</v>
      </c>
      <c r="E230" s="326">
        <f>SUM(E231:E238)</f>
        <v>10200.120999999999</v>
      </c>
      <c r="F230" s="326"/>
      <c r="G230" s="326">
        <f t="shared" ref="G230:N230" si="56">SUM(G231:G238)</f>
        <v>0</v>
      </c>
      <c r="H230" s="326">
        <f t="shared" si="56"/>
        <v>59.300000000000004</v>
      </c>
      <c r="I230" s="326">
        <f t="shared" si="56"/>
        <v>10140.821</v>
      </c>
      <c r="J230" s="326">
        <f t="shared" si="56"/>
        <v>10140.821</v>
      </c>
      <c r="K230" s="326">
        <f t="shared" si="56"/>
        <v>265.80500000000001</v>
      </c>
      <c r="L230" s="326">
        <f t="shared" si="56"/>
        <v>337.55900000000003</v>
      </c>
      <c r="M230" s="326">
        <f t="shared" si="56"/>
        <v>25.593</v>
      </c>
      <c r="N230" s="326">
        <f t="shared" si="56"/>
        <v>10043.474000000002</v>
      </c>
      <c r="O230" s="352"/>
    </row>
    <row r="231" spans="1:15" s="328" customFormat="1" ht="18.75" customHeight="1">
      <c r="A231" s="338"/>
      <c r="B231" s="337" t="s">
        <v>843</v>
      </c>
      <c r="C231" s="338"/>
      <c r="D231" s="339">
        <v>9515</v>
      </c>
      <c r="E231" s="339">
        <v>9515</v>
      </c>
      <c r="F231" s="339"/>
      <c r="G231" s="339"/>
      <c r="H231" s="339"/>
      <c r="I231" s="339">
        <f>E231+F231-(G231+H231)</f>
        <v>9515</v>
      </c>
      <c r="J231" s="339">
        <v>9515</v>
      </c>
      <c r="K231" s="339"/>
      <c r="L231" s="339">
        <f>459.423-20.46-2.61-2.742-16.092-0.423-17.062-57.2-5.275</f>
        <v>337.55900000000003</v>
      </c>
      <c r="M231" s="340"/>
      <c r="N231" s="340">
        <f t="shared" ref="N231:N238" si="57">J231+K231-(L231+M231)</f>
        <v>9177.4410000000007</v>
      </c>
      <c r="O231" s="297"/>
    </row>
    <row r="232" spans="1:15" s="328" customFormat="1" ht="18.75" customHeight="1">
      <c r="A232" s="338"/>
      <c r="B232" s="341" t="s">
        <v>929</v>
      </c>
      <c r="C232" s="338"/>
      <c r="D232" s="339">
        <f>C230*11</f>
        <v>583</v>
      </c>
      <c r="E232" s="339">
        <v>583</v>
      </c>
      <c r="F232" s="339"/>
      <c r="G232" s="339"/>
      <c r="H232" s="339">
        <f>D232*0.1</f>
        <v>58.300000000000004</v>
      </c>
      <c r="I232" s="339">
        <f>E232+F232-(G232+H232)</f>
        <v>524.70000000000005</v>
      </c>
      <c r="J232" s="339">
        <v>524.70000000000005</v>
      </c>
      <c r="K232" s="339"/>
      <c r="L232" s="339"/>
      <c r="M232" s="340">
        <v>25.593</v>
      </c>
      <c r="N232" s="340">
        <f t="shared" si="57"/>
        <v>499.10700000000003</v>
      </c>
      <c r="O232" s="297"/>
    </row>
    <row r="233" spans="1:15" s="328" customFormat="1" ht="18.75" customHeight="1">
      <c r="A233" s="338"/>
      <c r="B233" s="351" t="s">
        <v>840</v>
      </c>
      <c r="C233" s="338"/>
      <c r="D233" s="339"/>
      <c r="E233" s="339"/>
      <c r="F233" s="339"/>
      <c r="G233" s="339"/>
      <c r="H233" s="339"/>
      <c r="I233" s="339"/>
      <c r="J233" s="339"/>
      <c r="K233" s="339">
        <v>72.046999999999997</v>
      </c>
      <c r="L233" s="339"/>
      <c r="M233" s="340"/>
      <c r="N233" s="340">
        <f t="shared" si="57"/>
        <v>72.046999999999997</v>
      </c>
      <c r="O233" s="297"/>
    </row>
    <row r="234" spans="1:15" s="328" customFormat="1" ht="18.75" customHeight="1">
      <c r="A234" s="338"/>
      <c r="B234" s="351" t="s">
        <v>904</v>
      </c>
      <c r="C234" s="338"/>
      <c r="D234" s="339"/>
      <c r="E234" s="339"/>
      <c r="F234" s="339"/>
      <c r="G234" s="339"/>
      <c r="H234" s="339"/>
      <c r="I234" s="339"/>
      <c r="J234" s="339"/>
      <c r="K234" s="339">
        <v>21.7</v>
      </c>
      <c r="L234" s="339"/>
      <c r="M234" s="340"/>
      <c r="N234" s="340">
        <f t="shared" si="57"/>
        <v>21.7</v>
      </c>
      <c r="O234" s="297"/>
    </row>
    <row r="235" spans="1:15" s="328" customFormat="1" ht="18.75" customHeight="1">
      <c r="A235" s="338"/>
      <c r="B235" s="351" t="s">
        <v>926</v>
      </c>
      <c r="C235" s="338"/>
      <c r="D235" s="339"/>
      <c r="E235" s="339"/>
      <c r="F235" s="339"/>
      <c r="G235" s="339"/>
      <c r="H235" s="339"/>
      <c r="I235" s="339"/>
      <c r="J235" s="339"/>
      <c r="K235" s="339">
        <f>14.9+157.158</f>
        <v>172.05799999999999</v>
      </c>
      <c r="L235" s="339"/>
      <c r="M235" s="340"/>
      <c r="N235" s="340">
        <f t="shared" si="57"/>
        <v>172.05799999999999</v>
      </c>
      <c r="O235" s="297"/>
    </row>
    <row r="236" spans="1:15" s="348" customFormat="1" ht="18.75" customHeight="1">
      <c r="A236" s="344"/>
      <c r="B236" s="341" t="s">
        <v>857</v>
      </c>
      <c r="C236" s="344"/>
      <c r="D236" s="345">
        <v>87.650999999999996</v>
      </c>
      <c r="E236" s="345">
        <v>87.650999999999996</v>
      </c>
      <c r="F236" s="345"/>
      <c r="G236" s="345"/>
      <c r="H236" s="339"/>
      <c r="I236" s="339">
        <f>E236+F236-(G236+H236)</f>
        <v>87.650999999999996</v>
      </c>
      <c r="J236" s="345">
        <v>87.650999999999996</v>
      </c>
      <c r="K236" s="345"/>
      <c r="L236" s="345"/>
      <c r="M236" s="346"/>
      <c r="N236" s="340">
        <f t="shared" si="57"/>
        <v>87.650999999999996</v>
      </c>
      <c r="O236" s="347"/>
    </row>
    <row r="237" spans="1:15" s="328" customFormat="1" ht="27.75" customHeight="1">
      <c r="A237" s="338"/>
      <c r="B237" s="341" t="s">
        <v>884</v>
      </c>
      <c r="C237" s="338"/>
      <c r="D237" s="339">
        <v>10</v>
      </c>
      <c r="E237" s="339">
        <v>10</v>
      </c>
      <c r="F237" s="339"/>
      <c r="G237" s="339"/>
      <c r="H237" s="339">
        <f>D237*0.1</f>
        <v>1</v>
      </c>
      <c r="I237" s="339">
        <f>E237+F237-(G237+H237)</f>
        <v>9</v>
      </c>
      <c r="J237" s="339">
        <v>9</v>
      </c>
      <c r="K237" s="339"/>
      <c r="L237" s="339"/>
      <c r="M237" s="340"/>
      <c r="N237" s="340">
        <f t="shared" si="57"/>
        <v>9</v>
      </c>
      <c r="O237" s="297"/>
    </row>
    <row r="238" spans="1:15" s="328" customFormat="1" ht="28.5" customHeight="1">
      <c r="A238" s="338"/>
      <c r="B238" s="341" t="s">
        <v>841</v>
      </c>
      <c r="C238" s="338"/>
      <c r="D238" s="339">
        <v>4.47</v>
      </c>
      <c r="E238" s="339">
        <v>4.47</v>
      </c>
      <c r="F238" s="339"/>
      <c r="G238" s="339"/>
      <c r="H238" s="339"/>
      <c r="I238" s="339">
        <f>E238+F238-(G238+H238)</f>
        <v>4.47</v>
      </c>
      <c r="J238" s="339">
        <v>4.47</v>
      </c>
      <c r="K238" s="339"/>
      <c r="L238" s="339"/>
      <c r="M238" s="340"/>
      <c r="N238" s="340">
        <f t="shared" si="57"/>
        <v>4.47</v>
      </c>
      <c r="O238" s="297"/>
    </row>
    <row r="239" spans="1:15" s="334" customFormat="1" ht="18.75" customHeight="1">
      <c r="A239" s="324">
        <v>12</v>
      </c>
      <c r="B239" s="323" t="s">
        <v>930</v>
      </c>
      <c r="C239" s="324">
        <f>'[9]Quy luong 2022'!C873</f>
        <v>37</v>
      </c>
      <c r="D239" s="326">
        <f>SUM(D240:D245)</f>
        <v>5325.47</v>
      </c>
      <c r="E239" s="326">
        <f>SUM(E240:E245)</f>
        <v>5325.47</v>
      </c>
      <c r="F239" s="326"/>
      <c r="G239" s="326">
        <f t="shared" ref="G239:N239" si="58">SUM(G240:G245)</f>
        <v>0</v>
      </c>
      <c r="H239" s="326">
        <f t="shared" si="58"/>
        <v>40.700000000000003</v>
      </c>
      <c r="I239" s="326">
        <f t="shared" si="58"/>
        <v>5284.77</v>
      </c>
      <c r="J239" s="326">
        <f t="shared" si="58"/>
        <v>5284.77</v>
      </c>
      <c r="K239" s="326">
        <f t="shared" si="58"/>
        <v>137.06100000000001</v>
      </c>
      <c r="L239" s="326">
        <f t="shared" si="58"/>
        <v>65.253999999999991</v>
      </c>
      <c r="M239" s="326">
        <f t="shared" si="58"/>
        <v>10.904</v>
      </c>
      <c r="N239" s="326">
        <f t="shared" si="58"/>
        <v>5345.6730000000007</v>
      </c>
      <c r="O239" s="352"/>
    </row>
    <row r="240" spans="1:15" s="328" customFormat="1" ht="18.75" customHeight="1">
      <c r="A240" s="338"/>
      <c r="B240" s="337" t="s">
        <v>843</v>
      </c>
      <c r="C240" s="338"/>
      <c r="D240" s="339">
        <v>4914</v>
      </c>
      <c r="E240" s="339">
        <v>4914</v>
      </c>
      <c r="F240" s="339"/>
      <c r="G240" s="339"/>
      <c r="H240" s="339"/>
      <c r="I240" s="339">
        <f>E240+F240-(G240+H240)</f>
        <v>4914</v>
      </c>
      <c r="J240" s="339">
        <v>4914</v>
      </c>
      <c r="K240" s="339"/>
      <c r="L240" s="339">
        <f>169.727-10.192-7.623-8.297-42.9-7.269-28.192</f>
        <v>65.253999999999991</v>
      </c>
      <c r="M240" s="340"/>
      <c r="N240" s="340">
        <f t="shared" ref="N240:N245" si="59">J240+K240-(L240+M240)</f>
        <v>4848.7460000000001</v>
      </c>
      <c r="O240" s="297"/>
    </row>
    <row r="241" spans="1:27" s="328" customFormat="1" ht="18.75" customHeight="1">
      <c r="A241" s="338"/>
      <c r="B241" s="341" t="s">
        <v>931</v>
      </c>
      <c r="C241" s="338"/>
      <c r="D241" s="339">
        <f>C239*11</f>
        <v>407</v>
      </c>
      <c r="E241" s="339">
        <v>407</v>
      </c>
      <c r="F241" s="339"/>
      <c r="G241" s="339"/>
      <c r="H241" s="339">
        <f>D241*0.1</f>
        <v>40.700000000000003</v>
      </c>
      <c r="I241" s="339">
        <f>E241+F241-(G241+H241)</f>
        <v>366.3</v>
      </c>
      <c r="J241" s="339">
        <v>366.3</v>
      </c>
      <c r="K241" s="339"/>
      <c r="L241" s="339"/>
      <c r="M241" s="340">
        <v>10.904</v>
      </c>
      <c r="N241" s="340">
        <f t="shared" si="59"/>
        <v>355.39600000000002</v>
      </c>
      <c r="O241" s="297"/>
    </row>
    <row r="242" spans="1:27" s="328" customFormat="1" ht="18.75" customHeight="1">
      <c r="A242" s="338"/>
      <c r="B242" s="355" t="s">
        <v>851</v>
      </c>
      <c r="C242" s="338"/>
      <c r="D242" s="339"/>
      <c r="E242" s="339"/>
      <c r="F242" s="339"/>
      <c r="G242" s="339"/>
      <c r="H242" s="339"/>
      <c r="I242" s="339"/>
      <c r="J242" s="339"/>
      <c r="K242" s="339">
        <v>63.145000000000003</v>
      </c>
      <c r="L242" s="339"/>
      <c r="M242" s="340"/>
      <c r="N242" s="340">
        <f t="shared" si="59"/>
        <v>63.145000000000003</v>
      </c>
      <c r="O242" s="297"/>
    </row>
    <row r="243" spans="1:27" s="328" customFormat="1" ht="18.75" customHeight="1">
      <c r="A243" s="338"/>
      <c r="B243" s="355" t="s">
        <v>978</v>
      </c>
      <c r="C243" s="338"/>
      <c r="D243" s="339"/>
      <c r="E243" s="339"/>
      <c r="F243" s="339"/>
      <c r="G243" s="339"/>
      <c r="H243" s="339"/>
      <c r="I243" s="339"/>
      <c r="J243" s="339"/>
      <c r="K243" s="339">
        <v>13.916</v>
      </c>
      <c r="L243" s="339"/>
      <c r="M243" s="340"/>
      <c r="N243" s="340">
        <f t="shared" si="59"/>
        <v>13.916</v>
      </c>
      <c r="O243" s="297"/>
    </row>
    <row r="244" spans="1:27" s="348" customFormat="1" ht="18.75" customHeight="1">
      <c r="A244" s="343"/>
      <c r="B244" s="355" t="s">
        <v>905</v>
      </c>
      <c r="C244" s="344"/>
      <c r="D244" s="345"/>
      <c r="E244" s="345"/>
      <c r="F244" s="345"/>
      <c r="G244" s="345"/>
      <c r="H244" s="339"/>
      <c r="I244" s="339"/>
      <c r="J244" s="345"/>
      <c r="K244" s="345">
        <v>60</v>
      </c>
      <c r="L244" s="345"/>
      <c r="M244" s="346"/>
      <c r="N244" s="340">
        <f t="shared" si="59"/>
        <v>60</v>
      </c>
      <c r="O244" s="347"/>
      <c r="AA244" s="359"/>
    </row>
    <row r="245" spans="1:27" s="328" customFormat="1" ht="30" customHeight="1">
      <c r="A245" s="338"/>
      <c r="B245" s="341" t="s">
        <v>841</v>
      </c>
      <c r="C245" s="338"/>
      <c r="D245" s="339">
        <v>4.47</v>
      </c>
      <c r="E245" s="339">
        <v>4.47</v>
      </c>
      <c r="F245" s="339"/>
      <c r="G245" s="339"/>
      <c r="H245" s="339"/>
      <c r="I245" s="339">
        <f>E245+F245-(G245+H245)</f>
        <v>4.47</v>
      </c>
      <c r="J245" s="339">
        <v>4.47</v>
      </c>
      <c r="K245" s="339"/>
      <c r="L245" s="339"/>
      <c r="M245" s="340"/>
      <c r="N245" s="340">
        <f t="shared" si="59"/>
        <v>4.47</v>
      </c>
      <c r="O245" s="297"/>
    </row>
    <row r="246" spans="1:27" s="334" customFormat="1" ht="18.75" customHeight="1">
      <c r="A246" s="324">
        <v>13</v>
      </c>
      <c r="B246" s="323" t="s">
        <v>932</v>
      </c>
      <c r="C246" s="324">
        <f>'[9]Quy luong 2022'!C1234</f>
        <v>35</v>
      </c>
      <c r="D246" s="326">
        <f>SUM(D247:D253)</f>
        <v>6495.72</v>
      </c>
      <c r="E246" s="326">
        <f>SUM(E247:E253)</f>
        <v>6495.72</v>
      </c>
      <c r="F246" s="326"/>
      <c r="G246" s="326">
        <f>SUM(G247:G253)</f>
        <v>0</v>
      </c>
      <c r="H246" s="326">
        <f>SUM(H247:H253)</f>
        <v>42.4</v>
      </c>
      <c r="I246" s="326">
        <f>E246+F246-(G246+H246)</f>
        <v>6453.3200000000006</v>
      </c>
      <c r="J246" s="326">
        <f>SUM(J247:J253)</f>
        <v>6453.3200000000006</v>
      </c>
      <c r="K246" s="326">
        <f>SUM(K247:K253)</f>
        <v>86.6</v>
      </c>
      <c r="L246" s="326">
        <f>SUM(L247:L253)</f>
        <v>185.67400000000001</v>
      </c>
      <c r="M246" s="326">
        <f>SUM(M247:M253)</f>
        <v>19.945</v>
      </c>
      <c r="N246" s="326">
        <f>SUM(N247:N253)</f>
        <v>6334.3010000000004</v>
      </c>
      <c r="O246" s="352"/>
    </row>
    <row r="247" spans="1:27" s="328" customFormat="1" ht="18.75" customHeight="1">
      <c r="A247" s="338"/>
      <c r="B247" s="337" t="s">
        <v>843</v>
      </c>
      <c r="C247" s="338"/>
      <c r="D247" s="339">
        <v>6067</v>
      </c>
      <c r="E247" s="339">
        <v>6067</v>
      </c>
      <c r="F247" s="339"/>
      <c r="G247" s="339"/>
      <c r="H247" s="339"/>
      <c r="I247" s="339">
        <f>E247+F247-(G247+H247)</f>
        <v>6067</v>
      </c>
      <c r="J247" s="339">
        <v>6067</v>
      </c>
      <c r="K247" s="339"/>
      <c r="L247" s="339">
        <f>306.831-61.381-11.279-35.2-13.297</f>
        <v>185.67400000000001</v>
      </c>
      <c r="M247" s="340"/>
      <c r="N247" s="340">
        <f t="shared" ref="N247:N253" si="60">J247+K247-(L247+M247)</f>
        <v>5881.326</v>
      </c>
      <c r="O247" s="297"/>
    </row>
    <row r="248" spans="1:27" s="328" customFormat="1" ht="18.75" customHeight="1">
      <c r="A248" s="338"/>
      <c r="B248" s="341" t="s">
        <v>933</v>
      </c>
      <c r="C248" s="338"/>
      <c r="D248" s="339">
        <f>C246*11+19.25</f>
        <v>404.25</v>
      </c>
      <c r="E248" s="339">
        <v>404.25</v>
      </c>
      <c r="F248" s="339"/>
      <c r="G248" s="339"/>
      <c r="H248" s="339">
        <v>40.4</v>
      </c>
      <c r="I248" s="339">
        <f>E248+F248-(G248+H248)</f>
        <v>363.85</v>
      </c>
      <c r="J248" s="339">
        <v>363.85</v>
      </c>
      <c r="K248" s="339"/>
      <c r="L248" s="339"/>
      <c r="M248" s="340">
        <v>19.945</v>
      </c>
      <c r="N248" s="340">
        <f t="shared" si="60"/>
        <v>343.90500000000003</v>
      </c>
      <c r="O248" s="297"/>
    </row>
    <row r="249" spans="1:27" s="328" customFormat="1" ht="18.75" customHeight="1">
      <c r="A249" s="338"/>
      <c r="B249" s="351" t="s">
        <v>904</v>
      </c>
      <c r="C249" s="338"/>
      <c r="D249" s="339"/>
      <c r="E249" s="339"/>
      <c r="F249" s="339"/>
      <c r="G249" s="339"/>
      <c r="H249" s="339"/>
      <c r="I249" s="339"/>
      <c r="J249" s="339"/>
      <c r="K249" s="339">
        <f>16.14</f>
        <v>16.14</v>
      </c>
      <c r="L249" s="339"/>
      <c r="M249" s="340"/>
      <c r="N249" s="340">
        <f t="shared" si="60"/>
        <v>16.14</v>
      </c>
      <c r="O249" s="297"/>
    </row>
    <row r="250" spans="1:27" s="348" customFormat="1" ht="18.75" customHeight="1">
      <c r="A250" s="343"/>
      <c r="B250" s="355" t="s">
        <v>905</v>
      </c>
      <c r="C250" s="344"/>
      <c r="D250" s="345"/>
      <c r="E250" s="345"/>
      <c r="F250" s="345"/>
      <c r="G250" s="345"/>
      <c r="H250" s="339"/>
      <c r="I250" s="339"/>
      <c r="J250" s="345"/>
      <c r="K250" s="345">
        <v>60</v>
      </c>
      <c r="L250" s="345"/>
      <c r="M250" s="346"/>
      <c r="N250" s="340">
        <f>J250+K250-(L250+M250)</f>
        <v>60</v>
      </c>
      <c r="O250" s="347"/>
      <c r="AA250" s="359"/>
    </row>
    <row r="251" spans="1:27" s="328" customFormat="1" ht="18.75" customHeight="1">
      <c r="A251" s="338"/>
      <c r="B251" s="341" t="s">
        <v>883</v>
      </c>
      <c r="C251" s="338"/>
      <c r="D251" s="339">
        <v>10</v>
      </c>
      <c r="E251" s="339">
        <v>10</v>
      </c>
      <c r="F251" s="339"/>
      <c r="G251" s="339"/>
      <c r="H251" s="339">
        <f>D251*0.1</f>
        <v>1</v>
      </c>
      <c r="I251" s="339">
        <f>E251+F251-(G251+H251)</f>
        <v>9</v>
      </c>
      <c r="J251" s="339">
        <v>9</v>
      </c>
      <c r="K251" s="339">
        <v>10.46</v>
      </c>
      <c r="L251" s="339"/>
      <c r="M251" s="340"/>
      <c r="N251" s="340">
        <f t="shared" si="60"/>
        <v>19.46</v>
      </c>
      <c r="O251" s="297"/>
    </row>
    <row r="252" spans="1:27" s="328" customFormat="1" ht="28.5" customHeight="1">
      <c r="A252" s="338"/>
      <c r="B252" s="341" t="s">
        <v>934</v>
      </c>
      <c r="C252" s="338"/>
      <c r="D252" s="339">
        <v>10</v>
      </c>
      <c r="E252" s="339">
        <v>10</v>
      </c>
      <c r="F252" s="339"/>
      <c r="G252" s="339"/>
      <c r="H252" s="339">
        <f>D252*0.1</f>
        <v>1</v>
      </c>
      <c r="I252" s="339">
        <f>E252+F252-(G252+H252)</f>
        <v>9</v>
      </c>
      <c r="J252" s="339">
        <v>9</v>
      </c>
      <c r="K252" s="339"/>
      <c r="L252" s="339"/>
      <c r="M252" s="340"/>
      <c r="N252" s="340">
        <f t="shared" si="60"/>
        <v>9</v>
      </c>
      <c r="O252" s="297"/>
    </row>
    <row r="253" spans="1:27" s="328" customFormat="1" ht="25.5" customHeight="1">
      <c r="A253" s="338"/>
      <c r="B253" s="341" t="s">
        <v>841</v>
      </c>
      <c r="C253" s="338"/>
      <c r="D253" s="339">
        <v>4.47</v>
      </c>
      <c r="E253" s="339">
        <v>4.47</v>
      </c>
      <c r="F253" s="339"/>
      <c r="G253" s="339"/>
      <c r="H253" s="339"/>
      <c r="I253" s="339">
        <f>E253+F253-(G253+H253)</f>
        <v>4.47</v>
      </c>
      <c r="J253" s="339">
        <v>4.47</v>
      </c>
      <c r="K253" s="339"/>
      <c r="L253" s="339"/>
      <c r="M253" s="340"/>
      <c r="N253" s="340">
        <f t="shared" si="60"/>
        <v>4.47</v>
      </c>
      <c r="O253" s="297"/>
    </row>
    <row r="254" spans="1:27" s="334" customFormat="1" ht="18.75" customHeight="1">
      <c r="A254" s="324">
        <v>14</v>
      </c>
      <c r="B254" s="323" t="s">
        <v>935</v>
      </c>
      <c r="C254" s="324">
        <f>'[9]Quy luong 2022'!C470</f>
        <v>31</v>
      </c>
      <c r="D254" s="326">
        <f>SUM(D255:D259)</f>
        <v>4484.47</v>
      </c>
      <c r="E254" s="326">
        <f>SUM(E255:E259)</f>
        <v>4484.47</v>
      </c>
      <c r="F254" s="326"/>
      <c r="G254" s="326">
        <f t="shared" ref="G254:N254" si="61">SUM(G255:G259)</f>
        <v>0</v>
      </c>
      <c r="H254" s="326">
        <f t="shared" si="61"/>
        <v>34.1</v>
      </c>
      <c r="I254" s="326">
        <f t="shared" si="61"/>
        <v>4450.37</v>
      </c>
      <c r="J254" s="326">
        <f t="shared" si="61"/>
        <v>4450.37</v>
      </c>
      <c r="K254" s="326">
        <f t="shared" si="61"/>
        <v>69.36</v>
      </c>
      <c r="L254" s="326">
        <f t="shared" si="61"/>
        <v>58.699999999999989</v>
      </c>
      <c r="M254" s="326">
        <f t="shared" si="61"/>
        <v>11.15</v>
      </c>
      <c r="N254" s="326">
        <f t="shared" si="61"/>
        <v>4449.880000000001</v>
      </c>
      <c r="O254" s="352"/>
    </row>
    <row r="255" spans="1:27" s="328" customFormat="1" ht="18.75" customHeight="1">
      <c r="A255" s="338"/>
      <c r="B255" s="337" t="s">
        <v>843</v>
      </c>
      <c r="C255" s="338"/>
      <c r="D255" s="339">
        <v>4139</v>
      </c>
      <c r="E255" s="339">
        <v>4139</v>
      </c>
      <c r="F255" s="339"/>
      <c r="G255" s="339"/>
      <c r="H255" s="339"/>
      <c r="I255" s="339">
        <f>E255+F255-(G255+H255)</f>
        <v>4139</v>
      </c>
      <c r="J255" s="339">
        <v>4139</v>
      </c>
      <c r="K255" s="339"/>
      <c r="L255" s="339">
        <f>176.089-61.381-5.072-9.402-34.1-7.434</f>
        <v>58.699999999999989</v>
      </c>
      <c r="M255" s="340"/>
      <c r="N255" s="340">
        <f>J255+K255-(L255+M255)</f>
        <v>4080.3</v>
      </c>
      <c r="O255" s="297"/>
    </row>
    <row r="256" spans="1:27" s="328" customFormat="1" ht="18.75" customHeight="1">
      <c r="A256" s="338"/>
      <c r="B256" s="341" t="s">
        <v>895</v>
      </c>
      <c r="C256" s="338"/>
      <c r="D256" s="339">
        <f>C254*11</f>
        <v>341</v>
      </c>
      <c r="E256" s="339">
        <v>341</v>
      </c>
      <c r="F256" s="339"/>
      <c r="G256" s="339"/>
      <c r="H256" s="339">
        <f>D256*0.1</f>
        <v>34.1</v>
      </c>
      <c r="I256" s="339">
        <f>E256+F256-(G256+H256)</f>
        <v>306.89999999999998</v>
      </c>
      <c r="J256" s="339">
        <v>306.89999999999998</v>
      </c>
      <c r="K256" s="339"/>
      <c r="L256" s="339"/>
      <c r="M256" s="340">
        <v>11.15</v>
      </c>
      <c r="N256" s="340">
        <f>J256+K256-(L256+M256)</f>
        <v>295.75</v>
      </c>
      <c r="O256" s="297"/>
    </row>
    <row r="257" spans="1:15" s="328" customFormat="1" ht="18.75" customHeight="1">
      <c r="A257" s="338"/>
      <c r="B257" s="351" t="s">
        <v>840</v>
      </c>
      <c r="C257" s="338"/>
      <c r="D257" s="339"/>
      <c r="E257" s="339"/>
      <c r="F257" s="339"/>
      <c r="G257" s="339"/>
      <c r="H257" s="339"/>
      <c r="I257" s="339"/>
      <c r="J257" s="339"/>
      <c r="K257" s="339">
        <v>54.332000000000001</v>
      </c>
      <c r="L257" s="339"/>
      <c r="M257" s="340"/>
      <c r="N257" s="340">
        <f>J257+K257-(L257+M257)</f>
        <v>54.332000000000001</v>
      </c>
      <c r="O257" s="297"/>
    </row>
    <row r="258" spans="1:15" s="328" customFormat="1" ht="18.75" customHeight="1">
      <c r="A258" s="338"/>
      <c r="B258" s="351" t="s">
        <v>904</v>
      </c>
      <c r="C258" s="338"/>
      <c r="D258" s="339"/>
      <c r="E258" s="339"/>
      <c r="F258" s="339"/>
      <c r="G258" s="339"/>
      <c r="H258" s="339"/>
      <c r="I258" s="339"/>
      <c r="J258" s="339"/>
      <c r="K258" s="339">
        <v>15.028</v>
      </c>
      <c r="L258" s="339"/>
      <c r="M258" s="340"/>
      <c r="N258" s="340">
        <f>J258+K258-(L258+M258)</f>
        <v>15.028</v>
      </c>
      <c r="O258" s="297"/>
    </row>
    <row r="259" spans="1:15" s="328" customFormat="1" ht="31.5" customHeight="1">
      <c r="A259" s="338"/>
      <c r="B259" s="341" t="s">
        <v>841</v>
      </c>
      <c r="C259" s="338"/>
      <c r="D259" s="339">
        <v>4.47</v>
      </c>
      <c r="E259" s="339">
        <v>4.47</v>
      </c>
      <c r="F259" s="339"/>
      <c r="G259" s="339"/>
      <c r="H259" s="339"/>
      <c r="I259" s="339">
        <f>E259+F259-(G259+H259)</f>
        <v>4.47</v>
      </c>
      <c r="J259" s="339">
        <v>4.47</v>
      </c>
      <c r="K259" s="339"/>
      <c r="L259" s="339"/>
      <c r="M259" s="340"/>
      <c r="N259" s="340">
        <f>J259+K259-(L259+M259)</f>
        <v>4.47</v>
      </c>
      <c r="O259" s="297"/>
    </row>
    <row r="260" spans="1:15" s="334" customFormat="1" ht="18.75" customHeight="1">
      <c r="A260" s="324">
        <v>15</v>
      </c>
      <c r="B260" s="323" t="s">
        <v>936</v>
      </c>
      <c r="C260" s="324">
        <f>'[9]Quy luong 2022'!C792</f>
        <v>31</v>
      </c>
      <c r="D260" s="326">
        <f>SUM(D261:D265)</f>
        <v>4335.5700000000006</v>
      </c>
      <c r="E260" s="326">
        <f>SUM(E261:E265)</f>
        <v>4335.5700000000006</v>
      </c>
      <c r="F260" s="326"/>
      <c r="G260" s="326">
        <f t="shared" ref="G260:N260" si="62">SUM(G261:G265)</f>
        <v>0</v>
      </c>
      <c r="H260" s="326">
        <f t="shared" si="62"/>
        <v>44.5</v>
      </c>
      <c r="I260" s="326">
        <f t="shared" si="62"/>
        <v>4291.0700000000006</v>
      </c>
      <c r="J260" s="326">
        <f t="shared" si="62"/>
        <v>4291.0700000000006</v>
      </c>
      <c r="K260" s="326">
        <f t="shared" si="62"/>
        <v>9.468</v>
      </c>
      <c r="L260" s="326">
        <f t="shared" si="62"/>
        <v>12.479000000000003</v>
      </c>
      <c r="M260" s="326">
        <f t="shared" si="62"/>
        <v>19.748000000000001</v>
      </c>
      <c r="N260" s="326">
        <f t="shared" si="62"/>
        <v>4268.3110000000006</v>
      </c>
      <c r="O260" s="352"/>
    </row>
    <row r="261" spans="1:15" s="328" customFormat="1" ht="18.75" customHeight="1">
      <c r="A261" s="338"/>
      <c r="B261" s="337" t="s">
        <v>843</v>
      </c>
      <c r="C261" s="338"/>
      <c r="D261" s="339">
        <v>3886</v>
      </c>
      <c r="E261" s="339">
        <v>3886</v>
      </c>
      <c r="F261" s="339"/>
      <c r="G261" s="339"/>
      <c r="H261" s="339"/>
      <c r="I261" s="339">
        <f>E261+F261-(G261+H261)</f>
        <v>3886</v>
      </c>
      <c r="J261" s="339">
        <v>3886</v>
      </c>
      <c r="K261" s="339"/>
      <c r="L261" s="339">
        <f>115.121-3.391-6.392-13.165-49.5-30.194</f>
        <v>12.479000000000003</v>
      </c>
      <c r="M261" s="340"/>
      <c r="N261" s="340">
        <f>J261+K261-(L261+M261)</f>
        <v>3873.5210000000002</v>
      </c>
      <c r="O261" s="297"/>
    </row>
    <row r="262" spans="1:15" s="328" customFormat="1" ht="18.75" customHeight="1">
      <c r="A262" s="338"/>
      <c r="B262" s="341" t="s">
        <v>895</v>
      </c>
      <c r="C262" s="338"/>
      <c r="D262" s="339">
        <f>(C260*11)+(C260*11*10%)</f>
        <v>375.1</v>
      </c>
      <c r="E262" s="339">
        <v>375.1</v>
      </c>
      <c r="F262" s="339"/>
      <c r="G262" s="339"/>
      <c r="H262" s="339">
        <v>37.5</v>
      </c>
      <c r="I262" s="339">
        <f>E262+F262-(G262+H262)</f>
        <v>337.6</v>
      </c>
      <c r="J262" s="339">
        <v>337.6</v>
      </c>
      <c r="K262" s="339"/>
      <c r="L262" s="339"/>
      <c r="M262" s="340">
        <v>19.748000000000001</v>
      </c>
      <c r="N262" s="340">
        <f>J262+K262-(L262+M262)</f>
        <v>317.85200000000003</v>
      </c>
      <c r="O262" s="297"/>
    </row>
    <row r="263" spans="1:15" s="328" customFormat="1" ht="18.75" customHeight="1">
      <c r="A263" s="338"/>
      <c r="B263" s="351" t="s">
        <v>904</v>
      </c>
      <c r="C263" s="338"/>
      <c r="D263" s="339"/>
      <c r="E263" s="339"/>
      <c r="F263" s="339"/>
      <c r="G263" s="339"/>
      <c r="H263" s="339"/>
      <c r="I263" s="339"/>
      <c r="J263" s="339"/>
      <c r="K263" s="339">
        <v>9.468</v>
      </c>
      <c r="L263" s="339"/>
      <c r="M263" s="340"/>
      <c r="N263" s="340">
        <f>J263+K263-(L263+M263)</f>
        <v>9.468</v>
      </c>
      <c r="O263" s="297"/>
    </row>
    <row r="264" spans="1:15" s="348" customFormat="1" ht="18.75" customHeight="1">
      <c r="A264" s="344"/>
      <c r="B264" s="341" t="s">
        <v>937</v>
      </c>
      <c r="C264" s="344"/>
      <c r="D264" s="345">
        <v>70</v>
      </c>
      <c r="E264" s="345">
        <v>70</v>
      </c>
      <c r="F264" s="345"/>
      <c r="G264" s="345"/>
      <c r="H264" s="339">
        <f>D264*0.1</f>
        <v>7</v>
      </c>
      <c r="I264" s="339">
        <f>E264+F264-(G264+H264)</f>
        <v>63</v>
      </c>
      <c r="J264" s="345">
        <v>63</v>
      </c>
      <c r="K264" s="345"/>
      <c r="L264" s="345"/>
      <c r="M264" s="346"/>
      <c r="N264" s="340">
        <f>J264+K264-(L264+M264)</f>
        <v>63</v>
      </c>
      <c r="O264" s="347"/>
    </row>
    <row r="265" spans="1:15" s="328" customFormat="1" ht="29.25" customHeight="1">
      <c r="A265" s="338"/>
      <c r="B265" s="341" t="s">
        <v>841</v>
      </c>
      <c r="C265" s="338"/>
      <c r="D265" s="339">
        <v>4.47</v>
      </c>
      <c r="E265" s="339">
        <v>4.47</v>
      </c>
      <c r="F265" s="339"/>
      <c r="G265" s="339"/>
      <c r="H265" s="339"/>
      <c r="I265" s="339">
        <f>E265+F265-(G265+H265)</f>
        <v>4.47</v>
      </c>
      <c r="J265" s="339">
        <v>4.47</v>
      </c>
      <c r="K265" s="339"/>
      <c r="L265" s="339"/>
      <c r="M265" s="340"/>
      <c r="N265" s="340">
        <f>J265+K265-(L265+M265)</f>
        <v>4.47</v>
      </c>
      <c r="O265" s="297"/>
    </row>
    <row r="266" spans="1:15" s="321" customFormat="1" ht="18.75" customHeight="1">
      <c r="A266" s="369" t="s">
        <v>98</v>
      </c>
      <c r="B266" s="369" t="s">
        <v>265</v>
      </c>
      <c r="C266" s="370"/>
      <c r="D266" s="371">
        <f>D267+D272</f>
        <v>4170</v>
      </c>
      <c r="E266" s="371">
        <f>E267+E272</f>
        <v>4170</v>
      </c>
      <c r="F266" s="371"/>
      <c r="G266" s="371">
        <f t="shared" ref="G266:N266" si="63">G267+G272</f>
        <v>0</v>
      </c>
      <c r="H266" s="371">
        <f t="shared" si="63"/>
        <v>417</v>
      </c>
      <c r="I266" s="371">
        <f t="shared" si="63"/>
        <v>3753</v>
      </c>
      <c r="J266" s="371">
        <f t="shared" si="63"/>
        <v>3753</v>
      </c>
      <c r="K266" s="371">
        <f t="shared" si="63"/>
        <v>40.229999999999997</v>
      </c>
      <c r="L266" s="371">
        <f t="shared" si="63"/>
        <v>82.551999999999992</v>
      </c>
      <c r="M266" s="371">
        <f t="shared" si="63"/>
        <v>0</v>
      </c>
      <c r="N266" s="371">
        <f t="shared" si="63"/>
        <v>3710.6779999999999</v>
      </c>
      <c r="O266" s="372"/>
    </row>
    <row r="267" spans="1:15" s="317" customFormat="1" ht="18.75" customHeight="1">
      <c r="A267" s="373">
        <v>1</v>
      </c>
      <c r="B267" s="374" t="s">
        <v>938</v>
      </c>
      <c r="C267" s="375"/>
      <c r="D267" s="376">
        <f>D268+D269+D270+D271</f>
        <v>3220</v>
      </c>
      <c r="E267" s="376">
        <f>E268+E269+E270+E271</f>
        <v>3220</v>
      </c>
      <c r="F267" s="376"/>
      <c r="G267" s="376">
        <f t="shared" ref="G267:N267" si="64">G268+G269+G270+G271</f>
        <v>0</v>
      </c>
      <c r="H267" s="376">
        <f t="shared" si="64"/>
        <v>322</v>
      </c>
      <c r="I267" s="376">
        <f t="shared" si="64"/>
        <v>2898</v>
      </c>
      <c r="J267" s="376">
        <f t="shared" si="64"/>
        <v>2898</v>
      </c>
      <c r="K267" s="377">
        <f t="shared" si="64"/>
        <v>40.229999999999997</v>
      </c>
      <c r="L267" s="377">
        <f t="shared" si="64"/>
        <v>40.229999999999997</v>
      </c>
      <c r="M267" s="376">
        <f t="shared" si="64"/>
        <v>0</v>
      </c>
      <c r="N267" s="376">
        <f t="shared" si="64"/>
        <v>2898</v>
      </c>
      <c r="O267" s="378"/>
    </row>
    <row r="268" spans="1:15" s="317" customFormat="1" ht="18.75" customHeight="1">
      <c r="A268" s="373"/>
      <c r="B268" s="341" t="s">
        <v>939</v>
      </c>
      <c r="C268" s="375"/>
      <c r="D268" s="340">
        <v>550</v>
      </c>
      <c r="E268" s="340">
        <v>550</v>
      </c>
      <c r="F268" s="340"/>
      <c r="G268" s="340"/>
      <c r="H268" s="339">
        <f>D268*0.1</f>
        <v>55</v>
      </c>
      <c r="I268" s="339">
        <f>E268+F268-(G268+H268)</f>
        <v>495</v>
      </c>
      <c r="J268" s="340">
        <v>495</v>
      </c>
      <c r="K268" s="339">
        <v>40.229999999999997</v>
      </c>
      <c r="L268" s="340"/>
      <c r="M268" s="354"/>
      <c r="N268" s="340">
        <f>J268+K268-(L268+M268)</f>
        <v>535.23</v>
      </c>
      <c r="O268" s="378"/>
    </row>
    <row r="269" spans="1:15" s="317" customFormat="1" ht="24.75" customHeight="1">
      <c r="A269" s="373"/>
      <c r="B269" s="341" t="s">
        <v>940</v>
      </c>
      <c r="C269" s="375"/>
      <c r="D269" s="379">
        <v>2100</v>
      </c>
      <c r="E269" s="379">
        <v>2100</v>
      </c>
      <c r="F269" s="379"/>
      <c r="G269" s="379"/>
      <c r="H269" s="339">
        <f>D269*0.1</f>
        <v>210</v>
      </c>
      <c r="I269" s="339">
        <f>E269+F269-(G269+H269)</f>
        <v>1890</v>
      </c>
      <c r="J269" s="379">
        <v>1890</v>
      </c>
      <c r="K269" s="379"/>
      <c r="L269" s="379">
        <v>40.229999999999997</v>
      </c>
      <c r="M269" s="354"/>
      <c r="N269" s="340">
        <f>J269+K269-(L269+M269)</f>
        <v>1849.77</v>
      </c>
      <c r="O269" s="378"/>
    </row>
    <row r="270" spans="1:15" s="317" customFormat="1" ht="25.5" customHeight="1">
      <c r="A270" s="373"/>
      <c r="B270" s="341" t="s">
        <v>941</v>
      </c>
      <c r="C270" s="375"/>
      <c r="D270" s="379">
        <v>500</v>
      </c>
      <c r="E270" s="379">
        <v>500</v>
      </c>
      <c r="F270" s="379"/>
      <c r="G270" s="379"/>
      <c r="H270" s="339">
        <f>D270*0.1</f>
        <v>50</v>
      </c>
      <c r="I270" s="339">
        <f>E270+F270-(G270+H270)</f>
        <v>450</v>
      </c>
      <c r="J270" s="379">
        <v>450</v>
      </c>
      <c r="K270" s="379"/>
      <c r="L270" s="379"/>
      <c r="M270" s="354"/>
      <c r="N270" s="340">
        <f>J270+K270-(L270+M270)</f>
        <v>450</v>
      </c>
      <c r="O270" s="378"/>
    </row>
    <row r="271" spans="1:15" s="317" customFormat="1" ht="18.75" customHeight="1">
      <c r="A271" s="373"/>
      <c r="B271" s="341" t="s">
        <v>942</v>
      </c>
      <c r="C271" s="375"/>
      <c r="D271" s="379">
        <v>70</v>
      </c>
      <c r="E271" s="379">
        <v>70</v>
      </c>
      <c r="F271" s="379"/>
      <c r="G271" s="379"/>
      <c r="H271" s="339">
        <f>D271*0.1</f>
        <v>7</v>
      </c>
      <c r="I271" s="339">
        <f>E271+F271-(G271+H271)</f>
        <v>63</v>
      </c>
      <c r="J271" s="379">
        <v>63</v>
      </c>
      <c r="K271" s="379"/>
      <c r="L271" s="379"/>
      <c r="M271" s="354"/>
      <c r="N271" s="340">
        <f>J271+K271-(L271+M271)</f>
        <v>63</v>
      </c>
      <c r="O271" s="378"/>
    </row>
    <row r="272" spans="1:15" s="315" customFormat="1" ht="24.75" customHeight="1">
      <c r="A272" s="380">
        <v>2</v>
      </c>
      <c r="B272" s="381" t="s">
        <v>979</v>
      </c>
      <c r="C272" s="369"/>
      <c r="D272" s="382">
        <v>950</v>
      </c>
      <c r="E272" s="382">
        <v>950</v>
      </c>
      <c r="F272" s="382"/>
      <c r="G272" s="382"/>
      <c r="H272" s="326">
        <f>D272*0.1</f>
        <v>95</v>
      </c>
      <c r="I272" s="326">
        <f>E272+F272-(G272+H272)</f>
        <v>855</v>
      </c>
      <c r="J272" s="326">
        <v>855</v>
      </c>
      <c r="K272" s="382"/>
      <c r="L272" s="383">
        <v>42.322000000000003</v>
      </c>
      <c r="M272" s="354"/>
      <c r="N272" s="384">
        <f>J272+K272-(L272+M272)</f>
        <v>812.678</v>
      </c>
      <c r="O272" s="385"/>
    </row>
    <row r="273" spans="1:29" s="321" customFormat="1" ht="18.75" customHeight="1">
      <c r="A273" s="380" t="s">
        <v>105</v>
      </c>
      <c r="B273" s="369" t="s">
        <v>943</v>
      </c>
      <c r="C273" s="369"/>
      <c r="D273" s="386">
        <f t="shared" ref="D273:N273" si="65">D274+D295+D303</f>
        <v>26924.114000000001</v>
      </c>
      <c r="E273" s="386">
        <f t="shared" si="65"/>
        <v>26924.114000000001</v>
      </c>
      <c r="F273" s="386">
        <f t="shared" si="65"/>
        <v>0</v>
      </c>
      <c r="G273" s="386">
        <f t="shared" si="65"/>
        <v>0</v>
      </c>
      <c r="H273" s="386">
        <f t="shared" si="65"/>
        <v>731.5</v>
      </c>
      <c r="I273" s="386">
        <f t="shared" si="65"/>
        <v>26192.614000000001</v>
      </c>
      <c r="J273" s="386">
        <f t="shared" si="65"/>
        <v>26192.614000000001</v>
      </c>
      <c r="K273" s="386">
        <f t="shared" si="65"/>
        <v>4758.1509999999998</v>
      </c>
      <c r="L273" s="386">
        <f t="shared" si="65"/>
        <v>1874.1</v>
      </c>
      <c r="M273" s="386">
        <f t="shared" si="65"/>
        <v>-712.09</v>
      </c>
      <c r="N273" s="386">
        <f t="shared" si="65"/>
        <v>29788.754999999997</v>
      </c>
      <c r="O273" s="372"/>
    </row>
    <row r="274" spans="1:29" s="321" customFormat="1" ht="18.75" customHeight="1">
      <c r="A274" s="380" t="s">
        <v>204</v>
      </c>
      <c r="B274" s="369" t="s">
        <v>944</v>
      </c>
      <c r="C274" s="369"/>
      <c r="D274" s="386">
        <f>SUM(D275:D283)</f>
        <v>7315.2640000000001</v>
      </c>
      <c r="E274" s="386">
        <f t="shared" ref="E274:N274" si="66">SUM(E275:E283)</f>
        <v>7315.2640000000001</v>
      </c>
      <c r="F274" s="386">
        <f t="shared" si="66"/>
        <v>0</v>
      </c>
      <c r="G274" s="386">
        <f t="shared" si="66"/>
        <v>0</v>
      </c>
      <c r="H274" s="386">
        <f t="shared" si="66"/>
        <v>731.5</v>
      </c>
      <c r="I274" s="386">
        <f t="shared" si="66"/>
        <v>6583.7640000000001</v>
      </c>
      <c r="J274" s="386">
        <f t="shared" si="66"/>
        <v>6583.7640000000001</v>
      </c>
      <c r="K274" s="386">
        <f t="shared" si="66"/>
        <v>3684.1509999999998</v>
      </c>
      <c r="L274" s="386">
        <f t="shared" si="66"/>
        <v>1874.1</v>
      </c>
      <c r="M274" s="386">
        <f t="shared" si="66"/>
        <v>-712.09</v>
      </c>
      <c r="N274" s="386">
        <f t="shared" si="66"/>
        <v>9105.9049999999988</v>
      </c>
      <c r="O274" s="372"/>
    </row>
    <row r="275" spans="1:29" s="317" customFormat="1" ht="18.75" customHeight="1">
      <c r="A275" s="387">
        <v>1</v>
      </c>
      <c r="B275" s="368" t="s">
        <v>945</v>
      </c>
      <c r="C275" s="375"/>
      <c r="D275" s="340">
        <v>889</v>
      </c>
      <c r="E275" s="340">
        <v>889</v>
      </c>
      <c r="F275" s="340"/>
      <c r="G275" s="340"/>
      <c r="H275" s="339">
        <f t="shared" ref="H275:H280" si="67">D275*0.1</f>
        <v>88.9</v>
      </c>
      <c r="I275" s="339">
        <f t="shared" ref="I275:I280" si="68">E275+F275-(G275+H275)</f>
        <v>800.1</v>
      </c>
      <c r="J275" s="388">
        <v>800.1</v>
      </c>
      <c r="K275" s="340"/>
      <c r="L275" s="340">
        <f>800.1</f>
        <v>800.1</v>
      </c>
      <c r="M275" s="354"/>
      <c r="N275" s="340">
        <f>J275+K275-(L275+M275)</f>
        <v>0</v>
      </c>
      <c r="O275" s="378"/>
    </row>
    <row r="276" spans="1:29" s="317" customFormat="1" ht="18.75" customHeight="1">
      <c r="A276" s="387">
        <v>2</v>
      </c>
      <c r="B276" s="368" t="s">
        <v>946</v>
      </c>
      <c r="C276" s="375"/>
      <c r="D276" s="340">
        <v>1654</v>
      </c>
      <c r="E276" s="340">
        <v>1654</v>
      </c>
      <c r="F276" s="340"/>
      <c r="G276" s="340"/>
      <c r="H276" s="339">
        <f t="shared" si="67"/>
        <v>165.4</v>
      </c>
      <c r="I276" s="339">
        <f t="shared" si="68"/>
        <v>1488.6</v>
      </c>
      <c r="J276" s="388">
        <v>1488.6</v>
      </c>
      <c r="K276" s="340"/>
      <c r="L276" s="340">
        <v>1074</v>
      </c>
      <c r="M276" s="354"/>
      <c r="N276" s="340">
        <f t="shared" ref="N276:N282" si="69">J276+K276-(L276+M276)</f>
        <v>414.59999999999991</v>
      </c>
      <c r="O276" s="378"/>
    </row>
    <row r="277" spans="1:29" s="317" customFormat="1" ht="27" customHeight="1">
      <c r="A277" s="387">
        <v>3</v>
      </c>
      <c r="B277" s="368" t="s">
        <v>947</v>
      </c>
      <c r="C277" s="375"/>
      <c r="D277" s="340">
        <v>31</v>
      </c>
      <c r="E277" s="340">
        <v>31</v>
      </c>
      <c r="F277" s="340"/>
      <c r="G277" s="340"/>
      <c r="H277" s="339">
        <f t="shared" si="67"/>
        <v>3.1</v>
      </c>
      <c r="I277" s="339">
        <f t="shared" si="68"/>
        <v>27.9</v>
      </c>
      <c r="J277" s="388">
        <v>27.9</v>
      </c>
      <c r="K277" s="339">
        <v>281.54899999999998</v>
      </c>
      <c r="L277" s="340"/>
      <c r="M277" s="354"/>
      <c r="N277" s="340">
        <f>J277+K277-(L277+M277)</f>
        <v>309.44899999999996</v>
      </c>
      <c r="O277" s="378"/>
    </row>
    <row r="278" spans="1:29" s="317" customFormat="1" ht="18.75" customHeight="1">
      <c r="A278" s="387">
        <v>4</v>
      </c>
      <c r="B278" s="368" t="s">
        <v>948</v>
      </c>
      <c r="C278" s="375"/>
      <c r="D278" s="340">
        <v>435</v>
      </c>
      <c r="E278" s="340">
        <v>435</v>
      </c>
      <c r="F278" s="340"/>
      <c r="G278" s="340"/>
      <c r="H278" s="339">
        <f t="shared" si="67"/>
        <v>43.5</v>
      </c>
      <c r="I278" s="339">
        <f t="shared" si="68"/>
        <v>391.5</v>
      </c>
      <c r="J278" s="388">
        <v>391.5</v>
      </c>
      <c r="K278" s="339">
        <v>42.322000000000003</v>
      </c>
      <c r="L278" s="340"/>
      <c r="M278" s="354"/>
      <c r="N278" s="340">
        <f t="shared" si="69"/>
        <v>433.822</v>
      </c>
      <c r="O278" s="378"/>
    </row>
    <row r="279" spans="1:29" s="317" customFormat="1" ht="18.75" customHeight="1">
      <c r="A279" s="387">
        <v>5</v>
      </c>
      <c r="B279" s="368" t="s">
        <v>949</v>
      </c>
      <c r="C279" s="375"/>
      <c r="D279" s="340">
        <v>235</v>
      </c>
      <c r="E279" s="340">
        <v>235</v>
      </c>
      <c r="F279" s="340"/>
      <c r="G279" s="340"/>
      <c r="H279" s="339">
        <f t="shared" si="67"/>
        <v>23.5</v>
      </c>
      <c r="I279" s="339">
        <f t="shared" si="68"/>
        <v>211.5</v>
      </c>
      <c r="J279" s="388">
        <v>211.5</v>
      </c>
      <c r="K279" s="340"/>
      <c r="L279" s="340"/>
      <c r="M279" s="354"/>
      <c r="N279" s="340">
        <f t="shared" si="69"/>
        <v>211.5</v>
      </c>
      <c r="O279" s="378"/>
    </row>
    <row r="280" spans="1:29" s="317" customFormat="1" ht="29.25" customHeight="1">
      <c r="A280" s="387">
        <v>6</v>
      </c>
      <c r="B280" s="368" t="s">
        <v>950</v>
      </c>
      <c r="C280" s="375"/>
      <c r="D280" s="375">
        <v>321</v>
      </c>
      <c r="E280" s="375">
        <v>321</v>
      </c>
      <c r="F280" s="375"/>
      <c r="G280" s="375"/>
      <c r="H280" s="339">
        <f t="shared" si="67"/>
        <v>32.1</v>
      </c>
      <c r="I280" s="339">
        <f t="shared" si="68"/>
        <v>288.89999999999998</v>
      </c>
      <c r="J280" s="389">
        <v>288.89999999999998</v>
      </c>
      <c r="K280" s="375"/>
      <c r="L280" s="375"/>
      <c r="M280" s="375"/>
      <c r="N280" s="340">
        <f t="shared" si="69"/>
        <v>288.89999999999998</v>
      </c>
      <c r="O280" s="378"/>
    </row>
    <row r="281" spans="1:29" s="317" customFormat="1" ht="27" customHeight="1">
      <c r="A281" s="387">
        <v>7</v>
      </c>
      <c r="B281" s="368" t="s">
        <v>951</v>
      </c>
      <c r="C281" s="375"/>
      <c r="D281" s="375"/>
      <c r="E281" s="375"/>
      <c r="F281" s="375"/>
      <c r="G281" s="375"/>
      <c r="H281" s="339"/>
      <c r="I281" s="339"/>
      <c r="J281" s="389"/>
      <c r="K281" s="390">
        <v>137.28</v>
      </c>
      <c r="L281" s="375"/>
      <c r="M281" s="375"/>
      <c r="N281" s="340">
        <f t="shared" si="69"/>
        <v>137.28</v>
      </c>
      <c r="O281" s="378"/>
    </row>
    <row r="282" spans="1:29" s="317" customFormat="1" ht="19.5" customHeight="1">
      <c r="A282" s="387">
        <v>8</v>
      </c>
      <c r="B282" s="368" t="s">
        <v>952</v>
      </c>
      <c r="C282" s="375"/>
      <c r="D282" s="375"/>
      <c r="E282" s="375"/>
      <c r="F282" s="375"/>
      <c r="G282" s="375"/>
      <c r="H282" s="339"/>
      <c r="I282" s="339"/>
      <c r="J282" s="389"/>
      <c r="K282" s="390">
        <v>52.198999999999998</v>
      </c>
      <c r="L282" s="375"/>
      <c r="M282" s="375"/>
      <c r="N282" s="340">
        <f t="shared" si="69"/>
        <v>52.198999999999998</v>
      </c>
      <c r="O282" s="378"/>
    </row>
    <row r="283" spans="1:29" s="315" customFormat="1" ht="18.75" customHeight="1">
      <c r="A283" s="373">
        <v>7</v>
      </c>
      <c r="B283" s="374" t="s">
        <v>953</v>
      </c>
      <c r="C283" s="324"/>
      <c r="D283" s="391">
        <f>SUM(D284:D289)</f>
        <v>3750.2640000000001</v>
      </c>
      <c r="E283" s="391">
        <f>SUM(E284:E289)</f>
        <v>3750.2640000000001</v>
      </c>
      <c r="F283" s="391"/>
      <c r="G283" s="391">
        <f t="shared" ref="G283:N283" si="70">SUM(G284:G290)</f>
        <v>0</v>
      </c>
      <c r="H283" s="391">
        <f t="shared" si="70"/>
        <v>375</v>
      </c>
      <c r="I283" s="391">
        <f t="shared" si="70"/>
        <v>3375.2640000000001</v>
      </c>
      <c r="J283" s="391">
        <f t="shared" si="70"/>
        <v>3375.2640000000001</v>
      </c>
      <c r="K283" s="391">
        <f t="shared" si="70"/>
        <v>3170.8009999999999</v>
      </c>
      <c r="L283" s="391">
        <f t="shared" si="70"/>
        <v>0</v>
      </c>
      <c r="M283" s="391">
        <f t="shared" si="70"/>
        <v>-712.09</v>
      </c>
      <c r="N283" s="391">
        <f t="shared" si="70"/>
        <v>7258.1549999999997</v>
      </c>
      <c r="O283" s="385"/>
    </row>
    <row r="284" spans="1:29" s="315" customFormat="1" ht="27.75" customHeight="1">
      <c r="A284" s="387"/>
      <c r="B284" s="341" t="s">
        <v>954</v>
      </c>
      <c r="C284" s="338"/>
      <c r="D284" s="392">
        <v>850</v>
      </c>
      <c r="E284" s="392">
        <v>850</v>
      </c>
      <c r="F284" s="392"/>
      <c r="G284" s="392"/>
      <c r="H284" s="339">
        <f>D284*0.1</f>
        <v>85</v>
      </c>
      <c r="I284" s="339">
        <f t="shared" ref="I284:I289" si="71">E284+F284-(G284+H284)</f>
        <v>765</v>
      </c>
      <c r="J284" s="339">
        <v>765</v>
      </c>
      <c r="K284" s="392"/>
      <c r="L284" s="392"/>
      <c r="M284" s="354"/>
      <c r="N284" s="340">
        <f t="shared" ref="N284:N289" si="72">J284+K284-(L284+M284)</f>
        <v>765</v>
      </c>
      <c r="O284" s="385"/>
    </row>
    <row r="285" spans="1:29" s="315" customFormat="1" ht="18.75" customHeight="1">
      <c r="A285" s="387"/>
      <c r="B285" s="341" t="s">
        <v>955</v>
      </c>
      <c r="C285" s="338"/>
      <c r="D285" s="392">
        <v>550</v>
      </c>
      <c r="E285" s="392">
        <v>550</v>
      </c>
      <c r="F285" s="392"/>
      <c r="G285" s="392"/>
      <c r="H285" s="339">
        <f>D285*0.1</f>
        <v>55</v>
      </c>
      <c r="I285" s="339">
        <f t="shared" si="71"/>
        <v>495</v>
      </c>
      <c r="J285" s="339">
        <v>495</v>
      </c>
      <c r="K285" s="392"/>
      <c r="L285" s="392"/>
      <c r="M285" s="354"/>
      <c r="N285" s="340">
        <f t="shared" si="72"/>
        <v>495</v>
      </c>
      <c r="O285" s="385"/>
    </row>
    <row r="286" spans="1:29" s="315" customFormat="1" ht="24.75" customHeight="1">
      <c r="A286" s="387"/>
      <c r="B286" s="341" t="s">
        <v>956</v>
      </c>
      <c r="C286" s="338"/>
      <c r="D286" s="392">
        <v>600</v>
      </c>
      <c r="E286" s="392">
        <v>600</v>
      </c>
      <c r="F286" s="392"/>
      <c r="G286" s="392"/>
      <c r="H286" s="339">
        <f>D286*0.1</f>
        <v>60</v>
      </c>
      <c r="I286" s="339">
        <f t="shared" si="71"/>
        <v>540</v>
      </c>
      <c r="J286" s="339">
        <v>540</v>
      </c>
      <c r="K286" s="392"/>
      <c r="L286" s="392"/>
      <c r="M286" s="354"/>
      <c r="N286" s="340">
        <f t="shared" si="72"/>
        <v>540</v>
      </c>
      <c r="O286" s="385"/>
    </row>
    <row r="287" spans="1:29" s="315" customFormat="1" ht="30" customHeight="1">
      <c r="A287" s="387"/>
      <c r="B287" s="341" t="s">
        <v>957</v>
      </c>
      <c r="C287" s="338"/>
      <c r="D287" s="392">
        <v>500</v>
      </c>
      <c r="E287" s="392">
        <v>500</v>
      </c>
      <c r="F287" s="392"/>
      <c r="G287" s="392"/>
      <c r="H287" s="339">
        <f>D287*0.1</f>
        <v>50</v>
      </c>
      <c r="I287" s="339">
        <f t="shared" si="71"/>
        <v>450</v>
      </c>
      <c r="J287" s="339">
        <v>450</v>
      </c>
      <c r="K287" s="392"/>
      <c r="L287" s="392"/>
      <c r="M287" s="354"/>
      <c r="N287" s="340">
        <f t="shared" si="72"/>
        <v>450</v>
      </c>
      <c r="O287" s="385"/>
    </row>
    <row r="288" spans="1:29" s="315" customFormat="1" ht="27.75" customHeight="1">
      <c r="A288" s="387"/>
      <c r="B288" s="341" t="s">
        <v>958</v>
      </c>
      <c r="C288" s="338"/>
      <c r="D288" s="392">
        <v>800</v>
      </c>
      <c r="E288" s="392">
        <v>800</v>
      </c>
      <c r="F288" s="392"/>
      <c r="G288" s="392"/>
      <c r="H288" s="339">
        <f>D288*0.1</f>
        <v>80</v>
      </c>
      <c r="I288" s="339">
        <f t="shared" si="71"/>
        <v>720</v>
      </c>
      <c r="J288" s="339">
        <v>720</v>
      </c>
      <c r="K288" s="392"/>
      <c r="L288" s="392"/>
      <c r="M288" s="354"/>
      <c r="N288" s="340">
        <f t="shared" si="72"/>
        <v>720</v>
      </c>
      <c r="O288" s="393"/>
      <c r="P288" s="394"/>
      <c r="Q288" s="394"/>
      <c r="R288" s="394"/>
      <c r="S288" s="394"/>
      <c r="T288" s="394"/>
      <c r="U288" s="394"/>
      <c r="V288" s="394"/>
      <c r="W288" s="394"/>
      <c r="X288" s="394"/>
      <c r="Y288" s="394"/>
      <c r="Z288" s="394"/>
      <c r="AA288" s="394"/>
      <c r="AB288" s="394"/>
      <c r="AC288" s="394"/>
    </row>
    <row r="289" spans="1:29" s="315" customFormat="1" ht="18.75" customHeight="1">
      <c r="A289" s="387"/>
      <c r="B289" s="341" t="s">
        <v>959</v>
      </c>
      <c r="C289" s="338"/>
      <c r="D289" s="392">
        <v>450.26400000000001</v>
      </c>
      <c r="E289" s="392">
        <v>450.26400000000001</v>
      </c>
      <c r="F289" s="392"/>
      <c r="G289" s="392"/>
      <c r="H289" s="339">
        <v>45</v>
      </c>
      <c r="I289" s="339">
        <f t="shared" si="71"/>
        <v>405.26400000000001</v>
      </c>
      <c r="J289" s="339">
        <v>405.26400000000001</v>
      </c>
      <c r="K289" s="392"/>
      <c r="L289" s="392"/>
      <c r="M289" s="354"/>
      <c r="N289" s="340">
        <f t="shared" si="72"/>
        <v>405.26400000000001</v>
      </c>
      <c r="O289" s="393">
        <v>10748.808999999999</v>
      </c>
      <c r="P289" s="394"/>
      <c r="Q289" s="394"/>
      <c r="R289" s="394"/>
      <c r="S289" s="394"/>
      <c r="T289" s="394"/>
      <c r="U289" s="394"/>
      <c r="V289" s="394"/>
      <c r="W289" s="394"/>
      <c r="X289" s="394"/>
      <c r="Y289" s="394"/>
      <c r="Z289" s="394"/>
      <c r="AA289" s="394"/>
      <c r="AB289" s="394"/>
      <c r="AC289" s="394"/>
    </row>
    <row r="290" spans="1:29" s="400" customFormat="1" ht="18.75" customHeight="1">
      <c r="A290" s="373"/>
      <c r="B290" s="395" t="s">
        <v>944</v>
      </c>
      <c r="C290" s="324"/>
      <c r="D290" s="396"/>
      <c r="E290" s="396"/>
      <c r="F290" s="396"/>
      <c r="G290" s="396"/>
      <c r="H290" s="326"/>
      <c r="I290" s="326"/>
      <c r="J290" s="396"/>
      <c r="K290" s="396">
        <f>SUM(K291:K294)</f>
        <v>3170.8009999999999</v>
      </c>
      <c r="L290" s="396"/>
      <c r="M290" s="323">
        <f>-712.09</f>
        <v>-712.09</v>
      </c>
      <c r="N290" s="396">
        <f>SUM(N291:N294)</f>
        <v>3882.8909999999996</v>
      </c>
      <c r="O290" s="397">
        <f>N290+513.35</f>
        <v>4396.241</v>
      </c>
      <c r="P290" s="398"/>
      <c r="Q290" s="399"/>
      <c r="R290" s="399"/>
      <c r="S290" s="399"/>
      <c r="T290" s="399"/>
      <c r="U290" s="399"/>
      <c r="V290" s="399"/>
      <c r="W290" s="399"/>
      <c r="X290" s="399"/>
      <c r="Y290" s="399"/>
      <c r="Z290" s="399"/>
      <c r="AA290" s="399"/>
      <c r="AB290" s="399"/>
      <c r="AC290" s="399"/>
    </row>
    <row r="291" spans="1:29" s="404" customFormat="1" ht="28.5" customHeight="1">
      <c r="A291" s="387"/>
      <c r="B291" s="341" t="s">
        <v>960</v>
      </c>
      <c r="C291" s="338"/>
      <c r="D291" s="392"/>
      <c r="E291" s="392"/>
      <c r="F291" s="392"/>
      <c r="G291" s="392"/>
      <c r="H291" s="339"/>
      <c r="I291" s="339"/>
      <c r="J291" s="392"/>
      <c r="K291" s="392">
        <v>87.91</v>
      </c>
      <c r="L291" s="392"/>
      <c r="M291" s="354">
        <v>-712.09</v>
      </c>
      <c r="N291" s="392">
        <f>J291+K291-L291-M291</f>
        <v>800</v>
      </c>
      <c r="O291" s="401">
        <f>O289-O290</f>
        <v>6352.5679999999993</v>
      </c>
      <c r="P291" s="402"/>
      <c r="Q291" s="403"/>
      <c r="R291" s="403"/>
      <c r="S291" s="403"/>
      <c r="T291" s="403"/>
      <c r="U291" s="403"/>
      <c r="V291" s="403"/>
      <c r="W291" s="403"/>
      <c r="X291" s="403"/>
      <c r="Y291" s="403"/>
      <c r="Z291" s="403"/>
      <c r="AA291" s="403"/>
      <c r="AB291" s="403"/>
      <c r="AC291" s="403"/>
    </row>
    <row r="292" spans="1:29" s="405" customFormat="1" ht="32.25" customHeight="1">
      <c r="A292" s="387"/>
      <c r="B292" s="341" t="s">
        <v>980</v>
      </c>
      <c r="C292" s="338"/>
      <c r="D292" s="392"/>
      <c r="E292" s="392"/>
      <c r="F292" s="392"/>
      <c r="G292" s="392"/>
      <c r="H292" s="339"/>
      <c r="I292" s="339"/>
      <c r="J292" s="392"/>
      <c r="K292" s="392">
        <f>1100.677-445.786-10</f>
        <v>644.89099999999985</v>
      </c>
      <c r="L292" s="392"/>
      <c r="M292" s="354"/>
      <c r="N292" s="392">
        <f t="shared" ref="N292:N294" si="73">J292+K292-L292-M292</f>
        <v>644.89099999999985</v>
      </c>
      <c r="O292" s="401"/>
      <c r="P292" s="403"/>
      <c r="Q292" s="403"/>
      <c r="R292" s="403"/>
      <c r="S292" s="403"/>
      <c r="T292" s="403"/>
      <c r="U292" s="403"/>
      <c r="V292" s="403"/>
      <c r="W292" s="403"/>
      <c r="X292" s="403"/>
      <c r="Y292" s="403"/>
      <c r="Z292" s="403"/>
      <c r="AA292" s="403"/>
      <c r="AB292" s="403"/>
      <c r="AC292" s="403"/>
    </row>
    <row r="293" spans="1:29" s="404" customFormat="1" ht="37.5" customHeight="1">
      <c r="A293" s="387"/>
      <c r="B293" s="341" t="s">
        <v>961</v>
      </c>
      <c r="C293" s="338"/>
      <c r="D293" s="392"/>
      <c r="E293" s="392"/>
      <c r="F293" s="392"/>
      <c r="G293" s="392"/>
      <c r="H293" s="339"/>
      <c r="I293" s="339"/>
      <c r="J293" s="392"/>
      <c r="K293" s="392">
        <f>1938</f>
        <v>1938</v>
      </c>
      <c r="L293" s="392"/>
      <c r="M293" s="354"/>
      <c r="N293" s="392">
        <f t="shared" si="73"/>
        <v>1938</v>
      </c>
      <c r="O293" s="401"/>
      <c r="P293" s="403"/>
      <c r="Q293" s="403"/>
      <c r="R293" s="403"/>
      <c r="S293" s="403"/>
      <c r="T293" s="403"/>
      <c r="U293" s="403"/>
      <c r="V293" s="403"/>
      <c r="W293" s="403"/>
      <c r="X293" s="403"/>
      <c r="Y293" s="403"/>
      <c r="Z293" s="403"/>
      <c r="AA293" s="403"/>
      <c r="AB293" s="403"/>
      <c r="AC293" s="403"/>
    </row>
    <row r="294" spans="1:29" s="405" customFormat="1" ht="27" customHeight="1">
      <c r="A294" s="387"/>
      <c r="B294" s="341" t="s">
        <v>962</v>
      </c>
      <c r="C294" s="338"/>
      <c r="D294" s="392"/>
      <c r="E294" s="392"/>
      <c r="F294" s="392"/>
      <c r="G294" s="392"/>
      <c r="H294" s="339"/>
      <c r="I294" s="339"/>
      <c r="J294" s="392"/>
      <c r="K294" s="392">
        <v>500</v>
      </c>
      <c r="L294" s="392"/>
      <c r="M294" s="354"/>
      <c r="N294" s="392">
        <f t="shared" si="73"/>
        <v>500</v>
      </c>
      <c r="O294" s="401"/>
      <c r="P294" s="403"/>
      <c r="Q294" s="403"/>
      <c r="R294" s="403"/>
      <c r="S294" s="403"/>
      <c r="T294" s="403"/>
      <c r="U294" s="403"/>
      <c r="V294" s="403"/>
      <c r="W294" s="403"/>
      <c r="X294" s="403"/>
      <c r="Y294" s="403"/>
      <c r="Z294" s="403"/>
      <c r="AA294" s="403"/>
      <c r="AB294" s="403"/>
      <c r="AC294" s="403"/>
    </row>
    <row r="295" spans="1:29" s="321" customFormat="1" ht="18.75" customHeight="1">
      <c r="A295" s="380" t="s">
        <v>206</v>
      </c>
      <c r="B295" s="369" t="s">
        <v>963</v>
      </c>
      <c r="C295" s="369"/>
      <c r="D295" s="386">
        <f>SUM(D296:D300)</f>
        <v>14608.85</v>
      </c>
      <c r="E295" s="386">
        <f t="shared" ref="E295:M295" si="74">SUM(E296:E300)</f>
        <v>14608.85</v>
      </c>
      <c r="F295" s="386">
        <f t="shared" si="74"/>
        <v>0</v>
      </c>
      <c r="G295" s="386">
        <f t="shared" si="74"/>
        <v>0</v>
      </c>
      <c r="H295" s="386">
        <f t="shared" si="74"/>
        <v>0</v>
      </c>
      <c r="I295" s="386">
        <f t="shared" si="74"/>
        <v>14608.85</v>
      </c>
      <c r="J295" s="386">
        <f t="shared" si="74"/>
        <v>14608.85</v>
      </c>
      <c r="K295" s="386">
        <f t="shared" si="74"/>
        <v>1074</v>
      </c>
      <c r="L295" s="386">
        <f t="shared" si="74"/>
        <v>0</v>
      </c>
      <c r="M295" s="386">
        <f t="shared" si="74"/>
        <v>0</v>
      </c>
      <c r="N295" s="386">
        <f>SUM(N296:N300)</f>
        <v>15682.85</v>
      </c>
      <c r="O295" s="406"/>
      <c r="P295" s="322"/>
      <c r="Q295" s="322"/>
      <c r="R295" s="322"/>
      <c r="S295" s="322"/>
      <c r="T295" s="322"/>
      <c r="U295" s="322"/>
      <c r="V295" s="322"/>
      <c r="W295" s="322"/>
      <c r="X295" s="322"/>
      <c r="Y295" s="322"/>
      <c r="Z295" s="322"/>
      <c r="AA295" s="322"/>
      <c r="AB295" s="322"/>
      <c r="AC295" s="322"/>
    </row>
    <row r="296" spans="1:29" s="317" customFormat="1" ht="18.75" customHeight="1">
      <c r="A296" s="387">
        <v>1</v>
      </c>
      <c r="B296" s="368" t="s">
        <v>946</v>
      </c>
      <c r="C296" s="375"/>
      <c r="D296" s="340"/>
      <c r="E296" s="340"/>
      <c r="F296" s="340"/>
      <c r="G296" s="340"/>
      <c r="H296" s="340">
        <v>0</v>
      </c>
      <c r="I296" s="339">
        <f t="shared" ref="I296:I302" si="75">E296+F296-(G296+H296)</f>
        <v>0</v>
      </c>
      <c r="J296" s="340"/>
      <c r="K296" s="340">
        <v>1074</v>
      </c>
      <c r="L296" s="340"/>
      <c r="M296" s="354"/>
      <c r="N296" s="340">
        <f t="shared" ref="N296:N302" si="76">J296+K296-(L296+M296)</f>
        <v>1074</v>
      </c>
      <c r="O296" s="407">
        <v>445.786</v>
      </c>
      <c r="P296" s="408"/>
      <c r="Q296" s="408"/>
      <c r="R296" s="408"/>
      <c r="S296" s="408"/>
      <c r="T296" s="408"/>
      <c r="U296" s="408"/>
      <c r="V296" s="408"/>
      <c r="W296" s="408"/>
      <c r="X296" s="408"/>
      <c r="Y296" s="408"/>
      <c r="Z296" s="408"/>
      <c r="AA296" s="408"/>
      <c r="AB296" s="408"/>
      <c r="AC296" s="408"/>
    </row>
    <row r="297" spans="1:29" s="317" customFormat="1" ht="18.75" customHeight="1">
      <c r="A297" s="387">
        <v>2</v>
      </c>
      <c r="B297" s="368" t="s">
        <v>945</v>
      </c>
      <c r="C297" s="375"/>
      <c r="D297" s="409">
        <v>6100</v>
      </c>
      <c r="E297" s="409">
        <v>6100</v>
      </c>
      <c r="F297" s="409"/>
      <c r="G297" s="409"/>
      <c r="H297" s="340">
        <v>0</v>
      </c>
      <c r="I297" s="339">
        <f t="shared" si="75"/>
        <v>6100</v>
      </c>
      <c r="J297" s="409">
        <v>6100</v>
      </c>
      <c r="K297" s="409"/>
      <c r="L297" s="409"/>
      <c r="M297" s="354"/>
      <c r="N297" s="340">
        <f t="shared" si="76"/>
        <v>6100</v>
      </c>
      <c r="O297" s="410" t="e">
        <f>#REF!-O296</f>
        <v>#REF!</v>
      </c>
      <c r="P297" s="408"/>
      <c r="Q297" s="408"/>
      <c r="R297" s="408"/>
      <c r="S297" s="408"/>
      <c r="T297" s="408"/>
      <c r="U297" s="408"/>
      <c r="V297" s="408"/>
      <c r="W297" s="408"/>
      <c r="X297" s="408"/>
      <c r="Y297" s="408"/>
      <c r="Z297" s="408"/>
      <c r="AA297" s="411">
        <f>D297+D298+D299</f>
        <v>10780</v>
      </c>
      <c r="AB297" s="408"/>
      <c r="AC297" s="408"/>
    </row>
    <row r="298" spans="1:29" s="317" customFormat="1" ht="18.75" customHeight="1">
      <c r="A298" s="387">
        <v>3</v>
      </c>
      <c r="B298" s="368" t="s">
        <v>964</v>
      </c>
      <c r="C298" s="375"/>
      <c r="D298" s="409">
        <v>3890</v>
      </c>
      <c r="E298" s="409">
        <v>3890</v>
      </c>
      <c r="F298" s="409"/>
      <c r="G298" s="409"/>
      <c r="H298" s="340">
        <v>0</v>
      </c>
      <c r="I298" s="339">
        <f t="shared" si="75"/>
        <v>3890</v>
      </c>
      <c r="J298" s="409">
        <v>3890</v>
      </c>
      <c r="K298" s="409"/>
      <c r="L298" s="409"/>
      <c r="M298" s="354"/>
      <c r="N298" s="340">
        <f t="shared" si="76"/>
        <v>3890</v>
      </c>
      <c r="O298" s="407"/>
      <c r="P298" s="408"/>
      <c r="Q298" s="408"/>
      <c r="R298" s="408"/>
      <c r="S298" s="408"/>
      <c r="T298" s="408"/>
      <c r="U298" s="408"/>
      <c r="V298" s="408"/>
      <c r="W298" s="408"/>
      <c r="X298" s="408"/>
      <c r="Y298" s="408"/>
      <c r="Z298" s="408"/>
      <c r="AA298" s="408"/>
      <c r="AB298" s="408"/>
      <c r="AC298" s="408"/>
    </row>
    <row r="299" spans="1:29" s="317" customFormat="1" ht="28.5" customHeight="1">
      <c r="A299" s="387">
        <v>4</v>
      </c>
      <c r="B299" s="368" t="s">
        <v>965</v>
      </c>
      <c r="C299" s="375"/>
      <c r="D299" s="409">
        <v>790</v>
      </c>
      <c r="E299" s="409">
        <v>790</v>
      </c>
      <c r="F299" s="409"/>
      <c r="G299" s="409"/>
      <c r="H299" s="340">
        <v>0</v>
      </c>
      <c r="I299" s="339">
        <f t="shared" si="75"/>
        <v>790</v>
      </c>
      <c r="J299" s="409">
        <v>790</v>
      </c>
      <c r="K299" s="409"/>
      <c r="L299" s="409"/>
      <c r="M299" s="354"/>
      <c r="N299" s="340">
        <f t="shared" si="76"/>
        <v>790</v>
      </c>
      <c r="O299" s="407"/>
      <c r="P299" s="408"/>
      <c r="Q299" s="408"/>
      <c r="R299" s="408"/>
      <c r="S299" s="408"/>
      <c r="T299" s="408"/>
      <c r="U299" s="408"/>
      <c r="V299" s="408"/>
      <c r="W299" s="408"/>
      <c r="X299" s="408"/>
      <c r="Y299" s="408"/>
      <c r="Z299" s="408"/>
      <c r="AA299" s="408"/>
      <c r="AB299" s="408"/>
      <c r="AC299" s="408"/>
    </row>
    <row r="300" spans="1:29" s="317" customFormat="1" ht="18.75" customHeight="1">
      <c r="A300" s="387">
        <v>5</v>
      </c>
      <c r="B300" s="368" t="s">
        <v>966</v>
      </c>
      <c r="C300" s="375"/>
      <c r="D300" s="412">
        <f>SUM(D301:D302)</f>
        <v>3828.85</v>
      </c>
      <c r="E300" s="412">
        <f>SUM(E301:E302)</f>
        <v>3828.85</v>
      </c>
      <c r="F300" s="412"/>
      <c r="G300" s="412">
        <f>SUM(G301:G302)</f>
        <v>0</v>
      </c>
      <c r="H300" s="412">
        <f>SUM(H301:H302)</f>
        <v>0</v>
      </c>
      <c r="I300" s="339">
        <f t="shared" si="75"/>
        <v>3828.85</v>
      </c>
      <c r="J300" s="412">
        <f>SUM(J301:J302)</f>
        <v>3828.85</v>
      </c>
      <c r="K300" s="412">
        <f>SUM(K301:K302)</f>
        <v>0</v>
      </c>
      <c r="L300" s="412">
        <f>SUM(L301:L302)</f>
        <v>0</v>
      </c>
      <c r="M300" s="375"/>
      <c r="N300" s="340">
        <f t="shared" si="76"/>
        <v>3828.85</v>
      </c>
      <c r="O300" s="378"/>
    </row>
    <row r="301" spans="1:29" s="417" customFormat="1" ht="18.75" customHeight="1">
      <c r="A301" s="413"/>
      <c r="B301" s="414" t="s">
        <v>967</v>
      </c>
      <c r="C301" s="415"/>
      <c r="D301" s="409">
        <v>3140</v>
      </c>
      <c r="E301" s="409">
        <v>3140</v>
      </c>
      <c r="F301" s="409"/>
      <c r="G301" s="409"/>
      <c r="H301" s="409">
        <v>0</v>
      </c>
      <c r="I301" s="339">
        <f t="shared" si="75"/>
        <v>3140</v>
      </c>
      <c r="J301" s="409">
        <v>3140</v>
      </c>
      <c r="K301" s="409"/>
      <c r="L301" s="409"/>
      <c r="M301" s="375"/>
      <c r="N301" s="340">
        <f t="shared" si="76"/>
        <v>3140</v>
      </c>
      <c r="O301" s="416"/>
    </row>
    <row r="302" spans="1:29" s="417" customFormat="1" ht="18.75" customHeight="1">
      <c r="A302" s="413"/>
      <c r="B302" s="414" t="s">
        <v>968</v>
      </c>
      <c r="C302" s="415"/>
      <c r="D302" s="412">
        <v>688.85</v>
      </c>
      <c r="E302" s="412">
        <v>688.85</v>
      </c>
      <c r="F302" s="412"/>
      <c r="G302" s="412"/>
      <c r="H302" s="409">
        <v>0</v>
      </c>
      <c r="I302" s="339">
        <f t="shared" si="75"/>
        <v>688.85</v>
      </c>
      <c r="J302" s="412">
        <v>688.85</v>
      </c>
      <c r="K302" s="412"/>
      <c r="L302" s="412"/>
      <c r="M302" s="375"/>
      <c r="N302" s="340">
        <f t="shared" si="76"/>
        <v>688.85</v>
      </c>
      <c r="O302" s="416"/>
    </row>
    <row r="303" spans="1:29" s="420" customFormat="1" ht="18.75" customHeight="1">
      <c r="A303" s="324" t="s">
        <v>208</v>
      </c>
      <c r="B303" s="374" t="s">
        <v>969</v>
      </c>
      <c r="C303" s="324"/>
      <c r="D303" s="418">
        <f>D304+D305</f>
        <v>5000</v>
      </c>
      <c r="E303" s="418">
        <f t="shared" ref="E303:N303" si="77">E304+E305</f>
        <v>5000</v>
      </c>
      <c r="F303" s="418">
        <f t="shared" si="77"/>
        <v>0</v>
      </c>
      <c r="G303" s="418">
        <f t="shared" si="77"/>
        <v>0</v>
      </c>
      <c r="H303" s="418">
        <f t="shared" si="77"/>
        <v>0</v>
      </c>
      <c r="I303" s="418">
        <f t="shared" si="77"/>
        <v>5000</v>
      </c>
      <c r="J303" s="418">
        <f t="shared" si="77"/>
        <v>5000</v>
      </c>
      <c r="K303" s="418">
        <f t="shared" si="77"/>
        <v>0</v>
      </c>
      <c r="L303" s="418">
        <f t="shared" si="77"/>
        <v>0</v>
      </c>
      <c r="M303" s="418">
        <f t="shared" si="77"/>
        <v>0</v>
      </c>
      <c r="N303" s="418">
        <f t="shared" si="77"/>
        <v>5000</v>
      </c>
      <c r="O303" s="419"/>
    </row>
    <row r="304" spans="1:29" s="317" customFormat="1" ht="18.75" customHeight="1">
      <c r="A304" s="387">
        <v>1</v>
      </c>
      <c r="B304" s="368" t="s">
        <v>970</v>
      </c>
      <c r="C304" s="375"/>
      <c r="D304" s="409">
        <v>2524</v>
      </c>
      <c r="E304" s="409">
        <v>2524</v>
      </c>
      <c r="F304" s="409"/>
      <c r="G304" s="409"/>
      <c r="H304" s="409">
        <v>0</v>
      </c>
      <c r="I304" s="339">
        <f>E304+F304-(G304+H304)</f>
        <v>2524</v>
      </c>
      <c r="J304" s="409">
        <v>2524</v>
      </c>
      <c r="K304" s="409"/>
      <c r="L304" s="409"/>
      <c r="M304" s="354"/>
      <c r="N304" s="340">
        <f>J304+K304-(L304+M304)</f>
        <v>2524</v>
      </c>
      <c r="O304" s="378"/>
    </row>
    <row r="305" spans="1:15" s="317" customFormat="1" ht="33" customHeight="1">
      <c r="A305" s="387">
        <v>2</v>
      </c>
      <c r="B305" s="421" t="s">
        <v>271</v>
      </c>
      <c r="C305" s="375"/>
      <c r="D305" s="409">
        <f>SUM(D306:D307)</f>
        <v>2476</v>
      </c>
      <c r="E305" s="409">
        <f t="shared" ref="E305:L305" si="78">SUM(E306:E307)</f>
        <v>2476</v>
      </c>
      <c r="F305" s="409">
        <f t="shared" si="78"/>
        <v>0</v>
      </c>
      <c r="G305" s="409">
        <f t="shared" si="78"/>
        <v>0</v>
      </c>
      <c r="H305" s="409">
        <f t="shared" si="78"/>
        <v>0</v>
      </c>
      <c r="I305" s="409">
        <f>SUM(I306:I307)</f>
        <v>2476</v>
      </c>
      <c r="J305" s="409">
        <f>SUM(J306:J307)</f>
        <v>2476</v>
      </c>
      <c r="K305" s="409">
        <f t="shared" si="78"/>
        <v>0</v>
      </c>
      <c r="L305" s="409">
        <f t="shared" si="78"/>
        <v>0</v>
      </c>
      <c r="M305" s="409"/>
      <c r="N305" s="340">
        <f>J305+K305-(L305+M305)</f>
        <v>2476</v>
      </c>
      <c r="O305" s="378"/>
    </row>
    <row r="306" spans="1:15" s="315" customFormat="1" ht="29.25" customHeight="1">
      <c r="A306" s="422" t="s">
        <v>255</v>
      </c>
      <c r="B306" s="368" t="s">
        <v>971</v>
      </c>
      <c r="C306" s="338"/>
      <c r="D306" s="423">
        <v>846</v>
      </c>
      <c r="E306" s="423">
        <v>846</v>
      </c>
      <c r="F306" s="423"/>
      <c r="G306" s="423"/>
      <c r="H306" s="409">
        <v>0</v>
      </c>
      <c r="I306" s="339">
        <f>E306+F306-(G306+H306)</f>
        <v>846</v>
      </c>
      <c r="J306" s="423">
        <v>846</v>
      </c>
      <c r="K306" s="423"/>
      <c r="L306" s="423"/>
      <c r="M306" s="338"/>
      <c r="N306" s="340">
        <f>J306+K306-(L306+M306)</f>
        <v>846</v>
      </c>
      <c r="O306" s="385"/>
    </row>
    <row r="307" spans="1:15" s="315" customFormat="1" ht="24.75" customHeight="1">
      <c r="A307" s="424" t="s">
        <v>255</v>
      </c>
      <c r="B307" s="425" t="s">
        <v>972</v>
      </c>
      <c r="C307" s="426"/>
      <c r="D307" s="427">
        <v>1630</v>
      </c>
      <c r="E307" s="427">
        <v>1630</v>
      </c>
      <c r="F307" s="427"/>
      <c r="G307" s="427"/>
      <c r="H307" s="428">
        <v>0</v>
      </c>
      <c r="I307" s="429">
        <f>E307+F307-(G307+H307)</f>
        <v>1630</v>
      </c>
      <c r="J307" s="427">
        <v>1630</v>
      </c>
      <c r="K307" s="427"/>
      <c r="L307" s="427"/>
      <c r="M307" s="430"/>
      <c r="N307" s="431">
        <f>J307+K307-(L307+M307)</f>
        <v>1630</v>
      </c>
      <c r="O307" s="385"/>
    </row>
    <row r="308" spans="1:15" s="315" customFormat="1" ht="37.5" customHeight="1">
      <c r="A308" s="400"/>
      <c r="C308" s="432"/>
      <c r="D308" s="317"/>
      <c r="E308" s="433"/>
      <c r="F308" s="433"/>
      <c r="G308" s="317"/>
      <c r="H308" s="317"/>
      <c r="I308" s="317"/>
      <c r="J308" s="317"/>
      <c r="K308" s="434"/>
      <c r="L308" s="434"/>
      <c r="O308" s="314"/>
    </row>
    <row r="309" spans="1:15" s="315" customFormat="1" ht="37.5" customHeight="1">
      <c r="A309" s="400"/>
      <c r="C309" s="432"/>
      <c r="D309" s="317"/>
      <c r="E309" s="435"/>
      <c r="F309" s="435"/>
      <c r="G309" s="317"/>
      <c r="H309" s="317"/>
      <c r="I309" s="317"/>
      <c r="J309" s="317"/>
      <c r="K309" s="434"/>
      <c r="L309" s="434"/>
      <c r="O309" s="314"/>
    </row>
    <row r="310" spans="1:15" s="315" customFormat="1" ht="37.5" customHeight="1">
      <c r="A310" s="400"/>
      <c r="C310" s="432"/>
      <c r="D310" s="317"/>
      <c r="E310" s="435"/>
      <c r="F310" s="435"/>
      <c r="G310" s="317"/>
      <c r="H310" s="317"/>
      <c r="I310" s="317"/>
      <c r="J310" s="317"/>
      <c r="K310" s="434"/>
      <c r="L310" s="434"/>
      <c r="O310" s="314"/>
    </row>
    <row r="311" spans="1:15" s="315" customFormat="1" ht="37.5" customHeight="1">
      <c r="A311" s="400"/>
      <c r="C311" s="432"/>
      <c r="D311" s="317"/>
      <c r="E311" s="317"/>
      <c r="F311" s="317"/>
      <c r="G311" s="317"/>
      <c r="H311" s="317"/>
      <c r="I311" s="317"/>
      <c r="J311" s="317"/>
      <c r="K311" s="434"/>
      <c r="L311" s="434"/>
      <c r="O311" s="314"/>
    </row>
    <row r="312" spans="1:15" s="315" customFormat="1" ht="37.5" customHeight="1">
      <c r="A312" s="400"/>
      <c r="C312" s="432"/>
      <c r="D312" s="317"/>
      <c r="E312" s="317"/>
      <c r="F312" s="317"/>
      <c r="G312" s="317"/>
      <c r="H312" s="317"/>
      <c r="I312" s="317"/>
      <c r="J312" s="317"/>
      <c r="K312" s="434"/>
      <c r="L312" s="434"/>
      <c r="O312" s="314"/>
    </row>
    <row r="313" spans="1:15" s="315" customFormat="1" ht="37.5" customHeight="1">
      <c r="A313" s="400"/>
      <c r="C313" s="432"/>
      <c r="D313" s="317"/>
      <c r="E313" s="317"/>
      <c r="F313" s="317"/>
      <c r="G313" s="317"/>
      <c r="H313" s="317"/>
      <c r="I313" s="317"/>
      <c r="J313" s="317"/>
      <c r="K313" s="434"/>
      <c r="L313" s="434"/>
      <c r="O313" s="314"/>
    </row>
    <row r="314" spans="1:15" s="315" customFormat="1" ht="37.5" customHeight="1">
      <c r="A314" s="400"/>
      <c r="C314" s="432"/>
      <c r="D314" s="317"/>
      <c r="E314" s="317"/>
      <c r="F314" s="317"/>
      <c r="G314" s="317"/>
      <c r="H314" s="317"/>
      <c r="I314" s="317"/>
      <c r="J314" s="317"/>
      <c r="K314" s="434"/>
      <c r="L314" s="434"/>
      <c r="O314" s="314"/>
    </row>
    <row r="315" spans="1:15" s="315" customFormat="1" ht="37.5" customHeight="1">
      <c r="A315" s="400"/>
      <c r="C315" s="432"/>
      <c r="D315" s="317"/>
      <c r="E315" s="317"/>
      <c r="F315" s="317"/>
      <c r="G315" s="317"/>
      <c r="H315" s="317"/>
      <c r="I315" s="317"/>
      <c r="J315" s="317"/>
      <c r="K315" s="434"/>
      <c r="L315" s="434"/>
      <c r="O315" s="314"/>
    </row>
    <row r="316" spans="1:15" s="315" customFormat="1" ht="37.5" customHeight="1">
      <c r="A316" s="400"/>
      <c r="C316" s="432"/>
      <c r="D316" s="317"/>
      <c r="E316" s="317"/>
      <c r="F316" s="317"/>
      <c r="G316" s="317"/>
      <c r="H316" s="317"/>
      <c r="I316" s="317"/>
      <c r="J316" s="317"/>
      <c r="K316" s="434"/>
      <c r="L316" s="434"/>
      <c r="O316" s="314"/>
    </row>
    <row r="317" spans="1:15" s="315" customFormat="1" ht="37.5" customHeight="1">
      <c r="A317" s="400"/>
      <c r="C317" s="432"/>
      <c r="D317" s="317"/>
      <c r="E317" s="317"/>
      <c r="F317" s="317"/>
      <c r="G317" s="317"/>
      <c r="H317" s="317"/>
      <c r="I317" s="317"/>
      <c r="J317" s="317"/>
      <c r="K317" s="434"/>
      <c r="L317" s="434"/>
      <c r="O317" s="314"/>
    </row>
    <row r="318" spans="1:15" s="315" customFormat="1" ht="37.5" customHeight="1">
      <c r="A318" s="400"/>
      <c r="C318" s="432"/>
      <c r="D318" s="317"/>
      <c r="E318" s="317"/>
      <c r="F318" s="317"/>
      <c r="G318" s="317"/>
      <c r="H318" s="317"/>
      <c r="I318" s="317"/>
      <c r="J318" s="317"/>
      <c r="K318" s="434"/>
      <c r="L318" s="434"/>
      <c r="O318" s="314"/>
    </row>
    <row r="319" spans="1:15" s="315" customFormat="1" ht="37.5" customHeight="1">
      <c r="A319" s="400"/>
      <c r="C319" s="432"/>
      <c r="D319" s="317"/>
      <c r="E319" s="317"/>
      <c r="F319" s="317"/>
      <c r="G319" s="317"/>
      <c r="H319" s="317"/>
      <c r="I319" s="317"/>
      <c r="J319" s="317"/>
      <c r="K319" s="434"/>
      <c r="L319" s="434"/>
      <c r="O319" s="314"/>
    </row>
    <row r="320" spans="1:15" s="315" customFormat="1" ht="37.5" customHeight="1">
      <c r="A320" s="400"/>
      <c r="C320" s="432"/>
      <c r="D320" s="317"/>
      <c r="E320" s="317"/>
      <c r="F320" s="317"/>
      <c r="G320" s="317"/>
      <c r="H320" s="317"/>
      <c r="I320" s="317"/>
      <c r="J320" s="317"/>
      <c r="K320" s="434"/>
      <c r="L320" s="434"/>
      <c r="O320" s="314"/>
    </row>
    <row r="321" spans="1:15" s="315" customFormat="1" ht="37.5" customHeight="1">
      <c r="A321" s="400"/>
      <c r="C321" s="432"/>
      <c r="D321" s="317"/>
      <c r="E321" s="317"/>
      <c r="F321" s="317"/>
      <c r="G321" s="317"/>
      <c r="H321" s="317"/>
      <c r="I321" s="317"/>
      <c r="J321" s="317"/>
      <c r="K321" s="434"/>
      <c r="L321" s="434"/>
      <c r="O321" s="314"/>
    </row>
    <row r="322" spans="1:15" s="315" customFormat="1" ht="37.5" customHeight="1">
      <c r="A322" s="400"/>
      <c r="C322" s="432"/>
      <c r="D322" s="317"/>
      <c r="E322" s="317"/>
      <c r="F322" s="317"/>
      <c r="G322" s="317"/>
      <c r="H322" s="317"/>
      <c r="I322" s="317"/>
      <c r="J322" s="317"/>
      <c r="K322" s="434"/>
      <c r="L322" s="434"/>
      <c r="O322" s="314"/>
    </row>
    <row r="323" spans="1:15" s="315" customFormat="1" ht="37.5" customHeight="1">
      <c r="K323" s="436"/>
      <c r="L323" s="436"/>
    </row>
    <row r="324" spans="1:15" s="315" customFormat="1" ht="37.5" customHeight="1">
      <c r="K324" s="436"/>
      <c r="L324" s="436"/>
    </row>
    <row r="325" spans="1:15" s="315" customFormat="1" ht="37.5" customHeight="1">
      <c r="K325" s="436"/>
      <c r="L325" s="436"/>
    </row>
    <row r="326" spans="1:15" s="315" customFormat="1" ht="37.5" customHeight="1">
      <c r="K326" s="436"/>
      <c r="L326" s="436"/>
    </row>
    <row r="327" spans="1:15" s="315" customFormat="1" ht="37.5" customHeight="1">
      <c r="K327" s="436"/>
      <c r="L327" s="436"/>
    </row>
    <row r="328" spans="1:15" s="315" customFormat="1" ht="37.5" customHeight="1">
      <c r="K328" s="436"/>
      <c r="L328" s="436"/>
    </row>
    <row r="329" spans="1:15" s="315" customFormat="1" ht="37.5" customHeight="1">
      <c r="K329" s="436"/>
      <c r="L329" s="436"/>
    </row>
    <row r="330" spans="1:15" s="315" customFormat="1" ht="37.5" customHeight="1">
      <c r="K330" s="436"/>
      <c r="L330" s="436"/>
    </row>
    <row r="331" spans="1:15" s="315" customFormat="1" ht="37.5" customHeight="1">
      <c r="K331" s="436"/>
      <c r="L331" s="436"/>
    </row>
    <row r="332" spans="1:15" s="315" customFormat="1" ht="37.5" customHeight="1">
      <c r="K332" s="436"/>
      <c r="L332" s="436"/>
    </row>
    <row r="333" spans="1:15" s="315" customFormat="1" ht="37.5" customHeight="1">
      <c r="K333" s="436"/>
      <c r="L333" s="436"/>
    </row>
    <row r="334" spans="1:15" s="315" customFormat="1" ht="37.5" customHeight="1">
      <c r="K334" s="436"/>
      <c r="L334" s="436"/>
    </row>
    <row r="335" spans="1:15" s="315" customFormat="1" ht="37.5" customHeight="1">
      <c r="K335" s="436"/>
      <c r="L335" s="436"/>
    </row>
    <row r="336" spans="1:15" s="315" customFormat="1" ht="37.5" customHeight="1">
      <c r="K336" s="436"/>
      <c r="L336" s="436"/>
    </row>
    <row r="337" spans="11:12" s="315" customFormat="1" ht="37.5" customHeight="1">
      <c r="K337" s="436"/>
      <c r="L337" s="436"/>
    </row>
    <row r="338" spans="11:12" s="315" customFormat="1" ht="37.5" customHeight="1">
      <c r="K338" s="436"/>
      <c r="L338" s="436"/>
    </row>
    <row r="339" spans="11:12" s="315" customFormat="1" ht="37.5" customHeight="1">
      <c r="K339" s="436"/>
      <c r="L339" s="436"/>
    </row>
    <row r="340" spans="11:12" s="315" customFormat="1" ht="37.5" customHeight="1">
      <c r="K340" s="436"/>
      <c r="L340" s="436"/>
    </row>
    <row r="341" spans="11:12" s="315" customFormat="1" ht="37.5" customHeight="1">
      <c r="K341" s="436"/>
      <c r="L341" s="436"/>
    </row>
    <row r="342" spans="11:12" s="315" customFormat="1" ht="37.5" customHeight="1">
      <c r="K342" s="436"/>
      <c r="L342" s="436"/>
    </row>
    <row r="343" spans="11:12" s="315" customFormat="1" ht="37.5" customHeight="1">
      <c r="K343" s="436"/>
      <c r="L343" s="436"/>
    </row>
    <row r="344" spans="11:12" s="315" customFormat="1" ht="37.5" customHeight="1">
      <c r="K344" s="436"/>
      <c r="L344" s="436"/>
    </row>
    <row r="345" spans="11:12" s="315" customFormat="1" ht="37.5" customHeight="1">
      <c r="K345" s="436"/>
      <c r="L345" s="436"/>
    </row>
    <row r="346" spans="11:12" s="315" customFormat="1" ht="37.5" customHeight="1">
      <c r="K346" s="436"/>
      <c r="L346" s="436"/>
    </row>
    <row r="347" spans="11:12" s="315" customFormat="1" ht="37.5" customHeight="1">
      <c r="K347" s="436"/>
      <c r="L347" s="436"/>
    </row>
    <row r="348" spans="11:12" s="315" customFormat="1" ht="37.5" customHeight="1">
      <c r="K348" s="436"/>
      <c r="L348" s="436"/>
    </row>
    <row r="349" spans="11:12" s="315" customFormat="1" ht="37.5" customHeight="1">
      <c r="K349" s="436"/>
      <c r="L349" s="436"/>
    </row>
    <row r="350" spans="11:12" s="315" customFormat="1" ht="37.5" customHeight="1">
      <c r="K350" s="436"/>
      <c r="L350" s="436"/>
    </row>
    <row r="351" spans="11:12" s="315" customFormat="1" ht="37.5" customHeight="1">
      <c r="K351" s="436"/>
      <c r="L351" s="436"/>
    </row>
    <row r="352" spans="11:12" s="315" customFormat="1" ht="37.5" customHeight="1">
      <c r="K352" s="436"/>
      <c r="L352" s="436"/>
    </row>
    <row r="353" spans="11:12" s="315" customFormat="1" ht="37.5" customHeight="1">
      <c r="K353" s="436"/>
      <c r="L353" s="436"/>
    </row>
    <row r="354" spans="11:12" s="315" customFormat="1" ht="37.5" customHeight="1">
      <c r="K354" s="436"/>
      <c r="L354" s="436"/>
    </row>
    <row r="355" spans="11:12" s="315" customFormat="1" ht="37.5" customHeight="1">
      <c r="K355" s="436"/>
      <c r="L355" s="436"/>
    </row>
    <row r="356" spans="11:12" s="315" customFormat="1" ht="37.5" customHeight="1">
      <c r="K356" s="436"/>
      <c r="L356" s="436"/>
    </row>
    <row r="357" spans="11:12" s="315" customFormat="1" ht="37.5" customHeight="1">
      <c r="K357" s="436"/>
      <c r="L357" s="436"/>
    </row>
    <row r="358" spans="11:12" s="315" customFormat="1" ht="37.5" customHeight="1">
      <c r="K358" s="436"/>
      <c r="L358" s="436"/>
    </row>
    <row r="359" spans="11:12" s="315" customFormat="1" ht="37.5" customHeight="1">
      <c r="K359" s="436"/>
      <c r="L359" s="436"/>
    </row>
    <row r="360" spans="11:12" s="315" customFormat="1" ht="37.5" customHeight="1">
      <c r="K360" s="436"/>
      <c r="L360" s="436"/>
    </row>
    <row r="361" spans="11:12" s="315" customFormat="1" ht="37.5" customHeight="1">
      <c r="K361" s="436"/>
      <c r="L361" s="436"/>
    </row>
    <row r="362" spans="11:12" s="315" customFormat="1" ht="37.5" customHeight="1">
      <c r="K362" s="436"/>
      <c r="L362" s="436"/>
    </row>
    <row r="363" spans="11:12" s="315" customFormat="1" ht="37.5" customHeight="1">
      <c r="K363" s="436"/>
      <c r="L363" s="436"/>
    </row>
    <row r="364" spans="11:12" s="315" customFormat="1" ht="37.5" customHeight="1">
      <c r="K364" s="436"/>
      <c r="L364" s="436"/>
    </row>
    <row r="365" spans="11:12" s="315" customFormat="1" ht="37.5" customHeight="1">
      <c r="K365" s="436"/>
      <c r="L365" s="436"/>
    </row>
    <row r="366" spans="11:12" s="315" customFormat="1" ht="37.5" customHeight="1">
      <c r="K366" s="436"/>
      <c r="L366" s="436"/>
    </row>
    <row r="367" spans="11:12" s="315" customFormat="1" ht="37.5" customHeight="1">
      <c r="K367" s="436"/>
      <c r="L367" s="436"/>
    </row>
    <row r="368" spans="11:12" s="315" customFormat="1" ht="37.5" customHeight="1">
      <c r="K368" s="436"/>
      <c r="L368" s="436"/>
    </row>
    <row r="369" spans="11:12" s="315" customFormat="1" ht="37.5" customHeight="1">
      <c r="K369" s="436"/>
      <c r="L369" s="436"/>
    </row>
    <row r="370" spans="11:12" s="315" customFormat="1" ht="37.5" customHeight="1">
      <c r="K370" s="436"/>
      <c r="L370" s="436"/>
    </row>
    <row r="371" spans="11:12" s="315" customFormat="1" ht="37.5" customHeight="1">
      <c r="K371" s="436"/>
      <c r="L371" s="436"/>
    </row>
    <row r="372" spans="11:12" s="315" customFormat="1" ht="37.5" customHeight="1">
      <c r="K372" s="436"/>
      <c r="L372" s="436"/>
    </row>
    <row r="373" spans="11:12" s="315" customFormat="1" ht="37.5" customHeight="1">
      <c r="K373" s="436"/>
      <c r="L373" s="436"/>
    </row>
    <row r="374" spans="11:12" s="315" customFormat="1" ht="37.5" customHeight="1">
      <c r="K374" s="436"/>
      <c r="L374" s="436"/>
    </row>
    <row r="375" spans="11:12" s="315" customFormat="1" ht="37.5" customHeight="1">
      <c r="K375" s="436"/>
      <c r="L375" s="436"/>
    </row>
    <row r="376" spans="11:12" s="315" customFormat="1" ht="37.5" customHeight="1">
      <c r="K376" s="436"/>
      <c r="L376" s="436"/>
    </row>
    <row r="377" spans="11:12" s="315" customFormat="1" ht="37.5" customHeight="1">
      <c r="K377" s="436"/>
      <c r="L377" s="436"/>
    </row>
    <row r="378" spans="11:12" s="315" customFormat="1" ht="37.5" customHeight="1">
      <c r="K378" s="436"/>
      <c r="L378" s="436"/>
    </row>
    <row r="379" spans="11:12" s="315" customFormat="1" ht="37.5" customHeight="1">
      <c r="K379" s="436"/>
      <c r="L379" s="436"/>
    </row>
    <row r="380" spans="11:12" s="315" customFormat="1" ht="37.5" customHeight="1">
      <c r="K380" s="436"/>
      <c r="L380" s="436"/>
    </row>
    <row r="381" spans="11:12" s="315" customFormat="1" ht="37.5" customHeight="1">
      <c r="K381" s="436"/>
      <c r="L381" s="436"/>
    </row>
    <row r="382" spans="11:12" s="315" customFormat="1" ht="37.5" customHeight="1">
      <c r="K382" s="436"/>
      <c r="L382" s="436"/>
    </row>
    <row r="383" spans="11:12" s="315" customFormat="1" ht="15.75">
      <c r="K383" s="436"/>
      <c r="L383" s="436"/>
    </row>
    <row r="384" spans="11:12" s="315" customFormat="1" ht="15.75">
      <c r="K384" s="436"/>
      <c r="L384" s="436"/>
    </row>
    <row r="385" spans="11:12" s="315" customFormat="1" ht="15.75">
      <c r="K385" s="436"/>
      <c r="L385" s="436"/>
    </row>
    <row r="386" spans="11:12" s="315" customFormat="1" ht="15.75">
      <c r="K386" s="436"/>
      <c r="L386" s="436"/>
    </row>
    <row r="387" spans="11:12" s="315" customFormat="1" ht="15.75">
      <c r="K387" s="436"/>
      <c r="L387" s="436"/>
    </row>
    <row r="388" spans="11:12" s="315" customFormat="1" ht="15.75">
      <c r="K388" s="436"/>
      <c r="L388" s="436"/>
    </row>
    <row r="389" spans="11:12" s="315" customFormat="1" ht="15.75">
      <c r="K389" s="436"/>
      <c r="L389" s="436"/>
    </row>
    <row r="390" spans="11:12" s="315" customFormat="1" ht="15.75">
      <c r="K390" s="436"/>
      <c r="L390" s="436"/>
    </row>
    <row r="391" spans="11:12" s="315" customFormat="1" ht="15.75">
      <c r="K391" s="436"/>
      <c r="L391" s="436"/>
    </row>
    <row r="392" spans="11:12" s="315" customFormat="1" ht="15.75">
      <c r="K392" s="436"/>
      <c r="L392" s="436"/>
    </row>
    <row r="393" spans="11:12" s="315" customFormat="1" ht="15.75">
      <c r="K393" s="436"/>
      <c r="L393" s="436"/>
    </row>
    <row r="394" spans="11:12" s="315" customFormat="1" ht="15.75">
      <c r="K394" s="436"/>
      <c r="L394" s="436"/>
    </row>
    <row r="395" spans="11:12" s="315" customFormat="1" ht="15.75">
      <c r="K395" s="436"/>
      <c r="L395" s="436"/>
    </row>
    <row r="396" spans="11:12" s="315" customFormat="1" ht="15.75">
      <c r="K396" s="436"/>
      <c r="L396" s="436"/>
    </row>
    <row r="397" spans="11:12" s="315" customFormat="1" ht="15.75">
      <c r="K397" s="436"/>
      <c r="L397" s="436"/>
    </row>
    <row r="398" spans="11:12" s="315" customFormat="1" ht="15.75">
      <c r="K398" s="436"/>
      <c r="L398" s="436"/>
    </row>
    <row r="399" spans="11:12" s="315" customFormat="1" ht="15.75">
      <c r="K399" s="436"/>
      <c r="L399" s="436"/>
    </row>
    <row r="400" spans="11:12" s="315" customFormat="1" ht="15.75">
      <c r="K400" s="436"/>
      <c r="L400" s="436"/>
    </row>
    <row r="401" spans="1:15" s="315" customFormat="1" ht="15.75">
      <c r="A401" s="400"/>
      <c r="C401" s="432"/>
      <c r="D401" s="317"/>
      <c r="E401" s="317"/>
      <c r="F401" s="317"/>
      <c r="G401" s="317"/>
      <c r="H401" s="317"/>
      <c r="I401" s="317"/>
      <c r="J401" s="317"/>
      <c r="K401" s="434"/>
      <c r="L401" s="434"/>
      <c r="O401" s="314"/>
    </row>
    <row r="402" spans="1:15" s="315" customFormat="1" ht="15.75">
      <c r="A402" s="400"/>
      <c r="C402" s="432"/>
      <c r="D402" s="317"/>
      <c r="E402" s="317"/>
      <c r="F402" s="317"/>
      <c r="G402" s="317"/>
      <c r="H402" s="317"/>
      <c r="I402" s="317"/>
      <c r="J402" s="317"/>
      <c r="K402" s="434"/>
      <c r="L402" s="434"/>
      <c r="O402" s="314"/>
    </row>
  </sheetData>
  <mergeCells count="18">
    <mergeCell ref="I7:I8"/>
    <mergeCell ref="J7:J8"/>
    <mergeCell ref="K7:L7"/>
    <mergeCell ref="A1:B1"/>
    <mergeCell ref="A2:N2"/>
    <mergeCell ref="A3:N3"/>
    <mergeCell ref="A4:N4"/>
    <mergeCell ref="A5:A8"/>
    <mergeCell ref="B5:B8"/>
    <mergeCell ref="C5:C8"/>
    <mergeCell ref="D5:D8"/>
    <mergeCell ref="E5:I6"/>
    <mergeCell ref="J5:N6"/>
    <mergeCell ref="M7:M8"/>
    <mergeCell ref="N7:N8"/>
    <mergeCell ref="E7:E8"/>
    <mergeCell ref="F7:G7"/>
    <mergeCell ref="H7:H8"/>
  </mergeCells>
  <printOptions horizontalCentered="1"/>
  <pageMargins left="0.2" right="0.2" top="0.5" bottom="0.2" header="0.31496062992126" footer="0.31496062992126"/>
  <pageSetup paperSize="9" scale="63" orientation="landscape" r:id="rId1"/>
  <colBreaks count="1" manualBreakCount="1">
    <brk id="14"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E36"/>
  <sheetViews>
    <sheetView view="pageBreakPreview" zoomScaleNormal="85" zoomScaleSheetLayoutView="100" workbookViewId="0">
      <selection activeCell="C99" sqref="C99"/>
    </sheetView>
  </sheetViews>
  <sheetFormatPr defaultColWidth="9.140625" defaultRowHeight="12.75"/>
  <cols>
    <col min="1" max="1" width="5" style="139" customWidth="1"/>
    <col min="2" max="2" width="29.5703125" style="129" customWidth="1"/>
    <col min="3" max="3" width="8.5703125" style="136" customWidth="1"/>
    <col min="4" max="4" width="8.85546875" style="136" customWidth="1"/>
    <col min="5" max="5" width="8.85546875" style="136" hidden="1" customWidth="1"/>
    <col min="6" max="6" width="8.5703125" style="136" customWidth="1"/>
    <col min="7" max="8" width="8.85546875" style="136" hidden="1" customWidth="1"/>
    <col min="9" max="11" width="8.85546875" style="136" customWidth="1"/>
    <col min="12" max="12" width="8.85546875" style="136" hidden="1" customWidth="1"/>
    <col min="13" max="13" width="8.85546875" style="136" customWidth="1"/>
    <col min="14" max="15" width="8.85546875" style="136" hidden="1" customWidth="1"/>
    <col min="16" max="17" width="8.85546875" style="136" customWidth="1"/>
    <col min="18" max="18" width="8.140625" style="136" customWidth="1"/>
    <col min="19" max="19" width="8.85546875" style="136" hidden="1" customWidth="1"/>
    <col min="20" max="20" width="8.85546875" style="136" customWidth="1"/>
    <col min="21" max="22" width="8.85546875" style="136" hidden="1" customWidth="1"/>
    <col min="23" max="23" width="8.85546875" style="136" customWidth="1"/>
    <col min="24" max="24" width="8.28515625" style="136" customWidth="1"/>
    <col min="25" max="25" width="8.85546875" style="136" customWidth="1"/>
    <col min="26" max="26" width="8.85546875" style="136" hidden="1" customWidth="1"/>
    <col min="27" max="27" width="8" style="136" customWidth="1"/>
    <col min="28" max="29" width="8.85546875" style="136" hidden="1" customWidth="1"/>
    <col min="30" max="30" width="8.85546875" style="136" customWidth="1"/>
    <col min="31" max="31" width="17" style="129" customWidth="1"/>
    <col min="32" max="16384" width="9.140625" style="129"/>
  </cols>
  <sheetData>
    <row r="1" spans="1:31" s="128" customFormat="1">
      <c r="A1" s="546" t="s">
        <v>0</v>
      </c>
      <c r="B1" s="546"/>
      <c r="C1" s="127"/>
      <c r="D1" s="127"/>
      <c r="E1" s="127"/>
      <c r="F1" s="127"/>
      <c r="G1" s="127"/>
      <c r="H1" s="127"/>
      <c r="I1" s="127"/>
      <c r="J1" s="127"/>
      <c r="K1" s="127"/>
      <c r="L1" s="127"/>
      <c r="M1" s="127"/>
      <c r="N1" s="127"/>
      <c r="O1" s="127"/>
      <c r="P1" s="127"/>
      <c r="Q1" s="127"/>
      <c r="R1" s="542"/>
      <c r="S1" s="542"/>
      <c r="T1" s="542"/>
      <c r="U1" s="542"/>
      <c r="V1" s="542"/>
      <c r="W1" s="542"/>
      <c r="X1" s="127"/>
      <c r="Y1" s="542" t="s">
        <v>75</v>
      </c>
      <c r="Z1" s="542"/>
      <c r="AA1" s="542"/>
      <c r="AB1" s="542"/>
      <c r="AC1" s="542"/>
      <c r="AD1" s="542"/>
    </row>
    <row r="2" spans="1:31">
      <c r="A2" s="545" t="s">
        <v>76</v>
      </c>
      <c r="B2" s="545"/>
      <c r="C2" s="545"/>
      <c r="D2" s="545"/>
      <c r="E2" s="545"/>
      <c r="F2" s="545"/>
      <c r="G2" s="545"/>
      <c r="H2" s="545"/>
      <c r="I2" s="545"/>
      <c r="J2" s="545"/>
      <c r="K2" s="545"/>
      <c r="L2" s="545"/>
      <c r="M2" s="545"/>
      <c r="N2" s="545"/>
      <c r="O2" s="545"/>
      <c r="P2" s="545"/>
      <c r="Q2" s="545"/>
      <c r="R2" s="545"/>
      <c r="S2" s="545"/>
      <c r="T2" s="545"/>
      <c r="U2" s="545"/>
      <c r="V2" s="545"/>
      <c r="W2" s="545"/>
      <c r="X2" s="545"/>
      <c r="Y2" s="545"/>
      <c r="Z2" s="545"/>
      <c r="AA2" s="545"/>
      <c r="AB2" s="545"/>
      <c r="AC2" s="545"/>
      <c r="AD2" s="545"/>
    </row>
    <row r="3" spans="1:31">
      <c r="A3" s="130"/>
      <c r="B3" s="131"/>
      <c r="C3" s="132"/>
      <c r="D3" s="132"/>
      <c r="E3" s="132"/>
      <c r="F3" s="132"/>
      <c r="G3" s="132"/>
      <c r="H3" s="132"/>
      <c r="I3" s="132"/>
      <c r="J3" s="132"/>
      <c r="K3" s="132"/>
      <c r="L3" s="132"/>
      <c r="M3" s="133"/>
      <c r="N3" s="132"/>
      <c r="O3" s="132"/>
      <c r="P3" s="132"/>
      <c r="Q3" s="132"/>
      <c r="R3" s="132"/>
      <c r="S3" s="132"/>
      <c r="T3" s="132"/>
      <c r="U3" s="132"/>
      <c r="V3" s="132"/>
      <c r="W3" s="134"/>
      <c r="X3" s="132"/>
      <c r="Y3" s="132"/>
      <c r="Z3" s="132"/>
      <c r="AA3" s="132"/>
      <c r="AB3" s="132"/>
      <c r="AC3" s="132"/>
      <c r="AD3" s="134" t="s">
        <v>3</v>
      </c>
    </row>
    <row r="4" spans="1:31" ht="43.5" customHeight="1">
      <c r="A4" s="548" t="s">
        <v>4</v>
      </c>
      <c r="B4" s="549" t="s">
        <v>5</v>
      </c>
      <c r="C4" s="541" t="s">
        <v>77</v>
      </c>
      <c r="D4" s="541"/>
      <c r="E4" s="541"/>
      <c r="F4" s="541"/>
      <c r="G4" s="541"/>
      <c r="H4" s="541"/>
      <c r="I4" s="541"/>
      <c r="J4" s="541" t="s">
        <v>78</v>
      </c>
      <c r="K4" s="541"/>
      <c r="L4" s="541"/>
      <c r="M4" s="541"/>
      <c r="N4" s="541"/>
      <c r="O4" s="541"/>
      <c r="P4" s="541"/>
      <c r="Q4" s="541" t="s">
        <v>702</v>
      </c>
      <c r="R4" s="541"/>
      <c r="S4" s="541"/>
      <c r="T4" s="541"/>
      <c r="U4" s="541"/>
      <c r="V4" s="541"/>
      <c r="W4" s="541"/>
      <c r="X4" s="541" t="s">
        <v>703</v>
      </c>
      <c r="Y4" s="541"/>
      <c r="Z4" s="541"/>
      <c r="AA4" s="541"/>
      <c r="AB4" s="541"/>
      <c r="AC4" s="541"/>
      <c r="AD4" s="541"/>
    </row>
    <row r="5" spans="1:31">
      <c r="A5" s="548"/>
      <c r="B5" s="549"/>
      <c r="C5" s="541" t="s">
        <v>79</v>
      </c>
      <c r="D5" s="541" t="s">
        <v>80</v>
      </c>
      <c r="E5" s="541"/>
      <c r="F5" s="541"/>
      <c r="G5" s="541"/>
      <c r="H5" s="541"/>
      <c r="I5" s="541"/>
      <c r="J5" s="541" t="s">
        <v>79</v>
      </c>
      <c r="K5" s="541" t="s">
        <v>80</v>
      </c>
      <c r="L5" s="541"/>
      <c r="M5" s="541"/>
      <c r="N5" s="541"/>
      <c r="O5" s="541"/>
      <c r="P5" s="541"/>
      <c r="Q5" s="541" t="s">
        <v>79</v>
      </c>
      <c r="R5" s="541" t="s">
        <v>80</v>
      </c>
      <c r="S5" s="541"/>
      <c r="T5" s="541"/>
      <c r="U5" s="541"/>
      <c r="V5" s="541"/>
      <c r="W5" s="541"/>
      <c r="X5" s="541" t="s">
        <v>79</v>
      </c>
      <c r="Y5" s="541" t="s">
        <v>80</v>
      </c>
      <c r="Z5" s="541"/>
      <c r="AA5" s="541"/>
      <c r="AB5" s="541"/>
      <c r="AC5" s="541"/>
      <c r="AD5" s="541"/>
    </row>
    <row r="6" spans="1:31" ht="48.75" customHeight="1">
      <c r="A6" s="548"/>
      <c r="B6" s="549"/>
      <c r="C6" s="541"/>
      <c r="D6" s="304" t="s">
        <v>82</v>
      </c>
      <c r="E6" s="304" t="s">
        <v>83</v>
      </c>
      <c r="F6" s="304" t="s">
        <v>84</v>
      </c>
      <c r="G6" s="304" t="s">
        <v>71</v>
      </c>
      <c r="H6" s="304" t="s">
        <v>85</v>
      </c>
      <c r="I6" s="304" t="s">
        <v>86</v>
      </c>
      <c r="J6" s="541"/>
      <c r="K6" s="304" t="s">
        <v>82</v>
      </c>
      <c r="L6" s="304" t="s">
        <v>83</v>
      </c>
      <c r="M6" s="304" t="s">
        <v>84</v>
      </c>
      <c r="N6" s="304" t="s">
        <v>71</v>
      </c>
      <c r="O6" s="304" t="s">
        <v>85</v>
      </c>
      <c r="P6" s="304" t="s">
        <v>86</v>
      </c>
      <c r="Q6" s="541"/>
      <c r="R6" s="304" t="s">
        <v>82</v>
      </c>
      <c r="S6" s="304" t="s">
        <v>83</v>
      </c>
      <c r="T6" s="304" t="s">
        <v>84</v>
      </c>
      <c r="U6" s="304" t="s">
        <v>71</v>
      </c>
      <c r="V6" s="304" t="s">
        <v>85</v>
      </c>
      <c r="W6" s="304" t="s">
        <v>86</v>
      </c>
      <c r="X6" s="541"/>
      <c r="Y6" s="304" t="s">
        <v>82</v>
      </c>
      <c r="Z6" s="304" t="s">
        <v>83</v>
      </c>
      <c r="AA6" s="304" t="s">
        <v>84</v>
      </c>
      <c r="AB6" s="304" t="s">
        <v>71</v>
      </c>
      <c r="AC6" s="304" t="s">
        <v>85</v>
      </c>
      <c r="AD6" s="304" t="s">
        <v>86</v>
      </c>
    </row>
    <row r="7" spans="1:31">
      <c r="A7" s="305" t="s">
        <v>11</v>
      </c>
      <c r="B7" s="306" t="s">
        <v>12</v>
      </c>
      <c r="C7" s="305">
        <v>1</v>
      </c>
      <c r="D7" s="305">
        <v>2</v>
      </c>
      <c r="E7" s="305">
        <v>3</v>
      </c>
      <c r="F7" s="305">
        <v>4</v>
      </c>
      <c r="G7" s="305">
        <v>5</v>
      </c>
      <c r="H7" s="305">
        <v>6</v>
      </c>
      <c r="I7" s="305">
        <v>7</v>
      </c>
      <c r="J7" s="305">
        <v>8</v>
      </c>
      <c r="K7" s="305">
        <v>9</v>
      </c>
      <c r="L7" s="305">
        <v>10</v>
      </c>
      <c r="M7" s="305">
        <v>10</v>
      </c>
      <c r="N7" s="305">
        <v>12</v>
      </c>
      <c r="O7" s="305">
        <v>13</v>
      </c>
      <c r="P7" s="305">
        <v>11</v>
      </c>
      <c r="Q7" s="305">
        <v>12</v>
      </c>
      <c r="R7" s="305">
        <v>13</v>
      </c>
      <c r="S7" s="305">
        <v>17</v>
      </c>
      <c r="T7" s="305">
        <v>14</v>
      </c>
      <c r="U7" s="305">
        <v>19</v>
      </c>
      <c r="V7" s="305">
        <v>20</v>
      </c>
      <c r="W7" s="305">
        <v>15</v>
      </c>
      <c r="X7" s="305">
        <v>12</v>
      </c>
      <c r="Y7" s="305">
        <v>13</v>
      </c>
      <c r="Z7" s="305">
        <v>17</v>
      </c>
      <c r="AA7" s="305">
        <v>14</v>
      </c>
      <c r="AB7" s="305">
        <v>19</v>
      </c>
      <c r="AC7" s="305">
        <v>20</v>
      </c>
      <c r="AD7" s="305">
        <v>15</v>
      </c>
    </row>
    <row r="8" spans="1:31">
      <c r="A8" s="301"/>
      <c r="B8" s="302" t="s">
        <v>13</v>
      </c>
      <c r="C8" s="303">
        <f>C9+C16+C19+C22+C28</f>
        <v>144370</v>
      </c>
      <c r="D8" s="303">
        <f t="shared" ref="D8:W8" si="0">D9+D16+D19+D22+D28</f>
        <v>8440</v>
      </c>
      <c r="E8" s="303">
        <f t="shared" si="0"/>
        <v>0</v>
      </c>
      <c r="F8" s="303">
        <f t="shared" si="0"/>
        <v>71500</v>
      </c>
      <c r="G8" s="303">
        <f t="shared" si="0"/>
        <v>0</v>
      </c>
      <c r="H8" s="303">
        <f t="shared" si="0"/>
        <v>0</v>
      </c>
      <c r="I8" s="303">
        <f t="shared" si="0"/>
        <v>64430</v>
      </c>
      <c r="J8" s="303">
        <f t="shared" si="0"/>
        <v>140275.48071399998</v>
      </c>
      <c r="K8" s="303">
        <f t="shared" si="0"/>
        <v>9090.0967140000012</v>
      </c>
      <c r="L8" s="303">
        <f t="shared" si="0"/>
        <v>0</v>
      </c>
      <c r="M8" s="303">
        <f t="shared" si="0"/>
        <v>84866.993999999992</v>
      </c>
      <c r="N8" s="303">
        <f t="shared" si="0"/>
        <v>0</v>
      </c>
      <c r="O8" s="303">
        <f t="shared" si="0"/>
        <v>0</v>
      </c>
      <c r="P8" s="303">
        <f t="shared" si="0"/>
        <v>46318.39</v>
      </c>
      <c r="Q8" s="303">
        <f t="shared" si="0"/>
        <v>216220</v>
      </c>
      <c r="R8" s="303">
        <f t="shared" si="0"/>
        <v>9050</v>
      </c>
      <c r="S8" s="303">
        <f t="shared" si="0"/>
        <v>0</v>
      </c>
      <c r="T8" s="303">
        <f t="shared" si="0"/>
        <v>90640</v>
      </c>
      <c r="U8" s="303">
        <f t="shared" si="0"/>
        <v>0</v>
      </c>
      <c r="V8" s="303">
        <f t="shared" si="0"/>
        <v>0</v>
      </c>
      <c r="W8" s="303">
        <f t="shared" si="0"/>
        <v>116530</v>
      </c>
      <c r="X8" s="303">
        <f t="shared" ref="X8:AD8" si="1">X9+X16+X19+X22+X28</f>
        <v>129820</v>
      </c>
      <c r="Y8" s="303">
        <f t="shared" si="1"/>
        <v>9050</v>
      </c>
      <c r="Z8" s="303">
        <f t="shared" si="1"/>
        <v>0</v>
      </c>
      <c r="AA8" s="303">
        <f t="shared" si="1"/>
        <v>90640</v>
      </c>
      <c r="AB8" s="303">
        <f t="shared" si="1"/>
        <v>0</v>
      </c>
      <c r="AC8" s="303">
        <f t="shared" si="1"/>
        <v>0</v>
      </c>
      <c r="AD8" s="303">
        <f t="shared" si="1"/>
        <v>30130</v>
      </c>
    </row>
    <row r="9" spans="1:31">
      <c r="A9" s="142" t="s">
        <v>14</v>
      </c>
      <c r="B9" s="143" t="s">
        <v>87</v>
      </c>
      <c r="C9" s="141">
        <f>SUM(C10:C15)</f>
        <v>85440</v>
      </c>
      <c r="D9" s="141">
        <f t="shared" ref="D9:W9" si="2">SUM(D10:D15)</f>
        <v>8440</v>
      </c>
      <c r="E9" s="141">
        <f t="shared" si="2"/>
        <v>0</v>
      </c>
      <c r="F9" s="141">
        <f t="shared" si="2"/>
        <v>71500</v>
      </c>
      <c r="G9" s="141">
        <f t="shared" si="2"/>
        <v>0</v>
      </c>
      <c r="H9" s="141">
        <f t="shared" si="2"/>
        <v>0</v>
      </c>
      <c r="I9" s="141">
        <f t="shared" si="2"/>
        <v>5500</v>
      </c>
      <c r="J9" s="141">
        <f t="shared" si="2"/>
        <v>99457.090713999991</v>
      </c>
      <c r="K9" s="141">
        <f t="shared" si="2"/>
        <v>9090.0967140000012</v>
      </c>
      <c r="L9" s="141">
        <f t="shared" si="2"/>
        <v>0</v>
      </c>
      <c r="M9" s="141">
        <f t="shared" si="2"/>
        <v>84866.993999999992</v>
      </c>
      <c r="N9" s="141">
        <f t="shared" si="2"/>
        <v>0</v>
      </c>
      <c r="O9" s="141">
        <f t="shared" si="2"/>
        <v>0</v>
      </c>
      <c r="P9" s="141">
        <f t="shared" si="2"/>
        <v>5500</v>
      </c>
      <c r="Q9" s="141">
        <f>SUM(Q10:Q15)</f>
        <v>104990</v>
      </c>
      <c r="R9" s="141">
        <f t="shared" si="2"/>
        <v>9050</v>
      </c>
      <c r="S9" s="141">
        <f t="shared" si="2"/>
        <v>0</v>
      </c>
      <c r="T9" s="141">
        <f t="shared" si="2"/>
        <v>90640</v>
      </c>
      <c r="U9" s="141">
        <f t="shared" si="2"/>
        <v>0</v>
      </c>
      <c r="V9" s="141">
        <f t="shared" si="2"/>
        <v>0</v>
      </c>
      <c r="W9" s="141">
        <f t="shared" si="2"/>
        <v>5300</v>
      </c>
      <c r="X9" s="141">
        <f>SUM(X10:X15)</f>
        <v>104990</v>
      </c>
      <c r="Y9" s="141">
        <f t="shared" ref="Y9:AD9" si="3">SUM(Y10:Y15)</f>
        <v>9050</v>
      </c>
      <c r="Z9" s="141">
        <f t="shared" si="3"/>
        <v>0</v>
      </c>
      <c r="AA9" s="141">
        <f t="shared" si="3"/>
        <v>90640</v>
      </c>
      <c r="AB9" s="141">
        <f t="shared" si="3"/>
        <v>0</v>
      </c>
      <c r="AC9" s="141">
        <f t="shared" si="3"/>
        <v>0</v>
      </c>
      <c r="AD9" s="141">
        <f t="shared" si="3"/>
        <v>5300</v>
      </c>
      <c r="AE9" s="135"/>
    </row>
    <row r="10" spans="1:31" ht="25.5">
      <c r="A10" s="140">
        <v>1</v>
      </c>
      <c r="B10" s="144" t="s">
        <v>88</v>
      </c>
      <c r="C10" s="145">
        <f>SUM(D10:I10)</f>
        <v>78860</v>
      </c>
      <c r="D10" s="145">
        <f>8070+170</f>
        <v>8240</v>
      </c>
      <c r="E10" s="145">
        <f>0</f>
        <v>0</v>
      </c>
      <c r="F10" s="145">
        <f>70620</f>
        <v>70620</v>
      </c>
      <c r="G10" s="145"/>
      <c r="H10" s="145"/>
      <c r="I10" s="145"/>
      <c r="J10" s="145">
        <f>SUM(K10:P10)</f>
        <v>92462.235000000001</v>
      </c>
      <c r="K10" s="145">
        <f>8525+259.85</f>
        <v>8784.85</v>
      </c>
      <c r="L10" s="145">
        <f>0</f>
        <v>0</v>
      </c>
      <c r="M10" s="145">
        <f>83600+77.385</f>
        <v>83677.384999999995</v>
      </c>
      <c r="N10" s="145"/>
      <c r="O10" s="145"/>
      <c r="P10" s="145"/>
      <c r="Q10" s="145">
        <f>SUM(R10:W10)</f>
        <v>98235</v>
      </c>
      <c r="R10" s="145">
        <f>210+8525</f>
        <v>8735</v>
      </c>
      <c r="S10" s="145"/>
      <c r="T10" s="145">
        <f>30000+59500</f>
        <v>89500</v>
      </c>
      <c r="U10" s="145"/>
      <c r="V10" s="145"/>
      <c r="W10" s="145"/>
      <c r="X10" s="145">
        <f>SUM(Y10:AD10)</f>
        <v>98235</v>
      </c>
      <c r="Y10" s="145">
        <f>210+8525</f>
        <v>8735</v>
      </c>
      <c r="Z10" s="145"/>
      <c r="AA10" s="145">
        <f>30000+59500</f>
        <v>89500</v>
      </c>
      <c r="AB10" s="145"/>
      <c r="AC10" s="145"/>
      <c r="AD10" s="145"/>
    </row>
    <row r="11" spans="1:31" ht="25.5">
      <c r="A11" s="140">
        <v>2</v>
      </c>
      <c r="B11" s="144" t="s">
        <v>89</v>
      </c>
      <c r="C11" s="145">
        <f t="shared" ref="C11:C18" si="4">SUM(D11:I11)</f>
        <v>40</v>
      </c>
      <c r="D11" s="145">
        <f>0</f>
        <v>0</v>
      </c>
      <c r="E11" s="145"/>
      <c r="F11" s="145">
        <f>40</f>
        <v>40</v>
      </c>
      <c r="G11" s="145"/>
      <c r="H11" s="145"/>
      <c r="I11" s="145"/>
      <c r="J11" s="145">
        <f t="shared" ref="J11:J31" si="5">SUM(K11:P11)</f>
        <v>40.237000000000002</v>
      </c>
      <c r="K11" s="145"/>
      <c r="L11" s="145"/>
      <c r="M11" s="145">
        <v>40.237000000000002</v>
      </c>
      <c r="N11" s="145"/>
      <c r="O11" s="145"/>
      <c r="P11" s="145"/>
      <c r="Q11" s="145">
        <f t="shared" ref="Q11:Q31" si="6">SUM(R11:W11)</f>
        <v>40</v>
      </c>
      <c r="R11" s="145"/>
      <c r="S11" s="145"/>
      <c r="T11" s="145">
        <v>40</v>
      </c>
      <c r="U11" s="145"/>
      <c r="V11" s="145"/>
      <c r="W11" s="145"/>
      <c r="X11" s="145">
        <f t="shared" ref="X11:X15" si="7">SUM(Y11:AD11)</f>
        <v>40</v>
      </c>
      <c r="Y11" s="145"/>
      <c r="Z11" s="145"/>
      <c r="AA11" s="145">
        <v>40</v>
      </c>
      <c r="AB11" s="145"/>
      <c r="AC11" s="145"/>
      <c r="AD11" s="145"/>
    </row>
    <row r="12" spans="1:31" ht="25.5">
      <c r="A12" s="140">
        <v>3</v>
      </c>
      <c r="B12" s="144" t="s">
        <v>90</v>
      </c>
      <c r="C12" s="145">
        <f t="shared" si="4"/>
        <v>0</v>
      </c>
      <c r="D12" s="145">
        <f>0</f>
        <v>0</v>
      </c>
      <c r="E12" s="145"/>
      <c r="F12" s="145">
        <f>0</f>
        <v>0</v>
      </c>
      <c r="G12" s="145"/>
      <c r="H12" s="145"/>
      <c r="I12" s="145"/>
      <c r="J12" s="145">
        <f t="shared" si="5"/>
        <v>0</v>
      </c>
      <c r="K12" s="145"/>
      <c r="L12" s="145"/>
      <c r="M12" s="145"/>
      <c r="N12" s="145"/>
      <c r="O12" s="145"/>
      <c r="P12" s="145"/>
      <c r="Q12" s="145">
        <f t="shared" si="6"/>
        <v>0</v>
      </c>
      <c r="R12" s="145"/>
      <c r="S12" s="145"/>
      <c r="T12" s="145"/>
      <c r="U12" s="145"/>
      <c r="V12" s="145"/>
      <c r="W12" s="145"/>
      <c r="X12" s="145">
        <f t="shared" si="7"/>
        <v>0</v>
      </c>
      <c r="Y12" s="145"/>
      <c r="Z12" s="145"/>
      <c r="AA12" s="145"/>
      <c r="AB12" s="145"/>
      <c r="AC12" s="145"/>
      <c r="AD12" s="145"/>
    </row>
    <row r="13" spans="1:31">
      <c r="A13" s="140">
        <v>4</v>
      </c>
      <c r="B13" s="144" t="s">
        <v>91</v>
      </c>
      <c r="C13" s="145">
        <f t="shared" si="4"/>
        <v>330</v>
      </c>
      <c r="D13" s="145">
        <f>0+130</f>
        <v>130</v>
      </c>
      <c r="E13" s="145"/>
      <c r="F13" s="145">
        <f>200</f>
        <v>200</v>
      </c>
      <c r="G13" s="145"/>
      <c r="H13" s="145"/>
      <c r="I13" s="145"/>
      <c r="J13" s="145">
        <f t="shared" si="5"/>
        <v>744.3</v>
      </c>
      <c r="K13" s="145">
        <f>250</f>
        <v>250</v>
      </c>
      <c r="L13" s="145"/>
      <c r="M13" s="145">
        <v>494.3</v>
      </c>
      <c r="N13" s="145"/>
      <c r="O13" s="145"/>
      <c r="P13" s="145"/>
      <c r="Q13" s="145">
        <f t="shared" si="6"/>
        <v>670</v>
      </c>
      <c r="R13" s="145">
        <f>30+220</f>
        <v>250</v>
      </c>
      <c r="S13" s="145"/>
      <c r="T13" s="145">
        <f>400+20</f>
        <v>420</v>
      </c>
      <c r="U13" s="145"/>
      <c r="V13" s="145"/>
      <c r="W13" s="145"/>
      <c r="X13" s="145">
        <f t="shared" si="7"/>
        <v>670</v>
      </c>
      <c r="Y13" s="145">
        <f>30+220</f>
        <v>250</v>
      </c>
      <c r="Z13" s="145"/>
      <c r="AA13" s="145">
        <f>400+20</f>
        <v>420</v>
      </c>
      <c r="AB13" s="145"/>
      <c r="AC13" s="145"/>
      <c r="AD13" s="145"/>
    </row>
    <row r="14" spans="1:31">
      <c r="A14" s="140">
        <v>5</v>
      </c>
      <c r="B14" s="144" t="s">
        <v>34</v>
      </c>
      <c r="C14" s="145">
        <f t="shared" si="4"/>
        <v>5500</v>
      </c>
      <c r="D14" s="145"/>
      <c r="E14" s="145"/>
      <c r="F14" s="145"/>
      <c r="G14" s="145"/>
      <c r="H14" s="145"/>
      <c r="I14" s="145">
        <v>5500</v>
      </c>
      <c r="J14" s="145">
        <f t="shared" si="5"/>
        <v>5500</v>
      </c>
      <c r="K14" s="145"/>
      <c r="L14" s="145"/>
      <c r="M14" s="145"/>
      <c r="N14" s="145"/>
      <c r="O14" s="145"/>
      <c r="P14" s="145">
        <v>5500</v>
      </c>
      <c r="Q14" s="145">
        <f t="shared" si="6"/>
        <v>5300</v>
      </c>
      <c r="R14" s="145"/>
      <c r="S14" s="145"/>
      <c r="T14" s="145"/>
      <c r="U14" s="145"/>
      <c r="V14" s="145"/>
      <c r="W14" s="145">
        <f>1300+4000</f>
        <v>5300</v>
      </c>
      <c r="X14" s="145">
        <f t="shared" si="7"/>
        <v>5300</v>
      </c>
      <c r="Y14" s="145"/>
      <c r="Z14" s="145"/>
      <c r="AA14" s="145"/>
      <c r="AB14" s="145"/>
      <c r="AC14" s="145"/>
      <c r="AD14" s="145">
        <f>1300+4000</f>
        <v>5300</v>
      </c>
    </row>
    <row r="15" spans="1:31">
      <c r="A15" s="140">
        <v>6</v>
      </c>
      <c r="B15" s="144" t="s">
        <v>92</v>
      </c>
      <c r="C15" s="145">
        <f t="shared" si="4"/>
        <v>710</v>
      </c>
      <c r="D15" s="145">
        <f>20+50</f>
        <v>70</v>
      </c>
      <c r="E15" s="145"/>
      <c r="F15" s="145">
        <f>640</f>
        <v>640</v>
      </c>
      <c r="G15" s="145"/>
      <c r="H15" s="145"/>
      <c r="I15" s="145"/>
      <c r="J15" s="145">
        <f t="shared" si="5"/>
        <v>710.318714</v>
      </c>
      <c r="K15" s="145">
        <f>15.009324+40.23739</f>
        <v>55.246713999999997</v>
      </c>
      <c r="L15" s="145"/>
      <c r="M15" s="145">
        <v>655.072</v>
      </c>
      <c r="N15" s="145"/>
      <c r="O15" s="145"/>
      <c r="P15" s="145"/>
      <c r="Q15" s="145">
        <f t="shared" si="6"/>
        <v>745</v>
      </c>
      <c r="R15" s="145">
        <f>30+15+20</f>
        <v>65</v>
      </c>
      <c r="S15" s="145"/>
      <c r="T15" s="145">
        <f>560+120</f>
        <v>680</v>
      </c>
      <c r="U15" s="145"/>
      <c r="V15" s="145"/>
      <c r="W15" s="145"/>
      <c r="X15" s="145">
        <f t="shared" si="7"/>
        <v>745</v>
      </c>
      <c r="Y15" s="145">
        <f>30+15+20</f>
        <v>65</v>
      </c>
      <c r="Z15" s="145"/>
      <c r="AA15" s="145">
        <f>560+120</f>
        <v>680</v>
      </c>
      <c r="AB15" s="145"/>
      <c r="AC15" s="145"/>
      <c r="AD15" s="145"/>
    </row>
    <row r="16" spans="1:31">
      <c r="A16" s="142" t="s">
        <v>70</v>
      </c>
      <c r="B16" s="143" t="s">
        <v>93</v>
      </c>
      <c r="C16" s="141">
        <f>C17+C18</f>
        <v>5750</v>
      </c>
      <c r="D16" s="141">
        <f t="shared" ref="D16:W16" si="8">D17+D18</f>
        <v>0</v>
      </c>
      <c r="E16" s="141">
        <f t="shared" si="8"/>
        <v>0</v>
      </c>
      <c r="F16" s="141">
        <f t="shared" si="8"/>
        <v>0</v>
      </c>
      <c r="G16" s="141">
        <f t="shared" si="8"/>
        <v>0</v>
      </c>
      <c r="H16" s="141">
        <f t="shared" si="8"/>
        <v>0</v>
      </c>
      <c r="I16" s="141">
        <f t="shared" si="8"/>
        <v>5750</v>
      </c>
      <c r="J16" s="141">
        <f t="shared" si="8"/>
        <v>5750</v>
      </c>
      <c r="K16" s="141">
        <f t="shared" si="8"/>
        <v>0</v>
      </c>
      <c r="L16" s="141">
        <f t="shared" si="8"/>
        <v>0</v>
      </c>
      <c r="M16" s="141">
        <f t="shared" si="8"/>
        <v>0</v>
      </c>
      <c r="N16" s="141">
        <f t="shared" si="8"/>
        <v>0</v>
      </c>
      <c r="O16" s="141">
        <f t="shared" si="8"/>
        <v>0</v>
      </c>
      <c r="P16" s="141">
        <f t="shared" si="8"/>
        <v>5750</v>
      </c>
      <c r="Q16" s="141">
        <f t="shared" si="8"/>
        <v>5850</v>
      </c>
      <c r="R16" s="141">
        <f t="shared" si="8"/>
        <v>0</v>
      </c>
      <c r="S16" s="141">
        <f t="shared" si="8"/>
        <v>0</v>
      </c>
      <c r="T16" s="141">
        <f t="shared" si="8"/>
        <v>0</v>
      </c>
      <c r="U16" s="141">
        <f t="shared" si="8"/>
        <v>0</v>
      </c>
      <c r="V16" s="141">
        <f t="shared" si="8"/>
        <v>0</v>
      </c>
      <c r="W16" s="141">
        <f t="shared" si="8"/>
        <v>5850</v>
      </c>
      <c r="X16" s="141">
        <f t="shared" ref="X16:AD16" si="9">X17+X18</f>
        <v>5850</v>
      </c>
      <c r="Y16" s="141">
        <f t="shared" si="9"/>
        <v>0</v>
      </c>
      <c r="Z16" s="141">
        <f t="shared" si="9"/>
        <v>0</v>
      </c>
      <c r="AA16" s="141">
        <f t="shared" si="9"/>
        <v>0</v>
      </c>
      <c r="AB16" s="141">
        <f t="shared" si="9"/>
        <v>0</v>
      </c>
      <c r="AC16" s="141">
        <f t="shared" si="9"/>
        <v>0</v>
      </c>
      <c r="AD16" s="141">
        <f t="shared" si="9"/>
        <v>5850</v>
      </c>
    </row>
    <row r="17" spans="1:30">
      <c r="A17" s="140">
        <v>1</v>
      </c>
      <c r="B17" s="144" t="s">
        <v>38</v>
      </c>
      <c r="C17" s="145">
        <f t="shared" si="4"/>
        <v>4500</v>
      </c>
      <c r="D17" s="145"/>
      <c r="E17" s="145"/>
      <c r="F17" s="145"/>
      <c r="G17" s="145"/>
      <c r="H17" s="145"/>
      <c r="I17" s="145">
        <v>4500</v>
      </c>
      <c r="J17" s="145">
        <f t="shared" si="5"/>
        <v>4500</v>
      </c>
      <c r="K17" s="145"/>
      <c r="L17" s="145"/>
      <c r="M17" s="145"/>
      <c r="N17" s="145"/>
      <c r="O17" s="145"/>
      <c r="P17" s="145">
        <v>4500</v>
      </c>
      <c r="Q17" s="145">
        <f t="shared" si="6"/>
        <v>4500</v>
      </c>
      <c r="R17" s="145"/>
      <c r="S17" s="145"/>
      <c r="T17" s="145"/>
      <c r="U17" s="145"/>
      <c r="V17" s="145"/>
      <c r="W17" s="145">
        <v>4500</v>
      </c>
      <c r="X17" s="145">
        <f t="shared" ref="X17:X18" si="10">SUM(Y17:AD17)</f>
        <v>4500</v>
      </c>
      <c r="Y17" s="145"/>
      <c r="Z17" s="145"/>
      <c r="AA17" s="145"/>
      <c r="AB17" s="145"/>
      <c r="AC17" s="145"/>
      <c r="AD17" s="145">
        <v>4500</v>
      </c>
    </row>
    <row r="18" spans="1:30">
      <c r="A18" s="140">
        <v>2</v>
      </c>
      <c r="B18" s="144" t="s">
        <v>39</v>
      </c>
      <c r="C18" s="145">
        <f t="shared" si="4"/>
        <v>1250</v>
      </c>
      <c r="D18" s="145"/>
      <c r="E18" s="145"/>
      <c r="F18" s="145"/>
      <c r="G18" s="145"/>
      <c r="H18" s="145"/>
      <c r="I18" s="145">
        <v>1250</v>
      </c>
      <c r="J18" s="145">
        <f t="shared" si="5"/>
        <v>1250</v>
      </c>
      <c r="K18" s="145"/>
      <c r="L18" s="145"/>
      <c r="M18" s="145"/>
      <c r="N18" s="145"/>
      <c r="O18" s="145"/>
      <c r="P18" s="145">
        <v>1250</v>
      </c>
      <c r="Q18" s="145">
        <f t="shared" si="6"/>
        <v>1350</v>
      </c>
      <c r="R18" s="145"/>
      <c r="S18" s="145"/>
      <c r="T18" s="145"/>
      <c r="U18" s="145"/>
      <c r="V18" s="145"/>
      <c r="W18" s="145">
        <f>50+1300</f>
        <v>1350</v>
      </c>
      <c r="X18" s="145">
        <f t="shared" si="10"/>
        <v>1350</v>
      </c>
      <c r="Y18" s="145"/>
      <c r="Z18" s="145"/>
      <c r="AA18" s="145"/>
      <c r="AB18" s="145"/>
      <c r="AC18" s="145"/>
      <c r="AD18" s="145">
        <f>50+1300</f>
        <v>1350</v>
      </c>
    </row>
    <row r="19" spans="1:30" ht="38.25">
      <c r="A19" s="142" t="s">
        <v>94</v>
      </c>
      <c r="B19" s="143" t="s">
        <v>95</v>
      </c>
      <c r="C19" s="141">
        <f>C20+C21</f>
        <v>0</v>
      </c>
      <c r="D19" s="141">
        <f t="shared" ref="D19:W19" si="11">D20+D21</f>
        <v>0</v>
      </c>
      <c r="E19" s="141">
        <f t="shared" si="11"/>
        <v>0</v>
      </c>
      <c r="F19" s="141">
        <f t="shared" si="11"/>
        <v>0</v>
      </c>
      <c r="G19" s="141">
        <f t="shared" si="11"/>
        <v>0</v>
      </c>
      <c r="H19" s="141">
        <f t="shared" si="11"/>
        <v>0</v>
      </c>
      <c r="I19" s="141">
        <f t="shared" si="11"/>
        <v>0</v>
      </c>
      <c r="J19" s="141">
        <f t="shared" si="11"/>
        <v>0</v>
      </c>
      <c r="K19" s="141">
        <f t="shared" si="11"/>
        <v>0</v>
      </c>
      <c r="L19" s="141">
        <f t="shared" si="11"/>
        <v>0</v>
      </c>
      <c r="M19" s="141">
        <f t="shared" si="11"/>
        <v>0</v>
      </c>
      <c r="N19" s="141">
        <f t="shared" si="11"/>
        <v>0</v>
      </c>
      <c r="O19" s="141">
        <f t="shared" si="11"/>
        <v>0</v>
      </c>
      <c r="P19" s="141">
        <f t="shared" si="11"/>
        <v>0</v>
      </c>
      <c r="Q19" s="141">
        <f t="shared" si="11"/>
        <v>0</v>
      </c>
      <c r="R19" s="141">
        <f t="shared" si="11"/>
        <v>0</v>
      </c>
      <c r="S19" s="141">
        <f t="shared" si="11"/>
        <v>0</v>
      </c>
      <c r="T19" s="141">
        <f t="shared" si="11"/>
        <v>0</v>
      </c>
      <c r="U19" s="141">
        <f t="shared" si="11"/>
        <v>0</v>
      </c>
      <c r="V19" s="141">
        <f t="shared" si="11"/>
        <v>0</v>
      </c>
      <c r="W19" s="141">
        <f t="shared" si="11"/>
        <v>0</v>
      </c>
      <c r="X19" s="141">
        <f t="shared" ref="X19:AD19" si="12">X20+X21</f>
        <v>0</v>
      </c>
      <c r="Y19" s="141">
        <f t="shared" si="12"/>
        <v>0</v>
      </c>
      <c r="Z19" s="141">
        <f t="shared" si="12"/>
        <v>0</v>
      </c>
      <c r="AA19" s="141">
        <f t="shared" si="12"/>
        <v>0</v>
      </c>
      <c r="AB19" s="141">
        <f t="shared" si="12"/>
        <v>0</v>
      </c>
      <c r="AC19" s="141">
        <f t="shared" si="12"/>
        <v>0</v>
      </c>
      <c r="AD19" s="141">
        <f t="shared" si="12"/>
        <v>0</v>
      </c>
    </row>
    <row r="20" spans="1:30" ht="25.5">
      <c r="A20" s="140">
        <v>1</v>
      </c>
      <c r="B20" s="144" t="s">
        <v>96</v>
      </c>
      <c r="C20" s="145">
        <f>SUM(D20:I20)</f>
        <v>0</v>
      </c>
      <c r="D20" s="145"/>
      <c r="E20" s="145"/>
      <c r="F20" s="145"/>
      <c r="G20" s="145"/>
      <c r="H20" s="145"/>
      <c r="I20" s="145"/>
      <c r="J20" s="145">
        <f t="shared" si="5"/>
        <v>0</v>
      </c>
      <c r="K20" s="145"/>
      <c r="L20" s="145"/>
      <c r="M20" s="145"/>
      <c r="N20" s="145"/>
      <c r="O20" s="145"/>
      <c r="P20" s="145">
        <v>0</v>
      </c>
      <c r="Q20" s="145">
        <f t="shared" si="6"/>
        <v>0</v>
      </c>
      <c r="R20" s="145"/>
      <c r="S20" s="145"/>
      <c r="T20" s="145"/>
      <c r="U20" s="145"/>
      <c r="V20" s="145"/>
      <c r="W20" s="145"/>
      <c r="X20" s="145">
        <f t="shared" ref="X20:X21" si="13">SUM(Y20:AD20)</f>
        <v>0</v>
      </c>
      <c r="Y20" s="145"/>
      <c r="Z20" s="145"/>
      <c r="AA20" s="145"/>
      <c r="AB20" s="145"/>
      <c r="AC20" s="145"/>
      <c r="AD20" s="145"/>
    </row>
    <row r="21" spans="1:30">
      <c r="A21" s="140">
        <v>2</v>
      </c>
      <c r="B21" s="144" t="s">
        <v>97</v>
      </c>
      <c r="C21" s="145">
        <f>SUM(D21:I21)</f>
        <v>0</v>
      </c>
      <c r="D21" s="145"/>
      <c r="E21" s="145"/>
      <c r="F21" s="145"/>
      <c r="G21" s="145"/>
      <c r="H21" s="145"/>
      <c r="I21" s="145"/>
      <c r="J21" s="145">
        <f t="shared" si="5"/>
        <v>0</v>
      </c>
      <c r="K21" s="145"/>
      <c r="L21" s="145"/>
      <c r="M21" s="145"/>
      <c r="N21" s="145"/>
      <c r="O21" s="145"/>
      <c r="P21" s="145">
        <v>0</v>
      </c>
      <c r="Q21" s="145">
        <f t="shared" si="6"/>
        <v>0</v>
      </c>
      <c r="R21" s="145"/>
      <c r="S21" s="145"/>
      <c r="T21" s="145"/>
      <c r="U21" s="145"/>
      <c r="V21" s="145"/>
      <c r="W21" s="145"/>
      <c r="X21" s="145">
        <f t="shared" si="13"/>
        <v>0</v>
      </c>
      <c r="Y21" s="145"/>
      <c r="Z21" s="145"/>
      <c r="AA21" s="145"/>
      <c r="AB21" s="145"/>
      <c r="AC21" s="145"/>
      <c r="AD21" s="145"/>
    </row>
    <row r="22" spans="1:30">
      <c r="A22" s="142" t="s">
        <v>98</v>
      </c>
      <c r="B22" s="143" t="s">
        <v>99</v>
      </c>
      <c r="C22" s="141">
        <f>C23+C24+C25+C26+C27</f>
        <v>51750</v>
      </c>
      <c r="D22" s="141">
        <f t="shared" ref="D22:W22" si="14">D23+D24+D25+D26+D27</f>
        <v>0</v>
      </c>
      <c r="E22" s="141">
        <f t="shared" si="14"/>
        <v>0</v>
      </c>
      <c r="F22" s="141">
        <f t="shared" si="14"/>
        <v>0</v>
      </c>
      <c r="G22" s="141">
        <f t="shared" si="14"/>
        <v>0</v>
      </c>
      <c r="H22" s="141">
        <f t="shared" si="14"/>
        <v>0</v>
      </c>
      <c r="I22" s="141">
        <f t="shared" si="14"/>
        <v>51750</v>
      </c>
      <c r="J22" s="141">
        <f t="shared" si="14"/>
        <v>33471.620000000003</v>
      </c>
      <c r="K22" s="141">
        <f t="shared" si="14"/>
        <v>0</v>
      </c>
      <c r="L22" s="141">
        <f t="shared" si="14"/>
        <v>0</v>
      </c>
      <c r="M22" s="141">
        <f t="shared" si="14"/>
        <v>0</v>
      </c>
      <c r="N22" s="141">
        <f t="shared" si="14"/>
        <v>0</v>
      </c>
      <c r="O22" s="141">
        <f t="shared" si="14"/>
        <v>0</v>
      </c>
      <c r="P22" s="141">
        <f t="shared" si="14"/>
        <v>33471.620000000003</v>
      </c>
      <c r="Q22" s="141">
        <f t="shared" si="14"/>
        <v>103780</v>
      </c>
      <c r="R22" s="141">
        <f t="shared" si="14"/>
        <v>0</v>
      </c>
      <c r="S22" s="141">
        <f t="shared" si="14"/>
        <v>0</v>
      </c>
      <c r="T22" s="141">
        <f t="shared" si="14"/>
        <v>0</v>
      </c>
      <c r="U22" s="141">
        <f t="shared" si="14"/>
        <v>0</v>
      </c>
      <c r="V22" s="141">
        <f t="shared" si="14"/>
        <v>0</v>
      </c>
      <c r="W22" s="141">
        <f t="shared" si="14"/>
        <v>103780</v>
      </c>
      <c r="X22" s="141">
        <f t="shared" ref="X22:AD22" si="15">X23+X24+X25+X26+X27</f>
        <v>17380</v>
      </c>
      <c r="Y22" s="141">
        <f t="shared" si="15"/>
        <v>0</v>
      </c>
      <c r="Z22" s="141">
        <f t="shared" si="15"/>
        <v>0</v>
      </c>
      <c r="AA22" s="141">
        <f t="shared" si="15"/>
        <v>0</v>
      </c>
      <c r="AB22" s="141">
        <f t="shared" si="15"/>
        <v>0</v>
      </c>
      <c r="AC22" s="141">
        <f t="shared" si="15"/>
        <v>0</v>
      </c>
      <c r="AD22" s="141">
        <f t="shared" si="15"/>
        <v>17380</v>
      </c>
    </row>
    <row r="23" spans="1:30">
      <c r="A23" s="140">
        <v>1</v>
      </c>
      <c r="B23" s="144" t="s">
        <v>100</v>
      </c>
      <c r="C23" s="145">
        <f>SUM(D23:I23)</f>
        <v>30</v>
      </c>
      <c r="D23" s="145"/>
      <c r="E23" s="145"/>
      <c r="F23" s="145"/>
      <c r="G23" s="145"/>
      <c r="H23" s="145"/>
      <c r="I23" s="145">
        <v>30</v>
      </c>
      <c r="J23" s="145">
        <f t="shared" si="5"/>
        <v>19.239999999999998</v>
      </c>
      <c r="K23" s="145"/>
      <c r="L23" s="145"/>
      <c r="M23" s="145"/>
      <c r="N23" s="145"/>
      <c r="O23" s="145"/>
      <c r="P23" s="145">
        <v>19.239999999999998</v>
      </c>
      <c r="Q23" s="145">
        <f t="shared" si="6"/>
        <v>30</v>
      </c>
      <c r="R23" s="145"/>
      <c r="S23" s="145"/>
      <c r="T23" s="145"/>
      <c r="U23" s="145"/>
      <c r="V23" s="145"/>
      <c r="W23" s="145">
        <v>30</v>
      </c>
      <c r="X23" s="145">
        <f t="shared" ref="X23:X27" si="16">SUM(Y23:AD23)</f>
        <v>30</v>
      </c>
      <c r="Y23" s="145"/>
      <c r="Z23" s="145"/>
      <c r="AA23" s="145"/>
      <c r="AB23" s="145"/>
      <c r="AC23" s="145"/>
      <c r="AD23" s="145">
        <v>30</v>
      </c>
    </row>
    <row r="24" spans="1:30">
      <c r="A24" s="140">
        <v>2</v>
      </c>
      <c r="B24" s="144" t="s">
        <v>101</v>
      </c>
      <c r="C24" s="145">
        <f t="shared" ref="C24:C31" si="17">SUM(D24:I24)</f>
        <v>0</v>
      </c>
      <c r="D24" s="145">
        <v>0</v>
      </c>
      <c r="E24" s="145"/>
      <c r="F24" s="145"/>
      <c r="G24" s="145"/>
      <c r="H24" s="145"/>
      <c r="I24" s="145"/>
      <c r="J24" s="145">
        <f t="shared" si="5"/>
        <v>0</v>
      </c>
      <c r="K24" s="145"/>
      <c r="L24" s="145"/>
      <c r="M24" s="145"/>
      <c r="N24" s="145"/>
      <c r="O24" s="145"/>
      <c r="P24" s="145">
        <v>0</v>
      </c>
      <c r="Q24" s="145">
        <f t="shared" si="6"/>
        <v>0</v>
      </c>
      <c r="R24" s="145"/>
      <c r="S24" s="145"/>
      <c r="T24" s="145"/>
      <c r="U24" s="145"/>
      <c r="V24" s="145"/>
      <c r="W24" s="145"/>
      <c r="X24" s="145">
        <f t="shared" si="16"/>
        <v>0</v>
      </c>
      <c r="Y24" s="145"/>
      <c r="Z24" s="145"/>
      <c r="AA24" s="145"/>
      <c r="AB24" s="145"/>
      <c r="AC24" s="145"/>
      <c r="AD24" s="145"/>
    </row>
    <row r="25" spans="1:30" ht="25.5">
      <c r="A25" s="140">
        <v>3</v>
      </c>
      <c r="B25" s="144" t="s">
        <v>102</v>
      </c>
      <c r="C25" s="145">
        <f t="shared" si="17"/>
        <v>1720</v>
      </c>
      <c r="D25" s="145"/>
      <c r="E25" s="145"/>
      <c r="F25" s="145"/>
      <c r="G25" s="145"/>
      <c r="H25" s="145"/>
      <c r="I25" s="145">
        <v>1720</v>
      </c>
      <c r="J25" s="145">
        <f t="shared" si="5"/>
        <v>1760</v>
      </c>
      <c r="K25" s="145"/>
      <c r="L25" s="145"/>
      <c r="M25" s="145"/>
      <c r="N25" s="145"/>
      <c r="O25" s="145"/>
      <c r="P25" s="145">
        <v>1760</v>
      </c>
      <c r="Q25" s="145">
        <f t="shared" si="6"/>
        <v>2350</v>
      </c>
      <c r="R25" s="145"/>
      <c r="S25" s="145"/>
      <c r="T25" s="145"/>
      <c r="U25" s="145"/>
      <c r="V25" s="145"/>
      <c r="W25" s="145">
        <f>250+2100</f>
        <v>2350</v>
      </c>
      <c r="X25" s="145">
        <f t="shared" si="16"/>
        <v>2350</v>
      </c>
      <c r="Y25" s="145"/>
      <c r="Z25" s="145"/>
      <c r="AA25" s="145"/>
      <c r="AB25" s="145"/>
      <c r="AC25" s="145"/>
      <c r="AD25" s="145">
        <f>250+2100</f>
        <v>2350</v>
      </c>
    </row>
    <row r="26" spans="1:30">
      <c r="A26" s="140">
        <v>4</v>
      </c>
      <c r="B26" s="144" t="s">
        <v>103</v>
      </c>
      <c r="C26" s="145">
        <f t="shared" si="17"/>
        <v>50000</v>
      </c>
      <c r="D26" s="145"/>
      <c r="E26" s="145"/>
      <c r="F26" s="145"/>
      <c r="G26" s="145"/>
      <c r="H26" s="145"/>
      <c r="I26" s="145">
        <v>50000</v>
      </c>
      <c r="J26" s="145">
        <f t="shared" si="5"/>
        <v>31692.38</v>
      </c>
      <c r="K26" s="145"/>
      <c r="L26" s="145"/>
      <c r="M26" s="145"/>
      <c r="N26" s="145"/>
      <c r="O26" s="145"/>
      <c r="P26" s="145">
        <v>31692.38</v>
      </c>
      <c r="Q26" s="145">
        <f t="shared" si="6"/>
        <v>101400</v>
      </c>
      <c r="R26" s="145"/>
      <c r="S26" s="145"/>
      <c r="T26" s="145"/>
      <c r="U26" s="145"/>
      <c r="V26" s="145"/>
      <c r="W26" s="145">
        <v>101400</v>
      </c>
      <c r="X26" s="145">
        <f t="shared" si="16"/>
        <v>15000</v>
      </c>
      <c r="Y26" s="145"/>
      <c r="Z26" s="145"/>
      <c r="AA26" s="145"/>
      <c r="AB26" s="145"/>
      <c r="AC26" s="145"/>
      <c r="AD26" s="145">
        <v>15000</v>
      </c>
    </row>
    <row r="27" spans="1:30" ht="25.5">
      <c r="A27" s="140">
        <v>5</v>
      </c>
      <c r="B27" s="144" t="s">
        <v>104</v>
      </c>
      <c r="C27" s="145">
        <f t="shared" si="17"/>
        <v>0</v>
      </c>
      <c r="D27" s="145"/>
      <c r="E27" s="145"/>
      <c r="F27" s="145"/>
      <c r="G27" s="145"/>
      <c r="H27" s="145"/>
      <c r="I27" s="145"/>
      <c r="J27" s="145">
        <f t="shared" si="5"/>
        <v>0</v>
      </c>
      <c r="K27" s="145"/>
      <c r="L27" s="145"/>
      <c r="M27" s="145"/>
      <c r="N27" s="145"/>
      <c r="O27" s="145"/>
      <c r="P27" s="145"/>
      <c r="Q27" s="145">
        <f t="shared" si="6"/>
        <v>0</v>
      </c>
      <c r="R27" s="145"/>
      <c r="S27" s="145"/>
      <c r="T27" s="145"/>
      <c r="U27" s="145"/>
      <c r="V27" s="145"/>
      <c r="W27" s="145"/>
      <c r="X27" s="145">
        <f t="shared" si="16"/>
        <v>0</v>
      </c>
      <c r="Y27" s="145"/>
      <c r="Z27" s="145"/>
      <c r="AA27" s="145"/>
      <c r="AB27" s="145"/>
      <c r="AC27" s="145"/>
      <c r="AD27" s="145"/>
    </row>
    <row r="28" spans="1:30">
      <c r="A28" s="142" t="s">
        <v>105</v>
      </c>
      <c r="B28" s="143" t="s">
        <v>106</v>
      </c>
      <c r="C28" s="141">
        <f>C29+C30+C31</f>
        <v>1430</v>
      </c>
      <c r="D28" s="141">
        <f t="shared" ref="D28:W28" si="18">D29+D30+D31</f>
        <v>0</v>
      </c>
      <c r="E28" s="141">
        <f t="shared" si="18"/>
        <v>0</v>
      </c>
      <c r="F28" s="141">
        <f t="shared" si="18"/>
        <v>0</v>
      </c>
      <c r="G28" s="141">
        <f t="shared" si="18"/>
        <v>0</v>
      </c>
      <c r="H28" s="141">
        <f t="shared" si="18"/>
        <v>0</v>
      </c>
      <c r="I28" s="141">
        <f t="shared" si="18"/>
        <v>1430</v>
      </c>
      <c r="J28" s="141">
        <f t="shared" si="18"/>
        <v>1596.77</v>
      </c>
      <c r="K28" s="141">
        <f t="shared" si="18"/>
        <v>0</v>
      </c>
      <c r="L28" s="141">
        <f t="shared" si="18"/>
        <v>0</v>
      </c>
      <c r="M28" s="141">
        <f t="shared" si="18"/>
        <v>0</v>
      </c>
      <c r="N28" s="141">
        <f t="shared" si="18"/>
        <v>0</v>
      </c>
      <c r="O28" s="141">
        <f t="shared" si="18"/>
        <v>0</v>
      </c>
      <c r="P28" s="141">
        <f t="shared" si="18"/>
        <v>1596.77</v>
      </c>
      <c r="Q28" s="141">
        <f t="shared" si="18"/>
        <v>1600</v>
      </c>
      <c r="R28" s="141">
        <f t="shared" si="18"/>
        <v>0</v>
      </c>
      <c r="S28" s="141">
        <f t="shared" si="18"/>
        <v>0</v>
      </c>
      <c r="T28" s="141">
        <f t="shared" si="18"/>
        <v>0</v>
      </c>
      <c r="U28" s="141">
        <f t="shared" si="18"/>
        <v>0</v>
      </c>
      <c r="V28" s="141">
        <f t="shared" si="18"/>
        <v>0</v>
      </c>
      <c r="W28" s="141">
        <f t="shared" si="18"/>
        <v>1600</v>
      </c>
      <c r="X28" s="141">
        <f t="shared" ref="X28:AD28" si="19">X29+X30+X31</f>
        <v>1600</v>
      </c>
      <c r="Y28" s="141">
        <f t="shared" si="19"/>
        <v>0</v>
      </c>
      <c r="Z28" s="141">
        <f t="shared" si="19"/>
        <v>0</v>
      </c>
      <c r="AA28" s="141">
        <f t="shared" si="19"/>
        <v>0</v>
      </c>
      <c r="AB28" s="141">
        <f t="shared" si="19"/>
        <v>0</v>
      </c>
      <c r="AC28" s="141">
        <f t="shared" si="19"/>
        <v>0</v>
      </c>
      <c r="AD28" s="141">
        <f t="shared" si="19"/>
        <v>1600</v>
      </c>
    </row>
    <row r="29" spans="1:30" ht="13.5" customHeight="1">
      <c r="A29" s="140">
        <v>1</v>
      </c>
      <c r="B29" s="144" t="s">
        <v>107</v>
      </c>
      <c r="C29" s="145">
        <f t="shared" si="17"/>
        <v>50</v>
      </c>
      <c r="D29" s="145"/>
      <c r="E29" s="145"/>
      <c r="F29" s="145"/>
      <c r="G29" s="145"/>
      <c r="H29" s="145"/>
      <c r="I29" s="145">
        <v>50</v>
      </c>
      <c r="J29" s="145">
        <f t="shared" si="5"/>
        <v>172.61</v>
      </c>
      <c r="K29" s="145"/>
      <c r="L29" s="145"/>
      <c r="M29" s="145"/>
      <c r="N29" s="145"/>
      <c r="O29" s="145"/>
      <c r="P29" s="145">
        <v>172.61</v>
      </c>
      <c r="Q29" s="145">
        <f t="shared" si="6"/>
        <v>180</v>
      </c>
      <c r="R29" s="145"/>
      <c r="S29" s="145"/>
      <c r="T29" s="145"/>
      <c r="U29" s="145"/>
      <c r="V29" s="145"/>
      <c r="W29" s="145">
        <f>130+50</f>
        <v>180</v>
      </c>
      <c r="X29" s="145">
        <f t="shared" ref="X29:X31" si="20">SUM(Y29:AD29)</f>
        <v>180</v>
      </c>
      <c r="Y29" s="145"/>
      <c r="Z29" s="145"/>
      <c r="AA29" s="145"/>
      <c r="AB29" s="145"/>
      <c r="AC29" s="145"/>
      <c r="AD29" s="145">
        <f>130+50</f>
        <v>180</v>
      </c>
    </row>
    <row r="30" spans="1:30">
      <c r="A30" s="140">
        <v>2</v>
      </c>
      <c r="B30" s="144" t="s">
        <v>108</v>
      </c>
      <c r="C30" s="145">
        <f t="shared" si="17"/>
        <v>0</v>
      </c>
      <c r="D30" s="145"/>
      <c r="E30" s="145"/>
      <c r="F30" s="145"/>
      <c r="G30" s="145"/>
      <c r="H30" s="145"/>
      <c r="I30" s="145"/>
      <c r="J30" s="145">
        <f t="shared" si="5"/>
        <v>0</v>
      </c>
      <c r="K30" s="145"/>
      <c r="L30" s="145"/>
      <c r="M30" s="145"/>
      <c r="N30" s="145"/>
      <c r="O30" s="145"/>
      <c r="P30" s="145"/>
      <c r="Q30" s="145">
        <f t="shared" si="6"/>
        <v>0</v>
      </c>
      <c r="R30" s="145"/>
      <c r="S30" s="145"/>
      <c r="T30" s="145"/>
      <c r="U30" s="145"/>
      <c r="V30" s="145"/>
      <c r="W30" s="145"/>
      <c r="X30" s="145">
        <f t="shared" si="20"/>
        <v>0</v>
      </c>
      <c r="Y30" s="145"/>
      <c r="Z30" s="145"/>
      <c r="AA30" s="145"/>
      <c r="AB30" s="145"/>
      <c r="AC30" s="145"/>
      <c r="AD30" s="145"/>
    </row>
    <row r="31" spans="1:30">
      <c r="A31" s="140">
        <v>3</v>
      </c>
      <c r="B31" s="144" t="s">
        <v>109</v>
      </c>
      <c r="C31" s="145">
        <f t="shared" si="17"/>
        <v>1380</v>
      </c>
      <c r="D31" s="145"/>
      <c r="E31" s="145"/>
      <c r="F31" s="145"/>
      <c r="G31" s="145"/>
      <c r="H31" s="145"/>
      <c r="I31" s="145">
        <v>1380</v>
      </c>
      <c r="J31" s="145">
        <f t="shared" si="5"/>
        <v>1424.16</v>
      </c>
      <c r="K31" s="145"/>
      <c r="L31" s="145"/>
      <c r="M31" s="145"/>
      <c r="N31" s="145"/>
      <c r="O31" s="145"/>
      <c r="P31" s="145">
        <v>1424.16</v>
      </c>
      <c r="Q31" s="145">
        <f t="shared" si="6"/>
        <v>1420</v>
      </c>
      <c r="R31" s="145"/>
      <c r="S31" s="145"/>
      <c r="T31" s="145"/>
      <c r="U31" s="145"/>
      <c r="V31" s="145"/>
      <c r="W31" s="145">
        <f>120+1300</f>
        <v>1420</v>
      </c>
      <c r="X31" s="145">
        <f t="shared" si="20"/>
        <v>1420</v>
      </c>
      <c r="Y31" s="145"/>
      <c r="Z31" s="145"/>
      <c r="AA31" s="145"/>
      <c r="AB31" s="145"/>
      <c r="AC31" s="145"/>
      <c r="AD31" s="145">
        <f>120+1300</f>
        <v>1420</v>
      </c>
    </row>
    <row r="32" spans="1:30">
      <c r="A32" s="146"/>
      <c r="B32" s="147"/>
      <c r="C32" s="148"/>
      <c r="D32" s="148"/>
      <c r="E32" s="148"/>
      <c r="F32" s="148"/>
      <c r="G32" s="148"/>
      <c r="H32" s="148"/>
      <c r="I32" s="148"/>
      <c r="J32" s="148"/>
      <c r="K32" s="148"/>
      <c r="L32" s="148"/>
      <c r="M32" s="148"/>
      <c r="N32" s="148"/>
      <c r="O32" s="148"/>
      <c r="P32" s="148"/>
      <c r="Q32" s="148"/>
      <c r="R32" s="148"/>
      <c r="S32" s="148"/>
      <c r="T32" s="148"/>
      <c r="U32" s="148"/>
      <c r="V32" s="148"/>
      <c r="W32" s="148"/>
      <c r="X32" s="148"/>
      <c r="Y32" s="148"/>
      <c r="Z32" s="148"/>
      <c r="AA32" s="148"/>
      <c r="AB32" s="148"/>
      <c r="AC32" s="148"/>
      <c r="AD32" s="148"/>
    </row>
    <row r="33" spans="1:29">
      <c r="A33" s="130"/>
    </row>
    <row r="34" spans="1:29">
      <c r="A34" s="547"/>
      <c r="J34" s="137"/>
      <c r="S34" s="544"/>
      <c r="T34" s="544"/>
      <c r="U34" s="544"/>
      <c r="V34" s="544"/>
      <c r="Z34" s="544"/>
      <c r="AA34" s="544"/>
      <c r="AB34" s="544"/>
      <c r="AC34" s="544"/>
    </row>
    <row r="35" spans="1:29" ht="15" customHeight="1">
      <c r="A35" s="547"/>
      <c r="J35" s="138"/>
      <c r="S35" s="543"/>
      <c r="T35" s="543"/>
      <c r="U35" s="543"/>
      <c r="V35" s="543"/>
      <c r="Z35" s="543"/>
      <c r="AA35" s="543"/>
      <c r="AB35" s="543"/>
      <c r="AC35" s="543"/>
    </row>
    <row r="36" spans="1:29" ht="15" customHeight="1">
      <c r="A36" s="547"/>
      <c r="S36" s="544"/>
      <c r="T36" s="544"/>
      <c r="U36" s="544"/>
      <c r="V36" s="544"/>
      <c r="Z36" s="544"/>
      <c r="AA36" s="544"/>
      <c r="AB36" s="544"/>
      <c r="AC36" s="544"/>
    </row>
  </sheetData>
  <mergeCells count="25">
    <mergeCell ref="R1:W1"/>
    <mergeCell ref="Z35:AC35"/>
    <mergeCell ref="Z36:AC36"/>
    <mergeCell ref="Y1:AD1"/>
    <mergeCell ref="X4:AD4"/>
    <mergeCell ref="X5:X6"/>
    <mergeCell ref="Y5:AD5"/>
    <mergeCell ref="Z34:AC34"/>
    <mergeCell ref="A2:AD2"/>
    <mergeCell ref="A1:B1"/>
    <mergeCell ref="A34:A36"/>
    <mergeCell ref="S34:V34"/>
    <mergeCell ref="S35:V35"/>
    <mergeCell ref="S36:V36"/>
    <mergeCell ref="A4:A6"/>
    <mergeCell ref="B4:B6"/>
    <mergeCell ref="C4:I4"/>
    <mergeCell ref="J4:P4"/>
    <mergeCell ref="Q4:W4"/>
    <mergeCell ref="C5:C6"/>
    <mergeCell ref="D5:I5"/>
    <mergeCell ref="J5:J6"/>
    <mergeCell ref="K5:P5"/>
    <mergeCell ref="Q5:Q6"/>
    <mergeCell ref="R5:W5"/>
  </mergeCells>
  <printOptions horizontalCentered="1"/>
  <pageMargins left="0.2" right="0.2" top="0.5" bottom="0.2" header="0.31496062992126" footer="0.31496062992126"/>
  <pageSetup paperSize="9" scale="8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42"/>
  <sheetViews>
    <sheetView view="pageBreakPreview" zoomScale="85" zoomScaleSheetLayoutView="85" workbookViewId="0">
      <selection activeCell="C99" sqref="C99"/>
    </sheetView>
  </sheetViews>
  <sheetFormatPr defaultColWidth="9.140625" defaultRowHeight="15"/>
  <cols>
    <col min="1" max="1" width="6.42578125" style="152" customWidth="1"/>
    <col min="2" max="2" width="46.28515625" style="111" customWidth="1"/>
    <col min="3" max="3" width="13" style="110" customWidth="1"/>
    <col min="4" max="4" width="12.7109375" style="110" customWidth="1"/>
    <col min="5" max="5" width="12.28515625" style="151" customWidth="1"/>
    <col min="6" max="6" width="13.140625" style="111" customWidth="1"/>
    <col min="7" max="7" width="12" style="111" customWidth="1"/>
    <col min="8" max="8" width="13.7109375" style="111" customWidth="1"/>
    <col min="9" max="9" width="13.140625" style="111" customWidth="1"/>
    <col min="10" max="10" width="11.5703125" style="111" bestFit="1" customWidth="1"/>
    <col min="11" max="16384" width="9.140625" style="111"/>
  </cols>
  <sheetData>
    <row r="1" spans="1:9" s="149" customFormat="1">
      <c r="A1" s="47" t="s">
        <v>0</v>
      </c>
      <c r="B1" s="47"/>
      <c r="C1" s="107"/>
      <c r="D1" s="107"/>
      <c r="E1" s="278"/>
      <c r="F1" s="278"/>
      <c r="G1" s="553" t="s">
        <v>113</v>
      </c>
      <c r="H1" s="553"/>
      <c r="I1" s="553"/>
    </row>
    <row r="2" spans="1:9">
      <c r="A2" s="150"/>
    </row>
    <row r="3" spans="1:9">
      <c r="A3" s="574" t="s">
        <v>114</v>
      </c>
      <c r="B3" s="574"/>
      <c r="C3" s="574"/>
      <c r="D3" s="574"/>
      <c r="E3" s="574"/>
      <c r="F3" s="574"/>
      <c r="G3" s="574"/>
      <c r="H3" s="574"/>
      <c r="I3" s="574"/>
    </row>
    <row r="4" spans="1:9">
      <c r="H4" s="573" t="s">
        <v>3</v>
      </c>
      <c r="I4" s="573"/>
    </row>
    <row r="5" spans="1:9" ht="15" customHeight="1">
      <c r="A5" s="556" t="s">
        <v>4</v>
      </c>
      <c r="B5" s="556" t="s">
        <v>5</v>
      </c>
      <c r="C5" s="558" t="s">
        <v>6</v>
      </c>
      <c r="D5" s="560" t="s">
        <v>77</v>
      </c>
      <c r="E5" s="561"/>
      <c r="F5" s="562" t="s">
        <v>78</v>
      </c>
      <c r="G5" s="560" t="s">
        <v>657</v>
      </c>
      <c r="H5" s="561"/>
      <c r="I5" s="554" t="s">
        <v>704</v>
      </c>
    </row>
    <row r="6" spans="1:9" ht="15" customHeight="1">
      <c r="A6" s="557"/>
      <c r="B6" s="557"/>
      <c r="C6" s="559"/>
      <c r="D6" s="565" t="s">
        <v>656</v>
      </c>
      <c r="E6" s="567" t="s">
        <v>573</v>
      </c>
      <c r="F6" s="563"/>
      <c r="G6" s="569" t="s">
        <v>572</v>
      </c>
      <c r="H6" s="571" t="s">
        <v>814</v>
      </c>
      <c r="I6" s="555"/>
    </row>
    <row r="7" spans="1:9" ht="33" customHeight="1">
      <c r="A7" s="556"/>
      <c r="B7" s="556"/>
      <c r="C7" s="558"/>
      <c r="D7" s="566"/>
      <c r="E7" s="568"/>
      <c r="F7" s="564"/>
      <c r="G7" s="570"/>
      <c r="H7" s="572"/>
      <c r="I7" s="555"/>
    </row>
    <row r="8" spans="1:9">
      <c r="A8" s="112" t="s">
        <v>11</v>
      </c>
      <c r="B8" s="112" t="s">
        <v>12</v>
      </c>
      <c r="C8" s="190">
        <v>1</v>
      </c>
      <c r="D8" s="191">
        <v>2</v>
      </c>
      <c r="E8" s="190">
        <v>3</v>
      </c>
      <c r="F8" s="190">
        <v>4</v>
      </c>
      <c r="G8" s="191">
        <v>5</v>
      </c>
      <c r="H8" s="190">
        <v>6</v>
      </c>
      <c r="I8" s="190">
        <v>7</v>
      </c>
    </row>
    <row r="9" spans="1:9" s="153" customFormat="1" ht="20.25" customHeight="1">
      <c r="A9" s="159" t="s">
        <v>11</v>
      </c>
      <c r="B9" s="160" t="s">
        <v>115</v>
      </c>
      <c r="C9" s="161">
        <f t="shared" ref="C9:I9" si="0">C10</f>
        <v>163652.94815099999</v>
      </c>
      <c r="D9" s="162">
        <f t="shared" si="0"/>
        <v>91370</v>
      </c>
      <c r="E9" s="162">
        <f t="shared" si="0"/>
        <v>144370</v>
      </c>
      <c r="F9" s="159">
        <f>F10</f>
        <v>140275</v>
      </c>
      <c r="G9" s="159">
        <f t="shared" si="0"/>
        <v>117820</v>
      </c>
      <c r="H9" s="159">
        <f t="shared" si="0"/>
        <v>216220</v>
      </c>
      <c r="I9" s="71">
        <f t="shared" si="0"/>
        <v>129820</v>
      </c>
    </row>
    <row r="10" spans="1:9">
      <c r="A10" s="118">
        <v>1</v>
      </c>
      <c r="B10" s="163" t="s">
        <v>15</v>
      </c>
      <c r="C10" s="164">
        <v>163652.94815099999</v>
      </c>
      <c r="D10" s="165">
        <v>91370</v>
      </c>
      <c r="E10" s="165">
        <v>144370</v>
      </c>
      <c r="F10" s="118">
        <v>140275</v>
      </c>
      <c r="G10" s="118">
        <f>117820</f>
        <v>117820</v>
      </c>
      <c r="H10" s="118">
        <v>216220</v>
      </c>
      <c r="I10" s="166">
        <v>129820</v>
      </c>
    </row>
    <row r="11" spans="1:9">
      <c r="A11" s="118">
        <v>2</v>
      </c>
      <c r="B11" s="163" t="s">
        <v>71</v>
      </c>
      <c r="C11" s="164"/>
      <c r="D11" s="165"/>
      <c r="E11" s="165"/>
      <c r="F11" s="118"/>
      <c r="G11" s="118"/>
      <c r="H11" s="118"/>
      <c r="I11" s="167"/>
    </row>
    <row r="12" spans="1:9">
      <c r="A12" s="118">
        <v>3</v>
      </c>
      <c r="B12" s="163" t="s">
        <v>116</v>
      </c>
      <c r="C12" s="164"/>
      <c r="D12" s="165"/>
      <c r="E12" s="165"/>
      <c r="F12" s="118"/>
      <c r="G12" s="118"/>
      <c r="H12" s="118"/>
      <c r="I12" s="167"/>
    </row>
    <row r="13" spans="1:9">
      <c r="A13" s="118">
        <v>4</v>
      </c>
      <c r="B13" s="163" t="s">
        <v>117</v>
      </c>
      <c r="C13" s="164"/>
      <c r="D13" s="165"/>
      <c r="E13" s="165"/>
      <c r="F13" s="118"/>
      <c r="G13" s="118"/>
      <c r="H13" s="118"/>
      <c r="I13" s="167"/>
    </row>
    <row r="14" spans="1:9" s="154" customFormat="1" ht="17.25" customHeight="1">
      <c r="A14" s="168" t="s">
        <v>12</v>
      </c>
      <c r="B14" s="169" t="s">
        <v>118</v>
      </c>
      <c r="C14" s="168">
        <f>C15+C18+C21+C22+C23+C24</f>
        <v>583361.92760699999</v>
      </c>
      <c r="D14" s="168">
        <f>D15+D18+D21+D22+D23+D24</f>
        <v>319343</v>
      </c>
      <c r="E14" s="168">
        <f>E15+E18+E21+E22+E23+E24</f>
        <v>366153</v>
      </c>
      <c r="F14" s="168">
        <f>F15+F18+F21+F22+F23+F24</f>
        <v>478307.09580000007</v>
      </c>
      <c r="G14" s="168">
        <f>G15+G18+G21+G22+G23</f>
        <v>361225</v>
      </c>
      <c r="H14" s="168">
        <f>H15+H18+H21+H22+H23</f>
        <v>447546.75</v>
      </c>
      <c r="I14" s="72">
        <f t="shared" ref="I14" si="1">I15+I18+I21+I22+I23</f>
        <v>371514.75</v>
      </c>
    </row>
    <row r="15" spans="1:9" s="155" customFormat="1" ht="21" customHeight="1">
      <c r="A15" s="115" t="s">
        <v>14</v>
      </c>
      <c r="B15" s="170" t="s">
        <v>119</v>
      </c>
      <c r="C15" s="171">
        <f t="shared" ref="C15:I15" si="2">C16+C17</f>
        <v>138928.90763999999</v>
      </c>
      <c r="D15" s="172">
        <f t="shared" si="2"/>
        <v>75491</v>
      </c>
      <c r="E15" s="172">
        <f t="shared" si="2"/>
        <v>122301</v>
      </c>
      <c r="F15" s="115">
        <f>F16+F17</f>
        <v>117871.05</v>
      </c>
      <c r="G15" s="115">
        <f t="shared" si="2"/>
        <v>94965</v>
      </c>
      <c r="H15" s="115">
        <f t="shared" si="2"/>
        <v>181286.75</v>
      </c>
      <c r="I15" s="73">
        <f t="shared" si="2"/>
        <v>105254.75</v>
      </c>
    </row>
    <row r="16" spans="1:9">
      <c r="A16" s="118">
        <v>1</v>
      </c>
      <c r="B16" s="163" t="s">
        <v>120</v>
      </c>
      <c r="C16" s="164">
        <v>5246.6533259999997</v>
      </c>
      <c r="D16" s="165">
        <v>6200</v>
      </c>
      <c r="E16" s="165">
        <v>6200</v>
      </c>
      <c r="F16" s="173">
        <v>6925.75</v>
      </c>
      <c r="G16" s="121">
        <v>20025</v>
      </c>
      <c r="H16" s="121">
        <v>98697</v>
      </c>
      <c r="I16" s="167">
        <v>22665</v>
      </c>
    </row>
    <row r="17" spans="1:10">
      <c r="A17" s="118">
        <v>2</v>
      </c>
      <c r="B17" s="163" t="s">
        <v>121</v>
      </c>
      <c r="C17" s="164">
        <v>133682.25431399999</v>
      </c>
      <c r="D17" s="165">
        <v>69291</v>
      </c>
      <c r="E17" s="165">
        <v>116101</v>
      </c>
      <c r="F17" s="173">
        <v>110945.3</v>
      </c>
      <c r="G17" s="121">
        <f>74940</f>
        <v>74940</v>
      </c>
      <c r="H17" s="121">
        <v>82589.75</v>
      </c>
      <c r="I17" s="167">
        <v>82589.75</v>
      </c>
    </row>
    <row r="18" spans="1:10" s="155" customFormat="1" ht="17.25" customHeight="1">
      <c r="A18" s="115" t="s">
        <v>70</v>
      </c>
      <c r="B18" s="170" t="s">
        <v>122</v>
      </c>
      <c r="C18" s="171">
        <f t="shared" ref="C18:I18" si="3">C19+C20</f>
        <v>348317.55099999998</v>
      </c>
      <c r="D18" s="172">
        <f t="shared" si="3"/>
        <v>243852</v>
      </c>
      <c r="E18" s="172">
        <f t="shared" si="3"/>
        <v>243852</v>
      </c>
      <c r="F18" s="115">
        <f>F19+F20</f>
        <v>253430.53599999999</v>
      </c>
      <c r="G18" s="115">
        <f t="shared" si="3"/>
        <v>266260</v>
      </c>
      <c r="H18" s="115">
        <f t="shared" si="3"/>
        <v>266260</v>
      </c>
      <c r="I18" s="73">
        <f t="shared" si="3"/>
        <v>266260</v>
      </c>
    </row>
    <row r="19" spans="1:10">
      <c r="A19" s="118">
        <v>1</v>
      </c>
      <c r="B19" s="163" t="s">
        <v>123</v>
      </c>
      <c r="C19" s="164">
        <v>212136</v>
      </c>
      <c r="D19" s="165">
        <v>210681</v>
      </c>
      <c r="E19" s="165">
        <v>210681</v>
      </c>
      <c r="F19" s="118">
        <v>210681</v>
      </c>
      <c r="G19" s="174">
        <v>258162</v>
      </c>
      <c r="H19" s="174">
        <v>258162</v>
      </c>
      <c r="I19" s="74">
        <v>258162</v>
      </c>
    </row>
    <row r="20" spans="1:10">
      <c r="A20" s="118">
        <v>2</v>
      </c>
      <c r="B20" s="163" t="s">
        <v>124</v>
      </c>
      <c r="C20" s="164">
        <v>136181.55100000001</v>
      </c>
      <c r="D20" s="165">
        <v>33171</v>
      </c>
      <c r="E20" s="165">
        <v>33171</v>
      </c>
      <c r="F20" s="175">
        <f>33171+9578.536</f>
        <v>42749.536</v>
      </c>
      <c r="G20" s="118">
        <v>8098</v>
      </c>
      <c r="H20" s="118">
        <v>8098</v>
      </c>
      <c r="I20" s="75">
        <v>8098</v>
      </c>
    </row>
    <row r="21" spans="1:10">
      <c r="A21" s="115" t="s">
        <v>94</v>
      </c>
      <c r="B21" s="170" t="s">
        <v>125</v>
      </c>
      <c r="C21" s="164">
        <v>0</v>
      </c>
      <c r="D21" s="165">
        <v>0</v>
      </c>
      <c r="E21" s="165">
        <v>0</v>
      </c>
      <c r="F21" s="118">
        <v>0</v>
      </c>
      <c r="G21" s="118"/>
      <c r="H21" s="118"/>
      <c r="I21" s="167"/>
    </row>
    <row r="22" spans="1:10" s="155" customFormat="1" ht="14.25">
      <c r="A22" s="115" t="s">
        <v>98</v>
      </c>
      <c r="B22" s="170" t="s">
        <v>126</v>
      </c>
      <c r="C22" s="171">
        <v>21678.16588</v>
      </c>
      <c r="D22" s="172">
        <v>0</v>
      </c>
      <c r="E22" s="172">
        <v>0</v>
      </c>
      <c r="F22" s="176">
        <v>8404.08</v>
      </c>
      <c r="G22" s="115"/>
      <c r="H22" s="115"/>
      <c r="I22" s="177"/>
    </row>
    <row r="23" spans="1:10" s="155" customFormat="1" ht="22.5" customHeight="1">
      <c r="A23" s="115" t="s">
        <v>105</v>
      </c>
      <c r="B23" s="170" t="s">
        <v>127</v>
      </c>
      <c r="C23" s="171">
        <v>74198.171987000009</v>
      </c>
      <c r="D23" s="172">
        <v>0</v>
      </c>
      <c r="E23" s="172">
        <v>0</v>
      </c>
      <c r="F23" s="176">
        <v>98504.59</v>
      </c>
      <c r="G23" s="115"/>
      <c r="H23" s="115"/>
      <c r="I23" s="177"/>
    </row>
    <row r="24" spans="1:10" s="155" customFormat="1" ht="14.25">
      <c r="A24" s="115" t="s">
        <v>128</v>
      </c>
      <c r="B24" s="170" t="s">
        <v>129</v>
      </c>
      <c r="C24" s="171">
        <v>239.1311</v>
      </c>
      <c r="D24" s="172">
        <v>0</v>
      </c>
      <c r="E24" s="172">
        <v>0</v>
      </c>
      <c r="F24" s="178">
        <v>96.839799999999997</v>
      </c>
      <c r="G24" s="115"/>
      <c r="H24" s="115"/>
      <c r="I24" s="177"/>
    </row>
    <row r="25" spans="1:10" s="156" customFormat="1" ht="18" customHeight="1">
      <c r="A25" s="168" t="s">
        <v>130</v>
      </c>
      <c r="B25" s="169" t="s">
        <v>131</v>
      </c>
      <c r="C25" s="179">
        <f>C26+C32+C36+C37</f>
        <v>574957.84834699996</v>
      </c>
      <c r="D25" s="180">
        <f t="shared" ref="D25:H25" si="4">D26+D32+D36</f>
        <v>319343</v>
      </c>
      <c r="E25" s="180">
        <f t="shared" si="4"/>
        <v>366153</v>
      </c>
      <c r="F25" s="168">
        <f t="shared" si="4"/>
        <v>478307.34399999992</v>
      </c>
      <c r="G25" s="168">
        <f t="shared" si="4"/>
        <v>361225</v>
      </c>
      <c r="H25" s="168">
        <f t="shared" si="4"/>
        <v>447546.75</v>
      </c>
      <c r="I25" s="72">
        <f>I26+I32+I36</f>
        <v>371514.75</v>
      </c>
    </row>
    <row r="26" spans="1:10" s="47" customFormat="1" ht="18.75" customHeight="1">
      <c r="A26" s="115" t="s">
        <v>14</v>
      </c>
      <c r="B26" s="170" t="s">
        <v>132</v>
      </c>
      <c r="C26" s="171">
        <f t="shared" ref="C26:H26" si="5">SUM(C27:C31)</f>
        <v>344352.16251399997</v>
      </c>
      <c r="D26" s="172">
        <f t="shared" si="5"/>
        <v>286172</v>
      </c>
      <c r="E26" s="172">
        <f t="shared" si="5"/>
        <v>332982</v>
      </c>
      <c r="F26" s="115">
        <f>SUM(F27:F31)</f>
        <v>419970.98399999994</v>
      </c>
      <c r="G26" s="115">
        <f t="shared" si="5"/>
        <v>353127</v>
      </c>
      <c r="H26" s="115">
        <f t="shared" si="5"/>
        <v>439448.75</v>
      </c>
      <c r="I26" s="73">
        <f>SUM(I27:I31)</f>
        <v>363416.75</v>
      </c>
    </row>
    <row r="27" spans="1:10" s="157" customFormat="1">
      <c r="A27" s="181">
        <v>1</v>
      </c>
      <c r="B27" s="182" t="s">
        <v>133</v>
      </c>
      <c r="C27" s="183">
        <v>73574.593349000002</v>
      </c>
      <c r="D27" s="184">
        <f>10472</f>
        <v>10472</v>
      </c>
      <c r="E27" s="184">
        <v>51832</v>
      </c>
      <c r="F27" s="121">
        <v>62203.550999999999</v>
      </c>
      <c r="G27" s="121">
        <f>7832+10560</f>
        <v>18392</v>
      </c>
      <c r="H27" s="121">
        <v>97064</v>
      </c>
      <c r="I27" s="185">
        <v>21032</v>
      </c>
    </row>
    <row r="28" spans="1:10" s="157" customFormat="1">
      <c r="A28" s="181">
        <v>2</v>
      </c>
      <c r="B28" s="182" t="s">
        <v>134</v>
      </c>
      <c r="C28" s="183">
        <v>270777.56916499999</v>
      </c>
      <c r="D28" s="184">
        <v>269970</v>
      </c>
      <c r="E28" s="184">
        <v>268646</v>
      </c>
      <c r="F28" s="121">
        <v>267630.05</v>
      </c>
      <c r="G28" s="184">
        <v>327672</v>
      </c>
      <c r="H28" s="181">
        <v>329966.75</v>
      </c>
      <c r="I28" s="300">
        <v>323991.3</v>
      </c>
      <c r="J28" s="275"/>
    </row>
    <row r="29" spans="1:10" s="157" customFormat="1">
      <c r="A29" s="181">
        <v>3</v>
      </c>
      <c r="B29" s="182" t="s">
        <v>135</v>
      </c>
      <c r="C29" s="183"/>
      <c r="D29" s="184">
        <v>0</v>
      </c>
      <c r="E29" s="184">
        <v>0</v>
      </c>
      <c r="F29" s="181">
        <v>0</v>
      </c>
      <c r="G29" s="181">
        <v>0</v>
      </c>
      <c r="H29" s="181">
        <v>0</v>
      </c>
      <c r="I29" s="76">
        <v>0</v>
      </c>
    </row>
    <row r="30" spans="1:10" s="157" customFormat="1">
      <c r="A30" s="181">
        <v>4</v>
      </c>
      <c r="B30" s="182" t="s">
        <v>136</v>
      </c>
      <c r="C30" s="183"/>
      <c r="D30" s="184">
        <v>5730</v>
      </c>
      <c r="E30" s="184">
        <v>5730</v>
      </c>
      <c r="F30" s="121">
        <v>7629</v>
      </c>
      <c r="G30" s="184">
        <v>7063</v>
      </c>
      <c r="H30" s="184">
        <v>7063</v>
      </c>
      <c r="I30" s="76">
        <v>7216.45</v>
      </c>
      <c r="J30" s="276"/>
    </row>
    <row r="31" spans="1:10" s="157" customFormat="1">
      <c r="A31" s="181">
        <v>5</v>
      </c>
      <c r="B31" s="182" t="s">
        <v>137</v>
      </c>
      <c r="C31" s="183"/>
      <c r="D31" s="184"/>
      <c r="E31" s="184">
        <v>6774</v>
      </c>
      <c r="F31" s="121">
        <v>82508.383000000002</v>
      </c>
      <c r="G31" s="183"/>
      <c r="H31" s="183">
        <v>5355</v>
      </c>
      <c r="I31" s="76">
        <f>5355+4906.5+915.5</f>
        <v>11177</v>
      </c>
      <c r="J31" s="276"/>
    </row>
    <row r="32" spans="1:10" ht="18.75" customHeight="1">
      <c r="A32" s="115" t="s">
        <v>70</v>
      </c>
      <c r="B32" s="170" t="s">
        <v>138</v>
      </c>
      <c r="C32" s="171">
        <f t="shared" ref="C32:I32" si="6">C33+C34+C35</f>
        <v>131252.464439</v>
      </c>
      <c r="D32" s="172">
        <f t="shared" si="6"/>
        <v>33171</v>
      </c>
      <c r="E32" s="172">
        <f t="shared" si="6"/>
        <v>33171</v>
      </c>
      <c r="F32" s="115">
        <f>F33+F34+F35</f>
        <v>58336.36</v>
      </c>
      <c r="G32" s="115">
        <f t="shared" si="6"/>
        <v>8098</v>
      </c>
      <c r="H32" s="115">
        <f t="shared" si="6"/>
        <v>8098</v>
      </c>
      <c r="I32" s="73">
        <f t="shared" si="6"/>
        <v>8098</v>
      </c>
    </row>
    <row r="33" spans="1:9" s="157" customFormat="1" ht="17.25" customHeight="1">
      <c r="A33" s="181">
        <v>1</v>
      </c>
      <c r="B33" s="182" t="s">
        <v>139</v>
      </c>
      <c r="C33" s="183">
        <v>27448.799284000001</v>
      </c>
      <c r="D33" s="184">
        <v>12253</v>
      </c>
      <c r="E33" s="184">
        <v>12253</v>
      </c>
      <c r="F33" s="121">
        <v>22594.9</v>
      </c>
      <c r="G33" s="181">
        <v>8098</v>
      </c>
      <c r="H33" s="181">
        <v>8098</v>
      </c>
      <c r="I33" s="76">
        <v>8098</v>
      </c>
    </row>
    <row r="34" spans="1:9" s="157" customFormat="1">
      <c r="A34" s="181">
        <v>2</v>
      </c>
      <c r="B34" s="182" t="s">
        <v>140</v>
      </c>
      <c r="C34" s="183">
        <v>35600.40395</v>
      </c>
      <c r="D34" s="184">
        <v>20918</v>
      </c>
      <c r="E34" s="184">
        <v>20918</v>
      </c>
      <c r="F34" s="121">
        <v>34442.21</v>
      </c>
      <c r="G34" s="183"/>
      <c r="H34" s="183"/>
      <c r="I34" s="183"/>
    </row>
    <row r="35" spans="1:9" s="157" customFormat="1">
      <c r="A35" s="181">
        <v>3</v>
      </c>
      <c r="B35" s="182" t="s">
        <v>141</v>
      </c>
      <c r="C35" s="183">
        <v>68203.261205000003</v>
      </c>
      <c r="D35" s="184">
        <v>0</v>
      </c>
      <c r="E35" s="184">
        <v>0</v>
      </c>
      <c r="F35" s="181">
        <v>1299.25</v>
      </c>
      <c r="G35" s="181">
        <v>0</v>
      </c>
      <c r="H35" s="181">
        <v>0</v>
      </c>
      <c r="I35" s="181">
        <v>0</v>
      </c>
    </row>
    <row r="36" spans="1:9" s="278" customFormat="1" ht="19.5" customHeight="1">
      <c r="A36" s="115" t="s">
        <v>94</v>
      </c>
      <c r="B36" s="170" t="s">
        <v>142</v>
      </c>
      <c r="C36" s="115">
        <v>98504.590293999994</v>
      </c>
      <c r="D36" s="165">
        <v>0</v>
      </c>
      <c r="E36" s="165">
        <v>0</v>
      </c>
      <c r="F36" s="118"/>
      <c r="G36" s="118"/>
      <c r="H36" s="118"/>
      <c r="I36" s="118"/>
    </row>
    <row r="37" spans="1:9" s="47" customFormat="1" ht="18.75" customHeight="1">
      <c r="A37" s="186" t="s">
        <v>98</v>
      </c>
      <c r="B37" s="187" t="s">
        <v>143</v>
      </c>
      <c r="C37" s="188">
        <v>848.63109999999995</v>
      </c>
      <c r="D37" s="189">
        <v>0</v>
      </c>
      <c r="E37" s="189">
        <v>0</v>
      </c>
      <c r="F37" s="186"/>
      <c r="G37" s="186"/>
      <c r="H37" s="186"/>
      <c r="I37" s="279"/>
    </row>
    <row r="38" spans="1:9">
      <c r="A38" s="158"/>
    </row>
    <row r="39" spans="1:9">
      <c r="A39" s="550"/>
      <c r="E39" s="551"/>
      <c r="F39" s="551"/>
      <c r="G39" s="551"/>
      <c r="H39" s="551"/>
    </row>
    <row r="40" spans="1:9">
      <c r="A40" s="550"/>
      <c r="E40" s="552"/>
      <c r="F40" s="552"/>
      <c r="G40" s="552"/>
      <c r="H40" s="552"/>
    </row>
    <row r="41" spans="1:9">
      <c r="A41" s="550"/>
      <c r="E41" s="552"/>
      <c r="F41" s="552"/>
      <c r="G41" s="552"/>
      <c r="H41" s="552"/>
    </row>
    <row r="42" spans="1:9">
      <c r="A42" s="550"/>
      <c r="E42" s="551"/>
      <c r="F42" s="551"/>
      <c r="G42" s="551"/>
      <c r="H42" s="551"/>
    </row>
  </sheetData>
  <mergeCells count="19">
    <mergeCell ref="G1:I1"/>
    <mergeCell ref="I5:I7"/>
    <mergeCell ref="A5:A7"/>
    <mergeCell ref="B5:B7"/>
    <mergeCell ref="C5:C7"/>
    <mergeCell ref="G5:H5"/>
    <mergeCell ref="D5:E5"/>
    <mergeCell ref="F5:F7"/>
    <mergeCell ref="D6:D7"/>
    <mergeCell ref="E6:E7"/>
    <mergeCell ref="G6:G7"/>
    <mergeCell ref="H6:H7"/>
    <mergeCell ref="H4:I4"/>
    <mergeCell ref="A3:I3"/>
    <mergeCell ref="A39:A42"/>
    <mergeCell ref="E39:H39"/>
    <mergeCell ref="E40:H40"/>
    <mergeCell ref="E41:H41"/>
    <mergeCell ref="E42:H42"/>
  </mergeCells>
  <printOptions horizontalCentered="1"/>
  <pageMargins left="0.2" right="0.2" top="0.5" bottom="0.2" header="0.31496062992126" footer="0.31496062992126"/>
  <pageSetup scale="9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80"/>
  <sheetViews>
    <sheetView tabSelected="1" view="pageBreakPreview" zoomScale="85" zoomScaleNormal="85" zoomScaleSheetLayoutView="85" workbookViewId="0">
      <selection activeCell="C99" sqref="C99"/>
    </sheetView>
  </sheetViews>
  <sheetFormatPr defaultColWidth="9.140625" defaultRowHeight="15"/>
  <cols>
    <col min="1" max="1" width="7.7109375" style="150" customWidth="1"/>
    <col min="2" max="2" width="44.5703125" style="111" customWidth="1"/>
    <col min="3" max="3" width="12" style="111" customWidth="1"/>
    <col min="4" max="4" width="14.85546875" style="111" customWidth="1"/>
    <col min="5" max="5" width="11.85546875" style="111" customWidth="1"/>
    <col min="6" max="6" width="15" style="111" customWidth="1"/>
    <col min="7" max="7" width="14.42578125" style="111" customWidth="1"/>
    <col min="8" max="8" width="14.85546875" style="111" customWidth="1"/>
    <col min="9" max="9" width="14.42578125" style="111" customWidth="1"/>
    <col min="10" max="10" width="14.85546875" style="111" customWidth="1"/>
    <col min="11" max="11" width="9.140625" style="196" customWidth="1"/>
    <col min="12" max="14" width="9.140625" style="193"/>
    <col min="15" max="16384" width="9.140625" style="111"/>
  </cols>
  <sheetData>
    <row r="1" spans="1:14" s="149" customFormat="1">
      <c r="A1" s="284" t="s">
        <v>0</v>
      </c>
      <c r="B1" s="284"/>
      <c r="C1" s="192"/>
      <c r="D1" s="192"/>
      <c r="E1" s="192"/>
      <c r="F1" s="192"/>
      <c r="G1" s="576"/>
      <c r="H1" s="576"/>
      <c r="I1" s="575" t="s">
        <v>144</v>
      </c>
      <c r="J1" s="575"/>
      <c r="K1" s="192"/>
      <c r="L1" s="192"/>
      <c r="M1" s="192"/>
      <c r="N1" s="192"/>
    </row>
    <row r="2" spans="1:14">
      <c r="A2" s="576" t="s">
        <v>145</v>
      </c>
      <c r="B2" s="576"/>
      <c r="C2" s="576"/>
      <c r="D2" s="576"/>
      <c r="E2" s="576"/>
      <c r="F2" s="576"/>
      <c r="G2" s="576"/>
      <c r="H2" s="576"/>
      <c r="I2" s="576"/>
      <c r="J2" s="576"/>
      <c r="K2" s="193"/>
    </row>
    <row r="3" spans="1:14" ht="15" customHeight="1">
      <c r="A3" s="194"/>
      <c r="B3" s="195"/>
      <c r="C3" s="195"/>
      <c r="D3" s="195"/>
      <c r="E3" s="195"/>
      <c r="F3" s="195"/>
      <c r="G3" s="573"/>
      <c r="H3" s="573"/>
      <c r="I3" s="573" t="s">
        <v>3</v>
      </c>
      <c r="J3" s="573"/>
      <c r="K3" s="193"/>
    </row>
    <row r="4" spans="1:14" ht="45.75" customHeight="1">
      <c r="A4" s="557" t="s">
        <v>4</v>
      </c>
      <c r="B4" s="557" t="s">
        <v>5</v>
      </c>
      <c r="C4" s="557" t="s">
        <v>77</v>
      </c>
      <c r="D4" s="557"/>
      <c r="E4" s="557" t="s">
        <v>576</v>
      </c>
      <c r="F4" s="557"/>
      <c r="G4" s="557" t="s">
        <v>702</v>
      </c>
      <c r="H4" s="557"/>
      <c r="I4" s="557" t="s">
        <v>705</v>
      </c>
      <c r="J4" s="557"/>
    </row>
    <row r="5" spans="1:14" ht="90">
      <c r="A5" s="557"/>
      <c r="B5" s="557"/>
      <c r="C5" s="197" t="s">
        <v>146</v>
      </c>
      <c r="D5" s="197" t="s">
        <v>147</v>
      </c>
      <c r="E5" s="197" t="s">
        <v>146</v>
      </c>
      <c r="F5" s="197" t="s">
        <v>147</v>
      </c>
      <c r="G5" s="197" t="s">
        <v>148</v>
      </c>
      <c r="H5" s="197" t="s">
        <v>665</v>
      </c>
      <c r="I5" s="197" t="s">
        <v>148</v>
      </c>
      <c r="J5" s="197" t="s">
        <v>665</v>
      </c>
    </row>
    <row r="6" spans="1:14">
      <c r="A6" s="197" t="s">
        <v>11</v>
      </c>
      <c r="B6" s="197" t="s">
        <v>12</v>
      </c>
      <c r="C6" s="191">
        <v>1</v>
      </c>
      <c r="D6" s="191">
        <v>2</v>
      </c>
      <c r="E6" s="191">
        <v>3</v>
      </c>
      <c r="F6" s="191">
        <v>4</v>
      </c>
      <c r="G6" s="191">
        <v>5</v>
      </c>
      <c r="H6" s="191">
        <v>6</v>
      </c>
      <c r="I6" s="191">
        <v>5</v>
      </c>
      <c r="J6" s="191">
        <v>6</v>
      </c>
    </row>
    <row r="7" spans="1:14" ht="35.25" customHeight="1">
      <c r="A7" s="198"/>
      <c r="B7" s="198" t="s">
        <v>149</v>
      </c>
      <c r="C7" s="199">
        <f t="shared" ref="C7:H7" si="0">C8+C74+C75</f>
        <v>144370</v>
      </c>
      <c r="D7" s="199">
        <f t="shared" si="0"/>
        <v>83800</v>
      </c>
      <c r="E7" s="199">
        <f t="shared" si="0"/>
        <v>140275.25132399998</v>
      </c>
      <c r="F7" s="199">
        <f t="shared" si="0"/>
        <v>68966.570000000007</v>
      </c>
      <c r="G7" s="199">
        <f t="shared" si="0"/>
        <v>216220</v>
      </c>
      <c r="H7" s="199">
        <f t="shared" si="0"/>
        <v>144100</v>
      </c>
      <c r="I7" s="199">
        <f t="shared" ref="I7:J7" si="1">I8+I74+I75</f>
        <v>129820</v>
      </c>
      <c r="J7" s="199">
        <f t="shared" si="1"/>
        <v>57700</v>
      </c>
    </row>
    <row r="8" spans="1:14" ht="20.25" customHeight="1">
      <c r="A8" s="115" t="s">
        <v>14</v>
      </c>
      <c r="B8" s="170" t="s">
        <v>150</v>
      </c>
      <c r="C8" s="200">
        <f t="shared" ref="C8:H8" si="2">C9+C17+C23+C35+C41+C42+C43+C44+C45+C48+C52+C55+C56+C58+C62+C65+C66+C68+C71+C72+C73</f>
        <v>144370</v>
      </c>
      <c r="D8" s="200">
        <f t="shared" si="2"/>
        <v>83800</v>
      </c>
      <c r="E8" s="200">
        <f t="shared" si="2"/>
        <v>140275.25132399998</v>
      </c>
      <c r="F8" s="200">
        <f t="shared" si="2"/>
        <v>68966.570000000007</v>
      </c>
      <c r="G8" s="200">
        <f t="shared" si="2"/>
        <v>216220</v>
      </c>
      <c r="H8" s="200">
        <f t="shared" si="2"/>
        <v>144100</v>
      </c>
      <c r="I8" s="200">
        <f t="shared" ref="I8:J8" si="3">I9+I17+I23+I35+I41+I42+I43+I44+I45+I48+I52+I55+I56+I58+I62+I65+I66+I68+I71+I72+I73</f>
        <v>129820</v>
      </c>
      <c r="J8" s="200">
        <f t="shared" si="3"/>
        <v>57700</v>
      </c>
    </row>
    <row r="9" spans="1:14" s="278" customFormat="1" ht="32.25" customHeight="1">
      <c r="A9" s="201">
        <v>1</v>
      </c>
      <c r="B9" s="170" t="s">
        <v>18</v>
      </c>
      <c r="C9" s="200">
        <f t="shared" ref="C9:H9" si="4">C10+C12+C13+C15</f>
        <v>8090</v>
      </c>
      <c r="D9" s="200">
        <f t="shared" si="4"/>
        <v>0</v>
      </c>
      <c r="E9" s="280">
        <f>E10+E12+E13+E15+E16</f>
        <v>8540.0093240000006</v>
      </c>
      <c r="F9" s="281">
        <f>F10+F12+F13+F15+F16</f>
        <v>0</v>
      </c>
      <c r="G9" s="200">
        <f>G10+G12+G13+G15</f>
        <v>8540</v>
      </c>
      <c r="H9" s="200">
        <f t="shared" si="4"/>
        <v>0</v>
      </c>
      <c r="I9" s="200">
        <f>I10+I12+I13+I15</f>
        <v>8540</v>
      </c>
      <c r="J9" s="200">
        <f t="shared" ref="J9" si="5">J10+J12+J13+J15</f>
        <v>0</v>
      </c>
      <c r="K9" s="282"/>
      <c r="L9" s="283"/>
      <c r="M9" s="283"/>
      <c r="N9" s="283"/>
    </row>
    <row r="10" spans="1:14">
      <c r="A10" s="204"/>
      <c r="B10" s="163" t="s">
        <v>151</v>
      </c>
      <c r="C10" s="205">
        <v>8070</v>
      </c>
      <c r="D10" s="205">
        <v>0</v>
      </c>
      <c r="E10" s="202">
        <v>8525</v>
      </c>
      <c r="F10" s="203"/>
      <c r="G10" s="205">
        <v>8525</v>
      </c>
      <c r="H10" s="205"/>
      <c r="I10" s="205">
        <v>8525</v>
      </c>
      <c r="J10" s="205"/>
    </row>
    <row r="11" spans="1:14" ht="30">
      <c r="A11" s="204"/>
      <c r="B11" s="206" t="s">
        <v>152</v>
      </c>
      <c r="C11" s="205"/>
      <c r="D11" s="205"/>
      <c r="E11" s="203"/>
      <c r="F11" s="203"/>
      <c r="G11" s="205"/>
      <c r="H11" s="205"/>
      <c r="I11" s="205"/>
      <c r="J11" s="205"/>
    </row>
    <row r="12" spans="1:14">
      <c r="A12" s="204"/>
      <c r="B12" s="163" t="s">
        <v>153</v>
      </c>
      <c r="C12" s="205"/>
      <c r="D12" s="205"/>
      <c r="E12" s="203"/>
      <c r="F12" s="203"/>
      <c r="G12" s="205"/>
      <c r="H12" s="205"/>
      <c r="I12" s="205"/>
      <c r="J12" s="205"/>
    </row>
    <row r="13" spans="1:14">
      <c r="A13" s="204"/>
      <c r="B13" s="163" t="s">
        <v>31</v>
      </c>
      <c r="C13" s="205"/>
      <c r="D13" s="205"/>
      <c r="E13" s="203"/>
      <c r="F13" s="203"/>
      <c r="G13" s="205"/>
      <c r="H13" s="205"/>
      <c r="I13" s="205"/>
      <c r="J13" s="205"/>
    </row>
    <row r="14" spans="1:14" ht="30">
      <c r="A14" s="204"/>
      <c r="B14" s="206" t="s">
        <v>154</v>
      </c>
      <c r="C14" s="205"/>
      <c r="D14" s="205"/>
      <c r="E14" s="203"/>
      <c r="F14" s="203"/>
      <c r="G14" s="205"/>
      <c r="H14" s="205"/>
      <c r="I14" s="205"/>
      <c r="J14" s="205"/>
    </row>
    <row r="15" spans="1:14">
      <c r="A15" s="204"/>
      <c r="B15" s="163" t="s">
        <v>24</v>
      </c>
      <c r="C15" s="205">
        <v>20</v>
      </c>
      <c r="D15" s="205"/>
      <c r="E15" s="202">
        <f>15+0.009324</f>
        <v>15.009323999999999</v>
      </c>
      <c r="F15" s="203"/>
      <c r="G15" s="205">
        <v>15</v>
      </c>
      <c r="H15" s="205"/>
      <c r="I15" s="205">
        <v>15</v>
      </c>
      <c r="J15" s="205"/>
    </row>
    <row r="16" spans="1:14">
      <c r="A16" s="204"/>
      <c r="B16" s="206" t="s">
        <v>155</v>
      </c>
      <c r="C16" s="205"/>
      <c r="D16" s="205"/>
      <c r="E16" s="203"/>
      <c r="F16" s="203"/>
      <c r="G16" s="205"/>
      <c r="H16" s="205"/>
      <c r="I16" s="205"/>
      <c r="J16" s="205"/>
    </row>
    <row r="17" spans="1:14" ht="34.5" customHeight="1">
      <c r="A17" s="201">
        <v>2</v>
      </c>
      <c r="B17" s="170" t="s">
        <v>156</v>
      </c>
      <c r="C17" s="200">
        <f t="shared" ref="C17:H17" si="6">C18+C19+C20+C22</f>
        <v>350</v>
      </c>
      <c r="D17" s="200">
        <f t="shared" si="6"/>
        <v>250</v>
      </c>
      <c r="E17" s="203">
        <f>E18+E19+E20+E21+E22</f>
        <v>550.09</v>
      </c>
      <c r="F17" s="203">
        <f>F18+F19+F20+F21+F22</f>
        <v>310.09000000000003</v>
      </c>
      <c r="G17" s="200">
        <f t="shared" si="6"/>
        <v>510</v>
      </c>
      <c r="H17" s="200">
        <f t="shared" si="6"/>
        <v>270</v>
      </c>
      <c r="I17" s="200">
        <f t="shared" ref="I17:J17" si="7">I18+I19+I20+I22</f>
        <v>510</v>
      </c>
      <c r="J17" s="200">
        <f t="shared" si="7"/>
        <v>270</v>
      </c>
    </row>
    <row r="18" spans="1:14">
      <c r="A18" s="204"/>
      <c r="B18" s="163" t="s">
        <v>151</v>
      </c>
      <c r="C18" s="205">
        <v>170</v>
      </c>
      <c r="D18" s="205">
        <v>170</v>
      </c>
      <c r="E18" s="202">
        <v>259.85000000000002</v>
      </c>
      <c r="F18" s="203">
        <f>E18</f>
        <v>259.85000000000002</v>
      </c>
      <c r="G18" s="205">
        <v>210</v>
      </c>
      <c r="H18" s="205">
        <f>G18</f>
        <v>210</v>
      </c>
      <c r="I18" s="205">
        <v>210</v>
      </c>
      <c r="J18" s="205">
        <f>I18</f>
        <v>210</v>
      </c>
    </row>
    <row r="19" spans="1:14">
      <c r="A19" s="204"/>
      <c r="B19" s="163" t="s">
        <v>153</v>
      </c>
      <c r="C19" s="205">
        <v>130</v>
      </c>
      <c r="D19" s="205">
        <v>30</v>
      </c>
      <c r="E19" s="203">
        <v>250</v>
      </c>
      <c r="F19" s="203">
        <v>30</v>
      </c>
      <c r="G19" s="205">
        <v>250</v>
      </c>
      <c r="H19" s="205">
        <f>30</f>
        <v>30</v>
      </c>
      <c r="I19" s="205">
        <v>250</v>
      </c>
      <c r="J19" s="205">
        <f>30</f>
        <v>30</v>
      </c>
    </row>
    <row r="20" spans="1:14">
      <c r="A20" s="204"/>
      <c r="B20" s="163" t="s">
        <v>157</v>
      </c>
      <c r="C20" s="205"/>
      <c r="D20" s="205"/>
      <c r="E20" s="203"/>
      <c r="F20" s="203"/>
      <c r="G20" s="205"/>
      <c r="H20" s="205"/>
      <c r="I20" s="205"/>
      <c r="J20" s="205"/>
    </row>
    <row r="21" spans="1:14" ht="30">
      <c r="A21" s="204"/>
      <c r="B21" s="206" t="s">
        <v>158</v>
      </c>
      <c r="C21" s="205"/>
      <c r="D21" s="205"/>
      <c r="E21" s="203"/>
      <c r="F21" s="203"/>
      <c r="G21" s="205"/>
      <c r="H21" s="205"/>
      <c r="I21" s="205"/>
      <c r="J21" s="205"/>
    </row>
    <row r="22" spans="1:14">
      <c r="A22" s="204"/>
      <c r="B22" s="163" t="s">
        <v>24</v>
      </c>
      <c r="C22" s="205">
        <v>50</v>
      </c>
      <c r="D22" s="205">
        <v>50</v>
      </c>
      <c r="E22" s="203">
        <v>40.24</v>
      </c>
      <c r="F22" s="203">
        <v>20.239999999999998</v>
      </c>
      <c r="G22" s="205">
        <f>20+30</f>
        <v>50</v>
      </c>
      <c r="H22" s="205">
        <f>G22-20</f>
        <v>30</v>
      </c>
      <c r="I22" s="205">
        <f>20+30</f>
        <v>50</v>
      </c>
      <c r="J22" s="205">
        <f>I22-20</f>
        <v>30</v>
      </c>
    </row>
    <row r="23" spans="1:14" s="278" customFormat="1" ht="33.75" customHeight="1">
      <c r="A23" s="201">
        <v>3</v>
      </c>
      <c r="B23" s="170" t="s">
        <v>159</v>
      </c>
      <c r="C23" s="200">
        <f t="shared" ref="C23:H23" si="8">C24+C26+C28+C29+C31+C33</f>
        <v>0</v>
      </c>
      <c r="D23" s="200">
        <f t="shared" si="8"/>
        <v>0</v>
      </c>
      <c r="E23" s="281">
        <f>SUM(E24:E26)</f>
        <v>77.39</v>
      </c>
      <c r="F23" s="281">
        <f>SUM(F24:F26)</f>
        <v>77.39</v>
      </c>
      <c r="G23" s="200">
        <f t="shared" si="8"/>
        <v>0</v>
      </c>
      <c r="H23" s="200">
        <f t="shared" si="8"/>
        <v>0</v>
      </c>
      <c r="I23" s="200">
        <f t="shared" ref="I23:J23" si="9">I24+I26+I28+I29+I31+I33</f>
        <v>0</v>
      </c>
      <c r="J23" s="200">
        <f t="shared" si="9"/>
        <v>0</v>
      </c>
      <c r="K23" s="282"/>
      <c r="L23" s="283"/>
      <c r="M23" s="283"/>
      <c r="N23" s="283"/>
    </row>
    <row r="24" spans="1:14" s="278" customFormat="1" ht="20.25" customHeight="1">
      <c r="A24" s="204"/>
      <c r="B24" s="163" t="s">
        <v>151</v>
      </c>
      <c r="C24" s="205"/>
      <c r="D24" s="205"/>
      <c r="E24" s="205">
        <v>77.39</v>
      </c>
      <c r="F24" s="205">
        <f>E24</f>
        <v>77.39</v>
      </c>
      <c r="G24" s="205"/>
      <c r="H24" s="205"/>
      <c r="I24" s="205"/>
      <c r="J24" s="205"/>
      <c r="K24" s="282"/>
      <c r="L24" s="283"/>
      <c r="M24" s="283"/>
      <c r="N24" s="283"/>
    </row>
    <row r="25" spans="1:14" ht="30">
      <c r="A25" s="204"/>
      <c r="B25" s="206" t="s">
        <v>160</v>
      </c>
      <c r="C25" s="205"/>
      <c r="D25" s="205"/>
      <c r="E25" s="205"/>
      <c r="F25" s="205"/>
      <c r="G25" s="205"/>
      <c r="H25" s="205"/>
      <c r="I25" s="205"/>
      <c r="J25" s="205"/>
    </row>
    <row r="26" spans="1:14" ht="21" customHeight="1">
      <c r="A26" s="204"/>
      <c r="B26" s="163" t="s">
        <v>153</v>
      </c>
      <c r="C26" s="205"/>
      <c r="D26" s="205"/>
      <c r="E26" s="205"/>
      <c r="F26" s="205"/>
      <c r="G26" s="205"/>
      <c r="H26" s="205"/>
      <c r="I26" s="205"/>
      <c r="J26" s="205"/>
    </row>
    <row r="27" spans="1:14" ht="30">
      <c r="A27" s="204"/>
      <c r="B27" s="206" t="s">
        <v>160</v>
      </c>
      <c r="C27" s="205"/>
      <c r="D27" s="205"/>
      <c r="E27" s="205"/>
      <c r="F27" s="205"/>
      <c r="G27" s="205"/>
      <c r="H27" s="205"/>
      <c r="I27" s="205"/>
      <c r="J27" s="205"/>
    </row>
    <row r="28" spans="1:14" ht="20.25" customHeight="1">
      <c r="A28" s="204"/>
      <c r="B28" s="163" t="s">
        <v>161</v>
      </c>
      <c r="C28" s="205"/>
      <c r="D28" s="205"/>
      <c r="E28" s="205"/>
      <c r="F28" s="205"/>
      <c r="G28" s="205"/>
      <c r="H28" s="205"/>
      <c r="I28" s="205"/>
      <c r="J28" s="205"/>
    </row>
    <row r="29" spans="1:14" ht="20.25" customHeight="1">
      <c r="A29" s="204"/>
      <c r="B29" s="163" t="s">
        <v>31</v>
      </c>
      <c r="C29" s="205"/>
      <c r="D29" s="205"/>
      <c r="E29" s="205"/>
      <c r="F29" s="205"/>
      <c r="G29" s="205"/>
      <c r="H29" s="205"/>
      <c r="I29" s="205"/>
      <c r="J29" s="205"/>
    </row>
    <row r="30" spans="1:14" ht="30">
      <c r="A30" s="204"/>
      <c r="B30" s="206" t="s">
        <v>162</v>
      </c>
      <c r="C30" s="205"/>
      <c r="D30" s="205"/>
      <c r="E30" s="205"/>
      <c r="F30" s="205"/>
      <c r="G30" s="205"/>
      <c r="H30" s="205"/>
      <c r="I30" s="205"/>
      <c r="J30" s="205"/>
    </row>
    <row r="31" spans="1:14" ht="16.5" customHeight="1">
      <c r="A31" s="204"/>
      <c r="B31" s="163" t="s">
        <v>24</v>
      </c>
      <c r="C31" s="205"/>
      <c r="D31" s="205"/>
      <c r="E31" s="205"/>
      <c r="F31" s="205"/>
      <c r="G31" s="205"/>
      <c r="H31" s="205"/>
      <c r="I31" s="205"/>
      <c r="J31" s="205"/>
    </row>
    <row r="32" spans="1:14" ht="16.5" customHeight="1">
      <c r="A32" s="204"/>
      <c r="B32" s="206" t="s">
        <v>25</v>
      </c>
      <c r="C32" s="205"/>
      <c r="D32" s="205"/>
      <c r="E32" s="205"/>
      <c r="F32" s="205"/>
      <c r="G32" s="205"/>
      <c r="H32" s="205"/>
      <c r="I32" s="205"/>
      <c r="J32" s="205"/>
    </row>
    <row r="33" spans="1:14" ht="16.5" customHeight="1">
      <c r="A33" s="204"/>
      <c r="B33" s="163" t="s">
        <v>163</v>
      </c>
      <c r="C33" s="205"/>
      <c r="D33" s="205"/>
      <c r="E33" s="205"/>
      <c r="F33" s="205"/>
      <c r="G33" s="205"/>
      <c r="H33" s="205"/>
      <c r="I33" s="205"/>
      <c r="J33" s="205"/>
    </row>
    <row r="34" spans="1:14" ht="30">
      <c r="A34" s="204"/>
      <c r="B34" s="206" t="s">
        <v>29</v>
      </c>
      <c r="C34" s="205"/>
      <c r="D34" s="205"/>
      <c r="E34" s="205"/>
      <c r="F34" s="205"/>
      <c r="G34" s="205"/>
      <c r="H34" s="205"/>
      <c r="I34" s="205"/>
      <c r="J34" s="205"/>
    </row>
    <row r="35" spans="1:14" ht="21" customHeight="1">
      <c r="A35" s="201">
        <v>4</v>
      </c>
      <c r="B35" s="170" t="s">
        <v>33</v>
      </c>
      <c r="C35" s="200">
        <f t="shared" ref="C35:H35" si="10">C36+C37+C38+C40</f>
        <v>71500</v>
      </c>
      <c r="D35" s="200">
        <f t="shared" si="10"/>
        <v>22500</v>
      </c>
      <c r="E35" s="200">
        <f t="shared" si="10"/>
        <v>84789.372000000003</v>
      </c>
      <c r="F35" s="200">
        <f t="shared" si="10"/>
        <v>25597.29</v>
      </c>
      <c r="G35" s="200">
        <f t="shared" si="10"/>
        <v>90640</v>
      </c>
      <c r="H35" s="200">
        <f t="shared" si="10"/>
        <v>31000</v>
      </c>
      <c r="I35" s="200">
        <f t="shared" ref="I35:J35" si="11">I36+I37+I38+I40</f>
        <v>90640</v>
      </c>
      <c r="J35" s="200">
        <f t="shared" si="11"/>
        <v>31000</v>
      </c>
    </row>
    <row r="36" spans="1:14" ht="18.75" customHeight="1">
      <c r="A36" s="204"/>
      <c r="B36" s="163" t="s">
        <v>19</v>
      </c>
      <c r="C36" s="205">
        <v>70620</v>
      </c>
      <c r="D36" s="205">
        <v>21760</v>
      </c>
      <c r="E36" s="202">
        <f>59500+24100</f>
        <v>83600</v>
      </c>
      <c r="F36" s="203">
        <v>24652.75</v>
      </c>
      <c r="G36" s="203">
        <v>89500</v>
      </c>
      <c r="H36" s="203">
        <v>30000</v>
      </c>
      <c r="I36" s="203">
        <v>89500</v>
      </c>
      <c r="J36" s="203">
        <v>30000</v>
      </c>
    </row>
    <row r="37" spans="1:14" ht="18.75" customHeight="1">
      <c r="A37" s="204"/>
      <c r="B37" s="163" t="s">
        <v>21</v>
      </c>
      <c r="C37" s="205">
        <v>200</v>
      </c>
      <c r="D37" s="205">
        <v>200</v>
      </c>
      <c r="E37" s="202">
        <v>494.3</v>
      </c>
      <c r="F37" s="203">
        <v>400.55</v>
      </c>
      <c r="G37" s="205">
        <v>420</v>
      </c>
      <c r="H37" s="205">
        <v>400</v>
      </c>
      <c r="I37" s="205">
        <v>420</v>
      </c>
      <c r="J37" s="205">
        <v>400</v>
      </c>
    </row>
    <row r="38" spans="1:14" ht="18.75" customHeight="1">
      <c r="A38" s="204"/>
      <c r="B38" s="163" t="s">
        <v>31</v>
      </c>
      <c r="C38" s="205">
        <v>40</v>
      </c>
      <c r="D38" s="205">
        <v>40</v>
      </c>
      <c r="E38" s="203">
        <v>40</v>
      </c>
      <c r="F38" s="203">
        <v>40</v>
      </c>
      <c r="G38" s="205">
        <v>40</v>
      </c>
      <c r="H38" s="205">
        <v>40</v>
      </c>
      <c r="I38" s="205">
        <v>40</v>
      </c>
      <c r="J38" s="205">
        <v>40</v>
      </c>
    </row>
    <row r="39" spans="1:14" ht="30">
      <c r="A39" s="204"/>
      <c r="B39" s="206" t="s">
        <v>158</v>
      </c>
      <c r="C39" s="205"/>
      <c r="D39" s="205"/>
      <c r="E39" s="205"/>
      <c r="F39" s="205"/>
      <c r="G39" s="205"/>
      <c r="H39" s="205"/>
      <c r="I39" s="205"/>
      <c r="J39" s="205"/>
    </row>
    <row r="40" spans="1:14">
      <c r="A40" s="204"/>
      <c r="B40" s="163" t="s">
        <v>24</v>
      </c>
      <c r="C40" s="205">
        <v>640</v>
      </c>
      <c r="D40" s="205">
        <v>500</v>
      </c>
      <c r="E40" s="205">
        <v>655.072</v>
      </c>
      <c r="F40" s="205">
        <v>503.99</v>
      </c>
      <c r="G40" s="205">
        <v>680</v>
      </c>
      <c r="H40" s="205">
        <v>560</v>
      </c>
      <c r="I40" s="205">
        <v>680</v>
      </c>
      <c r="J40" s="205">
        <v>560</v>
      </c>
    </row>
    <row r="41" spans="1:14" s="155" customFormat="1" ht="18" customHeight="1">
      <c r="A41" s="201">
        <v>5</v>
      </c>
      <c r="B41" s="170" t="s">
        <v>38</v>
      </c>
      <c r="C41" s="200">
        <v>4500</v>
      </c>
      <c r="D41" s="200">
        <v>4500</v>
      </c>
      <c r="E41" s="200">
        <v>4500</v>
      </c>
      <c r="F41" s="200">
        <v>4500</v>
      </c>
      <c r="G41" s="200">
        <v>4500</v>
      </c>
      <c r="H41" s="200">
        <v>4500</v>
      </c>
      <c r="I41" s="200">
        <v>4500</v>
      </c>
      <c r="J41" s="200">
        <v>4500</v>
      </c>
      <c r="K41" s="207"/>
      <c r="L41" s="208"/>
      <c r="M41" s="208"/>
      <c r="N41" s="208"/>
    </row>
    <row r="42" spans="1:14" s="155" customFormat="1" ht="18" customHeight="1">
      <c r="A42" s="201">
        <v>6</v>
      </c>
      <c r="B42" s="170" t="s">
        <v>101</v>
      </c>
      <c r="C42" s="200">
        <v>0</v>
      </c>
      <c r="D42" s="200">
        <v>0</v>
      </c>
      <c r="E42" s="200"/>
      <c r="F42" s="200"/>
      <c r="G42" s="200"/>
      <c r="H42" s="200"/>
      <c r="I42" s="200"/>
      <c r="J42" s="200"/>
      <c r="K42" s="207"/>
      <c r="L42" s="208"/>
      <c r="M42" s="208"/>
      <c r="N42" s="208"/>
    </row>
    <row r="43" spans="1:14" s="155" customFormat="1" ht="18" customHeight="1">
      <c r="A43" s="201">
        <v>7</v>
      </c>
      <c r="B43" s="170" t="s">
        <v>100</v>
      </c>
      <c r="C43" s="200">
        <v>30</v>
      </c>
      <c r="D43" s="200">
        <v>30</v>
      </c>
      <c r="E43" s="200">
        <v>19.239999999999998</v>
      </c>
      <c r="F43" s="200">
        <f>E43</f>
        <v>19.239999999999998</v>
      </c>
      <c r="G43" s="200">
        <v>30</v>
      </c>
      <c r="H43" s="200">
        <v>30</v>
      </c>
      <c r="I43" s="200">
        <v>30</v>
      </c>
      <c r="J43" s="200">
        <v>30</v>
      </c>
      <c r="K43" s="207"/>
      <c r="L43" s="208"/>
      <c r="M43" s="208"/>
      <c r="N43" s="208"/>
    </row>
    <row r="44" spans="1:14" s="155" customFormat="1" ht="18" customHeight="1">
      <c r="A44" s="201">
        <v>8</v>
      </c>
      <c r="B44" s="170" t="s">
        <v>34</v>
      </c>
      <c r="C44" s="200">
        <v>5500</v>
      </c>
      <c r="D44" s="200">
        <v>3800</v>
      </c>
      <c r="E44" s="200">
        <v>5500</v>
      </c>
      <c r="F44" s="200">
        <v>4000</v>
      </c>
      <c r="G44" s="200">
        <v>5300</v>
      </c>
      <c r="H44" s="200">
        <v>4000</v>
      </c>
      <c r="I44" s="200">
        <v>5300</v>
      </c>
      <c r="J44" s="200">
        <v>4000</v>
      </c>
      <c r="K44" s="207"/>
      <c r="L44" s="208"/>
      <c r="M44" s="208"/>
      <c r="N44" s="208"/>
    </row>
    <row r="45" spans="1:14" s="155" customFormat="1" ht="18" customHeight="1">
      <c r="A45" s="201">
        <v>9</v>
      </c>
      <c r="B45" s="170" t="s">
        <v>35</v>
      </c>
      <c r="C45" s="200">
        <v>0</v>
      </c>
      <c r="D45" s="200">
        <v>0</v>
      </c>
      <c r="E45" s="200">
        <v>0</v>
      </c>
      <c r="F45" s="200">
        <v>0</v>
      </c>
      <c r="G45" s="200"/>
      <c r="H45" s="200"/>
      <c r="I45" s="200"/>
      <c r="J45" s="200"/>
      <c r="K45" s="207"/>
      <c r="L45" s="208"/>
      <c r="M45" s="208"/>
      <c r="N45" s="208"/>
    </row>
    <row r="46" spans="1:14" ht="18.75" customHeight="1">
      <c r="A46" s="204"/>
      <c r="B46" s="206" t="s">
        <v>36</v>
      </c>
      <c r="C46" s="205"/>
      <c r="D46" s="205"/>
      <c r="E46" s="205"/>
      <c r="F46" s="205"/>
      <c r="G46" s="205"/>
      <c r="H46" s="205"/>
      <c r="I46" s="205"/>
      <c r="J46" s="205"/>
    </row>
    <row r="47" spans="1:14" ht="18.75" customHeight="1">
      <c r="A47" s="204"/>
      <c r="B47" s="206" t="s">
        <v>37</v>
      </c>
      <c r="C47" s="205"/>
      <c r="D47" s="205"/>
      <c r="E47" s="205"/>
      <c r="F47" s="205"/>
      <c r="G47" s="205"/>
      <c r="H47" s="205"/>
      <c r="I47" s="205"/>
      <c r="J47" s="205"/>
    </row>
    <row r="48" spans="1:14" s="155" customFormat="1" ht="14.25">
      <c r="A48" s="201">
        <v>10</v>
      </c>
      <c r="B48" s="170" t="s">
        <v>164</v>
      </c>
      <c r="C48" s="200">
        <v>1250</v>
      </c>
      <c r="D48" s="200">
        <v>1150</v>
      </c>
      <c r="E48" s="200">
        <f>E49+E50</f>
        <v>1250</v>
      </c>
      <c r="F48" s="200">
        <f>F49+F50</f>
        <v>1150</v>
      </c>
      <c r="G48" s="200">
        <v>1350</v>
      </c>
      <c r="H48" s="200">
        <v>1300</v>
      </c>
      <c r="I48" s="200">
        <v>1350</v>
      </c>
      <c r="J48" s="200">
        <v>1300</v>
      </c>
      <c r="K48" s="207"/>
      <c r="L48" s="208"/>
      <c r="M48" s="208"/>
      <c r="N48" s="208"/>
    </row>
    <row r="49" spans="1:14" ht="30">
      <c r="A49" s="204"/>
      <c r="B49" s="206" t="s">
        <v>165</v>
      </c>
      <c r="C49" s="205">
        <v>100</v>
      </c>
      <c r="D49" s="205">
        <v>100</v>
      </c>
      <c r="E49" s="205">
        <v>106</v>
      </c>
      <c r="F49" s="205">
        <v>106</v>
      </c>
      <c r="G49" s="205"/>
      <c r="H49" s="205"/>
      <c r="I49" s="205"/>
      <c r="J49" s="205"/>
    </row>
    <row r="50" spans="1:14" ht="30">
      <c r="A50" s="204"/>
      <c r="B50" s="206" t="s">
        <v>166</v>
      </c>
      <c r="C50" s="205">
        <v>1150</v>
      </c>
      <c r="D50" s="205">
        <v>1050</v>
      </c>
      <c r="E50" s="205">
        <v>1144</v>
      </c>
      <c r="F50" s="205">
        <f>E50-100</f>
        <v>1044</v>
      </c>
      <c r="G50" s="205">
        <v>1350</v>
      </c>
      <c r="H50" s="205">
        <v>1300</v>
      </c>
      <c r="I50" s="205">
        <v>1350</v>
      </c>
      <c r="J50" s="205">
        <v>1300</v>
      </c>
    </row>
    <row r="51" spans="1:14" ht="30">
      <c r="A51" s="204"/>
      <c r="B51" s="206" t="s">
        <v>167</v>
      </c>
      <c r="C51" s="205">
        <v>300</v>
      </c>
      <c r="D51" s="205">
        <v>300</v>
      </c>
      <c r="E51" s="205">
        <v>300</v>
      </c>
      <c r="F51" s="205">
        <v>300</v>
      </c>
      <c r="G51" s="205">
        <v>300</v>
      </c>
      <c r="H51" s="205">
        <v>300</v>
      </c>
      <c r="I51" s="205">
        <v>300</v>
      </c>
      <c r="J51" s="205">
        <v>300</v>
      </c>
    </row>
    <row r="52" spans="1:14" s="155" customFormat="1" ht="14.25">
      <c r="A52" s="201">
        <v>11</v>
      </c>
      <c r="B52" s="170" t="s">
        <v>168</v>
      </c>
      <c r="C52" s="200">
        <v>50000</v>
      </c>
      <c r="D52" s="200">
        <v>50000</v>
      </c>
      <c r="E52" s="200">
        <f t="shared" ref="E52:J52" si="12">E53+E54</f>
        <v>31692.38</v>
      </c>
      <c r="F52" s="200">
        <f t="shared" si="12"/>
        <v>31692.38</v>
      </c>
      <c r="G52" s="200">
        <f t="shared" si="12"/>
        <v>101400</v>
      </c>
      <c r="H52" s="200">
        <f t="shared" si="12"/>
        <v>101400</v>
      </c>
      <c r="I52" s="200">
        <f t="shared" si="12"/>
        <v>15000</v>
      </c>
      <c r="J52" s="200">
        <f t="shared" si="12"/>
        <v>15000</v>
      </c>
      <c r="K52" s="207"/>
      <c r="L52" s="208"/>
      <c r="M52" s="208"/>
      <c r="N52" s="208"/>
    </row>
    <row r="53" spans="1:14" ht="30">
      <c r="A53" s="204"/>
      <c r="B53" s="206" t="s">
        <v>169</v>
      </c>
      <c r="C53" s="205"/>
      <c r="D53" s="205"/>
      <c r="E53" s="205"/>
      <c r="F53" s="205"/>
      <c r="G53" s="205"/>
      <c r="H53" s="205"/>
      <c r="I53" s="205"/>
      <c r="J53" s="205"/>
      <c r="K53" s="448">
        <f>H7-7000-K54</f>
        <v>47700</v>
      </c>
    </row>
    <row r="54" spans="1:14" ht="30">
      <c r="A54" s="204"/>
      <c r="B54" s="206" t="s">
        <v>170</v>
      </c>
      <c r="C54" s="205">
        <v>50000</v>
      </c>
      <c r="D54" s="205">
        <v>50000</v>
      </c>
      <c r="E54" s="202">
        <v>31692.38</v>
      </c>
      <c r="F54" s="205">
        <f>E54</f>
        <v>31692.38</v>
      </c>
      <c r="G54" s="205">
        <v>101400</v>
      </c>
      <c r="H54" s="205">
        <f>G54</f>
        <v>101400</v>
      </c>
      <c r="I54" s="205">
        <v>15000</v>
      </c>
      <c r="J54" s="205">
        <f>I54</f>
        <v>15000</v>
      </c>
      <c r="K54" s="448">
        <f>H54-12000</f>
        <v>89400</v>
      </c>
    </row>
    <row r="55" spans="1:14">
      <c r="A55" s="201" t="s">
        <v>171</v>
      </c>
      <c r="B55" s="170" t="s">
        <v>172</v>
      </c>
      <c r="C55" s="200">
        <v>1720</v>
      </c>
      <c r="D55" s="200">
        <v>220</v>
      </c>
      <c r="E55" s="200">
        <v>1760</v>
      </c>
      <c r="F55" s="200">
        <v>260</v>
      </c>
      <c r="G55" s="200">
        <v>2350</v>
      </c>
      <c r="H55" s="200">
        <v>250</v>
      </c>
      <c r="I55" s="200">
        <v>2350</v>
      </c>
      <c r="J55" s="200">
        <v>250</v>
      </c>
      <c r="K55" s="448"/>
    </row>
    <row r="56" spans="1:14">
      <c r="A56" s="201">
        <v>13</v>
      </c>
      <c r="B56" s="170" t="s">
        <v>173</v>
      </c>
      <c r="C56" s="205">
        <v>0</v>
      </c>
      <c r="D56" s="205">
        <v>0</v>
      </c>
      <c r="E56" s="205"/>
      <c r="F56" s="205"/>
      <c r="G56" s="205"/>
      <c r="H56" s="205"/>
      <c r="I56" s="205"/>
      <c r="J56" s="205"/>
      <c r="K56" s="448"/>
    </row>
    <row r="57" spans="1:14" ht="30">
      <c r="A57" s="204"/>
      <c r="B57" s="206" t="s">
        <v>174</v>
      </c>
      <c r="C57" s="205"/>
      <c r="D57" s="205"/>
      <c r="E57" s="205"/>
      <c r="F57" s="205"/>
      <c r="G57" s="205"/>
      <c r="H57" s="205"/>
      <c r="I57" s="205"/>
      <c r="J57" s="205"/>
      <c r="K57" s="448"/>
    </row>
    <row r="58" spans="1:14">
      <c r="A58" s="204"/>
      <c r="B58" s="206" t="s">
        <v>175</v>
      </c>
      <c r="C58" s="205"/>
      <c r="D58" s="205"/>
      <c r="E58" s="205"/>
      <c r="F58" s="205"/>
      <c r="G58" s="205"/>
      <c r="H58" s="205"/>
      <c r="I58" s="205"/>
      <c r="J58" s="205"/>
    </row>
    <row r="59" spans="1:14">
      <c r="A59" s="201">
        <v>14</v>
      </c>
      <c r="B59" s="170" t="s">
        <v>176</v>
      </c>
      <c r="C59" s="205"/>
      <c r="D59" s="205"/>
      <c r="E59" s="205"/>
      <c r="F59" s="205"/>
      <c r="G59" s="205"/>
      <c r="H59" s="205"/>
      <c r="I59" s="205"/>
      <c r="J59" s="205"/>
    </row>
    <row r="60" spans="1:14">
      <c r="A60" s="204"/>
      <c r="B60" s="206" t="s">
        <v>177</v>
      </c>
      <c r="C60" s="205"/>
      <c r="D60" s="205"/>
      <c r="E60" s="205"/>
      <c r="F60" s="205"/>
      <c r="G60" s="205"/>
      <c r="H60" s="205"/>
      <c r="I60" s="205"/>
      <c r="J60" s="205"/>
    </row>
    <row r="61" spans="1:14">
      <c r="A61" s="204"/>
      <c r="B61" s="206" t="s">
        <v>178</v>
      </c>
      <c r="C61" s="205"/>
      <c r="D61" s="205"/>
      <c r="E61" s="205"/>
      <c r="F61" s="205"/>
      <c r="G61" s="205"/>
      <c r="H61" s="205"/>
      <c r="I61" s="205"/>
      <c r="J61" s="205"/>
    </row>
    <row r="62" spans="1:14" ht="32.25" customHeight="1">
      <c r="A62" s="201">
        <v>15</v>
      </c>
      <c r="B62" s="170" t="s">
        <v>179</v>
      </c>
      <c r="C62" s="205"/>
      <c r="D62" s="205"/>
      <c r="E62" s="205"/>
      <c r="F62" s="205"/>
      <c r="G62" s="205"/>
      <c r="H62" s="205"/>
      <c r="I62" s="205"/>
      <c r="J62" s="205"/>
    </row>
    <row r="63" spans="1:14" ht="19.5" customHeight="1">
      <c r="A63" s="204"/>
      <c r="B63" s="206" t="s">
        <v>180</v>
      </c>
      <c r="C63" s="205"/>
      <c r="D63" s="205"/>
      <c r="E63" s="205"/>
      <c r="F63" s="205"/>
      <c r="G63" s="205"/>
      <c r="H63" s="205"/>
      <c r="I63" s="205"/>
      <c r="J63" s="205"/>
    </row>
    <row r="64" spans="1:14" ht="19.5" customHeight="1">
      <c r="A64" s="204"/>
      <c r="B64" s="206" t="s">
        <v>181</v>
      </c>
      <c r="C64" s="205"/>
      <c r="D64" s="205"/>
      <c r="E64" s="205"/>
      <c r="F64" s="205"/>
      <c r="G64" s="205"/>
      <c r="H64" s="205"/>
      <c r="I64" s="205"/>
      <c r="J64" s="205"/>
    </row>
    <row r="65" spans="1:10" ht="28.5">
      <c r="A65" s="201">
        <v>16</v>
      </c>
      <c r="B65" s="170" t="s">
        <v>182</v>
      </c>
      <c r="C65" s="205"/>
      <c r="D65" s="205"/>
      <c r="E65" s="205"/>
      <c r="F65" s="205"/>
      <c r="G65" s="205"/>
      <c r="H65" s="205"/>
      <c r="I65" s="205"/>
      <c r="J65" s="205"/>
    </row>
    <row r="66" spans="1:10" ht="19.5" customHeight="1">
      <c r="A66" s="201">
        <v>17</v>
      </c>
      <c r="B66" s="170" t="s">
        <v>61</v>
      </c>
      <c r="C66" s="200">
        <v>1380</v>
      </c>
      <c r="D66" s="200">
        <v>1300</v>
      </c>
      <c r="E66" s="200">
        <v>1424.16</v>
      </c>
      <c r="F66" s="200">
        <f>E66-120</f>
        <v>1304.1600000000001</v>
      </c>
      <c r="G66" s="209">
        <v>1420</v>
      </c>
      <c r="H66" s="209">
        <v>1300</v>
      </c>
      <c r="I66" s="209">
        <v>1420</v>
      </c>
      <c r="J66" s="209">
        <v>1300</v>
      </c>
    </row>
    <row r="67" spans="1:10" ht="19.5" customHeight="1">
      <c r="A67" s="204"/>
      <c r="B67" s="206" t="s">
        <v>62</v>
      </c>
      <c r="C67" s="205"/>
      <c r="D67" s="205"/>
      <c r="E67" s="205">
        <v>470</v>
      </c>
      <c r="F67" s="205">
        <f>E67</f>
        <v>470</v>
      </c>
      <c r="G67" s="205">
        <v>400</v>
      </c>
      <c r="H67" s="205">
        <v>400</v>
      </c>
      <c r="I67" s="205">
        <v>400</v>
      </c>
      <c r="J67" s="205">
        <v>400</v>
      </c>
    </row>
    <row r="68" spans="1:10" ht="20.25" customHeight="1">
      <c r="A68" s="201">
        <v>18</v>
      </c>
      <c r="B68" s="170" t="s">
        <v>63</v>
      </c>
      <c r="C68" s="200">
        <v>50</v>
      </c>
      <c r="D68" s="200">
        <v>50</v>
      </c>
      <c r="E68" s="202">
        <v>172.61</v>
      </c>
      <c r="F68" s="200">
        <v>56.02</v>
      </c>
      <c r="G68" s="200">
        <v>180</v>
      </c>
      <c r="H68" s="200">
        <v>50</v>
      </c>
      <c r="I68" s="200">
        <v>180</v>
      </c>
      <c r="J68" s="200">
        <v>50</v>
      </c>
    </row>
    <row r="69" spans="1:10" ht="19.5" customHeight="1">
      <c r="A69" s="204"/>
      <c r="B69" s="206" t="s">
        <v>183</v>
      </c>
      <c r="C69" s="205"/>
      <c r="D69" s="205"/>
      <c r="E69" s="205"/>
      <c r="F69" s="205"/>
      <c r="G69" s="205"/>
      <c r="H69" s="205"/>
      <c r="I69" s="205"/>
      <c r="J69" s="205"/>
    </row>
    <row r="70" spans="1:10" ht="19.5" customHeight="1">
      <c r="A70" s="204"/>
      <c r="B70" s="206" t="s">
        <v>184</v>
      </c>
      <c r="C70" s="205"/>
      <c r="D70" s="205"/>
      <c r="E70" s="205"/>
      <c r="F70" s="205"/>
      <c r="G70" s="205"/>
      <c r="H70" s="205"/>
      <c r="I70" s="205"/>
      <c r="J70" s="205"/>
    </row>
    <row r="71" spans="1:10" ht="28.5">
      <c r="A71" s="201">
        <v>19</v>
      </c>
      <c r="B71" s="170" t="s">
        <v>66</v>
      </c>
      <c r="C71" s="205">
        <v>0</v>
      </c>
      <c r="D71" s="205">
        <v>0</v>
      </c>
      <c r="E71" s="205"/>
      <c r="F71" s="205"/>
      <c r="G71" s="205"/>
      <c r="H71" s="205"/>
      <c r="I71" s="205"/>
      <c r="J71" s="205"/>
    </row>
    <row r="72" spans="1:10" ht="28.5">
      <c r="A72" s="201">
        <v>20</v>
      </c>
      <c r="B72" s="170" t="s">
        <v>185</v>
      </c>
      <c r="C72" s="205">
        <v>0</v>
      </c>
      <c r="D72" s="205">
        <v>0</v>
      </c>
      <c r="E72" s="205"/>
      <c r="F72" s="205"/>
      <c r="G72" s="205"/>
      <c r="H72" s="205"/>
      <c r="I72" s="205"/>
      <c r="J72" s="205"/>
    </row>
    <row r="73" spans="1:10" ht="28.5">
      <c r="A73" s="201">
        <v>21</v>
      </c>
      <c r="B73" s="170" t="s">
        <v>186</v>
      </c>
      <c r="C73" s="205">
        <v>0</v>
      </c>
      <c r="D73" s="205">
        <v>0</v>
      </c>
      <c r="E73" s="205"/>
      <c r="F73" s="205"/>
      <c r="G73" s="205"/>
      <c r="H73" s="205"/>
      <c r="I73" s="205"/>
      <c r="J73" s="205"/>
    </row>
    <row r="74" spans="1:10" ht="18" customHeight="1">
      <c r="A74" s="201" t="s">
        <v>70</v>
      </c>
      <c r="B74" s="170" t="s">
        <v>187</v>
      </c>
      <c r="C74" s="205"/>
      <c r="D74" s="205"/>
      <c r="E74" s="205"/>
      <c r="F74" s="205"/>
      <c r="G74" s="205"/>
      <c r="H74" s="205"/>
      <c r="I74" s="205"/>
      <c r="J74" s="205"/>
    </row>
    <row r="75" spans="1:10" ht="32.25" customHeight="1">
      <c r="A75" s="201" t="s">
        <v>94</v>
      </c>
      <c r="B75" s="170" t="s">
        <v>188</v>
      </c>
      <c r="C75" s="205"/>
      <c r="D75" s="205"/>
      <c r="E75" s="205"/>
      <c r="F75" s="205"/>
      <c r="G75" s="205"/>
      <c r="H75" s="205"/>
      <c r="I75" s="205"/>
      <c r="J75" s="205"/>
    </row>
    <row r="76" spans="1:10">
      <c r="A76" s="201">
        <v>1</v>
      </c>
      <c r="B76" s="170" t="s">
        <v>189</v>
      </c>
      <c r="C76" s="205"/>
      <c r="D76" s="205"/>
      <c r="E76" s="205"/>
      <c r="F76" s="205"/>
      <c r="G76" s="205"/>
      <c r="H76" s="205"/>
      <c r="I76" s="205"/>
      <c r="J76" s="205"/>
    </row>
    <row r="77" spans="1:10">
      <c r="A77" s="201">
        <v>2</v>
      </c>
      <c r="B77" s="170" t="s">
        <v>190</v>
      </c>
      <c r="C77" s="205"/>
      <c r="D77" s="205"/>
      <c r="E77" s="205"/>
      <c r="F77" s="205"/>
      <c r="G77" s="205"/>
      <c r="H77" s="205"/>
      <c r="I77" s="205"/>
      <c r="J77" s="205"/>
    </row>
    <row r="78" spans="1:10">
      <c r="A78" s="201">
        <v>3</v>
      </c>
      <c r="B78" s="170" t="s">
        <v>191</v>
      </c>
      <c r="C78" s="205"/>
      <c r="D78" s="205"/>
      <c r="E78" s="205"/>
      <c r="F78" s="205"/>
      <c r="G78" s="205"/>
      <c r="H78" s="205"/>
      <c r="I78" s="205"/>
      <c r="J78" s="205"/>
    </row>
    <row r="79" spans="1:10">
      <c r="A79" s="201">
        <v>4</v>
      </c>
      <c r="B79" s="170" t="s">
        <v>35</v>
      </c>
      <c r="C79" s="205"/>
      <c r="D79" s="205"/>
      <c r="E79" s="205"/>
      <c r="F79" s="205"/>
      <c r="G79" s="205"/>
      <c r="H79" s="205"/>
      <c r="I79" s="205"/>
      <c r="J79" s="205"/>
    </row>
    <row r="80" spans="1:10">
      <c r="A80" s="210">
        <v>5</v>
      </c>
      <c r="B80" s="187" t="s">
        <v>192</v>
      </c>
      <c r="C80" s="211"/>
      <c r="D80" s="211"/>
      <c r="E80" s="211"/>
      <c r="F80" s="211"/>
      <c r="G80" s="211"/>
      <c r="H80" s="211"/>
      <c r="I80" s="211"/>
      <c r="J80" s="211"/>
    </row>
  </sheetData>
  <mergeCells count="11">
    <mergeCell ref="I1:J1"/>
    <mergeCell ref="I3:J3"/>
    <mergeCell ref="I4:J4"/>
    <mergeCell ref="G1:H1"/>
    <mergeCell ref="A4:A5"/>
    <mergeCell ref="B4:B5"/>
    <mergeCell ref="C4:D4"/>
    <mergeCell ref="E4:F4"/>
    <mergeCell ref="G4:H4"/>
    <mergeCell ref="G3:H3"/>
    <mergeCell ref="A2:J2"/>
  </mergeCells>
  <hyperlinks>
    <hyperlink ref="I1:J1" location="'PL tong hop'!A1" display="Mẫu biểu số 31/TT342"/>
  </hyperlinks>
  <printOptions horizontalCentered="1"/>
  <pageMargins left="0.27559055118110237" right="0.23622047244094491" top="0.31496062992125984" bottom="0.31496062992125984" header="0.31496062992125984" footer="0.31496062992125984"/>
  <pageSetup paperSize="9" scale="8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61"/>
  <sheetViews>
    <sheetView view="pageBreakPreview" topLeftCell="A4" zoomScale="85" zoomScaleSheetLayoutView="85" workbookViewId="0">
      <selection activeCell="C99" sqref="C99"/>
    </sheetView>
  </sheetViews>
  <sheetFormatPr defaultColWidth="9.140625" defaultRowHeight="15"/>
  <cols>
    <col min="1" max="1" width="7.42578125" style="213" customWidth="1"/>
    <col min="2" max="2" width="48.5703125" style="213" customWidth="1"/>
    <col min="3" max="3" width="14.42578125" style="213" customWidth="1"/>
    <col min="4" max="4" width="15.7109375" style="213" customWidth="1"/>
    <col min="5" max="5" width="15.140625" style="213" customWidth="1"/>
    <col min="6" max="6" width="14.42578125" style="213" customWidth="1"/>
    <col min="7" max="7" width="15" style="213" customWidth="1"/>
    <col min="8" max="8" width="14" style="213" customWidth="1"/>
    <col min="9" max="9" width="13.28515625" style="213" bestFit="1" customWidth="1"/>
    <col min="10" max="16384" width="9.140625" style="213"/>
  </cols>
  <sheetData>
    <row r="1" spans="1:8" ht="18.75" customHeight="1">
      <c r="A1" s="577" t="s">
        <v>0</v>
      </c>
      <c r="B1" s="577"/>
      <c r="C1" s="212"/>
      <c r="D1" s="212"/>
      <c r="E1" s="312"/>
      <c r="F1" s="579" t="s">
        <v>193</v>
      </c>
      <c r="G1" s="579"/>
      <c r="H1" s="579"/>
    </row>
    <row r="2" spans="1:8" ht="24.75" customHeight="1">
      <c r="A2" s="586" t="s">
        <v>603</v>
      </c>
      <c r="B2" s="586"/>
      <c r="C2" s="586"/>
      <c r="D2" s="586"/>
      <c r="E2" s="586"/>
      <c r="F2" s="586"/>
      <c r="G2" s="586"/>
      <c r="H2" s="586"/>
    </row>
    <row r="3" spans="1:8" ht="20.25" customHeight="1">
      <c r="A3" s="214"/>
      <c r="C3" s="215"/>
      <c r="D3" s="215"/>
      <c r="E3" s="215"/>
      <c r="F3" s="215"/>
      <c r="G3" s="578" t="s">
        <v>3</v>
      </c>
      <c r="H3" s="578"/>
    </row>
    <row r="4" spans="1:8" ht="20.25" customHeight="1">
      <c r="A4" s="580" t="s">
        <v>4</v>
      </c>
      <c r="B4" s="580" t="s">
        <v>5</v>
      </c>
      <c r="C4" s="582" t="s">
        <v>77</v>
      </c>
      <c r="D4" s="583"/>
      <c r="E4" s="580" t="s">
        <v>576</v>
      </c>
      <c r="F4" s="588" t="s">
        <v>8</v>
      </c>
      <c r="G4" s="589"/>
      <c r="H4" s="584" t="s">
        <v>704</v>
      </c>
    </row>
    <row r="5" spans="1:8" s="108" customFormat="1" ht="62.25" customHeight="1">
      <c r="A5" s="581"/>
      <c r="B5" s="581"/>
      <c r="C5" s="226" t="s">
        <v>574</v>
      </c>
      <c r="D5" s="226" t="s">
        <v>571</v>
      </c>
      <c r="E5" s="581"/>
      <c r="F5" s="226" t="s">
        <v>574</v>
      </c>
      <c r="G5" s="226" t="s">
        <v>706</v>
      </c>
      <c r="H5" s="585"/>
    </row>
    <row r="6" spans="1:8">
      <c r="A6" s="216" t="s">
        <v>11</v>
      </c>
      <c r="B6" s="216" t="s">
        <v>12</v>
      </c>
      <c r="C6" s="217">
        <v>1</v>
      </c>
      <c r="D6" s="217">
        <v>2</v>
      </c>
      <c r="E6" s="217">
        <v>3</v>
      </c>
      <c r="F6" s="218">
        <v>4</v>
      </c>
      <c r="G6" s="217">
        <v>5</v>
      </c>
      <c r="H6" s="217">
        <v>6</v>
      </c>
    </row>
    <row r="7" spans="1:8" s="219" customFormat="1" ht="30" customHeight="1">
      <c r="A7" s="227" t="s">
        <v>11</v>
      </c>
      <c r="B7" s="228" t="s">
        <v>194</v>
      </c>
      <c r="C7" s="229">
        <f t="shared" ref="C7:G7" si="0">C8+C41</f>
        <v>319343.2</v>
      </c>
      <c r="D7" s="229">
        <f t="shared" si="0"/>
        <v>366153.22499999998</v>
      </c>
      <c r="E7" s="229">
        <f t="shared" si="0"/>
        <v>478307.30200000003</v>
      </c>
      <c r="F7" s="229">
        <f t="shared" si="0"/>
        <v>361225</v>
      </c>
      <c r="G7" s="229">
        <f t="shared" si="0"/>
        <v>447546.74699999997</v>
      </c>
      <c r="H7" s="229">
        <f>H8+H41</f>
        <v>371514.75236000004</v>
      </c>
    </row>
    <row r="8" spans="1:8" s="219" customFormat="1" ht="22.5" customHeight="1">
      <c r="A8" s="230" t="s">
        <v>14</v>
      </c>
      <c r="B8" s="231" t="s">
        <v>195</v>
      </c>
      <c r="C8" s="232">
        <f t="shared" ref="C8:G8" si="1">C10+C23+C39+C40</f>
        <v>286172.2</v>
      </c>
      <c r="D8" s="232">
        <f t="shared" si="1"/>
        <v>332982.22499999998</v>
      </c>
      <c r="E8" s="232">
        <f t="shared" si="1"/>
        <v>419970.94200000004</v>
      </c>
      <c r="F8" s="232">
        <f t="shared" si="1"/>
        <v>353127</v>
      </c>
      <c r="G8" s="232">
        <f t="shared" si="1"/>
        <v>439448.74699999997</v>
      </c>
      <c r="H8" s="232">
        <f>H10+H23+H39+H40</f>
        <v>363416.75236000004</v>
      </c>
    </row>
    <row r="9" spans="1:8" ht="45" customHeight="1">
      <c r="A9" s="233"/>
      <c r="B9" s="234" t="s">
        <v>196</v>
      </c>
      <c r="C9" s="235"/>
      <c r="D9" s="235"/>
      <c r="E9" s="235"/>
      <c r="F9" s="235"/>
      <c r="G9" s="235"/>
      <c r="H9" s="235"/>
    </row>
    <row r="10" spans="1:8" s="219" customFormat="1" ht="22.5" customHeight="1">
      <c r="A10" s="230">
        <v>1</v>
      </c>
      <c r="B10" s="231" t="s">
        <v>197</v>
      </c>
      <c r="C10" s="232">
        <f t="shared" ref="C10:H10" si="2">C11+C12</f>
        <v>10472</v>
      </c>
      <c r="D10" s="232">
        <f t="shared" si="2"/>
        <v>51832</v>
      </c>
      <c r="E10" s="232">
        <f t="shared" si="2"/>
        <v>62203.512000000002</v>
      </c>
      <c r="F10" s="232">
        <f t="shared" si="2"/>
        <v>18392</v>
      </c>
      <c r="G10" s="232">
        <f t="shared" si="2"/>
        <v>97064</v>
      </c>
      <c r="H10" s="232">
        <f t="shared" si="2"/>
        <v>21032</v>
      </c>
    </row>
    <row r="11" spans="1:8" s="219" customFormat="1" ht="63" customHeight="1">
      <c r="A11" s="230" t="s">
        <v>17</v>
      </c>
      <c r="B11" s="231" t="s">
        <v>198</v>
      </c>
      <c r="C11" s="232"/>
      <c r="D11" s="232"/>
      <c r="E11" s="232"/>
      <c r="F11" s="232"/>
      <c r="G11" s="232"/>
      <c r="H11" s="232"/>
    </row>
    <row r="12" spans="1:8" s="219" customFormat="1" ht="20.25" customHeight="1">
      <c r="A12" s="230" t="s">
        <v>199</v>
      </c>
      <c r="B12" s="231" t="s">
        <v>200</v>
      </c>
      <c r="C12" s="232">
        <f t="shared" ref="C12:H12" si="3">C14</f>
        <v>10472</v>
      </c>
      <c r="D12" s="232">
        <f t="shared" si="3"/>
        <v>51832</v>
      </c>
      <c r="E12" s="232">
        <f t="shared" si="3"/>
        <v>62203.512000000002</v>
      </c>
      <c r="F12" s="232">
        <f t="shared" si="3"/>
        <v>18392</v>
      </c>
      <c r="G12" s="232">
        <f t="shared" si="3"/>
        <v>97064</v>
      </c>
      <c r="H12" s="232">
        <f t="shared" si="3"/>
        <v>21032</v>
      </c>
    </row>
    <row r="13" spans="1:8" s="219" customFormat="1" ht="22.5" customHeight="1">
      <c r="A13" s="230"/>
      <c r="B13" s="231" t="s">
        <v>201</v>
      </c>
      <c r="C13" s="232"/>
      <c r="D13" s="232"/>
      <c r="E13" s="232"/>
      <c r="F13" s="232"/>
      <c r="G13" s="232"/>
      <c r="H13" s="232"/>
    </row>
    <row r="14" spans="1:8" s="219" customFormat="1" ht="33.75" customHeight="1">
      <c r="A14" s="230" t="s">
        <v>202</v>
      </c>
      <c r="B14" s="231" t="s">
        <v>203</v>
      </c>
      <c r="C14" s="232">
        <f t="shared" ref="C14:H14" si="4">SUM(C15:C16)</f>
        <v>10472</v>
      </c>
      <c r="D14" s="232">
        <f t="shared" si="4"/>
        <v>51832</v>
      </c>
      <c r="E14" s="232">
        <f t="shared" si="4"/>
        <v>62203.512000000002</v>
      </c>
      <c r="F14" s="232">
        <f t="shared" si="4"/>
        <v>18392</v>
      </c>
      <c r="G14" s="232">
        <f t="shared" si="4"/>
        <v>97064</v>
      </c>
      <c r="H14" s="232">
        <f t="shared" si="4"/>
        <v>21032</v>
      </c>
    </row>
    <row r="15" spans="1:8" ht="21.75" customHeight="1">
      <c r="A15" s="233" t="s">
        <v>204</v>
      </c>
      <c r="B15" s="236" t="s">
        <v>205</v>
      </c>
      <c r="C15" s="235">
        <v>7832</v>
      </c>
      <c r="D15" s="235">
        <v>7832</v>
      </c>
      <c r="E15" s="235">
        <v>27993.03</v>
      </c>
      <c r="F15" s="235">
        <v>7832</v>
      </c>
      <c r="G15" s="235">
        <v>7832</v>
      </c>
      <c r="H15" s="235">
        <v>7832</v>
      </c>
    </row>
    <row r="16" spans="1:8" ht="21.75" customHeight="1">
      <c r="A16" s="233" t="s">
        <v>206</v>
      </c>
      <c r="B16" s="236" t="s">
        <v>207</v>
      </c>
      <c r="C16" s="235">
        <v>2640</v>
      </c>
      <c r="D16" s="235">
        <v>44000</v>
      </c>
      <c r="E16" s="235">
        <v>34210.482000000004</v>
      </c>
      <c r="F16" s="235">
        <v>10560</v>
      </c>
      <c r="G16" s="235">
        <v>89232</v>
      </c>
      <c r="H16" s="235">
        <v>13200</v>
      </c>
    </row>
    <row r="17" spans="1:9" s="219" customFormat="1" ht="26.25" customHeight="1">
      <c r="A17" s="230" t="s">
        <v>210</v>
      </c>
      <c r="B17" s="231" t="s">
        <v>211</v>
      </c>
      <c r="C17" s="232">
        <f t="shared" ref="C17:H17" si="5">SUM(C18:C22)</f>
        <v>0</v>
      </c>
      <c r="D17" s="232">
        <f t="shared" si="5"/>
        <v>51832</v>
      </c>
      <c r="E17" s="232">
        <f t="shared" si="5"/>
        <v>61527.127868999996</v>
      </c>
      <c r="F17" s="232">
        <f t="shared" si="5"/>
        <v>18392</v>
      </c>
      <c r="G17" s="232">
        <f t="shared" si="5"/>
        <v>97064</v>
      </c>
      <c r="H17" s="232">
        <f t="shared" si="5"/>
        <v>21032</v>
      </c>
    </row>
    <row r="18" spans="1:9" ht="19.5" customHeight="1">
      <c r="A18" s="237" t="s">
        <v>204</v>
      </c>
      <c r="B18" s="234" t="s">
        <v>212</v>
      </c>
      <c r="C18" s="235"/>
      <c r="D18" s="235">
        <v>10880</v>
      </c>
      <c r="E18" s="235">
        <v>19599</v>
      </c>
      <c r="F18" s="235">
        <v>2602</v>
      </c>
      <c r="G18" s="235">
        <v>2602</v>
      </c>
      <c r="H18" s="235">
        <v>2102</v>
      </c>
    </row>
    <row r="19" spans="1:9" ht="19.5" customHeight="1">
      <c r="A19" s="237" t="s">
        <v>206</v>
      </c>
      <c r="B19" s="234" t="s">
        <v>215</v>
      </c>
      <c r="C19" s="235"/>
      <c r="D19" s="235"/>
      <c r="E19" s="235">
        <v>78.25</v>
      </c>
      <c r="F19" s="235">
        <v>5700</v>
      </c>
      <c r="G19" s="235">
        <v>5700</v>
      </c>
      <c r="H19" s="235">
        <v>0</v>
      </c>
    </row>
    <row r="20" spans="1:9" ht="20.25" customHeight="1">
      <c r="A20" s="237" t="s">
        <v>208</v>
      </c>
      <c r="B20" s="234" t="s">
        <v>221</v>
      </c>
      <c r="C20" s="235"/>
      <c r="D20" s="235">
        <v>40952</v>
      </c>
      <c r="E20" s="235">
        <f>39493.57+2258.377869+97.93</f>
        <v>41849.877868999996</v>
      </c>
      <c r="F20" s="235">
        <v>10090</v>
      </c>
      <c r="G20" s="235">
        <v>78870</v>
      </c>
      <c r="H20" s="235">
        <v>11560</v>
      </c>
    </row>
    <row r="21" spans="1:9" ht="30">
      <c r="A21" s="237" t="s">
        <v>209</v>
      </c>
      <c r="B21" s="238" t="s">
        <v>693</v>
      </c>
      <c r="C21" s="235"/>
      <c r="D21" s="235"/>
      <c r="E21" s="235"/>
      <c r="F21" s="235"/>
      <c r="G21" s="235">
        <v>6200</v>
      </c>
      <c r="H21" s="235">
        <v>6200</v>
      </c>
    </row>
    <row r="22" spans="1:9" s="220" customFormat="1" ht="22.5" customHeight="1">
      <c r="A22" s="237" t="s">
        <v>216</v>
      </c>
      <c r="B22" s="234" t="s">
        <v>227</v>
      </c>
      <c r="C22" s="235"/>
      <c r="D22" s="235"/>
      <c r="E22" s="235"/>
      <c r="F22" s="235"/>
      <c r="G22" s="239">
        <f>2271+1421</f>
        <v>3692</v>
      </c>
      <c r="H22" s="239">
        <v>1170</v>
      </c>
    </row>
    <row r="23" spans="1:9" s="221" customFormat="1" ht="19.5" customHeight="1">
      <c r="A23" s="230">
        <v>2</v>
      </c>
      <c r="B23" s="231" t="s">
        <v>134</v>
      </c>
      <c r="C23" s="232">
        <v>269970.2</v>
      </c>
      <c r="D23" s="232">
        <f>SUM(D24:D27)</f>
        <v>268645.91499999998</v>
      </c>
      <c r="E23" s="232">
        <f>SUM(E24:E27)</f>
        <v>267630.05000000005</v>
      </c>
      <c r="F23" s="232">
        <f>SUM(F24:F27)</f>
        <v>327672</v>
      </c>
      <c r="G23" s="232">
        <f>SUM(G24:G27)</f>
        <v>329966.74699999997</v>
      </c>
      <c r="H23" s="232">
        <f>SUM(H24:H27)</f>
        <v>323991.30236000003</v>
      </c>
    </row>
    <row r="24" spans="1:9" s="220" customFormat="1" ht="17.25" customHeight="1">
      <c r="A24" s="237" t="s">
        <v>204</v>
      </c>
      <c r="B24" s="234" t="s">
        <v>212</v>
      </c>
      <c r="C24" s="235">
        <v>159376.25</v>
      </c>
      <c r="D24" s="235">
        <v>159376.25</v>
      </c>
      <c r="E24" s="235">
        <v>158876.69</v>
      </c>
      <c r="F24" s="235">
        <v>196950</v>
      </c>
      <c r="G24" s="235">
        <v>196950</v>
      </c>
      <c r="H24" s="235">
        <v>194525.6</v>
      </c>
    </row>
    <row r="25" spans="1:9" s="220" customFormat="1" ht="17.25" customHeight="1">
      <c r="A25" s="237" t="s">
        <v>206</v>
      </c>
      <c r="B25" s="234" t="s">
        <v>213</v>
      </c>
      <c r="C25" s="235">
        <v>150</v>
      </c>
      <c r="D25" s="235">
        <v>150</v>
      </c>
      <c r="E25" s="235">
        <v>150</v>
      </c>
      <c r="F25" s="235">
        <v>150</v>
      </c>
      <c r="G25" s="235">
        <v>150</v>
      </c>
      <c r="H25" s="235">
        <v>150</v>
      </c>
    </row>
    <row r="26" spans="1:9" s="220" customFormat="1" ht="17.25" customHeight="1">
      <c r="A26" s="237" t="s">
        <v>208</v>
      </c>
      <c r="B26" s="234" t="s">
        <v>232</v>
      </c>
      <c r="C26" s="235">
        <v>2007</v>
      </c>
      <c r="D26" s="235">
        <v>2123.61</v>
      </c>
      <c r="E26" s="235">
        <v>2116.41</v>
      </c>
      <c r="F26" s="235">
        <v>6399</v>
      </c>
      <c r="G26" s="235">
        <v>6399</v>
      </c>
      <c r="H26" s="235">
        <v>6071.2</v>
      </c>
    </row>
    <row r="27" spans="1:9" s="220" customFormat="1" ht="17.25" customHeight="1">
      <c r="A27" s="237" t="s">
        <v>209</v>
      </c>
      <c r="B27" s="234" t="s">
        <v>508</v>
      </c>
      <c r="C27" s="235">
        <v>108437</v>
      </c>
      <c r="D27" s="235">
        <f>SUM(D28:D38)-D32-D33-D34</f>
        <v>106996.05500000001</v>
      </c>
      <c r="E27" s="235">
        <f>SUM(E28:E38)-E32-E33-E34</f>
        <v>106486.95000000001</v>
      </c>
      <c r="F27" s="235">
        <f>SUM(F28:F38)-F32-F33-F34</f>
        <v>124173</v>
      </c>
      <c r="G27" s="235">
        <f>SUM(G28:G38)-G32-G33-G34</f>
        <v>126467.747</v>
      </c>
      <c r="H27" s="235">
        <f>SUM(H28:H38)-H32-H33-H34</f>
        <v>123244.50236</v>
      </c>
    </row>
    <row r="28" spans="1:9" s="220" customFormat="1" ht="17.25" customHeight="1">
      <c r="A28" s="240" t="s">
        <v>255</v>
      </c>
      <c r="B28" s="234" t="s">
        <v>214</v>
      </c>
      <c r="C28" s="235"/>
      <c r="D28" s="235">
        <v>8320.2199999999993</v>
      </c>
      <c r="E28" s="235">
        <v>8370.2199999999993</v>
      </c>
      <c r="F28" s="235">
        <v>8158</v>
      </c>
      <c r="G28" s="235">
        <v>8158</v>
      </c>
      <c r="H28" s="235">
        <v>8064.1223600000003</v>
      </c>
    </row>
    <row r="29" spans="1:9" s="220" customFormat="1" ht="17.25" customHeight="1">
      <c r="A29" s="240" t="s">
        <v>255</v>
      </c>
      <c r="B29" s="234" t="s">
        <v>215</v>
      </c>
      <c r="C29" s="235"/>
      <c r="D29" s="235">
        <f>1830+200</f>
        <v>2030</v>
      </c>
      <c r="E29" s="235">
        <v>1930</v>
      </c>
      <c r="F29" s="235">
        <v>4948</v>
      </c>
      <c r="G29" s="235">
        <v>2920</v>
      </c>
      <c r="H29" s="235">
        <v>2865</v>
      </c>
    </row>
    <row r="30" spans="1:9" s="220" customFormat="1" ht="17.25" customHeight="1">
      <c r="A30" s="240" t="s">
        <v>255</v>
      </c>
      <c r="B30" s="234" t="s">
        <v>228</v>
      </c>
      <c r="C30" s="235"/>
      <c r="D30" s="235"/>
      <c r="E30" s="235"/>
      <c r="F30" s="235">
        <v>941</v>
      </c>
      <c r="G30" s="235">
        <v>941</v>
      </c>
      <c r="H30" s="235">
        <v>941</v>
      </c>
    </row>
    <row r="31" spans="1:9" s="220" customFormat="1" ht="36.75" customHeight="1">
      <c r="A31" s="240" t="s">
        <v>255</v>
      </c>
      <c r="B31" s="241" t="s">
        <v>680</v>
      </c>
      <c r="C31" s="235"/>
      <c r="D31" s="235">
        <f>D32+D33+D34</f>
        <v>3839.0299999999997</v>
      </c>
      <c r="E31" s="235">
        <f>E32+E33+E34</f>
        <v>3625.39</v>
      </c>
      <c r="F31" s="235">
        <f>F32+F33+F34</f>
        <v>3393</v>
      </c>
      <c r="G31" s="235">
        <f>G32+G33+G34</f>
        <v>3443</v>
      </c>
      <c r="H31" s="235">
        <f>H32+H33+H34</f>
        <v>3403.7</v>
      </c>
    </row>
    <row r="32" spans="1:9" s="220" customFormat="1" ht="17.25" customHeight="1">
      <c r="A32" s="240" t="s">
        <v>111</v>
      </c>
      <c r="B32" s="234" t="s">
        <v>229</v>
      </c>
      <c r="C32" s="235"/>
      <c r="D32" s="235">
        <v>1962.26</v>
      </c>
      <c r="E32" s="235">
        <v>1919.02</v>
      </c>
      <c r="F32" s="242">
        <v>1627</v>
      </c>
      <c r="G32" s="242">
        <v>1627</v>
      </c>
      <c r="H32" s="299">
        <f>1678.31+46</f>
        <v>1724.31</v>
      </c>
      <c r="I32" s="222"/>
    </row>
    <row r="33" spans="1:9" s="220" customFormat="1" ht="17.25" customHeight="1">
      <c r="A33" s="240" t="s">
        <v>111</v>
      </c>
      <c r="B33" s="234" t="s">
        <v>230</v>
      </c>
      <c r="C33" s="235"/>
      <c r="D33" s="235">
        <v>1173.77</v>
      </c>
      <c r="E33" s="235">
        <v>1132.3699999999999</v>
      </c>
      <c r="F33" s="235">
        <v>1208</v>
      </c>
      <c r="G33" s="235">
        <v>1208</v>
      </c>
      <c r="H33" s="235">
        <v>1024.19</v>
      </c>
    </row>
    <row r="34" spans="1:9" s="220" customFormat="1" ht="17.25" customHeight="1">
      <c r="A34" s="240" t="s">
        <v>111</v>
      </c>
      <c r="B34" s="234" t="s">
        <v>231</v>
      </c>
      <c r="C34" s="235"/>
      <c r="D34" s="235">
        <v>703</v>
      </c>
      <c r="E34" s="235">
        <v>574</v>
      </c>
      <c r="F34" s="235">
        <v>558</v>
      </c>
      <c r="G34" s="235">
        <v>608</v>
      </c>
      <c r="H34" s="235">
        <f>560.2+95</f>
        <v>655.20000000000005</v>
      </c>
    </row>
    <row r="35" spans="1:9" s="220" customFormat="1" ht="17.25" customHeight="1">
      <c r="A35" s="240" t="s">
        <v>255</v>
      </c>
      <c r="B35" s="234" t="s">
        <v>221</v>
      </c>
      <c r="C35" s="235"/>
      <c r="D35" s="235">
        <v>14533.805</v>
      </c>
      <c r="E35" s="235">
        <v>14417.12</v>
      </c>
      <c r="F35" s="235">
        <v>20336</v>
      </c>
      <c r="G35" s="235">
        <v>19460.212</v>
      </c>
      <c r="H35" s="447">
        <f>19408.92+42-300</f>
        <v>19150.919999999998</v>
      </c>
    </row>
    <row r="36" spans="1:9" s="220" customFormat="1" ht="17.25" customHeight="1">
      <c r="A36" s="240" t="s">
        <v>255</v>
      </c>
      <c r="B36" s="234" t="s">
        <v>223</v>
      </c>
      <c r="C36" s="235"/>
      <c r="D36" s="235">
        <v>69525.868000000002</v>
      </c>
      <c r="E36" s="235">
        <f>69118.29+210</f>
        <v>69328.289999999994</v>
      </c>
      <c r="F36" s="235">
        <v>66344</v>
      </c>
      <c r="G36" s="235">
        <v>70993.755000000005</v>
      </c>
      <c r="H36" s="235">
        <v>69699.25</v>
      </c>
      <c r="I36" s="277"/>
    </row>
    <row r="37" spans="1:9" s="220" customFormat="1" ht="17.25" customHeight="1">
      <c r="A37" s="240" t="s">
        <v>255</v>
      </c>
      <c r="B37" s="234" t="s">
        <v>225</v>
      </c>
      <c r="C37" s="235"/>
      <c r="D37" s="235">
        <v>7217.1319999999996</v>
      </c>
      <c r="E37" s="235">
        <v>7309.13</v>
      </c>
      <c r="F37" s="235">
        <v>17826</v>
      </c>
      <c r="G37" s="235">
        <v>17363.78</v>
      </c>
      <c r="H37" s="447">
        <f>17287.51+300</f>
        <v>17587.509999999998</v>
      </c>
    </row>
    <row r="38" spans="1:9" s="220" customFormat="1" ht="17.25" customHeight="1">
      <c r="A38" s="240" t="s">
        <v>255</v>
      </c>
      <c r="B38" s="234" t="s">
        <v>227</v>
      </c>
      <c r="C38" s="235"/>
      <c r="D38" s="235">
        <v>1530</v>
      </c>
      <c r="E38" s="235">
        <v>1506.8</v>
      </c>
      <c r="F38" s="235">
        <v>2227</v>
      </c>
      <c r="G38" s="235">
        <v>3188</v>
      </c>
      <c r="H38" s="235">
        <v>1533</v>
      </c>
    </row>
    <row r="39" spans="1:9" s="221" customFormat="1" ht="18.75" customHeight="1">
      <c r="A39" s="230">
        <v>3</v>
      </c>
      <c r="B39" s="231" t="s">
        <v>136</v>
      </c>
      <c r="C39" s="232">
        <v>5730</v>
      </c>
      <c r="D39" s="232">
        <v>5730</v>
      </c>
      <c r="E39" s="232">
        <v>7629</v>
      </c>
      <c r="F39" s="232">
        <v>7063</v>
      </c>
      <c r="G39" s="232">
        <v>7063</v>
      </c>
      <c r="H39" s="232">
        <v>7216.45</v>
      </c>
      <c r="I39" s="223"/>
    </row>
    <row r="40" spans="1:9" s="221" customFormat="1" ht="18.75" customHeight="1">
      <c r="A40" s="230">
        <v>4</v>
      </c>
      <c r="B40" s="231" t="s">
        <v>233</v>
      </c>
      <c r="C40" s="232"/>
      <c r="D40" s="232">
        <f>[7]b15!E34</f>
        <v>6774.31</v>
      </c>
      <c r="E40" s="232">
        <v>82508.38</v>
      </c>
      <c r="F40" s="232">
        <f>[7]b15!G34</f>
        <v>0</v>
      </c>
      <c r="G40" s="232">
        <v>5355</v>
      </c>
      <c r="H40" s="232">
        <f>5355+4906.5+915.5</f>
        <v>11177</v>
      </c>
    </row>
    <row r="41" spans="1:9" s="221" customFormat="1" ht="28.5">
      <c r="A41" s="230" t="s">
        <v>70</v>
      </c>
      <c r="B41" s="231" t="s">
        <v>577</v>
      </c>
      <c r="C41" s="232">
        <f t="shared" ref="C41:H41" si="6">C42+C43+C44</f>
        <v>33171</v>
      </c>
      <c r="D41" s="232">
        <f t="shared" si="6"/>
        <v>33171</v>
      </c>
      <c r="E41" s="232">
        <f t="shared" si="6"/>
        <v>58336.36</v>
      </c>
      <c r="F41" s="232">
        <f t="shared" si="6"/>
        <v>8098</v>
      </c>
      <c r="G41" s="232">
        <f t="shared" si="6"/>
        <v>8098</v>
      </c>
      <c r="H41" s="232">
        <f t="shared" si="6"/>
        <v>8098</v>
      </c>
    </row>
    <row r="42" spans="1:9" s="461" customFormat="1" ht="14.25">
      <c r="A42" s="230">
        <v>1</v>
      </c>
      <c r="B42" s="231" t="s">
        <v>141</v>
      </c>
      <c r="C42" s="232"/>
      <c r="D42" s="232"/>
      <c r="E42" s="232">
        <v>1299.25</v>
      </c>
      <c r="F42" s="232">
        <v>0</v>
      </c>
      <c r="G42" s="232">
        <v>0</v>
      </c>
      <c r="H42" s="460"/>
    </row>
    <row r="43" spans="1:9" s="221" customFormat="1" ht="33" customHeight="1">
      <c r="A43" s="230">
        <v>2</v>
      </c>
      <c r="B43" s="231" t="s">
        <v>234</v>
      </c>
      <c r="C43" s="232">
        <v>10963</v>
      </c>
      <c r="D43" s="232">
        <v>10963</v>
      </c>
      <c r="E43" s="232">
        <v>22594.9</v>
      </c>
      <c r="F43" s="244">
        <v>8098</v>
      </c>
      <c r="G43" s="244">
        <v>8098</v>
      </c>
      <c r="H43" s="245">
        <v>8098</v>
      </c>
    </row>
    <row r="44" spans="1:9" s="221" customFormat="1" ht="32.25" customHeight="1">
      <c r="A44" s="230">
        <v>3</v>
      </c>
      <c r="B44" s="231" t="s">
        <v>235</v>
      </c>
      <c r="C44" s="232">
        <v>22208</v>
      </c>
      <c r="D44" s="232">
        <v>22208</v>
      </c>
      <c r="E44" s="232">
        <v>34442.21</v>
      </c>
      <c r="F44" s="244"/>
      <c r="G44" s="244"/>
      <c r="H44" s="243"/>
    </row>
    <row r="45" spans="1:9" ht="33.75" customHeight="1">
      <c r="A45" s="230" t="s">
        <v>12</v>
      </c>
      <c r="B45" s="231" t="s">
        <v>236</v>
      </c>
      <c r="C45" s="235"/>
      <c r="D45" s="235"/>
      <c r="E45" s="235"/>
      <c r="F45" s="235"/>
      <c r="G45" s="235"/>
      <c r="H45" s="246"/>
    </row>
    <row r="46" spans="1:9">
      <c r="A46" s="247"/>
      <c r="B46" s="248"/>
      <c r="C46" s="249"/>
      <c r="D46" s="249"/>
      <c r="E46" s="249"/>
      <c r="F46" s="249"/>
      <c r="G46" s="249"/>
      <c r="H46" s="250"/>
    </row>
    <row r="47" spans="1:9">
      <c r="A47" s="224"/>
    </row>
    <row r="48" spans="1:9" ht="18.75" customHeight="1">
      <c r="C48" s="587"/>
      <c r="D48" s="587"/>
      <c r="E48" s="587"/>
      <c r="F48" s="587"/>
      <c r="G48" s="587"/>
    </row>
    <row r="49" spans="1:7" ht="18.75" customHeight="1">
      <c r="C49" s="590"/>
      <c r="D49" s="590"/>
      <c r="E49" s="590"/>
      <c r="F49" s="590"/>
      <c r="G49" s="590"/>
    </row>
    <row r="50" spans="1:7" ht="18.75" customHeight="1">
      <c r="C50" s="590"/>
      <c r="D50" s="590"/>
      <c r="E50" s="590"/>
      <c r="F50" s="590"/>
      <c r="G50" s="590"/>
    </row>
    <row r="51" spans="1:7" ht="18.75" customHeight="1">
      <c r="C51" s="587"/>
      <c r="D51" s="587"/>
      <c r="E51" s="587"/>
      <c r="F51" s="587"/>
      <c r="G51" s="587"/>
    </row>
    <row r="52" spans="1:7">
      <c r="A52" s="225"/>
    </row>
    <row r="53" spans="1:7">
      <c r="A53" s="225"/>
    </row>
    <row r="54" spans="1:7">
      <c r="A54" s="225"/>
    </row>
    <row r="55" spans="1:7">
      <c r="A55" s="225"/>
    </row>
    <row r="56" spans="1:7">
      <c r="A56" s="225"/>
    </row>
    <row r="57" spans="1:7">
      <c r="A57" s="225"/>
    </row>
    <row r="58" spans="1:7">
      <c r="A58" s="225"/>
    </row>
    <row r="59" spans="1:7">
      <c r="A59" s="225"/>
    </row>
    <row r="60" spans="1:7">
      <c r="A60" s="225"/>
    </row>
    <row r="61" spans="1:7">
      <c r="A61" s="225"/>
    </row>
  </sheetData>
  <mergeCells count="14">
    <mergeCell ref="C51:G51"/>
    <mergeCell ref="F4:G4"/>
    <mergeCell ref="C48:G48"/>
    <mergeCell ref="C49:G49"/>
    <mergeCell ref="C50:G50"/>
    <mergeCell ref="A1:B1"/>
    <mergeCell ref="G3:H3"/>
    <mergeCell ref="F1:H1"/>
    <mergeCell ref="A4:A5"/>
    <mergeCell ref="B4:B5"/>
    <mergeCell ref="C4:D4"/>
    <mergeCell ref="E4:E5"/>
    <mergeCell ref="H4:H5"/>
    <mergeCell ref="A2:H2"/>
  </mergeCells>
  <printOptions horizontalCentered="1"/>
  <pageMargins left="0.3" right="0.3" top="0.5" bottom="0.2" header="0.3" footer="0.3"/>
  <pageSetup paperSize="9" scale="90" orientation="landscape" r:id="rId1"/>
  <rowBreaks count="1" manualBreakCount="1">
    <brk id="23" max="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5"/>
  <sheetViews>
    <sheetView workbookViewId="0">
      <pane xSplit="2" ySplit="7" topLeftCell="C8" activePane="bottomRight" state="frozen"/>
      <selection pane="topRight" activeCell="C1" sqref="C1"/>
      <selection pane="bottomLeft" activeCell="A8" sqref="A8"/>
      <selection pane="bottomRight" activeCell="B12" sqref="B12"/>
    </sheetView>
  </sheetViews>
  <sheetFormatPr defaultColWidth="9.140625" defaultRowHeight="15.75"/>
  <cols>
    <col min="1" max="1" width="6" style="9" customWidth="1"/>
    <col min="2" max="2" width="40.28515625" style="9" customWidth="1"/>
    <col min="3" max="3" width="15.140625" style="41" customWidth="1"/>
    <col min="4" max="4" width="12.85546875" style="42" customWidth="1"/>
    <col min="5" max="5" width="12.85546875" style="43" customWidth="1"/>
    <col min="6" max="6" width="12.85546875" style="9" customWidth="1"/>
    <col min="7" max="16384" width="9.140625" style="9"/>
  </cols>
  <sheetData>
    <row r="1" spans="1:7" s="2" customFormat="1" hidden="1">
      <c r="A1" s="1" t="s">
        <v>0</v>
      </c>
      <c r="C1" s="3"/>
      <c r="D1" s="4"/>
      <c r="E1" s="594" t="s">
        <v>1</v>
      </c>
      <c r="F1" s="594"/>
    </row>
    <row r="2" spans="1:7" hidden="1">
      <c r="A2" s="5"/>
      <c r="B2"/>
      <c r="C2" s="6"/>
      <c r="D2" s="7"/>
      <c r="E2" s="8"/>
      <c r="F2"/>
    </row>
    <row r="3" spans="1:7">
      <c r="A3" s="595" t="s">
        <v>2</v>
      </c>
      <c r="B3" s="595"/>
      <c r="C3" s="595"/>
      <c r="D3" s="595"/>
      <c r="E3" s="595"/>
      <c r="F3" s="595"/>
    </row>
    <row r="4" spans="1:7" hidden="1">
      <c r="A4" s="10"/>
      <c r="B4" s="10"/>
      <c r="C4" s="11"/>
      <c r="D4" s="12"/>
      <c r="E4" s="13"/>
      <c r="F4" s="10"/>
    </row>
    <row r="5" spans="1:7" hidden="1">
      <c r="B5"/>
      <c r="C5" s="6"/>
      <c r="D5" s="7"/>
      <c r="E5" s="8"/>
      <c r="F5" s="14" t="s">
        <v>3</v>
      </c>
    </row>
    <row r="6" spans="1:7" ht="28.5" customHeight="1">
      <c r="A6" s="596" t="s">
        <v>4</v>
      </c>
      <c r="B6" s="596" t="s">
        <v>5</v>
      </c>
      <c r="C6" s="598" t="s">
        <v>6</v>
      </c>
      <c r="D6" s="596" t="s">
        <v>7</v>
      </c>
      <c r="E6" s="596"/>
      <c r="F6" s="596" t="s">
        <v>8</v>
      </c>
    </row>
    <row r="7" spans="1:7" ht="28.5">
      <c r="A7" s="597"/>
      <c r="B7" s="597"/>
      <c r="C7" s="599"/>
      <c r="D7" s="15" t="s">
        <v>9</v>
      </c>
      <c r="E7" s="16" t="s">
        <v>10</v>
      </c>
      <c r="F7" s="597"/>
    </row>
    <row r="8" spans="1:7">
      <c r="A8" s="17" t="s">
        <v>11</v>
      </c>
      <c r="B8" s="17" t="s">
        <v>12</v>
      </c>
      <c r="C8" s="16">
        <v>1</v>
      </c>
      <c r="D8" s="16">
        <v>2</v>
      </c>
      <c r="E8" s="16">
        <v>3</v>
      </c>
      <c r="F8" s="17">
        <v>4</v>
      </c>
      <c r="G8" s="18"/>
    </row>
    <row r="9" spans="1:7">
      <c r="A9" s="19"/>
      <c r="B9" s="17" t="s">
        <v>13</v>
      </c>
      <c r="C9" s="20">
        <f>C10+C80</f>
        <v>138928.907641</v>
      </c>
      <c r="D9" s="15">
        <f>D10+D80</f>
        <v>144370</v>
      </c>
      <c r="E9" s="16">
        <f>E10+E80</f>
        <v>132541</v>
      </c>
      <c r="F9" s="20">
        <f>F10+F80</f>
        <v>0</v>
      </c>
    </row>
    <row r="10" spans="1:7">
      <c r="A10" s="17" t="s">
        <v>14</v>
      </c>
      <c r="B10" s="21" t="s">
        <v>15</v>
      </c>
      <c r="C10" s="20">
        <f>C11+C26+C38+C44+C45+C48+C49+C55+C70+C71+C73+C76+C77</f>
        <v>138928.907641</v>
      </c>
      <c r="D10" s="15">
        <f>D11+D26+D38+D44+D45+D48+D49+D55+D70+D71+D73+D76+D77</f>
        <v>144370</v>
      </c>
      <c r="E10" s="16">
        <f>E11+E26+E38+E44+E45+E48+E49+E55+E70+E71+E73+E76+E77</f>
        <v>132541</v>
      </c>
      <c r="F10" s="20">
        <f>F11+F26+F38+F44+F45+F48+F49+F55+F70+F71+F73+F76+F77</f>
        <v>0</v>
      </c>
    </row>
    <row r="11" spans="1:7" s="27" customFormat="1">
      <c r="A11" s="22">
        <v>1</v>
      </c>
      <c r="B11" s="23" t="s">
        <v>16</v>
      </c>
      <c r="C11" s="24">
        <f>C12+C20</f>
        <v>957.42737899999997</v>
      </c>
      <c r="D11" s="25">
        <f>D12+D20</f>
        <v>8440</v>
      </c>
      <c r="E11" s="26">
        <f>E12+E20</f>
        <v>8690</v>
      </c>
      <c r="F11" s="22">
        <f>F12+F20</f>
        <v>0</v>
      </c>
    </row>
    <row r="12" spans="1:7" ht="30">
      <c r="A12" s="19" t="s">
        <v>17</v>
      </c>
      <c r="B12" s="28" t="s">
        <v>18</v>
      </c>
      <c r="C12" s="29">
        <f>C13+C15+C16+C18</f>
        <v>922.49896799999999</v>
      </c>
      <c r="D12" s="30">
        <f>D13+D15+D16+D18</f>
        <v>8090</v>
      </c>
      <c r="E12" s="31">
        <f>E13+E15+E16+E18</f>
        <v>8090</v>
      </c>
      <c r="F12" s="19">
        <f>F13+F15+F16+F18</f>
        <v>0</v>
      </c>
    </row>
    <row r="13" spans="1:7">
      <c r="A13" s="19"/>
      <c r="B13" s="28" t="s">
        <v>19</v>
      </c>
      <c r="C13" s="29">
        <v>922.06559600000003</v>
      </c>
      <c r="D13" s="30">
        <v>8070</v>
      </c>
      <c r="E13" s="31">
        <v>8070</v>
      </c>
      <c r="F13" s="19"/>
    </row>
    <row r="14" spans="1:7" ht="30">
      <c r="A14" s="19"/>
      <c r="B14" s="32" t="s">
        <v>20</v>
      </c>
      <c r="C14" s="29"/>
      <c r="D14" s="30"/>
      <c r="E14" s="31"/>
      <c r="F14" s="19"/>
    </row>
    <row r="15" spans="1:7">
      <c r="A15" s="19"/>
      <c r="B15" s="28" t="s">
        <v>21</v>
      </c>
      <c r="C15" s="29"/>
      <c r="D15" s="30"/>
      <c r="E15" s="31"/>
      <c r="F15" s="19"/>
    </row>
    <row r="16" spans="1:7" ht="30">
      <c r="A16" s="19"/>
      <c r="B16" s="28" t="s">
        <v>22</v>
      </c>
      <c r="C16" s="29"/>
      <c r="D16" s="30"/>
      <c r="E16" s="31"/>
      <c r="F16" s="19"/>
    </row>
    <row r="17" spans="1:6" ht="45">
      <c r="A17" s="19"/>
      <c r="B17" s="32" t="s">
        <v>23</v>
      </c>
      <c r="C17" s="29"/>
      <c r="D17" s="30"/>
      <c r="E17" s="31"/>
      <c r="F17" s="19"/>
    </row>
    <row r="18" spans="1:6">
      <c r="A18" s="19"/>
      <c r="B18" s="28" t="s">
        <v>24</v>
      </c>
      <c r="C18" s="29">
        <v>0.43337199999999998</v>
      </c>
      <c r="D18" s="30">
        <v>20</v>
      </c>
      <c r="E18" s="31">
        <v>20</v>
      </c>
      <c r="F18" s="19"/>
    </row>
    <row r="19" spans="1:6">
      <c r="A19" s="19"/>
      <c r="B19" s="32" t="s">
        <v>25</v>
      </c>
      <c r="C19" s="29"/>
      <c r="D19" s="30"/>
      <c r="E19" s="31"/>
      <c r="F19" s="19"/>
    </row>
    <row r="20" spans="1:6" ht="30">
      <c r="A20" s="19" t="s">
        <v>26</v>
      </c>
      <c r="B20" s="28" t="s">
        <v>27</v>
      </c>
      <c r="C20" s="29">
        <f>C21+C22+C23+C25</f>
        <v>34.928410999999997</v>
      </c>
      <c r="D20" s="30">
        <f>D21+D22+D23+D25</f>
        <v>350</v>
      </c>
      <c r="E20" s="31">
        <f>E21+E22+E23+E25</f>
        <v>600</v>
      </c>
      <c r="F20" s="19">
        <f>F21+F22+F23+F25</f>
        <v>0</v>
      </c>
    </row>
    <row r="21" spans="1:6">
      <c r="A21" s="19"/>
      <c r="B21" s="28" t="s">
        <v>19</v>
      </c>
      <c r="C21" s="29">
        <v>14.716464</v>
      </c>
      <c r="D21" s="30">
        <v>170</v>
      </c>
      <c r="E21" s="31">
        <v>300</v>
      </c>
      <c r="F21" s="19"/>
    </row>
    <row r="22" spans="1:6">
      <c r="A22" s="19"/>
      <c r="B22" s="28" t="s">
        <v>21</v>
      </c>
      <c r="C22" s="29">
        <v>20.211946999999999</v>
      </c>
      <c r="D22" s="30">
        <v>130</v>
      </c>
      <c r="E22" s="31">
        <v>250</v>
      </c>
      <c r="F22" s="19"/>
    </row>
    <row r="23" spans="1:6" ht="30">
      <c r="A23" s="19"/>
      <c r="B23" s="28" t="s">
        <v>22</v>
      </c>
      <c r="C23" s="29"/>
      <c r="D23" s="30"/>
      <c r="E23" s="31"/>
      <c r="F23" s="19"/>
    </row>
    <row r="24" spans="1:6" ht="45">
      <c r="A24" s="19"/>
      <c r="B24" s="32" t="s">
        <v>23</v>
      </c>
      <c r="C24" s="29"/>
      <c r="D24" s="30"/>
      <c r="E24" s="31"/>
      <c r="F24" s="19"/>
    </row>
    <row r="25" spans="1:6">
      <c r="A25" s="19"/>
      <c r="B25" s="28" t="s">
        <v>24</v>
      </c>
      <c r="C25" s="29"/>
      <c r="D25" s="30">
        <v>50</v>
      </c>
      <c r="E25" s="31">
        <v>50</v>
      </c>
      <c r="F25" s="19"/>
    </row>
    <row r="26" spans="1:6" s="27" customFormat="1" ht="30">
      <c r="A26" s="22">
        <v>2</v>
      </c>
      <c r="B26" s="23" t="s">
        <v>28</v>
      </c>
      <c r="C26" s="24"/>
      <c r="D26" s="25"/>
      <c r="E26" s="26"/>
      <c r="F26" s="22"/>
    </row>
    <row r="27" spans="1:6" hidden="1">
      <c r="A27" s="19"/>
      <c r="B27" s="28" t="s">
        <v>19</v>
      </c>
      <c r="C27" s="33"/>
      <c r="D27" s="30"/>
      <c r="E27" s="31"/>
      <c r="F27" s="19"/>
    </row>
    <row r="28" spans="1:6" ht="30" hidden="1">
      <c r="A28" s="19"/>
      <c r="B28" s="32" t="s">
        <v>29</v>
      </c>
      <c r="C28" s="29"/>
      <c r="D28" s="30"/>
      <c r="E28" s="31"/>
      <c r="F28" s="19"/>
    </row>
    <row r="29" spans="1:6" hidden="1">
      <c r="A29" s="19"/>
      <c r="B29" s="28" t="s">
        <v>21</v>
      </c>
      <c r="C29" s="33"/>
      <c r="D29" s="30"/>
      <c r="E29" s="31"/>
      <c r="F29" s="19"/>
    </row>
    <row r="30" spans="1:6" ht="30" hidden="1">
      <c r="A30" s="19"/>
      <c r="B30" s="32" t="s">
        <v>29</v>
      </c>
      <c r="C30" s="29"/>
      <c r="D30" s="30"/>
      <c r="E30" s="31"/>
      <c r="F30" s="19"/>
    </row>
    <row r="31" spans="1:6" hidden="1">
      <c r="A31" s="19"/>
      <c r="B31" s="28" t="s">
        <v>30</v>
      </c>
      <c r="C31" s="29"/>
      <c r="D31" s="30"/>
      <c r="E31" s="31"/>
      <c r="F31" s="19"/>
    </row>
    <row r="32" spans="1:6" hidden="1">
      <c r="A32" s="19"/>
      <c r="B32" s="28" t="s">
        <v>31</v>
      </c>
      <c r="C32" s="33"/>
      <c r="D32" s="30"/>
      <c r="E32" s="31"/>
      <c r="F32" s="19"/>
    </row>
    <row r="33" spans="1:6" ht="45" hidden="1">
      <c r="A33" s="19"/>
      <c r="B33" s="32" t="s">
        <v>23</v>
      </c>
      <c r="C33" s="29"/>
      <c r="D33" s="30"/>
      <c r="E33" s="31"/>
      <c r="F33" s="19"/>
    </row>
    <row r="34" spans="1:6" hidden="1">
      <c r="A34" s="19"/>
      <c r="B34" s="28" t="s">
        <v>24</v>
      </c>
      <c r="C34" s="33"/>
      <c r="D34" s="30"/>
      <c r="E34" s="31"/>
      <c r="F34" s="19"/>
    </row>
    <row r="35" spans="1:6" hidden="1">
      <c r="A35" s="19"/>
      <c r="B35" s="32" t="s">
        <v>25</v>
      </c>
      <c r="C35" s="29"/>
      <c r="D35" s="30"/>
      <c r="E35" s="31"/>
      <c r="F35" s="19"/>
    </row>
    <row r="36" spans="1:6" hidden="1">
      <c r="A36" s="19"/>
      <c r="B36" s="28" t="s">
        <v>32</v>
      </c>
      <c r="C36" s="29"/>
      <c r="D36" s="30"/>
      <c r="E36" s="31"/>
      <c r="F36" s="19"/>
    </row>
    <row r="37" spans="1:6" ht="30" hidden="1">
      <c r="A37" s="19"/>
      <c r="B37" s="32" t="s">
        <v>29</v>
      </c>
      <c r="C37" s="29"/>
      <c r="D37" s="30"/>
      <c r="E37" s="31"/>
      <c r="F37" s="19"/>
    </row>
    <row r="38" spans="1:6" s="27" customFormat="1">
      <c r="A38" s="22">
        <v>3</v>
      </c>
      <c r="B38" s="23" t="s">
        <v>33</v>
      </c>
      <c r="C38" s="24">
        <f>SUM(C39:C43)</f>
        <v>96582.052209999994</v>
      </c>
      <c r="D38" s="25">
        <f>D39+D40+D41+D43</f>
        <v>71500</v>
      </c>
      <c r="E38" s="26">
        <f>E39+E40+E41+E43</f>
        <v>73870</v>
      </c>
      <c r="F38" s="22">
        <f>F39+F40+F41+F43</f>
        <v>0</v>
      </c>
    </row>
    <row r="39" spans="1:6">
      <c r="A39" s="19"/>
      <c r="B39" s="28" t="s">
        <v>19</v>
      </c>
      <c r="C39" s="29">
        <v>95471.278682000004</v>
      </c>
      <c r="D39" s="30">
        <v>70620</v>
      </c>
      <c r="E39" s="31">
        <v>72886</v>
      </c>
      <c r="F39" s="19"/>
    </row>
    <row r="40" spans="1:6">
      <c r="A40" s="19"/>
      <c r="B40" s="28" t="s">
        <v>21</v>
      </c>
      <c r="C40" s="29">
        <v>211.22163599999999</v>
      </c>
      <c r="D40" s="30">
        <v>200</v>
      </c>
      <c r="E40" s="31">
        <v>298</v>
      </c>
      <c r="F40" s="19"/>
    </row>
    <row r="41" spans="1:6">
      <c r="A41" s="19"/>
      <c r="B41" s="28" t="s">
        <v>31</v>
      </c>
      <c r="C41" s="29">
        <v>33.875691000000003</v>
      </c>
      <c r="D41" s="30">
        <v>40</v>
      </c>
      <c r="E41" s="31">
        <v>18</v>
      </c>
      <c r="F41" s="19"/>
    </row>
    <row r="42" spans="1:6" ht="45">
      <c r="A42" s="19"/>
      <c r="B42" s="32" t="s">
        <v>23</v>
      </c>
      <c r="C42" s="29"/>
      <c r="D42" s="30"/>
      <c r="E42" s="31"/>
      <c r="F42" s="19"/>
    </row>
    <row r="43" spans="1:6">
      <c r="A43" s="19"/>
      <c r="B43" s="28" t="s">
        <v>24</v>
      </c>
      <c r="C43" s="29">
        <v>865.67620099999999</v>
      </c>
      <c r="D43" s="30">
        <v>640</v>
      </c>
      <c r="E43" s="31">
        <v>668</v>
      </c>
      <c r="F43" s="19"/>
    </row>
    <row r="44" spans="1:6" s="27" customFormat="1">
      <c r="A44" s="22">
        <v>4</v>
      </c>
      <c r="B44" s="23" t="s">
        <v>34</v>
      </c>
      <c r="C44" s="24">
        <v>3588.685974</v>
      </c>
      <c r="D44" s="25">
        <v>5500</v>
      </c>
      <c r="E44" s="26">
        <v>5500</v>
      </c>
      <c r="F44" s="22"/>
    </row>
    <row r="45" spans="1:6" s="27" customFormat="1">
      <c r="A45" s="22">
        <v>5</v>
      </c>
      <c r="B45" s="23" t="s">
        <v>35</v>
      </c>
      <c r="C45" s="24"/>
      <c r="D45" s="25"/>
      <c r="E45" s="26"/>
      <c r="F45" s="22"/>
    </row>
    <row r="46" spans="1:6">
      <c r="A46" s="19"/>
      <c r="B46" s="32" t="s">
        <v>36</v>
      </c>
      <c r="C46" s="29"/>
      <c r="D46" s="30"/>
      <c r="E46" s="31"/>
      <c r="F46" s="19"/>
    </row>
    <row r="47" spans="1:6">
      <c r="A47" s="19"/>
      <c r="B47" s="32" t="s">
        <v>37</v>
      </c>
      <c r="C47" s="29"/>
      <c r="D47" s="30"/>
      <c r="E47" s="31"/>
      <c r="F47" s="19"/>
    </row>
    <row r="48" spans="1:6" s="27" customFormat="1">
      <c r="A48" s="22">
        <v>6</v>
      </c>
      <c r="B48" s="23" t="s">
        <v>38</v>
      </c>
      <c r="C48" s="24">
        <v>3591.6485359999997</v>
      </c>
      <c r="D48" s="25">
        <v>4500</v>
      </c>
      <c r="E48" s="26">
        <v>4500</v>
      </c>
      <c r="F48" s="22"/>
    </row>
    <row r="49" spans="1:6" s="27" customFormat="1">
      <c r="A49" s="22">
        <v>7</v>
      </c>
      <c r="B49" s="23" t="s">
        <v>39</v>
      </c>
      <c r="C49" s="24">
        <v>1060.286844</v>
      </c>
      <c r="D49" s="25">
        <v>1250</v>
      </c>
      <c r="E49" s="26">
        <v>1256</v>
      </c>
      <c r="F49" s="22">
        <f>F50+F51+F52+F53</f>
        <v>0</v>
      </c>
    </row>
    <row r="50" spans="1:6">
      <c r="A50" s="19"/>
      <c r="B50" s="28" t="s">
        <v>40</v>
      </c>
      <c r="C50" s="29">
        <v>6</v>
      </c>
      <c r="D50" s="30"/>
      <c r="E50" s="31">
        <v>106</v>
      </c>
      <c r="F50" s="19"/>
    </row>
    <row r="51" spans="1:6">
      <c r="A51" s="19"/>
      <c r="B51" s="28" t="s">
        <v>41</v>
      </c>
      <c r="C51" s="29"/>
      <c r="D51" s="30"/>
      <c r="E51" s="31"/>
      <c r="F51" s="19"/>
    </row>
    <row r="52" spans="1:6">
      <c r="A52" s="19"/>
      <c r="B52" s="28" t="s">
        <v>42</v>
      </c>
      <c r="C52" s="29">
        <v>506.19484399999999</v>
      </c>
      <c r="D52" s="30">
        <v>1250</v>
      </c>
      <c r="E52" s="31">
        <v>1150</v>
      </c>
      <c r="F52" s="19"/>
    </row>
    <row r="53" spans="1:6">
      <c r="A53" s="19"/>
      <c r="B53" s="28" t="s">
        <v>43</v>
      </c>
      <c r="C53" s="29">
        <v>548.09199999999998</v>
      </c>
      <c r="D53" s="30"/>
      <c r="E53" s="31"/>
      <c r="F53" s="19"/>
    </row>
    <row r="54" spans="1:6" ht="30">
      <c r="A54" s="19"/>
      <c r="B54" s="32" t="s">
        <v>44</v>
      </c>
      <c r="C54" s="29">
        <v>455.75744400000002</v>
      </c>
      <c r="D54" s="30">
        <v>300</v>
      </c>
      <c r="E54" s="31">
        <v>300</v>
      </c>
      <c r="F54" s="19"/>
    </row>
    <row r="55" spans="1:6" s="27" customFormat="1" ht="30">
      <c r="A55" s="22">
        <v>8</v>
      </c>
      <c r="B55" s="23" t="s">
        <v>45</v>
      </c>
      <c r="C55" s="24">
        <f>SUM(C56:C60)+C63+C66+C69</f>
        <v>32570.810492000001</v>
      </c>
      <c r="D55" s="25">
        <f>SUM(D56:D60)+D63+D66+D69</f>
        <v>51750</v>
      </c>
      <c r="E55" s="26">
        <f>SUM(E56:E60)+E63+E66+E69</f>
        <v>37376</v>
      </c>
      <c r="F55" s="22">
        <f>SUM(F56:F60)+F63+F66+F69</f>
        <v>0</v>
      </c>
    </row>
    <row r="56" spans="1:6">
      <c r="A56" s="19"/>
      <c r="B56" s="28" t="s">
        <v>46</v>
      </c>
      <c r="C56" s="29"/>
      <c r="D56" s="30"/>
      <c r="E56" s="31"/>
      <c r="F56" s="19"/>
    </row>
    <row r="57" spans="1:6">
      <c r="A57" s="19"/>
      <c r="B57" s="28" t="s">
        <v>47</v>
      </c>
      <c r="C57" s="29">
        <v>16.72174</v>
      </c>
      <c r="D57" s="30">
        <v>30</v>
      </c>
      <c r="E57" s="31">
        <v>30</v>
      </c>
      <c r="F57" s="19"/>
    </row>
    <row r="58" spans="1:6">
      <c r="A58" s="19"/>
      <c r="B58" s="28" t="s">
        <v>48</v>
      </c>
      <c r="C58" s="29">
        <v>256.92678100000001</v>
      </c>
      <c r="D58" s="30">
        <v>1720</v>
      </c>
      <c r="E58" s="31">
        <v>1750</v>
      </c>
      <c r="F58" s="19"/>
    </row>
    <row r="59" spans="1:6">
      <c r="A59" s="19"/>
      <c r="B59" s="28" t="s">
        <v>49</v>
      </c>
      <c r="C59" s="29">
        <v>32297.161971000001</v>
      </c>
      <c r="D59" s="30">
        <v>50000</v>
      </c>
      <c r="E59" s="31">
        <v>35596</v>
      </c>
      <c r="F59" s="19"/>
    </row>
    <row r="60" spans="1:6">
      <c r="A60" s="19"/>
      <c r="B60" s="28" t="s">
        <v>50</v>
      </c>
      <c r="C60" s="29"/>
      <c r="D60" s="30"/>
      <c r="E60" s="31"/>
      <c r="F60" s="19"/>
    </row>
    <row r="61" spans="1:6" ht="30">
      <c r="A61" s="19"/>
      <c r="B61" s="32" t="s">
        <v>51</v>
      </c>
      <c r="C61" s="29"/>
      <c r="D61" s="30"/>
      <c r="E61" s="31"/>
      <c r="F61" s="19"/>
    </row>
    <row r="62" spans="1:6" ht="30">
      <c r="A62" s="19"/>
      <c r="B62" s="32" t="s">
        <v>52</v>
      </c>
      <c r="C62" s="29">
        <f>C59</f>
        <v>32297.161971000001</v>
      </c>
      <c r="D62" s="30"/>
      <c r="E62" s="31">
        <v>35596</v>
      </c>
      <c r="F62" s="19"/>
    </row>
    <row r="63" spans="1:6" ht="45">
      <c r="A63" s="19"/>
      <c r="B63" s="28" t="s">
        <v>53</v>
      </c>
      <c r="C63" s="29"/>
      <c r="D63" s="30"/>
      <c r="E63" s="31"/>
      <c r="F63" s="19"/>
    </row>
    <row r="64" spans="1:6" ht="30">
      <c r="A64" s="19"/>
      <c r="B64" s="32" t="s">
        <v>54</v>
      </c>
      <c r="C64" s="29"/>
      <c r="D64" s="30"/>
      <c r="E64" s="31"/>
      <c r="F64" s="19"/>
    </row>
    <row r="65" spans="1:6" ht="30">
      <c r="A65" s="19"/>
      <c r="B65" s="32" t="s">
        <v>55</v>
      </c>
      <c r="C65" s="29"/>
      <c r="D65" s="30"/>
      <c r="E65" s="31"/>
      <c r="F65" s="19"/>
    </row>
    <row r="66" spans="1:6" ht="45">
      <c r="A66" s="19"/>
      <c r="B66" s="28" t="s">
        <v>56</v>
      </c>
      <c r="C66" s="29"/>
      <c r="D66" s="30"/>
      <c r="E66" s="31"/>
      <c r="F66" s="19"/>
    </row>
    <row r="67" spans="1:6" ht="30">
      <c r="A67" s="19"/>
      <c r="B67" s="32" t="s">
        <v>57</v>
      </c>
      <c r="C67" s="29"/>
      <c r="D67" s="30"/>
      <c r="E67" s="31"/>
      <c r="F67" s="19"/>
    </row>
    <row r="68" spans="1:6" ht="30">
      <c r="A68" s="19"/>
      <c r="B68" s="32" t="s">
        <v>58</v>
      </c>
      <c r="C68" s="29"/>
      <c r="D68" s="30"/>
      <c r="E68" s="31"/>
      <c r="F68" s="19"/>
    </row>
    <row r="69" spans="1:6" ht="30">
      <c r="A69" s="19"/>
      <c r="B69" s="28" t="s">
        <v>59</v>
      </c>
      <c r="C69" s="29"/>
      <c r="D69" s="30"/>
      <c r="E69" s="31"/>
      <c r="F69" s="19"/>
    </row>
    <row r="70" spans="1:6" s="27" customFormat="1">
      <c r="A70" s="22">
        <v>9</v>
      </c>
      <c r="B70" s="23" t="s">
        <v>60</v>
      </c>
      <c r="C70" s="24"/>
      <c r="D70" s="25"/>
      <c r="E70" s="26"/>
      <c r="F70" s="22"/>
    </row>
    <row r="71" spans="1:6" s="27" customFormat="1">
      <c r="A71" s="22">
        <v>10</v>
      </c>
      <c r="B71" s="23" t="s">
        <v>61</v>
      </c>
      <c r="C71" s="24">
        <v>410.76355699999999</v>
      </c>
      <c r="D71" s="25">
        <v>1380</v>
      </c>
      <c r="E71" s="26">
        <v>1228</v>
      </c>
      <c r="F71" s="22"/>
    </row>
    <row r="72" spans="1:6" ht="30">
      <c r="A72" s="19"/>
      <c r="B72" s="32" t="s">
        <v>62</v>
      </c>
      <c r="C72" s="29"/>
      <c r="D72" s="30">
        <f>400+40</f>
        <v>440</v>
      </c>
      <c r="E72" s="31">
        <f>400+71</f>
        <v>471</v>
      </c>
      <c r="F72" s="19"/>
    </row>
    <row r="73" spans="1:6" s="27" customFormat="1">
      <c r="A73" s="22">
        <v>11</v>
      </c>
      <c r="B73" s="23" t="s">
        <v>63</v>
      </c>
      <c r="C73" s="24">
        <v>167.23264900000001</v>
      </c>
      <c r="D73" s="25">
        <v>50</v>
      </c>
      <c r="E73" s="26">
        <v>121</v>
      </c>
      <c r="F73" s="22"/>
    </row>
    <row r="74" spans="1:6" ht="30">
      <c r="A74" s="19"/>
      <c r="B74" s="32" t="s">
        <v>64</v>
      </c>
      <c r="C74" s="29"/>
      <c r="D74" s="30"/>
      <c r="E74" s="31"/>
      <c r="F74" s="19"/>
    </row>
    <row r="75" spans="1:6">
      <c r="A75" s="19"/>
      <c r="B75" s="32" t="s">
        <v>65</v>
      </c>
      <c r="C75" s="29">
        <f>C73</f>
        <v>167.23264900000001</v>
      </c>
      <c r="D75" s="30">
        <v>50</v>
      </c>
      <c r="E75" s="31">
        <v>121</v>
      </c>
      <c r="F75" s="19"/>
    </row>
    <row r="76" spans="1:6" s="27" customFormat="1" ht="30">
      <c r="A76" s="22">
        <v>12</v>
      </c>
      <c r="B76" s="23" t="s">
        <v>66</v>
      </c>
      <c r="C76" s="24"/>
      <c r="D76" s="25"/>
      <c r="E76" s="26"/>
      <c r="F76" s="22"/>
    </row>
    <row r="77" spans="1:6" s="27" customFormat="1" ht="30">
      <c r="A77" s="22">
        <v>13</v>
      </c>
      <c r="B77" s="23" t="s">
        <v>67</v>
      </c>
      <c r="C77" s="24">
        <f>C78+C79</f>
        <v>0</v>
      </c>
      <c r="D77" s="25">
        <f>D78+D79</f>
        <v>0</v>
      </c>
      <c r="E77" s="26">
        <f>E78+E79</f>
        <v>0</v>
      </c>
      <c r="F77" s="22">
        <f>F78+F79</f>
        <v>0</v>
      </c>
    </row>
    <row r="78" spans="1:6">
      <c r="A78" s="19"/>
      <c r="B78" s="28" t="s">
        <v>68</v>
      </c>
      <c r="C78" s="29"/>
      <c r="D78" s="30"/>
      <c r="E78" s="31"/>
      <c r="F78" s="19"/>
    </row>
    <row r="79" spans="1:6">
      <c r="A79" s="19"/>
      <c r="B79" s="28" t="s">
        <v>69</v>
      </c>
      <c r="C79" s="29"/>
      <c r="D79" s="30"/>
      <c r="E79" s="31"/>
      <c r="F79" s="19"/>
    </row>
    <row r="80" spans="1:6">
      <c r="A80" s="17" t="s">
        <v>70</v>
      </c>
      <c r="B80" s="21" t="s">
        <v>71</v>
      </c>
      <c r="C80" s="29"/>
      <c r="D80" s="30"/>
      <c r="E80" s="31"/>
      <c r="F80" s="19"/>
    </row>
    <row r="81" spans="1:6">
      <c r="A81" s="34"/>
      <c r="B81" s="35"/>
      <c r="C81" s="36"/>
      <c r="D81" s="37"/>
      <c r="E81" s="38"/>
      <c r="F81" s="34"/>
    </row>
    <row r="82" spans="1:6">
      <c r="A82" s="1"/>
      <c r="B82"/>
      <c r="C82" s="6"/>
      <c r="D82" s="7"/>
      <c r="E82" s="8"/>
      <c r="F82"/>
    </row>
    <row r="83" spans="1:6">
      <c r="A83" s="591"/>
      <c r="B83" s="39"/>
      <c r="C83" s="6"/>
      <c r="D83" s="592" t="s">
        <v>72</v>
      </c>
      <c r="E83" s="592"/>
      <c r="F83" s="592"/>
    </row>
    <row r="84" spans="1:6">
      <c r="A84" s="591"/>
      <c r="B84" s="40"/>
      <c r="C84" s="6"/>
      <c r="D84" s="593" t="s">
        <v>73</v>
      </c>
      <c r="E84" s="593"/>
      <c r="F84" s="593"/>
    </row>
    <row r="85" spans="1:6">
      <c r="A85" s="591"/>
      <c r="B85" s="39"/>
      <c r="C85" s="6"/>
      <c r="D85" s="592" t="s">
        <v>74</v>
      </c>
      <c r="E85" s="592"/>
      <c r="F85" s="592"/>
    </row>
  </sheetData>
  <mergeCells count="11">
    <mergeCell ref="A83:A85"/>
    <mergeCell ref="D83:F83"/>
    <mergeCell ref="D84:F84"/>
    <mergeCell ref="D85:F85"/>
    <mergeCell ref="E1:F1"/>
    <mergeCell ref="A3:F3"/>
    <mergeCell ref="A6:A7"/>
    <mergeCell ref="B6:B7"/>
    <mergeCell ref="C6:C7"/>
    <mergeCell ref="D6:E6"/>
    <mergeCell ref="F6:F7"/>
  </mergeCells>
  <hyperlinks>
    <hyperlink ref="E1:F1" location="'PL tong hop'!A1" display="Mẫu biểu số 01/TT342"/>
  </hyperlinks>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7"/>
  <sheetViews>
    <sheetView workbookViewId="0">
      <pane xSplit="9" ySplit="7" topLeftCell="J14" activePane="bottomRight" state="frozen"/>
      <selection pane="topRight" activeCell="J1" sqref="J1"/>
      <selection pane="bottomLeft" activeCell="A8" sqref="A8"/>
      <selection pane="bottomRight" activeCell="F17" sqref="F17"/>
    </sheetView>
  </sheetViews>
  <sheetFormatPr defaultColWidth="9.140625" defaultRowHeight="15"/>
  <cols>
    <col min="1" max="1" width="5.28515625" style="49" customWidth="1"/>
    <col min="2" max="2" width="28.7109375" style="48" customWidth="1"/>
    <col min="3" max="3" width="12.42578125" style="48" customWidth="1"/>
    <col min="4" max="4" width="10.140625" style="48" bestFit="1" customWidth="1"/>
    <col min="5" max="5" width="10.28515625" style="48" customWidth="1"/>
    <col min="6" max="6" width="10.140625" style="48" bestFit="1" customWidth="1"/>
    <col min="7" max="8" width="9.28515625" style="48" bestFit="1" customWidth="1"/>
    <col min="9" max="9" width="10.140625" style="48" bestFit="1" customWidth="1"/>
    <col min="10" max="10" width="11.28515625" style="49" bestFit="1" customWidth="1"/>
    <col min="11" max="11" width="10.140625" style="49" bestFit="1" customWidth="1"/>
    <col min="12" max="12" width="9.42578125" style="49" bestFit="1" customWidth="1"/>
    <col min="13" max="13" width="11.28515625" style="49" bestFit="1" customWidth="1"/>
    <col min="14" max="17" width="9.42578125" style="49" bestFit="1" customWidth="1"/>
    <col min="18" max="23" width="9.28515625" style="48" bestFit="1" customWidth="1"/>
    <col min="24" max="16384" width="9.140625" style="48"/>
  </cols>
  <sheetData>
    <row r="1" spans="1:23" s="45" customFormat="1" hidden="1">
      <c r="A1" s="44" t="s">
        <v>0</v>
      </c>
      <c r="J1" s="46"/>
      <c r="K1" s="46"/>
      <c r="L1" s="46"/>
      <c r="M1" s="46"/>
      <c r="N1" s="46"/>
      <c r="O1" s="46"/>
      <c r="P1" s="46"/>
      <c r="Q1" s="46"/>
      <c r="U1" s="600" t="s">
        <v>75</v>
      </c>
      <c r="V1" s="600"/>
      <c r="W1" s="600"/>
    </row>
    <row r="2" spans="1:23" hidden="1">
      <c r="A2" s="47"/>
    </row>
    <row r="3" spans="1:23">
      <c r="A3" s="601" t="s">
        <v>76</v>
      </c>
      <c r="B3" s="601"/>
      <c r="C3" s="601"/>
      <c r="D3" s="601"/>
      <c r="E3" s="601"/>
      <c r="F3" s="601"/>
      <c r="G3" s="601"/>
      <c r="H3" s="601"/>
      <c r="I3" s="601"/>
      <c r="J3" s="601"/>
      <c r="K3" s="601"/>
      <c r="L3" s="601"/>
      <c r="M3" s="601"/>
      <c r="N3" s="601"/>
      <c r="O3" s="601"/>
      <c r="P3" s="601"/>
      <c r="Q3" s="601"/>
      <c r="R3" s="601"/>
      <c r="S3" s="601"/>
      <c r="T3" s="601"/>
      <c r="U3" s="601"/>
      <c r="V3" s="601"/>
      <c r="W3" s="601"/>
    </row>
    <row r="4" spans="1:23">
      <c r="A4" s="50"/>
      <c r="B4" s="51"/>
      <c r="C4" s="51"/>
      <c r="D4" s="51"/>
      <c r="E4" s="51"/>
      <c r="F4" s="51"/>
      <c r="G4" s="51"/>
      <c r="H4" s="51"/>
      <c r="I4" s="51"/>
      <c r="J4" s="50"/>
      <c r="K4" s="50"/>
      <c r="L4" s="50"/>
      <c r="M4" s="50"/>
      <c r="N4" s="50"/>
      <c r="O4" s="50"/>
      <c r="P4" s="50"/>
      <c r="Q4" s="50"/>
      <c r="R4" s="51"/>
      <c r="S4" s="51"/>
      <c r="T4" s="51"/>
      <c r="U4" s="51"/>
      <c r="V4" s="51"/>
      <c r="W4" s="52" t="s">
        <v>3</v>
      </c>
    </row>
    <row r="5" spans="1:23">
      <c r="A5" s="602" t="s">
        <v>4</v>
      </c>
      <c r="B5" s="604" t="s">
        <v>5</v>
      </c>
      <c r="C5" s="604" t="s">
        <v>77</v>
      </c>
      <c r="D5" s="604"/>
      <c r="E5" s="604"/>
      <c r="F5" s="604"/>
      <c r="G5" s="604"/>
      <c r="H5" s="604"/>
      <c r="I5" s="604"/>
      <c r="J5" s="602" t="s">
        <v>78</v>
      </c>
      <c r="K5" s="602"/>
      <c r="L5" s="602"/>
      <c r="M5" s="602"/>
      <c r="N5" s="602"/>
      <c r="O5" s="602"/>
      <c r="P5" s="602"/>
      <c r="Q5" s="604" t="s">
        <v>8</v>
      </c>
      <c r="R5" s="604"/>
      <c r="S5" s="604"/>
      <c r="T5" s="604"/>
      <c r="U5" s="604"/>
      <c r="V5" s="604"/>
      <c r="W5" s="604"/>
    </row>
    <row r="6" spans="1:23">
      <c r="A6" s="603"/>
      <c r="B6" s="605"/>
      <c r="C6" s="605" t="s">
        <v>79</v>
      </c>
      <c r="D6" s="605" t="s">
        <v>80</v>
      </c>
      <c r="E6" s="605"/>
      <c r="F6" s="605"/>
      <c r="G6" s="605"/>
      <c r="H6" s="605"/>
      <c r="I6" s="605"/>
      <c r="J6" s="603" t="s">
        <v>79</v>
      </c>
      <c r="K6" s="603" t="s">
        <v>80</v>
      </c>
      <c r="L6" s="603"/>
      <c r="M6" s="603"/>
      <c r="N6" s="603"/>
      <c r="O6" s="603"/>
      <c r="P6" s="603"/>
      <c r="Q6" s="603" t="s">
        <v>81</v>
      </c>
      <c r="R6" s="605" t="s">
        <v>80</v>
      </c>
      <c r="S6" s="605"/>
      <c r="T6" s="605"/>
      <c r="U6" s="605"/>
      <c r="V6" s="605"/>
      <c r="W6" s="605"/>
    </row>
    <row r="7" spans="1:23" ht="57">
      <c r="A7" s="603"/>
      <c r="B7" s="605"/>
      <c r="C7" s="605"/>
      <c r="D7" s="53" t="s">
        <v>82</v>
      </c>
      <c r="E7" s="53" t="s">
        <v>83</v>
      </c>
      <c r="F7" s="53" t="s">
        <v>84</v>
      </c>
      <c r="G7" s="53" t="s">
        <v>71</v>
      </c>
      <c r="H7" s="53" t="s">
        <v>85</v>
      </c>
      <c r="I7" s="53" t="s">
        <v>86</v>
      </c>
      <c r="J7" s="603"/>
      <c r="K7" s="16" t="s">
        <v>82</v>
      </c>
      <c r="L7" s="16" t="s">
        <v>83</v>
      </c>
      <c r="M7" s="16" t="s">
        <v>84</v>
      </c>
      <c r="N7" s="16" t="s">
        <v>71</v>
      </c>
      <c r="O7" s="16" t="s">
        <v>85</v>
      </c>
      <c r="P7" s="16" t="s">
        <v>86</v>
      </c>
      <c r="Q7" s="603"/>
      <c r="R7" s="53" t="s">
        <v>82</v>
      </c>
      <c r="S7" s="53" t="s">
        <v>83</v>
      </c>
      <c r="T7" s="53" t="s">
        <v>84</v>
      </c>
      <c r="U7" s="53" t="s">
        <v>71</v>
      </c>
      <c r="V7" s="53" t="s">
        <v>85</v>
      </c>
      <c r="W7" s="53" t="s">
        <v>86</v>
      </c>
    </row>
    <row r="8" spans="1:23">
      <c r="A8" s="31" t="s">
        <v>11</v>
      </c>
      <c r="B8" s="54" t="s">
        <v>12</v>
      </c>
      <c r="C8" s="54">
        <v>1</v>
      </c>
      <c r="D8" s="54">
        <v>2</v>
      </c>
      <c r="E8" s="54">
        <v>3</v>
      </c>
      <c r="F8" s="54">
        <v>4</v>
      </c>
      <c r="G8" s="54">
        <v>5</v>
      </c>
      <c r="H8" s="54">
        <v>6</v>
      </c>
      <c r="I8" s="54">
        <v>7</v>
      </c>
      <c r="J8" s="31">
        <v>8</v>
      </c>
      <c r="K8" s="31">
        <v>9</v>
      </c>
      <c r="L8" s="31">
        <v>10</v>
      </c>
      <c r="M8" s="31">
        <v>11</v>
      </c>
      <c r="N8" s="31">
        <v>12</v>
      </c>
      <c r="O8" s="31">
        <v>13</v>
      </c>
      <c r="P8" s="31">
        <v>14</v>
      </c>
      <c r="Q8" s="31">
        <v>15</v>
      </c>
      <c r="R8" s="54">
        <v>16</v>
      </c>
      <c r="S8" s="54">
        <v>17</v>
      </c>
      <c r="T8" s="54">
        <v>18</v>
      </c>
      <c r="U8" s="54">
        <v>19</v>
      </c>
      <c r="V8" s="54">
        <v>20</v>
      </c>
      <c r="W8" s="54">
        <v>21</v>
      </c>
    </row>
    <row r="9" spans="1:23">
      <c r="A9" s="31"/>
      <c r="B9" s="53" t="s">
        <v>13</v>
      </c>
      <c r="C9" s="53">
        <f>C10+C17+C20+C23+C29</f>
        <v>144370</v>
      </c>
      <c r="D9" s="53">
        <f t="shared" ref="D9:W9" si="0">D10+D17+D20+D23+D29</f>
        <v>13940</v>
      </c>
      <c r="E9" s="53">
        <f t="shared" si="0"/>
        <v>0</v>
      </c>
      <c r="F9" s="53">
        <f t="shared" si="0"/>
        <v>71500</v>
      </c>
      <c r="G9" s="53">
        <f t="shared" si="0"/>
        <v>0</v>
      </c>
      <c r="H9" s="53">
        <f t="shared" si="0"/>
        <v>0</v>
      </c>
      <c r="I9" s="53">
        <f t="shared" si="0"/>
        <v>58930</v>
      </c>
      <c r="J9" s="16">
        <f t="shared" si="0"/>
        <v>132541</v>
      </c>
      <c r="K9" s="16">
        <f t="shared" si="0"/>
        <v>14190</v>
      </c>
      <c r="L9" s="16">
        <f t="shared" si="0"/>
        <v>0</v>
      </c>
      <c r="M9" s="16">
        <f t="shared" si="0"/>
        <v>73870</v>
      </c>
      <c r="N9" s="16">
        <f t="shared" si="0"/>
        <v>0</v>
      </c>
      <c r="O9" s="16">
        <f t="shared" si="0"/>
        <v>0</v>
      </c>
      <c r="P9" s="16">
        <f t="shared" si="0"/>
        <v>44481</v>
      </c>
      <c r="Q9" s="16">
        <f t="shared" si="0"/>
        <v>0</v>
      </c>
      <c r="R9" s="53">
        <f t="shared" si="0"/>
        <v>0</v>
      </c>
      <c r="S9" s="53">
        <f t="shared" si="0"/>
        <v>0</v>
      </c>
      <c r="T9" s="53">
        <f t="shared" si="0"/>
        <v>0</v>
      </c>
      <c r="U9" s="53">
        <f t="shared" si="0"/>
        <v>0</v>
      </c>
      <c r="V9" s="53">
        <f t="shared" si="0"/>
        <v>0</v>
      </c>
      <c r="W9" s="53">
        <f t="shared" si="0"/>
        <v>0</v>
      </c>
    </row>
    <row r="10" spans="1:23">
      <c r="A10" s="16" t="s">
        <v>14</v>
      </c>
      <c r="B10" s="55" t="s">
        <v>87</v>
      </c>
      <c r="C10" s="53">
        <f>SUM(C11:C16)</f>
        <v>85440</v>
      </c>
      <c r="D10" s="53">
        <f t="shared" ref="D10:W10" si="1">SUM(D11:D16)</f>
        <v>13940</v>
      </c>
      <c r="E10" s="53">
        <f t="shared" si="1"/>
        <v>0</v>
      </c>
      <c r="F10" s="53">
        <f t="shared" si="1"/>
        <v>71500</v>
      </c>
      <c r="G10" s="53">
        <f t="shared" si="1"/>
        <v>0</v>
      </c>
      <c r="H10" s="53">
        <f t="shared" si="1"/>
        <v>0</v>
      </c>
      <c r="I10" s="53">
        <f t="shared" si="1"/>
        <v>0</v>
      </c>
      <c r="J10" s="16">
        <f t="shared" si="1"/>
        <v>88060</v>
      </c>
      <c r="K10" s="16">
        <f t="shared" si="1"/>
        <v>14190</v>
      </c>
      <c r="L10" s="16">
        <f t="shared" si="1"/>
        <v>0</v>
      </c>
      <c r="M10" s="16">
        <f t="shared" si="1"/>
        <v>73870</v>
      </c>
      <c r="N10" s="16">
        <f t="shared" si="1"/>
        <v>0</v>
      </c>
      <c r="O10" s="16">
        <f t="shared" si="1"/>
        <v>0</v>
      </c>
      <c r="P10" s="16">
        <f t="shared" si="1"/>
        <v>0</v>
      </c>
      <c r="Q10" s="16">
        <f t="shared" si="1"/>
        <v>0</v>
      </c>
      <c r="R10" s="53">
        <f t="shared" si="1"/>
        <v>0</v>
      </c>
      <c r="S10" s="53">
        <f t="shared" si="1"/>
        <v>0</v>
      </c>
      <c r="T10" s="53">
        <f t="shared" si="1"/>
        <v>0</v>
      </c>
      <c r="U10" s="53">
        <f t="shared" si="1"/>
        <v>0</v>
      </c>
      <c r="V10" s="53">
        <f t="shared" si="1"/>
        <v>0</v>
      </c>
      <c r="W10" s="53">
        <f t="shared" si="1"/>
        <v>0</v>
      </c>
    </row>
    <row r="11" spans="1:23" ht="30">
      <c r="A11" s="31">
        <v>1</v>
      </c>
      <c r="B11" s="56" t="s">
        <v>88</v>
      </c>
      <c r="C11" s="54">
        <f>SUM(D11:I11)</f>
        <v>78860</v>
      </c>
      <c r="D11" s="54">
        <f>8070+170</f>
        <v>8240</v>
      </c>
      <c r="E11" s="54">
        <f>0</f>
        <v>0</v>
      </c>
      <c r="F11" s="54">
        <f>70620</f>
        <v>70620</v>
      </c>
      <c r="G11" s="54"/>
      <c r="H11" s="54"/>
      <c r="I11" s="54"/>
      <c r="J11" s="31">
        <f>SUM(K11:P11)</f>
        <v>81256</v>
      </c>
      <c r="K11" s="31">
        <f>8070+300</f>
        <v>8370</v>
      </c>
      <c r="L11" s="31">
        <f>0</f>
        <v>0</v>
      </c>
      <c r="M11" s="31">
        <f>72886</f>
        <v>72886</v>
      </c>
      <c r="N11" s="31"/>
      <c r="O11" s="31"/>
      <c r="P11" s="31"/>
      <c r="Q11" s="31">
        <f>SUM(R11:W11)</f>
        <v>0</v>
      </c>
      <c r="R11" s="54"/>
      <c r="S11" s="54"/>
      <c r="T11" s="54"/>
      <c r="U11" s="54"/>
      <c r="V11" s="54"/>
      <c r="W11" s="54"/>
    </row>
    <row r="12" spans="1:23" ht="30">
      <c r="A12" s="31">
        <v>2</v>
      </c>
      <c r="B12" s="56" t="s">
        <v>89</v>
      </c>
      <c r="C12" s="54">
        <f t="shared" ref="C12:C19" si="2">SUM(D12:I12)</f>
        <v>40</v>
      </c>
      <c r="D12" s="54">
        <f>0</f>
        <v>0</v>
      </c>
      <c r="E12" s="54"/>
      <c r="F12" s="54">
        <f>40</f>
        <v>40</v>
      </c>
      <c r="G12" s="54"/>
      <c r="H12" s="54"/>
      <c r="I12" s="54"/>
      <c r="J12" s="31">
        <f t="shared" ref="J12:J32" si="3">SUM(K12:P12)</f>
        <v>18</v>
      </c>
      <c r="K12" s="31"/>
      <c r="L12" s="31"/>
      <c r="M12" s="31">
        <v>18</v>
      </c>
      <c r="N12" s="31"/>
      <c r="O12" s="31"/>
      <c r="P12" s="31"/>
      <c r="Q12" s="31">
        <f t="shared" ref="Q12:Q32" si="4">SUM(R12:W12)</f>
        <v>0</v>
      </c>
      <c r="R12" s="54"/>
      <c r="S12" s="54"/>
      <c r="T12" s="54"/>
      <c r="U12" s="54"/>
      <c r="V12" s="54"/>
      <c r="W12" s="54"/>
    </row>
    <row r="13" spans="1:23" ht="30">
      <c r="A13" s="31">
        <v>3</v>
      </c>
      <c r="B13" s="56" t="s">
        <v>90</v>
      </c>
      <c r="C13" s="54">
        <f t="shared" si="2"/>
        <v>0</v>
      </c>
      <c r="D13" s="54">
        <f>0</f>
        <v>0</v>
      </c>
      <c r="E13" s="54"/>
      <c r="F13" s="54">
        <f>0</f>
        <v>0</v>
      </c>
      <c r="G13" s="54"/>
      <c r="H13" s="54"/>
      <c r="I13" s="54"/>
      <c r="J13" s="31">
        <f t="shared" si="3"/>
        <v>0</v>
      </c>
      <c r="K13" s="31"/>
      <c r="L13" s="31"/>
      <c r="M13" s="31"/>
      <c r="N13" s="31"/>
      <c r="O13" s="31"/>
      <c r="P13" s="31"/>
      <c r="Q13" s="31">
        <f t="shared" si="4"/>
        <v>0</v>
      </c>
      <c r="R13" s="54"/>
      <c r="S13" s="54"/>
      <c r="T13" s="54"/>
      <c r="U13" s="54"/>
      <c r="V13" s="54"/>
      <c r="W13" s="54"/>
    </row>
    <row r="14" spans="1:23">
      <c r="A14" s="31">
        <v>4</v>
      </c>
      <c r="B14" s="56" t="s">
        <v>91</v>
      </c>
      <c r="C14" s="54">
        <f t="shared" si="2"/>
        <v>330</v>
      </c>
      <c r="D14" s="54">
        <f>0+130</f>
        <v>130</v>
      </c>
      <c r="E14" s="54"/>
      <c r="F14" s="54">
        <f>200</f>
        <v>200</v>
      </c>
      <c r="G14" s="54"/>
      <c r="H14" s="54"/>
      <c r="I14" s="54"/>
      <c r="J14" s="31">
        <f t="shared" si="3"/>
        <v>548</v>
      </c>
      <c r="K14" s="31">
        <v>250</v>
      </c>
      <c r="L14" s="31"/>
      <c r="M14" s="31">
        <v>298</v>
      </c>
      <c r="N14" s="31"/>
      <c r="O14" s="31"/>
      <c r="P14" s="31"/>
      <c r="Q14" s="31">
        <f t="shared" si="4"/>
        <v>0</v>
      </c>
      <c r="R14" s="54"/>
      <c r="S14" s="54"/>
      <c r="T14" s="54"/>
      <c r="U14" s="54"/>
      <c r="V14" s="54"/>
      <c r="W14" s="54"/>
    </row>
    <row r="15" spans="1:23">
      <c r="A15" s="31">
        <v>5</v>
      </c>
      <c r="B15" s="56" t="s">
        <v>34</v>
      </c>
      <c r="C15" s="54">
        <f t="shared" si="2"/>
        <v>5500</v>
      </c>
      <c r="D15" s="54">
        <v>5500</v>
      </c>
      <c r="E15" s="54"/>
      <c r="F15" s="54"/>
      <c r="G15" s="54"/>
      <c r="H15" s="54"/>
      <c r="I15" s="54"/>
      <c r="J15" s="31">
        <f t="shared" si="3"/>
        <v>5500</v>
      </c>
      <c r="K15" s="31">
        <v>5500</v>
      </c>
      <c r="L15" s="31"/>
      <c r="M15" s="31"/>
      <c r="N15" s="31"/>
      <c r="O15" s="31"/>
      <c r="P15" s="31"/>
      <c r="Q15" s="31">
        <f t="shared" si="4"/>
        <v>0</v>
      </c>
      <c r="R15" s="54"/>
      <c r="S15" s="54"/>
      <c r="T15" s="54"/>
      <c r="U15" s="54"/>
      <c r="V15" s="54"/>
      <c r="W15" s="54"/>
    </row>
    <row r="16" spans="1:23">
      <c r="A16" s="31">
        <v>6</v>
      </c>
      <c r="B16" s="56" t="s">
        <v>92</v>
      </c>
      <c r="C16" s="54">
        <f t="shared" si="2"/>
        <v>710</v>
      </c>
      <c r="D16" s="54">
        <f>20+50</f>
        <v>70</v>
      </c>
      <c r="E16" s="54"/>
      <c r="F16" s="54">
        <f>640</f>
        <v>640</v>
      </c>
      <c r="G16" s="54"/>
      <c r="H16" s="54"/>
      <c r="I16" s="54"/>
      <c r="J16" s="31">
        <f t="shared" si="3"/>
        <v>738</v>
      </c>
      <c r="K16" s="31">
        <f>20+50</f>
        <v>70</v>
      </c>
      <c r="L16" s="31"/>
      <c r="M16" s="31">
        <f>668</f>
        <v>668</v>
      </c>
      <c r="N16" s="31"/>
      <c r="O16" s="31"/>
      <c r="P16" s="31"/>
      <c r="Q16" s="31">
        <f t="shared" si="4"/>
        <v>0</v>
      </c>
      <c r="R16" s="54"/>
      <c r="S16" s="54"/>
      <c r="T16" s="54"/>
      <c r="U16" s="54"/>
      <c r="V16" s="54"/>
      <c r="W16" s="54"/>
    </row>
    <row r="17" spans="1:23">
      <c r="A17" s="16" t="s">
        <v>70</v>
      </c>
      <c r="B17" s="55" t="s">
        <v>93</v>
      </c>
      <c r="C17" s="53">
        <f>C18+C19</f>
        <v>5750</v>
      </c>
      <c r="D17" s="53">
        <f t="shared" ref="D17:W17" si="5">D18+D19</f>
        <v>0</v>
      </c>
      <c r="E17" s="53">
        <f t="shared" si="5"/>
        <v>0</v>
      </c>
      <c r="F17" s="53">
        <f t="shared" si="5"/>
        <v>0</v>
      </c>
      <c r="G17" s="53">
        <f t="shared" si="5"/>
        <v>0</v>
      </c>
      <c r="H17" s="53">
        <f t="shared" si="5"/>
        <v>0</v>
      </c>
      <c r="I17" s="53">
        <f t="shared" si="5"/>
        <v>5750</v>
      </c>
      <c r="J17" s="16">
        <f t="shared" si="5"/>
        <v>5756</v>
      </c>
      <c r="K17" s="16">
        <f t="shared" si="5"/>
        <v>0</v>
      </c>
      <c r="L17" s="16">
        <f t="shared" si="5"/>
        <v>0</v>
      </c>
      <c r="M17" s="16">
        <f t="shared" si="5"/>
        <v>0</v>
      </c>
      <c r="N17" s="16">
        <f t="shared" si="5"/>
        <v>0</v>
      </c>
      <c r="O17" s="16">
        <f t="shared" si="5"/>
        <v>0</v>
      </c>
      <c r="P17" s="16">
        <f t="shared" si="5"/>
        <v>5756</v>
      </c>
      <c r="Q17" s="16">
        <f t="shared" si="5"/>
        <v>0</v>
      </c>
      <c r="R17" s="53">
        <f t="shared" si="5"/>
        <v>0</v>
      </c>
      <c r="S17" s="53">
        <f t="shared" si="5"/>
        <v>0</v>
      </c>
      <c r="T17" s="53">
        <f t="shared" si="5"/>
        <v>0</v>
      </c>
      <c r="U17" s="53">
        <f t="shared" si="5"/>
        <v>0</v>
      </c>
      <c r="V17" s="53">
        <f t="shared" si="5"/>
        <v>0</v>
      </c>
      <c r="W17" s="53">
        <f t="shared" si="5"/>
        <v>0</v>
      </c>
    </row>
    <row r="18" spans="1:23">
      <c r="A18" s="31">
        <v>1</v>
      </c>
      <c r="B18" s="56" t="s">
        <v>38</v>
      </c>
      <c r="C18" s="54">
        <f t="shared" si="2"/>
        <v>4500</v>
      </c>
      <c r="D18" s="54"/>
      <c r="E18" s="54"/>
      <c r="F18" s="54"/>
      <c r="G18" s="54"/>
      <c r="H18" s="54"/>
      <c r="I18" s="54">
        <v>4500</v>
      </c>
      <c r="J18" s="31">
        <f t="shared" si="3"/>
        <v>4500</v>
      </c>
      <c r="K18" s="31"/>
      <c r="L18" s="31"/>
      <c r="M18" s="31"/>
      <c r="N18" s="31"/>
      <c r="O18" s="31"/>
      <c r="P18" s="31">
        <v>4500</v>
      </c>
      <c r="Q18" s="31">
        <f t="shared" si="4"/>
        <v>0</v>
      </c>
      <c r="R18" s="54"/>
      <c r="S18" s="54"/>
      <c r="T18" s="54"/>
      <c r="U18" s="54"/>
      <c r="V18" s="54"/>
      <c r="W18" s="54"/>
    </row>
    <row r="19" spans="1:23">
      <c r="A19" s="31">
        <v>2</v>
      </c>
      <c r="B19" s="56" t="s">
        <v>39</v>
      </c>
      <c r="C19" s="54">
        <f t="shared" si="2"/>
        <v>1250</v>
      </c>
      <c r="D19" s="54"/>
      <c r="E19" s="54"/>
      <c r="F19" s="54"/>
      <c r="G19" s="54"/>
      <c r="H19" s="54"/>
      <c r="I19" s="54">
        <v>1250</v>
      </c>
      <c r="J19" s="31">
        <f t="shared" si="3"/>
        <v>1256</v>
      </c>
      <c r="K19" s="31"/>
      <c r="L19" s="31"/>
      <c r="M19" s="31"/>
      <c r="N19" s="31"/>
      <c r="O19" s="31"/>
      <c r="P19" s="31">
        <v>1256</v>
      </c>
      <c r="Q19" s="31">
        <f t="shared" si="4"/>
        <v>0</v>
      </c>
      <c r="R19" s="54"/>
      <c r="S19" s="54"/>
      <c r="T19" s="54"/>
      <c r="U19" s="54"/>
      <c r="V19" s="54"/>
      <c r="W19" s="54"/>
    </row>
    <row r="20" spans="1:23" ht="57">
      <c r="A20" s="16" t="s">
        <v>94</v>
      </c>
      <c r="B20" s="55" t="s">
        <v>95</v>
      </c>
      <c r="C20" s="53">
        <f>C21+C22</f>
        <v>0</v>
      </c>
      <c r="D20" s="53">
        <f t="shared" ref="D20:W20" si="6">D21+D22</f>
        <v>0</v>
      </c>
      <c r="E20" s="53">
        <f t="shared" si="6"/>
        <v>0</v>
      </c>
      <c r="F20" s="53">
        <f t="shared" si="6"/>
        <v>0</v>
      </c>
      <c r="G20" s="53">
        <f t="shared" si="6"/>
        <v>0</v>
      </c>
      <c r="H20" s="53">
        <f t="shared" si="6"/>
        <v>0</v>
      </c>
      <c r="I20" s="53">
        <f t="shared" si="6"/>
        <v>0</v>
      </c>
      <c r="J20" s="16">
        <f t="shared" si="6"/>
        <v>0</v>
      </c>
      <c r="K20" s="16">
        <f t="shared" si="6"/>
        <v>0</v>
      </c>
      <c r="L20" s="16">
        <f t="shared" si="6"/>
        <v>0</v>
      </c>
      <c r="M20" s="16">
        <f t="shared" si="6"/>
        <v>0</v>
      </c>
      <c r="N20" s="16">
        <f t="shared" si="6"/>
        <v>0</v>
      </c>
      <c r="O20" s="16">
        <f t="shared" si="6"/>
        <v>0</v>
      </c>
      <c r="P20" s="16">
        <f t="shared" si="6"/>
        <v>0</v>
      </c>
      <c r="Q20" s="16">
        <f t="shared" si="6"/>
        <v>0</v>
      </c>
      <c r="R20" s="53">
        <f t="shared" si="6"/>
        <v>0</v>
      </c>
      <c r="S20" s="53">
        <f t="shared" si="6"/>
        <v>0</v>
      </c>
      <c r="T20" s="53">
        <f t="shared" si="6"/>
        <v>0</v>
      </c>
      <c r="U20" s="53">
        <f t="shared" si="6"/>
        <v>0</v>
      </c>
      <c r="V20" s="53">
        <f t="shared" si="6"/>
        <v>0</v>
      </c>
      <c r="W20" s="53">
        <f t="shared" si="6"/>
        <v>0</v>
      </c>
    </row>
    <row r="21" spans="1:23" ht="30">
      <c r="A21" s="31">
        <v>1</v>
      </c>
      <c r="B21" s="56" t="s">
        <v>96</v>
      </c>
      <c r="C21" s="54">
        <f>SUM(D21:I21)</f>
        <v>0</v>
      </c>
      <c r="D21" s="54"/>
      <c r="E21" s="54"/>
      <c r="F21" s="54"/>
      <c r="G21" s="54"/>
      <c r="H21" s="54"/>
      <c r="I21" s="54"/>
      <c r="J21" s="31">
        <f t="shared" si="3"/>
        <v>0</v>
      </c>
      <c r="K21" s="31"/>
      <c r="L21" s="31"/>
      <c r="M21" s="31"/>
      <c r="N21" s="31"/>
      <c r="O21" s="31"/>
      <c r="P21" s="31">
        <v>0</v>
      </c>
      <c r="Q21" s="31">
        <f t="shared" si="4"/>
        <v>0</v>
      </c>
      <c r="R21" s="54"/>
      <c r="S21" s="54"/>
      <c r="T21" s="54"/>
      <c r="U21" s="54"/>
      <c r="V21" s="54"/>
      <c r="W21" s="54"/>
    </row>
    <row r="22" spans="1:23" ht="30">
      <c r="A22" s="31">
        <v>2</v>
      </c>
      <c r="B22" s="56" t="s">
        <v>97</v>
      </c>
      <c r="C22" s="54">
        <f>SUM(D22:I22)</f>
        <v>0</v>
      </c>
      <c r="D22" s="54"/>
      <c r="E22" s="54"/>
      <c r="F22" s="54"/>
      <c r="G22" s="54"/>
      <c r="H22" s="54"/>
      <c r="I22" s="54"/>
      <c r="J22" s="31">
        <f t="shared" si="3"/>
        <v>0</v>
      </c>
      <c r="K22" s="31"/>
      <c r="L22" s="31"/>
      <c r="M22" s="31"/>
      <c r="N22" s="31"/>
      <c r="O22" s="31"/>
      <c r="P22" s="31">
        <v>0</v>
      </c>
      <c r="Q22" s="31">
        <f t="shared" si="4"/>
        <v>0</v>
      </c>
      <c r="R22" s="54"/>
      <c r="S22" s="54"/>
      <c r="T22" s="54"/>
      <c r="U22" s="54"/>
      <c r="V22" s="54"/>
      <c r="W22" s="54"/>
    </row>
    <row r="23" spans="1:23">
      <c r="A23" s="16" t="s">
        <v>98</v>
      </c>
      <c r="B23" s="55" t="s">
        <v>99</v>
      </c>
      <c r="C23" s="53">
        <f>C24+C25+C26+C27+C28</f>
        <v>51750</v>
      </c>
      <c r="D23" s="53">
        <f t="shared" ref="D23:W23" si="7">D24+D25+D26+D27+D28</f>
        <v>0</v>
      </c>
      <c r="E23" s="53">
        <f t="shared" si="7"/>
        <v>0</v>
      </c>
      <c r="F23" s="53">
        <f t="shared" si="7"/>
        <v>0</v>
      </c>
      <c r="G23" s="53">
        <f t="shared" si="7"/>
        <v>0</v>
      </c>
      <c r="H23" s="53">
        <f t="shared" si="7"/>
        <v>0</v>
      </c>
      <c r="I23" s="53">
        <f t="shared" si="7"/>
        <v>51750</v>
      </c>
      <c r="J23" s="16">
        <f t="shared" si="7"/>
        <v>37376</v>
      </c>
      <c r="K23" s="16">
        <f t="shared" si="7"/>
        <v>0</v>
      </c>
      <c r="L23" s="16">
        <f t="shared" si="7"/>
        <v>0</v>
      </c>
      <c r="M23" s="16">
        <f t="shared" si="7"/>
        <v>0</v>
      </c>
      <c r="N23" s="16">
        <f t="shared" si="7"/>
        <v>0</v>
      </c>
      <c r="O23" s="16">
        <f t="shared" si="7"/>
        <v>0</v>
      </c>
      <c r="P23" s="16">
        <f t="shared" si="7"/>
        <v>37376</v>
      </c>
      <c r="Q23" s="16">
        <f t="shared" si="7"/>
        <v>0</v>
      </c>
      <c r="R23" s="53">
        <f t="shared" si="7"/>
        <v>0</v>
      </c>
      <c r="S23" s="53">
        <f t="shared" si="7"/>
        <v>0</v>
      </c>
      <c r="T23" s="53">
        <f t="shared" si="7"/>
        <v>0</v>
      </c>
      <c r="U23" s="53">
        <f t="shared" si="7"/>
        <v>0</v>
      </c>
      <c r="V23" s="53">
        <f t="shared" si="7"/>
        <v>0</v>
      </c>
      <c r="W23" s="53">
        <f t="shared" si="7"/>
        <v>0</v>
      </c>
    </row>
    <row r="24" spans="1:23" ht="30">
      <c r="A24" s="31">
        <v>1</v>
      </c>
      <c r="B24" s="56" t="s">
        <v>100</v>
      </c>
      <c r="C24" s="54">
        <f>SUM(D24:I24)</f>
        <v>30</v>
      </c>
      <c r="D24" s="54"/>
      <c r="E24" s="54"/>
      <c r="F24" s="54"/>
      <c r="G24" s="54"/>
      <c r="H24" s="54"/>
      <c r="I24" s="54">
        <v>30</v>
      </c>
      <c r="J24" s="31">
        <f t="shared" si="3"/>
        <v>30</v>
      </c>
      <c r="K24" s="31"/>
      <c r="L24" s="31"/>
      <c r="M24" s="31"/>
      <c r="N24" s="31"/>
      <c r="O24" s="31"/>
      <c r="P24" s="31">
        <v>30</v>
      </c>
      <c r="Q24" s="31">
        <f t="shared" si="4"/>
        <v>0</v>
      </c>
      <c r="R24" s="54"/>
      <c r="S24" s="54"/>
      <c r="T24" s="54"/>
      <c r="U24" s="54"/>
      <c r="V24" s="54"/>
      <c r="W24" s="54"/>
    </row>
    <row r="25" spans="1:23">
      <c r="A25" s="31">
        <v>2</v>
      </c>
      <c r="B25" s="56" t="s">
        <v>101</v>
      </c>
      <c r="C25" s="54">
        <f t="shared" ref="C25:C32" si="8">SUM(D25:I25)</f>
        <v>0</v>
      </c>
      <c r="D25" s="54">
        <v>0</v>
      </c>
      <c r="E25" s="54"/>
      <c r="F25" s="54"/>
      <c r="G25" s="54"/>
      <c r="H25" s="54"/>
      <c r="I25" s="54"/>
      <c r="J25" s="31">
        <f t="shared" si="3"/>
        <v>0</v>
      </c>
      <c r="K25" s="31"/>
      <c r="L25" s="31"/>
      <c r="M25" s="31"/>
      <c r="N25" s="31"/>
      <c r="O25" s="31"/>
      <c r="P25" s="31">
        <v>0</v>
      </c>
      <c r="Q25" s="31">
        <f t="shared" si="4"/>
        <v>0</v>
      </c>
      <c r="R25" s="54"/>
      <c r="S25" s="54"/>
      <c r="T25" s="54"/>
      <c r="U25" s="54"/>
      <c r="V25" s="54"/>
      <c r="W25" s="54"/>
    </row>
    <row r="26" spans="1:23" ht="30">
      <c r="A26" s="31">
        <v>3</v>
      </c>
      <c r="B26" s="56" t="s">
        <v>102</v>
      </c>
      <c r="C26" s="54">
        <f t="shared" si="8"/>
        <v>1720</v>
      </c>
      <c r="D26" s="54"/>
      <c r="E26" s="54"/>
      <c r="F26" s="54"/>
      <c r="G26" s="54"/>
      <c r="H26" s="54"/>
      <c r="I26" s="54">
        <v>1720</v>
      </c>
      <c r="J26" s="31">
        <f t="shared" si="3"/>
        <v>1750</v>
      </c>
      <c r="K26" s="31"/>
      <c r="L26" s="31"/>
      <c r="M26" s="31"/>
      <c r="N26" s="31"/>
      <c r="O26" s="31"/>
      <c r="P26" s="31">
        <v>1750</v>
      </c>
      <c r="Q26" s="31">
        <f t="shared" si="4"/>
        <v>0</v>
      </c>
      <c r="R26" s="54"/>
      <c r="S26" s="54"/>
      <c r="T26" s="54"/>
      <c r="U26" s="54"/>
      <c r="V26" s="54"/>
      <c r="W26" s="54"/>
    </row>
    <row r="27" spans="1:23">
      <c r="A27" s="31">
        <v>4</v>
      </c>
      <c r="B27" s="56" t="s">
        <v>103</v>
      </c>
      <c r="C27" s="54">
        <f t="shared" si="8"/>
        <v>50000</v>
      </c>
      <c r="D27" s="54"/>
      <c r="E27" s="54"/>
      <c r="F27" s="54"/>
      <c r="G27" s="54"/>
      <c r="H27" s="54"/>
      <c r="I27" s="54">
        <v>50000</v>
      </c>
      <c r="J27" s="31">
        <f t="shared" si="3"/>
        <v>35596</v>
      </c>
      <c r="K27" s="31"/>
      <c r="L27" s="31"/>
      <c r="M27" s="31"/>
      <c r="N27" s="31"/>
      <c r="O27" s="31"/>
      <c r="P27" s="31">
        <v>35596</v>
      </c>
      <c r="Q27" s="31">
        <f t="shared" si="4"/>
        <v>0</v>
      </c>
      <c r="R27" s="54"/>
      <c r="S27" s="54"/>
      <c r="T27" s="54"/>
      <c r="U27" s="54"/>
      <c r="V27" s="54"/>
      <c r="W27" s="54"/>
    </row>
    <row r="28" spans="1:23" ht="30">
      <c r="A28" s="31">
        <v>5</v>
      </c>
      <c r="B28" s="56" t="s">
        <v>104</v>
      </c>
      <c r="C28" s="54">
        <f t="shared" si="8"/>
        <v>0</v>
      </c>
      <c r="D28" s="54"/>
      <c r="E28" s="54"/>
      <c r="F28" s="54"/>
      <c r="G28" s="54"/>
      <c r="H28" s="54"/>
      <c r="I28" s="54"/>
      <c r="J28" s="31">
        <f t="shared" si="3"/>
        <v>0</v>
      </c>
      <c r="K28" s="31"/>
      <c r="L28" s="31"/>
      <c r="M28" s="31"/>
      <c r="N28" s="31"/>
      <c r="O28" s="31"/>
      <c r="P28" s="31"/>
      <c r="Q28" s="31">
        <f t="shared" si="4"/>
        <v>0</v>
      </c>
      <c r="R28" s="54"/>
      <c r="S28" s="54"/>
      <c r="T28" s="54"/>
      <c r="U28" s="54"/>
      <c r="V28" s="54"/>
      <c r="W28" s="54"/>
    </row>
    <row r="29" spans="1:23">
      <c r="A29" s="16" t="s">
        <v>105</v>
      </c>
      <c r="B29" s="55" t="s">
        <v>106</v>
      </c>
      <c r="C29" s="53">
        <f>C30+C31+C32</f>
        <v>1430</v>
      </c>
      <c r="D29" s="53">
        <f t="shared" ref="D29:W29" si="9">D30+D31+D32</f>
        <v>0</v>
      </c>
      <c r="E29" s="53">
        <f t="shared" si="9"/>
        <v>0</v>
      </c>
      <c r="F29" s="53">
        <f t="shared" si="9"/>
        <v>0</v>
      </c>
      <c r="G29" s="53">
        <f t="shared" si="9"/>
        <v>0</v>
      </c>
      <c r="H29" s="53">
        <f t="shared" si="9"/>
        <v>0</v>
      </c>
      <c r="I29" s="53">
        <f t="shared" si="9"/>
        <v>1430</v>
      </c>
      <c r="J29" s="16">
        <f t="shared" si="9"/>
        <v>1349</v>
      </c>
      <c r="K29" s="16">
        <f t="shared" si="9"/>
        <v>0</v>
      </c>
      <c r="L29" s="16">
        <f t="shared" si="9"/>
        <v>0</v>
      </c>
      <c r="M29" s="16">
        <f t="shared" si="9"/>
        <v>0</v>
      </c>
      <c r="N29" s="16">
        <f t="shared" si="9"/>
        <v>0</v>
      </c>
      <c r="O29" s="16">
        <f t="shared" si="9"/>
        <v>0</v>
      </c>
      <c r="P29" s="16">
        <f t="shared" si="9"/>
        <v>1349</v>
      </c>
      <c r="Q29" s="16">
        <f t="shared" si="9"/>
        <v>0</v>
      </c>
      <c r="R29" s="53">
        <f t="shared" si="9"/>
        <v>0</v>
      </c>
      <c r="S29" s="53">
        <f t="shared" si="9"/>
        <v>0</v>
      </c>
      <c r="T29" s="53">
        <f t="shared" si="9"/>
        <v>0</v>
      </c>
      <c r="U29" s="53">
        <f t="shared" si="9"/>
        <v>0</v>
      </c>
      <c r="V29" s="53">
        <f t="shared" si="9"/>
        <v>0</v>
      </c>
      <c r="W29" s="53">
        <f t="shared" si="9"/>
        <v>0</v>
      </c>
    </row>
    <row r="30" spans="1:23" ht="30">
      <c r="A30" s="31">
        <v>1</v>
      </c>
      <c r="B30" s="56" t="s">
        <v>107</v>
      </c>
      <c r="C30" s="54">
        <f t="shared" si="8"/>
        <v>50</v>
      </c>
      <c r="D30" s="54"/>
      <c r="E30" s="54"/>
      <c r="F30" s="54"/>
      <c r="G30" s="54"/>
      <c r="H30" s="54"/>
      <c r="I30" s="54">
        <v>50</v>
      </c>
      <c r="J30" s="31">
        <f t="shared" si="3"/>
        <v>121</v>
      </c>
      <c r="K30" s="31"/>
      <c r="L30" s="31"/>
      <c r="M30" s="31"/>
      <c r="N30" s="31"/>
      <c r="O30" s="31"/>
      <c r="P30" s="31">
        <v>121</v>
      </c>
      <c r="Q30" s="31">
        <f t="shared" si="4"/>
        <v>0</v>
      </c>
      <c r="R30" s="54"/>
      <c r="S30" s="54"/>
      <c r="T30" s="54"/>
      <c r="U30" s="54"/>
      <c r="V30" s="54"/>
      <c r="W30" s="54"/>
    </row>
    <row r="31" spans="1:23">
      <c r="A31" s="31">
        <v>2</v>
      </c>
      <c r="B31" s="56" t="s">
        <v>108</v>
      </c>
      <c r="C31" s="54">
        <f t="shared" si="8"/>
        <v>0</v>
      </c>
      <c r="D31" s="54"/>
      <c r="E31" s="54"/>
      <c r="F31" s="54"/>
      <c r="G31" s="54"/>
      <c r="H31" s="54"/>
      <c r="I31" s="54"/>
      <c r="J31" s="31">
        <f t="shared" si="3"/>
        <v>0</v>
      </c>
      <c r="K31" s="31"/>
      <c r="L31" s="31"/>
      <c r="M31" s="31"/>
      <c r="N31" s="31"/>
      <c r="O31" s="31"/>
      <c r="P31" s="31"/>
      <c r="Q31" s="31">
        <f t="shared" si="4"/>
        <v>0</v>
      </c>
      <c r="R31" s="54"/>
      <c r="S31" s="54"/>
      <c r="T31" s="54"/>
      <c r="U31" s="54"/>
      <c r="V31" s="54"/>
      <c r="W31" s="54"/>
    </row>
    <row r="32" spans="1:23">
      <c r="A32" s="31">
        <v>3</v>
      </c>
      <c r="B32" s="56" t="s">
        <v>109</v>
      </c>
      <c r="C32" s="54">
        <f t="shared" si="8"/>
        <v>1380</v>
      </c>
      <c r="D32" s="54"/>
      <c r="E32" s="54"/>
      <c r="F32" s="54"/>
      <c r="G32" s="54"/>
      <c r="H32" s="54"/>
      <c r="I32" s="54">
        <v>1380</v>
      </c>
      <c r="J32" s="31">
        <f t="shared" si="3"/>
        <v>1228</v>
      </c>
      <c r="K32" s="31"/>
      <c r="L32" s="31"/>
      <c r="M32" s="31"/>
      <c r="N32" s="31"/>
      <c r="O32" s="31"/>
      <c r="P32" s="31">
        <v>1228</v>
      </c>
      <c r="Q32" s="31">
        <f t="shared" si="4"/>
        <v>0</v>
      </c>
      <c r="R32" s="54"/>
      <c r="S32" s="54"/>
      <c r="T32" s="54"/>
      <c r="U32" s="54"/>
      <c r="V32" s="54"/>
      <c r="W32" s="54"/>
    </row>
    <row r="33" spans="1:23">
      <c r="A33" s="38"/>
      <c r="B33" s="57"/>
      <c r="C33" s="58"/>
      <c r="D33" s="58"/>
      <c r="E33" s="58"/>
      <c r="F33" s="58"/>
      <c r="G33" s="58"/>
      <c r="H33" s="58"/>
      <c r="I33" s="58"/>
      <c r="J33" s="38"/>
      <c r="K33" s="38"/>
      <c r="L33" s="38"/>
      <c r="M33" s="38"/>
      <c r="N33" s="38"/>
      <c r="O33" s="38"/>
      <c r="P33" s="38"/>
      <c r="Q33" s="38"/>
      <c r="R33" s="58"/>
      <c r="S33" s="58"/>
      <c r="T33" s="58"/>
      <c r="U33" s="58"/>
      <c r="V33" s="58"/>
      <c r="W33" s="58"/>
    </row>
    <row r="34" spans="1:23">
      <c r="A34" s="59"/>
    </row>
    <row r="35" spans="1:23">
      <c r="A35" s="606"/>
      <c r="S35" s="607" t="s">
        <v>110</v>
      </c>
      <c r="T35" s="607"/>
      <c r="U35" s="607"/>
      <c r="V35" s="607"/>
    </row>
    <row r="36" spans="1:23" ht="15" customHeight="1">
      <c r="A36" s="606"/>
      <c r="S36" s="608" t="s">
        <v>73</v>
      </c>
      <c r="T36" s="608"/>
      <c r="U36" s="608"/>
      <c r="V36" s="608"/>
    </row>
    <row r="37" spans="1:23" ht="15" customHeight="1">
      <c r="A37" s="606"/>
      <c r="S37" s="607" t="s">
        <v>74</v>
      </c>
      <c r="T37" s="607"/>
      <c r="U37" s="607"/>
      <c r="V37" s="607"/>
    </row>
  </sheetData>
  <mergeCells count="17">
    <mergeCell ref="A35:A37"/>
    <mergeCell ref="S35:V35"/>
    <mergeCell ref="S36:V36"/>
    <mergeCell ref="S37:V37"/>
    <mergeCell ref="U1:W1"/>
    <mergeCell ref="A3:W3"/>
    <mergeCell ref="A5:A7"/>
    <mergeCell ref="B5:B7"/>
    <mergeCell ref="C5:I5"/>
    <mergeCell ref="J5:P5"/>
    <mergeCell ref="Q5:W5"/>
    <mergeCell ref="C6:C7"/>
    <mergeCell ref="D6:I6"/>
    <mergeCell ref="J6:J7"/>
    <mergeCell ref="K6:P6"/>
    <mergeCell ref="Q6:Q7"/>
    <mergeCell ref="R6:W6"/>
  </mergeCells>
  <hyperlinks>
    <hyperlink ref="U1:W1" location="'PL tong hop'!A1" display="Mẫu biểu số 02/TT34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J18:K20"/>
  <sheetViews>
    <sheetView workbookViewId="0">
      <selection activeCell="C22" sqref="C22"/>
    </sheetView>
  </sheetViews>
  <sheetFormatPr defaultRowHeight="15"/>
  <cols>
    <col min="10" max="10" width="11.42578125" bestFit="1" customWidth="1"/>
  </cols>
  <sheetData>
    <row r="18" spans="10:11">
      <c r="J18" s="60">
        <f>167244.82-10377</f>
        <v>156867.82</v>
      </c>
      <c r="K18" s="60">
        <f>159376-J18-J19</f>
        <v>348.17999999999302</v>
      </c>
    </row>
    <row r="19" spans="10:11">
      <c r="J19" s="60">
        <v>2160</v>
      </c>
    </row>
    <row r="20" spans="10:11">
      <c r="J20" s="8">
        <f>SUM(J18:J19)</f>
        <v>159027.82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Y458"/>
  <sheetViews>
    <sheetView tabSelected="1" view="pageBreakPreview" topLeftCell="A4" zoomScaleSheetLayoutView="100" workbookViewId="0">
      <pane xSplit="4" ySplit="7" topLeftCell="E11" activePane="bottomRight" state="frozen"/>
      <selection activeCell="C99" sqref="C99"/>
      <selection pane="topRight" activeCell="C99" sqref="C99"/>
      <selection pane="bottomLeft" activeCell="C99" sqref="C99"/>
      <selection pane="bottomRight" activeCell="C99" sqref="C99"/>
    </sheetView>
  </sheetViews>
  <sheetFormatPr defaultRowHeight="11.25"/>
  <cols>
    <col min="1" max="1" width="4.140625" style="273" customWidth="1"/>
    <col min="2" max="2" width="34.140625" style="273" customWidth="1"/>
    <col min="3" max="3" width="6.140625" style="273" customWidth="1"/>
    <col min="4" max="4" width="10.42578125" style="273" customWidth="1"/>
    <col min="5" max="5" width="10.5703125" style="273" customWidth="1"/>
    <col min="6" max="6" width="10.42578125" style="273" hidden="1" customWidth="1"/>
    <col min="7" max="7" width="8.85546875" style="273" customWidth="1"/>
    <col min="8" max="8" width="10.42578125" style="273" customWidth="1"/>
    <col min="9" max="11" width="0" style="273" hidden="1" customWidth="1"/>
    <col min="12" max="12" width="10.7109375" style="273" customWidth="1"/>
    <col min="13" max="13" width="11.140625" style="273" bestFit="1" customWidth="1"/>
    <col min="14" max="15" width="8.85546875" style="273" customWidth="1"/>
    <col min="16" max="16" width="9.5703125" style="273" customWidth="1"/>
    <col min="17" max="17" width="9.28515625" style="273" bestFit="1" customWidth="1"/>
    <col min="18" max="18" width="9.28515625" style="273" customWidth="1"/>
    <col min="19" max="19" width="9.7109375" style="273" customWidth="1"/>
    <col min="20" max="20" width="9.140625" style="273" customWidth="1"/>
    <col min="21" max="21" width="10.42578125" style="273" customWidth="1"/>
    <col min="22" max="22" width="10.140625" style="273" bestFit="1" customWidth="1"/>
    <col min="23" max="23" width="10.42578125" style="273" customWidth="1"/>
    <col min="24" max="24" width="19.5703125" style="273" customWidth="1"/>
    <col min="25" max="16384" width="9.140625" style="273"/>
  </cols>
  <sheetData>
    <row r="1" spans="1:25" s="469" customFormat="1">
      <c r="A1" s="610" t="s">
        <v>0</v>
      </c>
      <c r="B1" s="610"/>
      <c r="C1" s="466"/>
      <c r="D1" s="467"/>
      <c r="E1" s="611"/>
      <c r="F1" s="611"/>
      <c r="G1" s="468"/>
      <c r="H1" s="467"/>
      <c r="I1" s="467"/>
      <c r="J1" s="467"/>
      <c r="K1" s="467"/>
      <c r="L1" s="467"/>
      <c r="M1" s="467"/>
      <c r="N1" s="467"/>
      <c r="P1" s="467"/>
      <c r="Q1" s="467"/>
      <c r="R1" s="467"/>
      <c r="S1" s="467"/>
      <c r="T1" s="467"/>
      <c r="U1" s="467"/>
      <c r="V1" s="467"/>
      <c r="W1" s="467"/>
      <c r="X1" s="467" t="s">
        <v>707</v>
      </c>
    </row>
    <row r="2" spans="1:25" s="469" customFormat="1">
      <c r="A2" s="612" t="s">
        <v>694</v>
      </c>
      <c r="B2" s="612"/>
      <c r="C2" s="612"/>
      <c r="D2" s="612"/>
      <c r="E2" s="612"/>
      <c r="F2" s="612"/>
      <c r="G2" s="612"/>
      <c r="H2" s="612"/>
      <c r="I2" s="612"/>
      <c r="J2" s="612"/>
      <c r="K2" s="612"/>
      <c r="L2" s="612"/>
      <c r="M2" s="612"/>
      <c r="N2" s="612"/>
      <c r="O2" s="612"/>
      <c r="P2" s="612"/>
      <c r="Q2" s="612"/>
      <c r="R2" s="612"/>
      <c r="S2" s="612"/>
      <c r="T2" s="612"/>
      <c r="U2" s="612"/>
      <c r="V2" s="612"/>
      <c r="W2" s="612"/>
      <c r="X2" s="612"/>
    </row>
    <row r="3" spans="1:25" s="478" customFormat="1">
      <c r="A3" s="470"/>
      <c r="B3" s="471"/>
      <c r="C3" s="472"/>
      <c r="D3" s="473"/>
      <c r="E3" s="474"/>
      <c r="F3" s="472"/>
      <c r="G3" s="475"/>
      <c r="H3" s="476"/>
      <c r="I3" s="477"/>
      <c r="J3" s="477"/>
      <c r="K3" s="477"/>
      <c r="L3" s="477"/>
      <c r="M3" s="477"/>
      <c r="N3" s="477"/>
      <c r="O3" s="477"/>
      <c r="P3" s="477"/>
      <c r="Q3" s="477"/>
      <c r="R3" s="477"/>
      <c r="S3" s="477"/>
      <c r="T3" s="477"/>
      <c r="U3" s="477"/>
      <c r="V3" s="477"/>
      <c r="W3" s="477"/>
      <c r="X3" s="477"/>
    </row>
    <row r="4" spans="1:25" s="479" customFormat="1" ht="18.75" customHeight="1">
      <c r="A4" s="613" t="s">
        <v>4</v>
      </c>
      <c r="B4" s="614" t="s">
        <v>237</v>
      </c>
      <c r="C4" s="615" t="s">
        <v>238</v>
      </c>
      <c r="D4" s="609" t="s">
        <v>591</v>
      </c>
      <c r="E4" s="609" t="s">
        <v>239</v>
      </c>
      <c r="F4" s="614" t="s">
        <v>201</v>
      </c>
      <c r="G4" s="614"/>
      <c r="H4" s="614"/>
      <c r="I4" s="614"/>
      <c r="J4" s="614"/>
      <c r="K4" s="614"/>
      <c r="L4" s="614"/>
      <c r="M4" s="614"/>
      <c r="N4" s="614"/>
      <c r="O4" s="614"/>
      <c r="P4" s="609" t="s">
        <v>240</v>
      </c>
      <c r="Q4" s="609" t="s">
        <v>708</v>
      </c>
      <c r="R4" s="609" t="s">
        <v>709</v>
      </c>
      <c r="S4" s="609" t="s">
        <v>710</v>
      </c>
      <c r="T4" s="609"/>
      <c r="U4" s="609" t="s">
        <v>711</v>
      </c>
      <c r="V4" s="609"/>
      <c r="W4" s="609" t="s">
        <v>712</v>
      </c>
      <c r="X4" s="614" t="s">
        <v>241</v>
      </c>
    </row>
    <row r="5" spans="1:25" s="479" customFormat="1" ht="22.5" customHeight="1">
      <c r="A5" s="613"/>
      <c r="B5" s="614"/>
      <c r="C5" s="615"/>
      <c r="D5" s="609"/>
      <c r="E5" s="609"/>
      <c r="F5" s="609" t="s">
        <v>242</v>
      </c>
      <c r="G5" s="609" t="s">
        <v>713</v>
      </c>
      <c r="H5" s="614"/>
      <c r="I5" s="614"/>
      <c r="J5" s="614"/>
      <c r="K5" s="614"/>
      <c r="L5" s="614"/>
      <c r="M5" s="614"/>
      <c r="N5" s="609" t="s">
        <v>243</v>
      </c>
      <c r="O5" s="609" t="s">
        <v>244</v>
      </c>
      <c r="P5" s="609"/>
      <c r="Q5" s="609"/>
      <c r="R5" s="609"/>
      <c r="S5" s="609"/>
      <c r="T5" s="609"/>
      <c r="U5" s="609"/>
      <c r="V5" s="609"/>
      <c r="W5" s="609"/>
      <c r="X5" s="614"/>
    </row>
    <row r="6" spans="1:25" s="479" customFormat="1">
      <c r="A6" s="613"/>
      <c r="B6" s="614"/>
      <c r="C6" s="615"/>
      <c r="D6" s="609"/>
      <c r="E6" s="609"/>
      <c r="F6" s="609"/>
      <c r="G6" s="615" t="s">
        <v>714</v>
      </c>
      <c r="H6" s="609" t="s">
        <v>715</v>
      </c>
      <c r="I6" s="614" t="s">
        <v>245</v>
      </c>
      <c r="J6" s="614"/>
      <c r="K6" s="609" t="s">
        <v>246</v>
      </c>
      <c r="L6" s="609" t="s">
        <v>201</v>
      </c>
      <c r="M6" s="609"/>
      <c r="N6" s="609"/>
      <c r="O6" s="609"/>
      <c r="P6" s="609"/>
      <c r="Q6" s="609"/>
      <c r="R6" s="609"/>
      <c r="S6" s="609" t="s">
        <v>820</v>
      </c>
      <c r="T6" s="609" t="s">
        <v>716</v>
      </c>
      <c r="U6" s="609" t="s">
        <v>820</v>
      </c>
      <c r="V6" s="609" t="s">
        <v>716</v>
      </c>
      <c r="W6" s="609"/>
      <c r="X6" s="614"/>
    </row>
    <row r="7" spans="1:25" s="479" customFormat="1" ht="30" customHeight="1">
      <c r="A7" s="613"/>
      <c r="B7" s="614"/>
      <c r="C7" s="615"/>
      <c r="D7" s="609"/>
      <c r="E7" s="609"/>
      <c r="F7" s="609"/>
      <c r="G7" s="615"/>
      <c r="H7" s="609"/>
      <c r="I7" s="616" t="s">
        <v>247</v>
      </c>
      <c r="J7" s="616" t="s">
        <v>248</v>
      </c>
      <c r="K7" s="609"/>
      <c r="L7" s="616" t="s">
        <v>249</v>
      </c>
      <c r="M7" s="616" t="s">
        <v>250</v>
      </c>
      <c r="N7" s="609"/>
      <c r="O7" s="609"/>
      <c r="P7" s="609"/>
      <c r="Q7" s="609"/>
      <c r="R7" s="609"/>
      <c r="S7" s="609"/>
      <c r="T7" s="609"/>
      <c r="U7" s="609"/>
      <c r="V7" s="609"/>
      <c r="W7" s="609"/>
      <c r="X7" s="614"/>
    </row>
    <row r="8" spans="1:25" s="479" customFormat="1" ht="67.5" customHeight="1">
      <c r="A8" s="613"/>
      <c r="B8" s="614"/>
      <c r="C8" s="615"/>
      <c r="D8" s="609"/>
      <c r="E8" s="609"/>
      <c r="F8" s="609"/>
      <c r="G8" s="615"/>
      <c r="H8" s="609"/>
      <c r="I8" s="616"/>
      <c r="J8" s="616"/>
      <c r="K8" s="609"/>
      <c r="L8" s="616"/>
      <c r="M8" s="616"/>
      <c r="N8" s="609"/>
      <c r="O8" s="609"/>
      <c r="P8" s="609"/>
      <c r="Q8" s="609"/>
      <c r="R8" s="609"/>
      <c r="S8" s="609"/>
      <c r="T8" s="609"/>
      <c r="U8" s="609"/>
      <c r="V8" s="609"/>
      <c r="W8" s="609"/>
      <c r="X8" s="614"/>
    </row>
    <row r="9" spans="1:25" s="479" customFormat="1">
      <c r="A9" s="480" t="s">
        <v>11</v>
      </c>
      <c r="B9" s="481" t="s">
        <v>12</v>
      </c>
      <c r="C9" s="480" t="s">
        <v>130</v>
      </c>
      <c r="D9" s="482">
        <v>1</v>
      </c>
      <c r="E9" s="482">
        <v>2</v>
      </c>
      <c r="F9" s="482">
        <v>3</v>
      </c>
      <c r="G9" s="482">
        <v>3</v>
      </c>
      <c r="H9" s="482">
        <v>4</v>
      </c>
      <c r="I9" s="482" t="s">
        <v>717</v>
      </c>
      <c r="J9" s="482" t="s">
        <v>718</v>
      </c>
      <c r="K9" s="482">
        <v>6</v>
      </c>
      <c r="L9" s="482">
        <v>5</v>
      </c>
      <c r="M9" s="482">
        <v>6</v>
      </c>
      <c r="N9" s="482">
        <v>7</v>
      </c>
      <c r="O9" s="482">
        <v>8</v>
      </c>
      <c r="P9" s="482">
        <v>9</v>
      </c>
      <c r="Q9" s="482">
        <v>10</v>
      </c>
      <c r="R9" s="482">
        <v>11</v>
      </c>
      <c r="S9" s="482">
        <v>12</v>
      </c>
      <c r="T9" s="482">
        <v>13</v>
      </c>
      <c r="U9" s="482">
        <v>14</v>
      </c>
      <c r="V9" s="482">
        <v>15</v>
      </c>
      <c r="W9" s="482">
        <v>16</v>
      </c>
      <c r="X9" s="483">
        <v>17</v>
      </c>
    </row>
    <row r="10" spans="1:25" s="490" customFormat="1" ht="17.25" customHeight="1">
      <c r="A10" s="484" t="s">
        <v>11</v>
      </c>
      <c r="B10" s="485" t="s">
        <v>251</v>
      </c>
      <c r="C10" s="486"/>
      <c r="D10" s="487">
        <f t="shared" ref="D10:V10" si="0">D11+D31+D446+D450</f>
        <v>378521.97002000001</v>
      </c>
      <c r="E10" s="487">
        <f t="shared" si="0"/>
        <v>370474.97002000001</v>
      </c>
      <c r="F10" s="487">
        <f t="shared" si="0"/>
        <v>222591.80002</v>
      </c>
      <c r="G10" s="487">
        <f t="shared" si="0"/>
        <v>1179</v>
      </c>
      <c r="H10" s="487">
        <f t="shared" si="0"/>
        <v>173814.96702000001</v>
      </c>
      <c r="I10" s="487">
        <f t="shared" si="0"/>
        <v>0</v>
      </c>
      <c r="J10" s="487">
        <f t="shared" si="0"/>
        <v>0</v>
      </c>
      <c r="K10" s="487">
        <f t="shared" si="0"/>
        <v>48776.832999999999</v>
      </c>
      <c r="L10" s="487">
        <f t="shared" si="0"/>
        <v>29265.440000000002</v>
      </c>
      <c r="M10" s="487">
        <f t="shared" si="0"/>
        <v>19511.393</v>
      </c>
      <c r="N10" s="487">
        <f t="shared" si="0"/>
        <v>59459.17</v>
      </c>
      <c r="O10" s="487">
        <f t="shared" si="0"/>
        <v>88424</v>
      </c>
      <c r="P10" s="487">
        <f t="shared" si="0"/>
        <v>8047</v>
      </c>
      <c r="Q10" s="487">
        <f t="shared" si="0"/>
        <v>0</v>
      </c>
      <c r="R10" s="487">
        <f t="shared" si="0"/>
        <v>0</v>
      </c>
      <c r="S10" s="487">
        <f t="shared" si="0"/>
        <v>1939.05</v>
      </c>
      <c r="T10" s="487">
        <f t="shared" si="0"/>
        <v>1714.09</v>
      </c>
      <c r="U10" s="487">
        <f t="shared" si="0"/>
        <v>73153.16</v>
      </c>
      <c r="V10" s="487">
        <f t="shared" si="0"/>
        <v>3958.1709999999998</v>
      </c>
      <c r="W10" s="487">
        <f>W11+W31+W446+W450</f>
        <v>309102.02102000004</v>
      </c>
      <c r="X10" s="488"/>
      <c r="Y10" s="489"/>
    </row>
    <row r="11" spans="1:25" s="497" customFormat="1" ht="17.25" customHeight="1">
      <c r="A11" s="491" t="s">
        <v>14</v>
      </c>
      <c r="B11" s="492" t="s">
        <v>252</v>
      </c>
      <c r="C11" s="493"/>
      <c r="D11" s="494">
        <f>D12+D13+D22+D23+D24+D25+D26+D27+D28+D29+D30</f>
        <v>95851</v>
      </c>
      <c r="E11" s="495">
        <f>E12+E13+E22+E23+E24+E25+E26+E27+E28+E29+E30</f>
        <v>88424</v>
      </c>
      <c r="F11" s="495">
        <f t="shared" ref="F11:W11" si="1">F12+F13+F22+F23+F24+F25+F26+F27+F28+F29+F30</f>
        <v>0</v>
      </c>
      <c r="G11" s="495">
        <f t="shared" si="1"/>
        <v>0</v>
      </c>
      <c r="H11" s="495">
        <f t="shared" si="1"/>
        <v>0</v>
      </c>
      <c r="I11" s="495">
        <f t="shared" si="1"/>
        <v>0</v>
      </c>
      <c r="J11" s="495">
        <f t="shared" si="1"/>
        <v>0</v>
      </c>
      <c r="K11" s="495">
        <f t="shared" si="1"/>
        <v>0</v>
      </c>
      <c r="L11" s="495">
        <f t="shared" si="1"/>
        <v>0</v>
      </c>
      <c r="M11" s="495">
        <f t="shared" si="1"/>
        <v>0</v>
      </c>
      <c r="N11" s="495">
        <f t="shared" si="1"/>
        <v>0</v>
      </c>
      <c r="O11" s="495">
        <f t="shared" si="1"/>
        <v>88424</v>
      </c>
      <c r="P11" s="495">
        <f t="shared" si="1"/>
        <v>7427</v>
      </c>
      <c r="Q11" s="495">
        <f t="shared" si="1"/>
        <v>0</v>
      </c>
      <c r="R11" s="495">
        <f t="shared" si="1"/>
        <v>0</v>
      </c>
      <c r="S11" s="495">
        <f t="shared" si="1"/>
        <v>0</v>
      </c>
      <c r="T11" s="495">
        <f t="shared" si="1"/>
        <v>0</v>
      </c>
      <c r="U11" s="495">
        <f t="shared" si="1"/>
        <v>68892</v>
      </c>
      <c r="V11" s="495">
        <f t="shared" si="1"/>
        <v>0</v>
      </c>
      <c r="W11" s="495">
        <f t="shared" si="1"/>
        <v>26959</v>
      </c>
      <c r="X11" s="496"/>
    </row>
    <row r="12" spans="1:25" s="497" customFormat="1" ht="30" customHeight="1">
      <c r="A12" s="491">
        <v>1</v>
      </c>
      <c r="B12" s="498" t="s">
        <v>253</v>
      </c>
      <c r="C12" s="493"/>
      <c r="D12" s="494">
        <f>E12+P12</f>
        <v>7832</v>
      </c>
      <c r="E12" s="495">
        <f>F12+N12+O12</f>
        <v>7832</v>
      </c>
      <c r="F12" s="495">
        <f>H12+K12</f>
        <v>0</v>
      </c>
      <c r="G12" s="495"/>
      <c r="H12" s="495">
        <f>I12+J12</f>
        <v>0</v>
      </c>
      <c r="I12" s="495"/>
      <c r="J12" s="495"/>
      <c r="K12" s="495">
        <f>L12+M12</f>
        <v>0</v>
      </c>
      <c r="L12" s="495"/>
      <c r="M12" s="495"/>
      <c r="N12" s="495"/>
      <c r="O12" s="495">
        <v>7832</v>
      </c>
      <c r="P12" s="495"/>
      <c r="Q12" s="495"/>
      <c r="R12" s="495"/>
      <c r="S12" s="495"/>
      <c r="T12" s="495"/>
      <c r="U12" s="495"/>
      <c r="V12" s="495"/>
      <c r="W12" s="495">
        <f>D12-Q12-R12-S12-U12+(T12+V12)</f>
        <v>7832</v>
      </c>
      <c r="X12" s="496" t="s">
        <v>695</v>
      </c>
    </row>
    <row r="13" spans="1:25" s="497" customFormat="1" ht="30" customHeight="1">
      <c r="A13" s="491">
        <v>2</v>
      </c>
      <c r="B13" s="498" t="s">
        <v>254</v>
      </c>
      <c r="C13" s="493"/>
      <c r="D13" s="494">
        <f>D14+D15</f>
        <v>82419</v>
      </c>
      <c r="E13" s="495">
        <f t="shared" ref="E13:O13" si="2">E14+E15</f>
        <v>80592</v>
      </c>
      <c r="F13" s="495">
        <f t="shared" si="2"/>
        <v>0</v>
      </c>
      <c r="G13" s="495">
        <f t="shared" si="2"/>
        <v>0</v>
      </c>
      <c r="H13" s="495">
        <f t="shared" si="2"/>
        <v>0</v>
      </c>
      <c r="I13" s="495">
        <f t="shared" si="2"/>
        <v>0</v>
      </c>
      <c r="J13" s="495">
        <f>J14+J15</f>
        <v>0</v>
      </c>
      <c r="K13" s="495">
        <f t="shared" si="2"/>
        <v>0</v>
      </c>
      <c r="L13" s="495">
        <f t="shared" si="2"/>
        <v>0</v>
      </c>
      <c r="M13" s="495">
        <f t="shared" si="2"/>
        <v>0</v>
      </c>
      <c r="N13" s="495">
        <f t="shared" si="2"/>
        <v>0</v>
      </c>
      <c r="O13" s="495">
        <f t="shared" si="2"/>
        <v>80592</v>
      </c>
      <c r="P13" s="495">
        <f>P14+P15</f>
        <v>1827</v>
      </c>
      <c r="Q13" s="495">
        <f t="shared" ref="Q13:W13" si="3">Q14+Q15</f>
        <v>0</v>
      </c>
      <c r="R13" s="495">
        <f t="shared" si="3"/>
        <v>0</v>
      </c>
      <c r="S13" s="495">
        <f t="shared" si="3"/>
        <v>0</v>
      </c>
      <c r="T13" s="495">
        <f t="shared" si="3"/>
        <v>0</v>
      </c>
      <c r="U13" s="495">
        <f t="shared" si="3"/>
        <v>68892</v>
      </c>
      <c r="V13" s="495">
        <f t="shared" si="3"/>
        <v>0</v>
      </c>
      <c r="W13" s="495">
        <f t="shared" si="3"/>
        <v>13527</v>
      </c>
      <c r="X13" s="496" t="s">
        <v>695</v>
      </c>
    </row>
    <row r="14" spans="1:25" s="497" customFormat="1" ht="30" customHeight="1">
      <c r="A14" s="499" t="s">
        <v>255</v>
      </c>
      <c r="B14" s="498" t="s">
        <v>256</v>
      </c>
      <c r="C14" s="493"/>
      <c r="D14" s="494">
        <f>E14+P14</f>
        <v>76900</v>
      </c>
      <c r="E14" s="495">
        <f>F14+N14+O14</f>
        <v>76900</v>
      </c>
      <c r="F14" s="495">
        <f>H14+K14</f>
        <v>0</v>
      </c>
      <c r="G14" s="495"/>
      <c r="H14" s="495">
        <f t="shared" ref="H14:H63" si="4">I14+J14</f>
        <v>0</v>
      </c>
      <c r="I14" s="495"/>
      <c r="J14" s="495"/>
      <c r="K14" s="495">
        <f>L14+M14</f>
        <v>0</v>
      </c>
      <c r="L14" s="495"/>
      <c r="M14" s="495"/>
      <c r="N14" s="495"/>
      <c r="O14" s="495">
        <v>76900</v>
      </c>
      <c r="P14" s="495"/>
      <c r="Q14" s="495"/>
      <c r="R14" s="495"/>
      <c r="S14" s="495"/>
      <c r="T14" s="495"/>
      <c r="U14" s="495">
        <f>66370</f>
        <v>66370</v>
      </c>
      <c r="V14" s="495"/>
      <c r="W14" s="495">
        <f>D14-Q14-R14-S14-U14+(T14+V14)</f>
        <v>10530</v>
      </c>
      <c r="X14" s="496" t="s">
        <v>695</v>
      </c>
    </row>
    <row r="15" spans="1:25" s="497" customFormat="1" ht="55.5" customHeight="1">
      <c r="A15" s="499" t="s">
        <v>255</v>
      </c>
      <c r="B15" s="498" t="s">
        <v>257</v>
      </c>
      <c r="C15" s="493"/>
      <c r="D15" s="494">
        <f t="shared" ref="D15:I15" si="5">SUM(D16:D21)</f>
        <v>5519</v>
      </c>
      <c r="E15" s="495">
        <f t="shared" si="5"/>
        <v>3692</v>
      </c>
      <c r="F15" s="495">
        <f t="shared" si="5"/>
        <v>0</v>
      </c>
      <c r="G15" s="495">
        <f t="shared" si="5"/>
        <v>0</v>
      </c>
      <c r="H15" s="495">
        <f t="shared" si="5"/>
        <v>0</v>
      </c>
      <c r="I15" s="495">
        <f t="shared" si="5"/>
        <v>0</v>
      </c>
      <c r="J15" s="495"/>
      <c r="K15" s="495">
        <f t="shared" ref="K15:V15" si="6">SUM(K16:K21)</f>
        <v>0</v>
      </c>
      <c r="L15" s="495">
        <f t="shared" si="6"/>
        <v>0</v>
      </c>
      <c r="M15" s="495">
        <f t="shared" si="6"/>
        <v>0</v>
      </c>
      <c r="N15" s="495">
        <f t="shared" si="6"/>
        <v>0</v>
      </c>
      <c r="O15" s="495">
        <f>SUM(O16:O21)</f>
        <v>3692</v>
      </c>
      <c r="P15" s="495">
        <f t="shared" si="6"/>
        <v>1827</v>
      </c>
      <c r="Q15" s="495">
        <f t="shared" si="6"/>
        <v>0</v>
      </c>
      <c r="R15" s="495">
        <f t="shared" si="6"/>
        <v>0</v>
      </c>
      <c r="S15" s="495">
        <f t="shared" si="6"/>
        <v>0</v>
      </c>
      <c r="T15" s="495">
        <f t="shared" si="6"/>
        <v>0</v>
      </c>
      <c r="U15" s="495">
        <f t="shared" si="6"/>
        <v>2522</v>
      </c>
      <c r="V15" s="495">
        <f t="shared" si="6"/>
        <v>0</v>
      </c>
      <c r="W15" s="495">
        <f>SUM(W16:W21)</f>
        <v>2997</v>
      </c>
      <c r="X15" s="496"/>
    </row>
    <row r="16" spans="1:25" s="497" customFormat="1" ht="27" customHeight="1">
      <c r="A16" s="499" t="s">
        <v>111</v>
      </c>
      <c r="B16" s="498" t="s">
        <v>719</v>
      </c>
      <c r="C16" s="493"/>
      <c r="D16" s="494">
        <f>E16+P16</f>
        <v>988</v>
      </c>
      <c r="E16" s="495">
        <f>F16+N16+O16</f>
        <v>759</v>
      </c>
      <c r="F16" s="495"/>
      <c r="G16" s="495"/>
      <c r="H16" s="495"/>
      <c r="I16" s="495"/>
      <c r="J16" s="495"/>
      <c r="K16" s="495"/>
      <c r="L16" s="495"/>
      <c r="M16" s="495"/>
      <c r="N16" s="495"/>
      <c r="O16" s="495">
        <v>759</v>
      </c>
      <c r="P16" s="495">
        <v>229</v>
      </c>
      <c r="Q16" s="495"/>
      <c r="R16" s="495"/>
      <c r="S16" s="495"/>
      <c r="T16" s="495"/>
      <c r="U16" s="495">
        <v>101</v>
      </c>
      <c r="V16" s="495"/>
      <c r="W16" s="495">
        <f t="shared" ref="W16:W30" si="7">D16-Q16-R16-S16-U16+(T16+V16)</f>
        <v>887</v>
      </c>
      <c r="X16" s="496" t="s">
        <v>502</v>
      </c>
    </row>
    <row r="17" spans="1:24" s="497" customFormat="1" ht="17.25" customHeight="1">
      <c r="A17" s="499" t="s">
        <v>111</v>
      </c>
      <c r="B17" s="498" t="s">
        <v>650</v>
      </c>
      <c r="C17" s="493"/>
      <c r="D17" s="494">
        <f>E17+P17</f>
        <v>1322</v>
      </c>
      <c r="E17" s="495">
        <f>F17+N17+O17</f>
        <v>322</v>
      </c>
      <c r="F17" s="495"/>
      <c r="G17" s="495"/>
      <c r="H17" s="495"/>
      <c r="I17" s="495"/>
      <c r="J17" s="495"/>
      <c r="K17" s="495"/>
      <c r="L17" s="495"/>
      <c r="M17" s="495"/>
      <c r="N17" s="495"/>
      <c r="O17" s="495">
        <v>322</v>
      </c>
      <c r="P17" s="495">
        <v>1000</v>
      </c>
      <c r="Q17" s="495"/>
      <c r="R17" s="495"/>
      <c r="S17" s="495"/>
      <c r="T17" s="495"/>
      <c r="U17" s="495"/>
      <c r="V17" s="495"/>
      <c r="W17" s="495">
        <f t="shared" si="7"/>
        <v>1322</v>
      </c>
      <c r="X17" s="496" t="s">
        <v>502</v>
      </c>
    </row>
    <row r="18" spans="1:24" s="497" customFormat="1" ht="17.25" customHeight="1">
      <c r="A18" s="499" t="s">
        <v>111</v>
      </c>
      <c r="B18" s="498" t="s">
        <v>605</v>
      </c>
      <c r="C18" s="493"/>
      <c r="D18" s="494">
        <f>E18+P18</f>
        <v>190</v>
      </c>
      <c r="E18" s="495">
        <f>F18+N18+O18</f>
        <v>190</v>
      </c>
      <c r="F18" s="495">
        <f>H18+K18</f>
        <v>0</v>
      </c>
      <c r="G18" s="495"/>
      <c r="H18" s="495">
        <f>I18+J18</f>
        <v>0</v>
      </c>
      <c r="I18" s="495"/>
      <c r="J18" s="495"/>
      <c r="K18" s="495">
        <f t="shared" ref="K18:K30" si="8">L18+M18</f>
        <v>0</v>
      </c>
      <c r="L18" s="495"/>
      <c r="M18" s="495"/>
      <c r="N18" s="495"/>
      <c r="O18" s="495">
        <f>40+150</f>
        <v>190</v>
      </c>
      <c r="P18" s="495"/>
      <c r="Q18" s="495"/>
      <c r="R18" s="495"/>
      <c r="S18" s="495"/>
      <c r="T18" s="495"/>
      <c r="U18" s="495"/>
      <c r="V18" s="495"/>
      <c r="W18" s="495">
        <f t="shared" si="7"/>
        <v>190</v>
      </c>
      <c r="X18" s="496" t="s">
        <v>502</v>
      </c>
    </row>
    <row r="19" spans="1:24" s="497" customFormat="1" ht="30.75" customHeight="1">
      <c r="A19" s="499" t="s">
        <v>111</v>
      </c>
      <c r="B19" s="498" t="s">
        <v>606</v>
      </c>
      <c r="C19" s="493"/>
      <c r="D19" s="494">
        <f>E19+P19</f>
        <v>598</v>
      </c>
      <c r="E19" s="495">
        <f t="shared" ref="E19" si="9">F19+N19+O19</f>
        <v>0</v>
      </c>
      <c r="F19" s="495">
        <f t="shared" ref="F19:F30" si="10">H19+K19</f>
        <v>0</v>
      </c>
      <c r="G19" s="495"/>
      <c r="H19" s="495"/>
      <c r="I19" s="495"/>
      <c r="J19" s="495"/>
      <c r="K19" s="495">
        <f t="shared" si="8"/>
        <v>0</v>
      </c>
      <c r="L19" s="495"/>
      <c r="M19" s="495"/>
      <c r="N19" s="495"/>
      <c r="O19" s="495"/>
      <c r="P19" s="495">
        <v>598</v>
      </c>
      <c r="Q19" s="495"/>
      <c r="R19" s="495"/>
      <c r="S19" s="495"/>
      <c r="T19" s="495"/>
      <c r="U19" s="495"/>
      <c r="V19" s="495"/>
      <c r="W19" s="495">
        <f t="shared" si="7"/>
        <v>598</v>
      </c>
      <c r="X19" s="496" t="s">
        <v>502</v>
      </c>
    </row>
    <row r="20" spans="1:24" s="497" customFormat="1" ht="34.5" hidden="1" customHeight="1">
      <c r="A20" s="499" t="s">
        <v>111</v>
      </c>
      <c r="B20" s="498"/>
      <c r="C20" s="493"/>
      <c r="D20" s="494"/>
      <c r="E20" s="495"/>
      <c r="F20" s="495"/>
      <c r="G20" s="495"/>
      <c r="H20" s="495"/>
      <c r="I20" s="495"/>
      <c r="J20" s="495"/>
      <c r="K20" s="495"/>
      <c r="L20" s="495"/>
      <c r="M20" s="495"/>
      <c r="N20" s="495"/>
      <c r="O20" s="495"/>
      <c r="P20" s="495"/>
      <c r="Q20" s="495"/>
      <c r="R20" s="495"/>
      <c r="S20" s="495"/>
      <c r="T20" s="495"/>
      <c r="U20" s="495"/>
      <c r="V20" s="495"/>
      <c r="W20" s="495">
        <f t="shared" si="7"/>
        <v>0</v>
      </c>
      <c r="X20" s="496"/>
    </row>
    <row r="21" spans="1:24" s="497" customFormat="1" ht="69" customHeight="1">
      <c r="A21" s="499" t="s">
        <v>111</v>
      </c>
      <c r="B21" s="498" t="s">
        <v>658</v>
      </c>
      <c r="C21" s="493"/>
      <c r="D21" s="494">
        <f t="shared" ref="D21:D30" si="11">E21+P21</f>
        <v>2421</v>
      </c>
      <c r="E21" s="495">
        <f>F21+N21+O21</f>
        <v>2421</v>
      </c>
      <c r="F21" s="495">
        <f t="shared" si="10"/>
        <v>0</v>
      </c>
      <c r="G21" s="495"/>
      <c r="H21" s="495">
        <f>I21+J21</f>
        <v>0</v>
      </c>
      <c r="I21" s="495"/>
      <c r="J21" s="495"/>
      <c r="K21" s="495">
        <f t="shared" si="8"/>
        <v>0</v>
      </c>
      <c r="L21" s="495"/>
      <c r="M21" s="495"/>
      <c r="N21" s="495"/>
      <c r="O21" s="495">
        <v>2421</v>
      </c>
      <c r="P21" s="495"/>
      <c r="Q21" s="495"/>
      <c r="R21" s="495"/>
      <c r="S21" s="495"/>
      <c r="T21" s="495"/>
      <c r="U21" s="495">
        <f>2421</f>
        <v>2421</v>
      </c>
      <c r="V21" s="495"/>
      <c r="W21" s="495">
        <f t="shared" si="7"/>
        <v>0</v>
      </c>
      <c r="X21" s="496" t="s">
        <v>720</v>
      </c>
    </row>
    <row r="22" spans="1:24" s="497" customFormat="1" ht="37.5" customHeight="1">
      <c r="A22" s="491">
        <v>3</v>
      </c>
      <c r="B22" s="498" t="s">
        <v>258</v>
      </c>
      <c r="C22" s="493"/>
      <c r="D22" s="494">
        <f t="shared" si="11"/>
        <v>770</v>
      </c>
      <c r="E22" s="495">
        <f t="shared" ref="E22:E30" si="12">F22+N22+O22</f>
        <v>0</v>
      </c>
      <c r="F22" s="495">
        <f t="shared" si="10"/>
        <v>0</v>
      </c>
      <c r="G22" s="495"/>
      <c r="H22" s="495">
        <f t="shared" si="4"/>
        <v>0</v>
      </c>
      <c r="I22" s="495"/>
      <c r="J22" s="495"/>
      <c r="K22" s="495">
        <f t="shared" si="8"/>
        <v>0</v>
      </c>
      <c r="L22" s="495"/>
      <c r="M22" s="495">
        <v>0</v>
      </c>
      <c r="N22" s="495"/>
      <c r="O22" s="495"/>
      <c r="P22" s="495">
        <v>770</v>
      </c>
      <c r="Q22" s="495"/>
      <c r="R22" s="495"/>
      <c r="S22" s="495"/>
      <c r="T22" s="495"/>
      <c r="U22" s="495"/>
      <c r="V22" s="495"/>
      <c r="W22" s="495">
        <f t="shared" si="7"/>
        <v>770</v>
      </c>
      <c r="X22" s="496" t="s">
        <v>695</v>
      </c>
    </row>
    <row r="23" spans="1:24" s="497" customFormat="1" ht="20.25" hidden="1" customHeight="1">
      <c r="A23" s="491">
        <v>4</v>
      </c>
      <c r="B23" s="498" t="s">
        <v>721</v>
      </c>
      <c r="C23" s="493"/>
      <c r="D23" s="494">
        <f t="shared" si="11"/>
        <v>0</v>
      </c>
      <c r="E23" s="495">
        <f t="shared" si="12"/>
        <v>0</v>
      </c>
      <c r="F23" s="495">
        <f t="shared" si="10"/>
        <v>0</v>
      </c>
      <c r="G23" s="495"/>
      <c r="H23" s="495">
        <f t="shared" si="4"/>
        <v>0</v>
      </c>
      <c r="I23" s="495"/>
      <c r="J23" s="495"/>
      <c r="K23" s="495">
        <f t="shared" si="8"/>
        <v>0</v>
      </c>
      <c r="L23" s="495"/>
      <c r="M23" s="495">
        <v>0</v>
      </c>
      <c r="N23" s="495"/>
      <c r="O23" s="495"/>
      <c r="P23" s="495"/>
      <c r="Q23" s="495"/>
      <c r="R23" s="495"/>
      <c r="S23" s="495"/>
      <c r="T23" s="495"/>
      <c r="U23" s="495"/>
      <c r="V23" s="495"/>
      <c r="W23" s="495">
        <f t="shared" si="7"/>
        <v>0</v>
      </c>
      <c r="X23" s="496"/>
    </row>
    <row r="24" spans="1:24" s="497" customFormat="1" ht="20.25" hidden="1" customHeight="1">
      <c r="A24" s="491">
        <v>5</v>
      </c>
      <c r="B24" s="498" t="s">
        <v>722</v>
      </c>
      <c r="C24" s="493"/>
      <c r="D24" s="494">
        <f t="shared" si="11"/>
        <v>0</v>
      </c>
      <c r="E24" s="495">
        <f t="shared" si="12"/>
        <v>0</v>
      </c>
      <c r="F24" s="495">
        <f t="shared" si="10"/>
        <v>0</v>
      </c>
      <c r="G24" s="495"/>
      <c r="H24" s="495">
        <f t="shared" si="4"/>
        <v>0</v>
      </c>
      <c r="I24" s="495"/>
      <c r="J24" s="495"/>
      <c r="K24" s="495">
        <f t="shared" si="8"/>
        <v>0</v>
      </c>
      <c r="L24" s="495"/>
      <c r="M24" s="495">
        <v>0</v>
      </c>
      <c r="N24" s="495"/>
      <c r="O24" s="495"/>
      <c r="P24" s="495"/>
      <c r="Q24" s="495"/>
      <c r="R24" s="495"/>
      <c r="S24" s="495"/>
      <c r="T24" s="495"/>
      <c r="U24" s="495"/>
      <c r="V24" s="495"/>
      <c r="W24" s="495">
        <f t="shared" si="7"/>
        <v>0</v>
      </c>
      <c r="X24" s="496"/>
    </row>
    <row r="25" spans="1:24" s="497" customFormat="1" ht="27" customHeight="1">
      <c r="A25" s="491">
        <v>4</v>
      </c>
      <c r="B25" s="498" t="s">
        <v>659</v>
      </c>
      <c r="C25" s="493"/>
      <c r="D25" s="494">
        <f t="shared" si="11"/>
        <v>2500</v>
      </c>
      <c r="E25" s="495">
        <f t="shared" si="12"/>
        <v>0</v>
      </c>
      <c r="F25" s="495">
        <f t="shared" si="10"/>
        <v>0</v>
      </c>
      <c r="G25" s="495"/>
      <c r="H25" s="495">
        <f t="shared" si="4"/>
        <v>0</v>
      </c>
      <c r="I25" s="495"/>
      <c r="J25" s="495"/>
      <c r="K25" s="495">
        <f t="shared" si="8"/>
        <v>0</v>
      </c>
      <c r="L25" s="495"/>
      <c r="M25" s="495">
        <v>0</v>
      </c>
      <c r="N25" s="495"/>
      <c r="O25" s="495"/>
      <c r="P25" s="495">
        <v>2500</v>
      </c>
      <c r="Q25" s="495"/>
      <c r="R25" s="495"/>
      <c r="S25" s="495"/>
      <c r="T25" s="495"/>
      <c r="U25" s="495"/>
      <c r="V25" s="495"/>
      <c r="W25" s="495">
        <f t="shared" si="7"/>
        <v>2500</v>
      </c>
      <c r="X25" s="496" t="s">
        <v>695</v>
      </c>
    </row>
    <row r="26" spans="1:24" s="497" customFormat="1" ht="27.75" customHeight="1">
      <c r="A26" s="491">
        <v>5</v>
      </c>
      <c r="B26" s="498" t="s">
        <v>260</v>
      </c>
      <c r="C26" s="493"/>
      <c r="D26" s="494">
        <f t="shared" si="11"/>
        <v>2330</v>
      </c>
      <c r="E26" s="495">
        <f t="shared" si="12"/>
        <v>0</v>
      </c>
      <c r="F26" s="495">
        <f t="shared" si="10"/>
        <v>0</v>
      </c>
      <c r="G26" s="495"/>
      <c r="H26" s="495">
        <f t="shared" si="4"/>
        <v>0</v>
      </c>
      <c r="I26" s="495"/>
      <c r="J26" s="495"/>
      <c r="K26" s="495">
        <f t="shared" si="8"/>
        <v>0</v>
      </c>
      <c r="L26" s="495"/>
      <c r="M26" s="495">
        <v>0</v>
      </c>
      <c r="N26" s="495"/>
      <c r="O26" s="495"/>
      <c r="P26" s="495">
        <v>2330</v>
      </c>
      <c r="Q26" s="495"/>
      <c r="R26" s="495"/>
      <c r="S26" s="495"/>
      <c r="T26" s="495"/>
      <c r="U26" s="495"/>
      <c r="V26" s="495"/>
      <c r="W26" s="495">
        <f t="shared" si="7"/>
        <v>2330</v>
      </c>
      <c r="X26" s="496" t="s">
        <v>695</v>
      </c>
    </row>
    <row r="27" spans="1:24" s="497" customFormat="1" ht="27.75" hidden="1" customHeight="1">
      <c r="A27" s="491">
        <v>6</v>
      </c>
      <c r="B27" s="498" t="s">
        <v>723</v>
      </c>
      <c r="C27" s="493"/>
      <c r="D27" s="494">
        <f t="shared" si="11"/>
        <v>0</v>
      </c>
      <c r="E27" s="495">
        <f t="shared" si="12"/>
        <v>0</v>
      </c>
      <c r="F27" s="495">
        <f t="shared" si="10"/>
        <v>0</v>
      </c>
      <c r="G27" s="495"/>
      <c r="H27" s="495">
        <f>I27+J27</f>
        <v>0</v>
      </c>
      <c r="I27" s="495"/>
      <c r="J27" s="495"/>
      <c r="K27" s="495">
        <f t="shared" si="8"/>
        <v>0</v>
      </c>
      <c r="L27" s="495"/>
      <c r="M27" s="495">
        <v>0</v>
      </c>
      <c r="N27" s="495"/>
      <c r="O27" s="495"/>
      <c r="P27" s="495"/>
      <c r="Q27" s="495"/>
      <c r="R27" s="495"/>
      <c r="S27" s="495"/>
      <c r="T27" s="495"/>
      <c r="U27" s="495"/>
      <c r="V27" s="495"/>
      <c r="W27" s="495">
        <f t="shared" si="7"/>
        <v>0</v>
      </c>
      <c r="X27" s="496" t="s">
        <v>259</v>
      </c>
    </row>
    <row r="28" spans="1:24" s="497" customFormat="1" ht="27.75" hidden="1" customHeight="1">
      <c r="A28" s="491">
        <v>5</v>
      </c>
      <c r="B28" s="498" t="s">
        <v>724</v>
      </c>
      <c r="C28" s="493"/>
      <c r="D28" s="494">
        <f t="shared" si="11"/>
        <v>0</v>
      </c>
      <c r="E28" s="495">
        <f t="shared" si="12"/>
        <v>0</v>
      </c>
      <c r="F28" s="495">
        <f t="shared" si="10"/>
        <v>0</v>
      </c>
      <c r="G28" s="495"/>
      <c r="H28" s="495">
        <f>I28+J28</f>
        <v>0</v>
      </c>
      <c r="I28" s="495"/>
      <c r="J28" s="495"/>
      <c r="K28" s="495">
        <f t="shared" si="8"/>
        <v>0</v>
      </c>
      <c r="L28" s="495"/>
      <c r="M28" s="495">
        <v>0</v>
      </c>
      <c r="N28" s="495"/>
      <c r="O28" s="495"/>
      <c r="P28" s="495"/>
      <c r="Q28" s="495"/>
      <c r="R28" s="495"/>
      <c r="S28" s="495"/>
      <c r="T28" s="495"/>
      <c r="U28" s="495"/>
      <c r="V28" s="495"/>
      <c r="W28" s="495">
        <f t="shared" si="7"/>
        <v>0</v>
      </c>
      <c r="X28" s="496" t="s">
        <v>259</v>
      </c>
    </row>
    <row r="29" spans="1:24" s="497" customFormat="1" ht="21.75" hidden="1" customHeight="1">
      <c r="A29" s="491">
        <v>6</v>
      </c>
      <c r="B29" s="498" t="s">
        <v>725</v>
      </c>
      <c r="C29" s="493"/>
      <c r="D29" s="494">
        <f t="shared" si="11"/>
        <v>0</v>
      </c>
      <c r="E29" s="495">
        <f t="shared" si="12"/>
        <v>0</v>
      </c>
      <c r="F29" s="495">
        <f t="shared" si="10"/>
        <v>0</v>
      </c>
      <c r="G29" s="495"/>
      <c r="H29" s="495">
        <f t="shared" si="4"/>
        <v>0</v>
      </c>
      <c r="I29" s="495"/>
      <c r="J29" s="495"/>
      <c r="K29" s="495">
        <f t="shared" si="8"/>
        <v>0</v>
      </c>
      <c r="L29" s="495"/>
      <c r="M29" s="495">
        <v>0</v>
      </c>
      <c r="N29" s="495"/>
      <c r="O29" s="495"/>
      <c r="P29" s="495"/>
      <c r="Q29" s="495"/>
      <c r="R29" s="495"/>
      <c r="S29" s="495"/>
      <c r="T29" s="495"/>
      <c r="U29" s="495"/>
      <c r="V29" s="495"/>
      <c r="W29" s="495">
        <f t="shared" si="7"/>
        <v>0</v>
      </c>
      <c r="X29" s="496" t="s">
        <v>259</v>
      </c>
    </row>
    <row r="30" spans="1:24" s="497" customFormat="1" ht="28.5" hidden="1" customHeight="1">
      <c r="A30" s="491">
        <v>7</v>
      </c>
      <c r="B30" s="498" t="s">
        <v>726</v>
      </c>
      <c r="C30" s="493"/>
      <c r="D30" s="494">
        <f t="shared" si="11"/>
        <v>0</v>
      </c>
      <c r="E30" s="495">
        <f t="shared" si="12"/>
        <v>0</v>
      </c>
      <c r="F30" s="495">
        <f t="shared" si="10"/>
        <v>0</v>
      </c>
      <c r="G30" s="495"/>
      <c r="H30" s="495">
        <f t="shared" si="4"/>
        <v>0</v>
      </c>
      <c r="I30" s="495"/>
      <c r="J30" s="495"/>
      <c r="K30" s="495">
        <f t="shared" si="8"/>
        <v>0</v>
      </c>
      <c r="L30" s="495"/>
      <c r="M30" s="495">
        <v>0</v>
      </c>
      <c r="N30" s="495"/>
      <c r="O30" s="495"/>
      <c r="P30" s="495"/>
      <c r="Q30" s="495"/>
      <c r="R30" s="495"/>
      <c r="S30" s="495"/>
      <c r="T30" s="495"/>
      <c r="U30" s="495"/>
      <c r="V30" s="495"/>
      <c r="W30" s="495">
        <f t="shared" si="7"/>
        <v>0</v>
      </c>
      <c r="X30" s="496" t="s">
        <v>261</v>
      </c>
    </row>
    <row r="31" spans="1:24" s="497" customFormat="1" ht="21.75" customHeight="1">
      <c r="A31" s="491" t="s">
        <v>70</v>
      </c>
      <c r="B31" s="498" t="s">
        <v>262</v>
      </c>
      <c r="C31" s="493"/>
      <c r="D31" s="494">
        <f>D32+D73+D76+D91</f>
        <v>271466.97002000001</v>
      </c>
      <c r="E31" s="495">
        <f t="shared" ref="E31:W31" si="13">E32+E73+E76+E91</f>
        <v>270846.97002000001</v>
      </c>
      <c r="F31" s="495">
        <f t="shared" si="13"/>
        <v>211387.80002</v>
      </c>
      <c r="G31" s="495">
        <f t="shared" si="13"/>
        <v>1179</v>
      </c>
      <c r="H31" s="495">
        <f t="shared" si="13"/>
        <v>168459.96702000001</v>
      </c>
      <c r="I31" s="495">
        <f t="shared" si="13"/>
        <v>0</v>
      </c>
      <c r="J31" s="495">
        <f t="shared" si="13"/>
        <v>0</v>
      </c>
      <c r="K31" s="495">
        <f t="shared" si="13"/>
        <v>42927.832999999999</v>
      </c>
      <c r="L31" s="495">
        <f t="shared" si="13"/>
        <v>29265.440000000002</v>
      </c>
      <c r="M31" s="495">
        <f t="shared" si="13"/>
        <v>13662.393</v>
      </c>
      <c r="N31" s="495">
        <f t="shared" si="13"/>
        <v>59459.17</v>
      </c>
      <c r="O31" s="495">
        <f t="shared" si="13"/>
        <v>0</v>
      </c>
      <c r="P31" s="495">
        <f t="shared" si="13"/>
        <v>620</v>
      </c>
      <c r="Q31" s="495">
        <f t="shared" si="13"/>
        <v>0</v>
      </c>
      <c r="R31" s="495">
        <f>R32+R73+R76+R91</f>
        <v>4906.5</v>
      </c>
      <c r="S31" s="495">
        <f t="shared" si="13"/>
        <v>1939.05</v>
      </c>
      <c r="T31" s="495">
        <f t="shared" si="13"/>
        <v>1714.09</v>
      </c>
      <c r="U31" s="495">
        <f t="shared" si="13"/>
        <v>4261.16</v>
      </c>
      <c r="V31" s="495">
        <f t="shared" si="13"/>
        <v>3804.721</v>
      </c>
      <c r="W31" s="495">
        <f t="shared" si="13"/>
        <v>265879.07102000003</v>
      </c>
      <c r="X31" s="496"/>
    </row>
    <row r="32" spans="1:24" s="497" customFormat="1" ht="19.5" customHeight="1">
      <c r="A32" s="491">
        <v>1</v>
      </c>
      <c r="B32" s="498" t="s">
        <v>263</v>
      </c>
      <c r="C32" s="500"/>
      <c r="D32" s="494">
        <f t="shared" ref="D32:W32" si="14">D33+D50</f>
        <v>196470</v>
      </c>
      <c r="E32" s="495">
        <f t="shared" si="14"/>
        <v>196470</v>
      </c>
      <c r="F32" s="495">
        <f t="shared" si="14"/>
        <v>174802</v>
      </c>
      <c r="G32" s="495">
        <f t="shared" si="14"/>
        <v>1018</v>
      </c>
      <c r="H32" s="495">
        <f t="shared" si="14"/>
        <v>150039.57</v>
      </c>
      <c r="I32" s="495">
        <f t="shared" si="14"/>
        <v>0</v>
      </c>
      <c r="J32" s="495">
        <f t="shared" si="14"/>
        <v>0</v>
      </c>
      <c r="K32" s="495">
        <f t="shared" si="14"/>
        <v>24762.43</v>
      </c>
      <c r="L32" s="495">
        <f t="shared" si="14"/>
        <v>24762.43</v>
      </c>
      <c r="M32" s="495">
        <f t="shared" si="14"/>
        <v>0</v>
      </c>
      <c r="N32" s="495">
        <f t="shared" si="14"/>
        <v>21668</v>
      </c>
      <c r="O32" s="495">
        <f t="shared" si="14"/>
        <v>0</v>
      </c>
      <c r="P32" s="495">
        <f t="shared" si="14"/>
        <v>0</v>
      </c>
      <c r="Q32" s="495">
        <f t="shared" si="14"/>
        <v>0</v>
      </c>
      <c r="R32" s="495">
        <f t="shared" si="14"/>
        <v>2408.3000000000002</v>
      </c>
      <c r="S32" s="495">
        <f t="shared" si="14"/>
        <v>88.96</v>
      </c>
      <c r="T32" s="495">
        <f t="shared" si="14"/>
        <v>88.96</v>
      </c>
      <c r="U32" s="495">
        <f>U33+U50</f>
        <v>681</v>
      </c>
      <c r="V32" s="495">
        <f>V33+V50</f>
        <v>664.9</v>
      </c>
      <c r="W32" s="495">
        <f t="shared" si="14"/>
        <v>194045.6</v>
      </c>
      <c r="X32" s="496"/>
    </row>
    <row r="33" spans="1:24" s="497" customFormat="1" ht="19.5" customHeight="1">
      <c r="A33" s="491" t="s">
        <v>17</v>
      </c>
      <c r="B33" s="498" t="s">
        <v>264</v>
      </c>
      <c r="C33" s="493"/>
      <c r="D33" s="494">
        <f t="shared" ref="D33:S34" si="15">D34</f>
        <v>194315.48</v>
      </c>
      <c r="E33" s="495">
        <f t="shared" si="15"/>
        <v>194315.48</v>
      </c>
      <c r="F33" s="495">
        <f t="shared" si="15"/>
        <v>173320.63</v>
      </c>
      <c r="G33" s="495">
        <f t="shared" si="15"/>
        <v>1007</v>
      </c>
      <c r="H33" s="495">
        <f t="shared" si="15"/>
        <v>148756.20000000001</v>
      </c>
      <c r="I33" s="495">
        <f t="shared" si="15"/>
        <v>0</v>
      </c>
      <c r="J33" s="495">
        <f t="shared" si="15"/>
        <v>0</v>
      </c>
      <c r="K33" s="495">
        <f t="shared" si="15"/>
        <v>24564.43</v>
      </c>
      <c r="L33" s="495">
        <f t="shared" si="15"/>
        <v>24564.43</v>
      </c>
      <c r="M33" s="495">
        <f t="shared" si="15"/>
        <v>0</v>
      </c>
      <c r="N33" s="495">
        <f t="shared" si="15"/>
        <v>20994.85</v>
      </c>
      <c r="O33" s="495">
        <f t="shared" si="15"/>
        <v>0</v>
      </c>
      <c r="P33" s="495">
        <f>P34</f>
        <v>0</v>
      </c>
      <c r="Q33" s="495">
        <f t="shared" si="15"/>
        <v>0</v>
      </c>
      <c r="R33" s="495">
        <f t="shared" si="15"/>
        <v>2380.5</v>
      </c>
      <c r="S33" s="495">
        <f t="shared" si="15"/>
        <v>0</v>
      </c>
      <c r="T33" s="495">
        <f t="shared" ref="Q33:W34" si="16">T34</f>
        <v>0</v>
      </c>
      <c r="U33" s="495">
        <f>U34</f>
        <v>595</v>
      </c>
      <c r="V33" s="495">
        <f t="shared" si="16"/>
        <v>405</v>
      </c>
      <c r="W33" s="495">
        <f t="shared" si="16"/>
        <v>191744.98</v>
      </c>
      <c r="X33" s="496"/>
    </row>
    <row r="34" spans="1:24" s="497" customFormat="1" ht="19.5" customHeight="1">
      <c r="A34" s="491" t="s">
        <v>204</v>
      </c>
      <c r="B34" s="498" t="s">
        <v>265</v>
      </c>
      <c r="C34" s="493"/>
      <c r="D34" s="494">
        <f>D35</f>
        <v>194315.48</v>
      </c>
      <c r="E34" s="494">
        <f t="shared" si="15"/>
        <v>194315.48</v>
      </c>
      <c r="F34" s="494">
        <f t="shared" si="15"/>
        <v>173320.63</v>
      </c>
      <c r="G34" s="494">
        <f t="shared" si="15"/>
        <v>1007</v>
      </c>
      <c r="H34" s="494">
        <f t="shared" si="15"/>
        <v>148756.20000000001</v>
      </c>
      <c r="I34" s="494">
        <f t="shared" si="15"/>
        <v>0</v>
      </c>
      <c r="J34" s="494">
        <f t="shared" si="15"/>
        <v>0</v>
      </c>
      <c r="K34" s="494">
        <f t="shared" si="15"/>
        <v>24564.43</v>
      </c>
      <c r="L34" s="494">
        <f t="shared" si="15"/>
        <v>24564.43</v>
      </c>
      <c r="M34" s="494">
        <f t="shared" si="15"/>
        <v>0</v>
      </c>
      <c r="N34" s="494">
        <f t="shared" si="15"/>
        <v>20994.85</v>
      </c>
      <c r="O34" s="494">
        <f t="shared" si="15"/>
        <v>0</v>
      </c>
      <c r="P34" s="494">
        <f t="shared" si="15"/>
        <v>0</v>
      </c>
      <c r="Q34" s="494">
        <f t="shared" si="16"/>
        <v>0</v>
      </c>
      <c r="R34" s="494">
        <f t="shared" si="16"/>
        <v>2380.5</v>
      </c>
      <c r="S34" s="494">
        <f t="shared" si="16"/>
        <v>0</v>
      </c>
      <c r="T34" s="494">
        <f t="shared" si="16"/>
        <v>0</v>
      </c>
      <c r="U34" s="494">
        <f t="shared" si="16"/>
        <v>595</v>
      </c>
      <c r="V34" s="494">
        <f t="shared" si="16"/>
        <v>405</v>
      </c>
      <c r="W34" s="494">
        <f>W35</f>
        <v>191744.98</v>
      </c>
      <c r="X34" s="496"/>
    </row>
    <row r="35" spans="1:24" s="497" customFormat="1" ht="41.25" customHeight="1">
      <c r="A35" s="491" t="s">
        <v>266</v>
      </c>
      <c r="B35" s="498" t="s">
        <v>267</v>
      </c>
      <c r="C35" s="493"/>
      <c r="D35" s="494">
        <f>SUM(D36:D40)</f>
        <v>194315.48</v>
      </c>
      <c r="E35" s="494">
        <f t="shared" ref="E35:W35" si="17">SUM(E36:E40)</f>
        <v>194315.48</v>
      </c>
      <c r="F35" s="494">
        <f t="shared" si="17"/>
        <v>173320.63</v>
      </c>
      <c r="G35" s="494">
        <f t="shared" si="17"/>
        <v>1007</v>
      </c>
      <c r="H35" s="494">
        <f t="shared" si="17"/>
        <v>148756.20000000001</v>
      </c>
      <c r="I35" s="494">
        <f t="shared" si="17"/>
        <v>0</v>
      </c>
      <c r="J35" s="494">
        <f t="shared" si="17"/>
        <v>0</v>
      </c>
      <c r="K35" s="494">
        <f t="shared" si="17"/>
        <v>24564.43</v>
      </c>
      <c r="L35" s="494">
        <f t="shared" si="17"/>
        <v>24564.43</v>
      </c>
      <c r="M35" s="494">
        <f t="shared" si="17"/>
        <v>0</v>
      </c>
      <c r="N35" s="494">
        <f t="shared" si="17"/>
        <v>20994.85</v>
      </c>
      <c r="O35" s="494">
        <f t="shared" si="17"/>
        <v>0</v>
      </c>
      <c r="P35" s="494">
        <f t="shared" si="17"/>
        <v>0</v>
      </c>
      <c r="Q35" s="494">
        <f t="shared" si="17"/>
        <v>0</v>
      </c>
      <c r="R35" s="494">
        <f>SUM(R36:R40)</f>
        <v>2380.5</v>
      </c>
      <c r="S35" s="494">
        <f t="shared" si="17"/>
        <v>0</v>
      </c>
      <c r="T35" s="494">
        <f t="shared" si="17"/>
        <v>0</v>
      </c>
      <c r="U35" s="494">
        <f t="shared" si="17"/>
        <v>595</v>
      </c>
      <c r="V35" s="494">
        <f>SUM(V36:V40)</f>
        <v>405</v>
      </c>
      <c r="W35" s="494">
        <f t="shared" si="17"/>
        <v>191744.98</v>
      </c>
      <c r="X35" s="496" t="s">
        <v>815</v>
      </c>
    </row>
    <row r="36" spans="1:24" s="497" customFormat="1" ht="33.75" customHeight="1">
      <c r="A36" s="499" t="s">
        <v>255</v>
      </c>
      <c r="B36" s="498" t="s">
        <v>268</v>
      </c>
      <c r="C36" s="493"/>
      <c r="D36" s="494">
        <f>E36+P36</f>
        <v>173320.63</v>
      </c>
      <c r="E36" s="495">
        <f>F36+N36+O36</f>
        <v>173320.63</v>
      </c>
      <c r="F36" s="495">
        <f>H36+K36</f>
        <v>173320.63</v>
      </c>
      <c r="G36" s="495">
        <v>1007</v>
      </c>
      <c r="H36" s="495">
        <v>148756.20000000001</v>
      </c>
      <c r="I36" s="495"/>
      <c r="J36" s="495"/>
      <c r="K36" s="495">
        <f>L36+M36</f>
        <v>24564.43</v>
      </c>
      <c r="L36" s="495">
        <f>24564.43</f>
        <v>24564.43</v>
      </c>
      <c r="M36" s="495"/>
      <c r="N36" s="495"/>
      <c r="O36" s="495"/>
      <c r="P36" s="495">
        <v>0</v>
      </c>
      <c r="Q36" s="495"/>
      <c r="R36" s="495">
        <v>2380.5</v>
      </c>
      <c r="S36" s="495"/>
      <c r="T36" s="495"/>
      <c r="U36" s="495"/>
      <c r="V36" s="495"/>
      <c r="W36" s="495">
        <f>D36-Q36-R36-S36-U36+(T36+V36)</f>
        <v>170940.13</v>
      </c>
      <c r="X36" s="496"/>
    </row>
    <row r="37" spans="1:24" s="497" customFormat="1" ht="27.75" customHeight="1">
      <c r="A37" s="499" t="s">
        <v>255</v>
      </c>
      <c r="B37" s="498" t="s">
        <v>991</v>
      </c>
      <c r="C37" s="493"/>
      <c r="D37" s="494">
        <f>E37+P37</f>
        <v>2524</v>
      </c>
      <c r="E37" s="495">
        <f>F37+N37+O37</f>
        <v>2524</v>
      </c>
      <c r="F37" s="495">
        <f>H37+K37</f>
        <v>0</v>
      </c>
      <c r="G37" s="495"/>
      <c r="H37" s="495">
        <f>I37+J37</f>
        <v>0</v>
      </c>
      <c r="I37" s="495"/>
      <c r="J37" s="495"/>
      <c r="K37" s="495">
        <f>L37+M37</f>
        <v>0</v>
      </c>
      <c r="L37" s="495"/>
      <c r="M37" s="495"/>
      <c r="N37" s="495">
        <v>2524</v>
      </c>
      <c r="O37" s="495"/>
      <c r="P37" s="495"/>
      <c r="Q37" s="495"/>
      <c r="R37" s="495"/>
      <c r="S37" s="495"/>
      <c r="T37" s="495"/>
      <c r="U37" s="495"/>
      <c r="V37" s="495"/>
      <c r="W37" s="495">
        <f>D37-Q37-R37-S37-U37+(T37+V37)</f>
        <v>2524</v>
      </c>
      <c r="X37" s="496"/>
    </row>
    <row r="38" spans="1:24" s="497" customFormat="1" ht="33.75" customHeight="1">
      <c r="A38" s="499" t="s">
        <v>255</v>
      </c>
      <c r="B38" s="498" t="s">
        <v>271</v>
      </c>
      <c r="C38" s="493"/>
      <c r="D38" s="494">
        <f>E38+P38</f>
        <v>2476</v>
      </c>
      <c r="E38" s="495">
        <f>F38+N38+O38</f>
        <v>2476</v>
      </c>
      <c r="F38" s="495">
        <f>H38+K38</f>
        <v>0</v>
      </c>
      <c r="G38" s="495"/>
      <c r="H38" s="495">
        <f t="shared" ref="H38:H39" si="18">I38+J38</f>
        <v>0</v>
      </c>
      <c r="I38" s="495"/>
      <c r="J38" s="495"/>
      <c r="K38" s="495">
        <f>L38+M38</f>
        <v>0</v>
      </c>
      <c r="L38" s="495"/>
      <c r="M38" s="495">
        <v>0</v>
      </c>
      <c r="N38" s="495">
        <v>2476</v>
      </c>
      <c r="O38" s="495"/>
      <c r="P38" s="495"/>
      <c r="Q38" s="495"/>
      <c r="R38" s="495"/>
      <c r="S38" s="495"/>
      <c r="T38" s="495"/>
      <c r="U38" s="495"/>
      <c r="V38" s="495"/>
      <c r="W38" s="495">
        <f>D38-Q38-R38-S38-U38+(T38+V38)</f>
        <v>2476</v>
      </c>
      <c r="X38" s="496"/>
    </row>
    <row r="39" spans="1:24" s="501" customFormat="1" ht="33.75" customHeight="1">
      <c r="A39" s="499" t="s">
        <v>255</v>
      </c>
      <c r="B39" s="289" t="s">
        <v>992</v>
      </c>
      <c r="C39" s="493"/>
      <c r="D39" s="494">
        <f>E39+P39</f>
        <v>0</v>
      </c>
      <c r="E39" s="495">
        <f>F39+N39+O39</f>
        <v>0</v>
      </c>
      <c r="F39" s="495">
        <f>H39+K39</f>
        <v>0</v>
      </c>
      <c r="G39" s="495"/>
      <c r="H39" s="495">
        <f t="shared" si="18"/>
        <v>0</v>
      </c>
      <c r="I39" s="495"/>
      <c r="J39" s="495"/>
      <c r="K39" s="495">
        <f>L39+M39</f>
        <v>0</v>
      </c>
      <c r="L39" s="495"/>
      <c r="M39" s="495">
        <v>0</v>
      </c>
      <c r="N39" s="495"/>
      <c r="O39" s="495"/>
      <c r="P39" s="495"/>
      <c r="Q39" s="495"/>
      <c r="R39" s="495"/>
      <c r="S39" s="495"/>
      <c r="T39" s="495"/>
      <c r="U39" s="495"/>
      <c r="V39" s="495">
        <v>31</v>
      </c>
      <c r="W39" s="495">
        <f>D39-Q39-R39-S39-U39+(T39+V39)</f>
        <v>31</v>
      </c>
      <c r="X39" s="496"/>
    </row>
    <row r="40" spans="1:24" s="497" customFormat="1" ht="25.5" customHeight="1">
      <c r="A40" s="499" t="s">
        <v>255</v>
      </c>
      <c r="B40" s="498" t="s">
        <v>655</v>
      </c>
      <c r="C40" s="493"/>
      <c r="D40" s="494">
        <f>SUM(D41:D45)</f>
        <v>15994.85</v>
      </c>
      <c r="E40" s="494">
        <f t="shared" ref="E40:W40" si="19">SUM(E41:E45)</f>
        <v>15994.85</v>
      </c>
      <c r="F40" s="494">
        <f t="shared" si="19"/>
        <v>0</v>
      </c>
      <c r="G40" s="494">
        <f t="shared" si="19"/>
        <v>0</v>
      </c>
      <c r="H40" s="494">
        <f t="shared" si="19"/>
        <v>0</v>
      </c>
      <c r="I40" s="494">
        <f t="shared" si="19"/>
        <v>0</v>
      </c>
      <c r="J40" s="494">
        <f t="shared" si="19"/>
        <v>0</v>
      </c>
      <c r="K40" s="494">
        <f t="shared" si="19"/>
        <v>0</v>
      </c>
      <c r="L40" s="494">
        <f t="shared" si="19"/>
        <v>0</v>
      </c>
      <c r="M40" s="494">
        <f t="shared" si="19"/>
        <v>0</v>
      </c>
      <c r="N40" s="494">
        <f>SUM(N41:N45)</f>
        <v>15994.85</v>
      </c>
      <c r="O40" s="494">
        <f t="shared" si="19"/>
        <v>0</v>
      </c>
      <c r="P40" s="494">
        <f t="shared" si="19"/>
        <v>0</v>
      </c>
      <c r="Q40" s="494">
        <f t="shared" si="19"/>
        <v>0</v>
      </c>
      <c r="R40" s="494">
        <f t="shared" si="19"/>
        <v>0</v>
      </c>
      <c r="S40" s="494">
        <f t="shared" si="19"/>
        <v>0</v>
      </c>
      <c r="T40" s="494">
        <f t="shared" si="19"/>
        <v>0</v>
      </c>
      <c r="U40" s="494">
        <f t="shared" si="19"/>
        <v>595</v>
      </c>
      <c r="V40" s="494">
        <f t="shared" si="19"/>
        <v>374</v>
      </c>
      <c r="W40" s="494">
        <f t="shared" si="19"/>
        <v>15773.85</v>
      </c>
      <c r="X40" s="496"/>
    </row>
    <row r="41" spans="1:24" s="497" customFormat="1" ht="23.25" customHeight="1">
      <c r="A41" s="499" t="s">
        <v>111</v>
      </c>
      <c r="B41" s="498" t="s">
        <v>269</v>
      </c>
      <c r="C41" s="493"/>
      <c r="D41" s="494">
        <f t="shared" ref="D41:D49" si="20">E41+P41</f>
        <v>6100</v>
      </c>
      <c r="E41" s="495">
        <f>F41+N41+O41</f>
        <v>6100</v>
      </c>
      <c r="F41" s="495">
        <f>H41+K41</f>
        <v>0</v>
      </c>
      <c r="G41" s="495"/>
      <c r="H41" s="495">
        <f t="shared" si="4"/>
        <v>0</v>
      </c>
      <c r="I41" s="495"/>
      <c r="J41" s="495"/>
      <c r="K41" s="495">
        <f>L41+M41</f>
        <v>0</v>
      </c>
      <c r="L41" s="495"/>
      <c r="M41" s="495"/>
      <c r="N41" s="495">
        <v>6100</v>
      </c>
      <c r="O41" s="495"/>
      <c r="P41" s="495"/>
      <c r="Q41" s="495"/>
      <c r="R41" s="495"/>
      <c r="S41" s="495"/>
      <c r="T41" s="495"/>
      <c r="U41" s="495"/>
      <c r="V41" s="495"/>
      <c r="W41" s="495">
        <f>D41-Q41-R41-S41-U41+(T41+V41)</f>
        <v>6100</v>
      </c>
      <c r="X41" s="496"/>
    </row>
    <row r="42" spans="1:24" s="497" customFormat="1" ht="48" customHeight="1">
      <c r="A42" s="499" t="s">
        <v>111</v>
      </c>
      <c r="B42" s="498" t="s">
        <v>272</v>
      </c>
      <c r="C42" s="493"/>
      <c r="D42" s="494">
        <f t="shared" si="20"/>
        <v>3890</v>
      </c>
      <c r="E42" s="495">
        <f>F42+N42+O42</f>
        <v>3890</v>
      </c>
      <c r="F42" s="495">
        <f>H42+K42</f>
        <v>0</v>
      </c>
      <c r="G42" s="495"/>
      <c r="H42" s="495">
        <f t="shared" si="4"/>
        <v>0</v>
      </c>
      <c r="I42" s="495"/>
      <c r="J42" s="495"/>
      <c r="K42" s="495">
        <f>L42+M42</f>
        <v>0</v>
      </c>
      <c r="L42" s="495"/>
      <c r="M42" s="495"/>
      <c r="N42" s="495">
        <f>3890</f>
        <v>3890</v>
      </c>
      <c r="O42" s="495"/>
      <c r="P42" s="495"/>
      <c r="Q42" s="495"/>
      <c r="R42" s="495"/>
      <c r="S42" s="495"/>
      <c r="T42" s="495"/>
      <c r="U42" s="495"/>
      <c r="V42" s="495"/>
      <c r="W42" s="495">
        <f>D42-Q42-R42-S42-U42+(T42+V42)</f>
        <v>3890</v>
      </c>
      <c r="X42" s="617"/>
    </row>
    <row r="43" spans="1:24" s="497" customFormat="1" ht="33.75" customHeight="1">
      <c r="A43" s="499" t="s">
        <v>111</v>
      </c>
      <c r="B43" s="498" t="s">
        <v>273</v>
      </c>
      <c r="C43" s="493"/>
      <c r="D43" s="494">
        <f t="shared" si="20"/>
        <v>700</v>
      </c>
      <c r="E43" s="495">
        <f>F43+N43+O43</f>
        <v>700</v>
      </c>
      <c r="F43" s="495">
        <f>H43+K43</f>
        <v>0</v>
      </c>
      <c r="G43" s="495"/>
      <c r="H43" s="495">
        <f t="shared" si="4"/>
        <v>0</v>
      </c>
      <c r="I43" s="495"/>
      <c r="J43" s="495"/>
      <c r="K43" s="495">
        <f>L43+M43</f>
        <v>0</v>
      </c>
      <c r="L43" s="495"/>
      <c r="M43" s="495"/>
      <c r="N43" s="495">
        <v>700</v>
      </c>
      <c r="O43" s="495"/>
      <c r="P43" s="495"/>
      <c r="Q43" s="495"/>
      <c r="R43" s="495"/>
      <c r="S43" s="495"/>
      <c r="T43" s="495"/>
      <c r="U43" s="495"/>
      <c r="V43" s="495">
        <v>374</v>
      </c>
      <c r="W43" s="495">
        <f>D43-Q43-R43-S43-U43+(T43+V43)</f>
        <v>1074</v>
      </c>
      <c r="X43" s="617"/>
    </row>
    <row r="44" spans="1:24" s="497" customFormat="1" ht="48.75" customHeight="1">
      <c r="A44" s="499" t="s">
        <v>111</v>
      </c>
      <c r="B44" s="498" t="s">
        <v>274</v>
      </c>
      <c r="C44" s="493"/>
      <c r="D44" s="494">
        <f t="shared" si="20"/>
        <v>1385</v>
      </c>
      <c r="E44" s="495">
        <f>F44+N44+O44</f>
        <v>1385</v>
      </c>
      <c r="F44" s="495">
        <f>H44+K44</f>
        <v>0</v>
      </c>
      <c r="G44" s="495"/>
      <c r="H44" s="495">
        <f t="shared" si="4"/>
        <v>0</v>
      </c>
      <c r="I44" s="495"/>
      <c r="J44" s="495"/>
      <c r="K44" s="495">
        <f>L44+M44</f>
        <v>0</v>
      </c>
      <c r="L44" s="495"/>
      <c r="M44" s="495">
        <v>0</v>
      </c>
      <c r="N44" s="495">
        <v>1385</v>
      </c>
      <c r="O44" s="495"/>
      <c r="P44" s="495"/>
      <c r="Q44" s="495"/>
      <c r="R44" s="495"/>
      <c r="S44" s="495"/>
      <c r="T44" s="495"/>
      <c r="U44" s="495">
        <v>595</v>
      </c>
      <c r="V44" s="495"/>
      <c r="W44" s="495">
        <f>D44-Q44-R44-S44-U44+(T44+V44)</f>
        <v>790</v>
      </c>
      <c r="X44" s="617"/>
    </row>
    <row r="45" spans="1:24" s="497" customFormat="1" ht="24.75" customHeight="1">
      <c r="A45" s="499" t="s">
        <v>111</v>
      </c>
      <c r="B45" s="498" t="s">
        <v>683</v>
      </c>
      <c r="C45" s="493">
        <f t="shared" ref="C45:W45" si="21">C46+C47+C48</f>
        <v>0</v>
      </c>
      <c r="D45" s="494">
        <f>E45+P45</f>
        <v>3919.85</v>
      </c>
      <c r="E45" s="495">
        <f>E46+E47+E48</f>
        <v>3919.85</v>
      </c>
      <c r="F45" s="495">
        <f t="shared" si="21"/>
        <v>0</v>
      </c>
      <c r="G45" s="495">
        <f t="shared" si="21"/>
        <v>0</v>
      </c>
      <c r="H45" s="495">
        <f t="shared" si="21"/>
        <v>0</v>
      </c>
      <c r="I45" s="495">
        <f t="shared" si="21"/>
        <v>0</v>
      </c>
      <c r="J45" s="495"/>
      <c r="K45" s="495">
        <f t="shared" si="21"/>
        <v>0</v>
      </c>
      <c r="L45" s="495">
        <f t="shared" si="21"/>
        <v>0</v>
      </c>
      <c r="M45" s="495">
        <f t="shared" si="21"/>
        <v>0</v>
      </c>
      <c r="N45" s="495">
        <f t="shared" si="21"/>
        <v>3919.85</v>
      </c>
      <c r="O45" s="495">
        <f t="shared" si="21"/>
        <v>0</v>
      </c>
      <c r="P45" s="495">
        <f t="shared" si="21"/>
        <v>0</v>
      </c>
      <c r="Q45" s="495">
        <f t="shared" si="21"/>
        <v>0</v>
      </c>
      <c r="R45" s="495">
        <f t="shared" si="21"/>
        <v>0</v>
      </c>
      <c r="S45" s="495">
        <f t="shared" si="21"/>
        <v>0</v>
      </c>
      <c r="T45" s="495">
        <f t="shared" si="21"/>
        <v>0</v>
      </c>
      <c r="U45" s="495">
        <f t="shared" si="21"/>
        <v>0</v>
      </c>
      <c r="V45" s="495">
        <f t="shared" si="21"/>
        <v>0</v>
      </c>
      <c r="W45" s="495">
        <f t="shared" si="21"/>
        <v>3919.85</v>
      </c>
      <c r="X45" s="496"/>
    </row>
    <row r="46" spans="1:24" s="497" customFormat="1" ht="26.25" customHeight="1">
      <c r="A46" s="499" t="s">
        <v>275</v>
      </c>
      <c r="B46" s="502" t="s">
        <v>276</v>
      </c>
      <c r="C46" s="493"/>
      <c r="D46" s="494">
        <f t="shared" si="20"/>
        <v>688.85</v>
      </c>
      <c r="E46" s="495">
        <f>F46+N46+O46</f>
        <v>688.85</v>
      </c>
      <c r="F46" s="495">
        <f>H46+K46</f>
        <v>0</v>
      </c>
      <c r="G46" s="495"/>
      <c r="H46" s="495">
        <f t="shared" si="4"/>
        <v>0</v>
      </c>
      <c r="I46" s="495"/>
      <c r="J46" s="495"/>
      <c r="K46" s="495">
        <f>L46+M46</f>
        <v>0</v>
      </c>
      <c r="L46" s="495"/>
      <c r="M46" s="495">
        <v>0</v>
      </c>
      <c r="N46" s="495">
        <f>794.7-14.85-91</f>
        <v>688.85</v>
      </c>
      <c r="O46" s="495"/>
      <c r="P46" s="494"/>
      <c r="Q46" s="494"/>
      <c r="R46" s="494"/>
      <c r="S46" s="494"/>
      <c r="T46" s="494"/>
      <c r="U46" s="494"/>
      <c r="V46" s="494"/>
      <c r="W46" s="495">
        <f>D46-Q46-R46-S46-U46+(T46+V46)</f>
        <v>688.85</v>
      </c>
      <c r="X46" s="496" t="s">
        <v>265</v>
      </c>
    </row>
    <row r="47" spans="1:24" s="497" customFormat="1" ht="31.5" customHeight="1">
      <c r="A47" s="499" t="s">
        <v>275</v>
      </c>
      <c r="B47" s="502" t="s">
        <v>727</v>
      </c>
      <c r="C47" s="493"/>
      <c r="D47" s="494">
        <f t="shared" si="20"/>
        <v>91</v>
      </c>
      <c r="E47" s="495">
        <f>F47+N47+O47</f>
        <v>91</v>
      </c>
      <c r="F47" s="495">
        <f>H47+K47</f>
        <v>0</v>
      </c>
      <c r="G47" s="495"/>
      <c r="H47" s="495">
        <f>I47+J47</f>
        <v>0</v>
      </c>
      <c r="I47" s="495"/>
      <c r="J47" s="495"/>
      <c r="K47" s="495">
        <f>L47+M47</f>
        <v>0</v>
      </c>
      <c r="L47" s="495"/>
      <c r="M47" s="495">
        <v>0</v>
      </c>
      <c r="N47" s="495">
        <v>91</v>
      </c>
      <c r="O47" s="495"/>
      <c r="P47" s="495"/>
      <c r="Q47" s="495"/>
      <c r="R47" s="495"/>
      <c r="S47" s="495"/>
      <c r="T47" s="495"/>
      <c r="U47" s="495"/>
      <c r="V47" s="495"/>
      <c r="W47" s="495">
        <f>D47-Q47-R47-S47-U47+(T47+V47)</f>
        <v>91</v>
      </c>
      <c r="X47" s="496" t="s">
        <v>277</v>
      </c>
    </row>
    <row r="48" spans="1:24" s="497" customFormat="1" ht="27.75" customHeight="1">
      <c r="A48" s="499" t="s">
        <v>275</v>
      </c>
      <c r="B48" s="498" t="s">
        <v>278</v>
      </c>
      <c r="C48" s="493"/>
      <c r="D48" s="494">
        <f t="shared" si="20"/>
        <v>3140</v>
      </c>
      <c r="E48" s="495">
        <f>F48+N48+O48</f>
        <v>3140</v>
      </c>
      <c r="F48" s="495">
        <f>H48+K48</f>
        <v>0</v>
      </c>
      <c r="G48" s="495"/>
      <c r="H48" s="495">
        <f t="shared" si="4"/>
        <v>0</v>
      </c>
      <c r="I48" s="495"/>
      <c r="J48" s="495"/>
      <c r="K48" s="495">
        <f>L48+M48</f>
        <v>0</v>
      </c>
      <c r="L48" s="495"/>
      <c r="M48" s="495">
        <v>0</v>
      </c>
      <c r="N48" s="495">
        <f>3125.15+14.85</f>
        <v>3140</v>
      </c>
      <c r="O48" s="495"/>
      <c r="P48" s="494"/>
      <c r="Q48" s="494"/>
      <c r="R48" s="494"/>
      <c r="S48" s="494"/>
      <c r="T48" s="494"/>
      <c r="U48" s="494"/>
      <c r="V48" s="494"/>
      <c r="W48" s="495">
        <f>D48-Q48-R48-S48-U48+(T48+V48)</f>
        <v>3140</v>
      </c>
      <c r="X48" s="496" t="s">
        <v>265</v>
      </c>
    </row>
    <row r="49" spans="1:24" s="497" customFormat="1" ht="36" customHeight="1">
      <c r="A49" s="499" t="s">
        <v>111</v>
      </c>
      <c r="B49" s="498" t="s">
        <v>279</v>
      </c>
      <c r="C49" s="493"/>
      <c r="D49" s="494">
        <f t="shared" si="20"/>
        <v>0</v>
      </c>
      <c r="E49" s="495">
        <f>F49+N49+O49</f>
        <v>0</v>
      </c>
      <c r="F49" s="495">
        <f>H49+K49</f>
        <v>0</v>
      </c>
      <c r="G49" s="495"/>
      <c r="H49" s="495">
        <f t="shared" si="4"/>
        <v>0</v>
      </c>
      <c r="I49" s="495"/>
      <c r="J49" s="495"/>
      <c r="K49" s="495">
        <f>L49+M49</f>
        <v>0</v>
      </c>
      <c r="L49" s="495"/>
      <c r="M49" s="495"/>
      <c r="N49" s="495"/>
      <c r="O49" s="495"/>
      <c r="P49" s="495">
        <v>0</v>
      </c>
      <c r="Q49" s="495"/>
      <c r="R49" s="495"/>
      <c r="S49" s="495"/>
      <c r="T49" s="495"/>
      <c r="U49" s="495"/>
      <c r="V49" s="495"/>
      <c r="W49" s="495">
        <f>D49-Q49-R49-S49-U49+(T49+V49)</f>
        <v>0</v>
      </c>
      <c r="X49" s="496" t="s">
        <v>277</v>
      </c>
    </row>
    <row r="50" spans="1:24" s="497" customFormat="1" ht="18" customHeight="1">
      <c r="A50" s="491" t="s">
        <v>199</v>
      </c>
      <c r="B50" s="498" t="s">
        <v>280</v>
      </c>
      <c r="C50" s="493"/>
      <c r="D50" s="494">
        <f>D51+D61+D70+D71</f>
        <v>2154.5200000000004</v>
      </c>
      <c r="E50" s="494">
        <f t="shared" ref="E50:W50" si="22">E51+E61+E70+E71</f>
        <v>2154.5200000000004</v>
      </c>
      <c r="F50" s="494">
        <f t="shared" si="22"/>
        <v>1481.3700000000001</v>
      </c>
      <c r="G50" s="494">
        <f t="shared" si="22"/>
        <v>11</v>
      </c>
      <c r="H50" s="494">
        <f t="shared" si="22"/>
        <v>1283.3700000000001</v>
      </c>
      <c r="I50" s="494">
        <f t="shared" si="22"/>
        <v>0</v>
      </c>
      <c r="J50" s="494">
        <f t="shared" si="22"/>
        <v>0</v>
      </c>
      <c r="K50" s="494">
        <f t="shared" si="22"/>
        <v>198</v>
      </c>
      <c r="L50" s="494">
        <f t="shared" si="22"/>
        <v>198</v>
      </c>
      <c r="M50" s="494">
        <f t="shared" si="22"/>
        <v>0</v>
      </c>
      <c r="N50" s="494">
        <f t="shared" si="22"/>
        <v>673.15</v>
      </c>
      <c r="O50" s="494">
        <f t="shared" si="22"/>
        <v>0</v>
      </c>
      <c r="P50" s="494">
        <f t="shared" si="22"/>
        <v>0</v>
      </c>
      <c r="Q50" s="494">
        <f t="shared" si="22"/>
        <v>0</v>
      </c>
      <c r="R50" s="494">
        <f t="shared" si="22"/>
        <v>27.8</v>
      </c>
      <c r="S50" s="494">
        <f t="shared" si="22"/>
        <v>88.96</v>
      </c>
      <c r="T50" s="494">
        <f t="shared" si="22"/>
        <v>88.96</v>
      </c>
      <c r="U50" s="494">
        <f t="shared" si="22"/>
        <v>86</v>
      </c>
      <c r="V50" s="494">
        <f t="shared" si="22"/>
        <v>259.89999999999998</v>
      </c>
      <c r="W50" s="494">
        <f t="shared" si="22"/>
        <v>2300.62</v>
      </c>
      <c r="X50" s="496"/>
    </row>
    <row r="51" spans="1:24" s="497" customFormat="1" ht="24" customHeight="1">
      <c r="A51" s="491" t="s">
        <v>204</v>
      </c>
      <c r="B51" s="498" t="s">
        <v>281</v>
      </c>
      <c r="C51" s="493"/>
      <c r="D51" s="494">
        <f>SUM(D52:D60)</f>
        <v>802.71</v>
      </c>
      <c r="E51" s="494">
        <f>SUM(E52:E60)</f>
        <v>802.71</v>
      </c>
      <c r="F51" s="494">
        <f t="shared" ref="F51:W51" si="23">SUM(F52:F60)</f>
        <v>272.71000000000004</v>
      </c>
      <c r="G51" s="494">
        <f t="shared" si="23"/>
        <v>3</v>
      </c>
      <c r="H51" s="494">
        <f t="shared" si="23"/>
        <v>218.71</v>
      </c>
      <c r="I51" s="494">
        <f t="shared" si="23"/>
        <v>0</v>
      </c>
      <c r="J51" s="494">
        <f t="shared" si="23"/>
        <v>0</v>
      </c>
      <c r="K51" s="494">
        <f t="shared" si="23"/>
        <v>54</v>
      </c>
      <c r="L51" s="494">
        <f t="shared" si="23"/>
        <v>54</v>
      </c>
      <c r="M51" s="494">
        <f t="shared" si="23"/>
        <v>0</v>
      </c>
      <c r="N51" s="494">
        <f t="shared" si="23"/>
        <v>530</v>
      </c>
      <c r="O51" s="494">
        <f t="shared" si="23"/>
        <v>0</v>
      </c>
      <c r="P51" s="494">
        <f t="shared" si="23"/>
        <v>0</v>
      </c>
      <c r="Q51" s="494">
        <f t="shared" si="23"/>
        <v>0</v>
      </c>
      <c r="R51" s="494">
        <f t="shared" si="23"/>
        <v>13.4</v>
      </c>
      <c r="S51" s="494">
        <f t="shared" si="23"/>
        <v>0</v>
      </c>
      <c r="T51" s="494">
        <f t="shared" si="23"/>
        <v>0</v>
      </c>
      <c r="U51" s="494">
        <f t="shared" si="23"/>
        <v>48</v>
      </c>
      <c r="V51" s="494">
        <f t="shared" si="23"/>
        <v>0</v>
      </c>
      <c r="W51" s="494">
        <f t="shared" si="23"/>
        <v>741.31</v>
      </c>
      <c r="X51" s="496" t="s">
        <v>281</v>
      </c>
    </row>
    <row r="52" spans="1:24" s="497" customFormat="1" ht="21">
      <c r="A52" s="491" t="s">
        <v>255</v>
      </c>
      <c r="B52" s="498" t="s">
        <v>497</v>
      </c>
      <c r="C52" s="493"/>
      <c r="D52" s="494">
        <f t="shared" ref="D52:D60" si="24">E52+P52</f>
        <v>207.39</v>
      </c>
      <c r="E52" s="495">
        <f t="shared" ref="E52:E60" si="25">F52+N52+O52</f>
        <v>207.39</v>
      </c>
      <c r="F52" s="495">
        <f t="shared" ref="F52:F57" si="26">H52+K52</f>
        <v>207.39</v>
      </c>
      <c r="G52" s="495">
        <v>3</v>
      </c>
      <c r="H52" s="495">
        <v>207.39</v>
      </c>
      <c r="I52" s="495"/>
      <c r="J52" s="495"/>
      <c r="K52" s="495">
        <f t="shared" ref="K52:K58" si="27">L52+M52</f>
        <v>0</v>
      </c>
      <c r="L52" s="495"/>
      <c r="M52" s="495">
        <v>0</v>
      </c>
      <c r="N52" s="495"/>
      <c r="O52" s="495"/>
      <c r="P52" s="495"/>
      <c r="Q52" s="495"/>
      <c r="R52" s="495"/>
      <c r="S52" s="495"/>
      <c r="T52" s="495"/>
      <c r="U52" s="495">
        <v>30</v>
      </c>
      <c r="V52" s="495"/>
      <c r="W52" s="495">
        <f t="shared" ref="W52:W60" si="28">D52-Q52-R52-S52-U52+(T52+V52)</f>
        <v>177.39</v>
      </c>
      <c r="X52" s="496"/>
    </row>
    <row r="53" spans="1:24" s="497" customFormat="1" ht="16.5" customHeight="1">
      <c r="A53" s="491" t="s">
        <v>255</v>
      </c>
      <c r="B53" s="498" t="s">
        <v>282</v>
      </c>
      <c r="C53" s="493"/>
      <c r="D53" s="494">
        <f t="shared" si="24"/>
        <v>5.36</v>
      </c>
      <c r="E53" s="495">
        <f t="shared" si="25"/>
        <v>5.36</v>
      </c>
      <c r="F53" s="495">
        <f t="shared" si="26"/>
        <v>5.36</v>
      </c>
      <c r="G53" s="495"/>
      <c r="H53" s="495">
        <v>5.36</v>
      </c>
      <c r="I53" s="495"/>
      <c r="J53" s="495"/>
      <c r="K53" s="495">
        <f t="shared" si="27"/>
        <v>0</v>
      </c>
      <c r="L53" s="495"/>
      <c r="M53" s="495">
        <v>0</v>
      </c>
      <c r="N53" s="495"/>
      <c r="O53" s="495"/>
      <c r="P53" s="495"/>
      <c r="Q53" s="495"/>
      <c r="R53" s="495"/>
      <c r="S53" s="495"/>
      <c r="T53" s="495"/>
      <c r="U53" s="495"/>
      <c r="V53" s="495"/>
      <c r="W53" s="495">
        <f t="shared" si="28"/>
        <v>5.36</v>
      </c>
      <c r="X53" s="496"/>
    </row>
    <row r="54" spans="1:24" s="497" customFormat="1" ht="27.75" customHeight="1">
      <c r="A54" s="491" t="s">
        <v>255</v>
      </c>
      <c r="B54" s="498" t="s">
        <v>283</v>
      </c>
      <c r="C54" s="493"/>
      <c r="D54" s="494">
        <f t="shared" si="24"/>
        <v>5.96</v>
      </c>
      <c r="E54" s="495">
        <f t="shared" si="25"/>
        <v>5.96</v>
      </c>
      <c r="F54" s="495">
        <f t="shared" si="26"/>
        <v>5.96</v>
      </c>
      <c r="G54" s="495">
        <v>0</v>
      </c>
      <c r="H54" s="495">
        <v>5.96</v>
      </c>
      <c r="I54" s="495"/>
      <c r="J54" s="495"/>
      <c r="K54" s="495">
        <f t="shared" si="27"/>
        <v>0</v>
      </c>
      <c r="L54" s="495"/>
      <c r="M54" s="495">
        <v>0</v>
      </c>
      <c r="N54" s="495"/>
      <c r="O54" s="495"/>
      <c r="P54" s="495"/>
      <c r="Q54" s="495"/>
      <c r="R54" s="495"/>
      <c r="S54" s="495"/>
      <c r="T54" s="495"/>
      <c r="U54" s="495"/>
      <c r="V54" s="495"/>
      <c r="W54" s="495">
        <f t="shared" si="28"/>
        <v>5.96</v>
      </c>
      <c r="X54" s="496"/>
    </row>
    <row r="55" spans="1:24" s="497" customFormat="1" ht="27" customHeight="1">
      <c r="A55" s="491" t="s">
        <v>255</v>
      </c>
      <c r="B55" s="498" t="s">
        <v>580</v>
      </c>
      <c r="C55" s="493"/>
      <c r="D55" s="494">
        <f t="shared" si="24"/>
        <v>54</v>
      </c>
      <c r="E55" s="495">
        <f t="shared" si="25"/>
        <v>54</v>
      </c>
      <c r="F55" s="495">
        <f t="shared" si="26"/>
        <v>54</v>
      </c>
      <c r="G55" s="495"/>
      <c r="H55" s="495"/>
      <c r="I55" s="495"/>
      <c r="J55" s="495"/>
      <c r="K55" s="495">
        <f t="shared" si="27"/>
        <v>54</v>
      </c>
      <c r="L55" s="495">
        <f>18*3</f>
        <v>54</v>
      </c>
      <c r="M55" s="495">
        <v>0</v>
      </c>
      <c r="N55" s="495">
        <v>0</v>
      </c>
      <c r="O55" s="495"/>
      <c r="P55" s="495">
        <v>0</v>
      </c>
      <c r="Q55" s="495"/>
      <c r="R55" s="495">
        <v>5.4</v>
      </c>
      <c r="S55" s="495"/>
      <c r="T55" s="495"/>
      <c r="U55" s="495">
        <v>18</v>
      </c>
      <c r="V55" s="495"/>
      <c r="W55" s="495">
        <f t="shared" si="28"/>
        <v>30.6</v>
      </c>
      <c r="X55" s="496"/>
    </row>
    <row r="56" spans="1:24" s="497" customFormat="1" ht="27.75" customHeight="1">
      <c r="A56" s="491" t="s">
        <v>255</v>
      </c>
      <c r="B56" s="498" t="s">
        <v>284</v>
      </c>
      <c r="C56" s="493"/>
      <c r="D56" s="494">
        <f t="shared" si="24"/>
        <v>450</v>
      </c>
      <c r="E56" s="495">
        <f t="shared" si="25"/>
        <v>450</v>
      </c>
      <c r="F56" s="495">
        <f t="shared" si="26"/>
        <v>0</v>
      </c>
      <c r="G56" s="495"/>
      <c r="H56" s="495"/>
      <c r="I56" s="495"/>
      <c r="J56" s="495"/>
      <c r="K56" s="495">
        <f t="shared" si="27"/>
        <v>0</v>
      </c>
      <c r="L56" s="495"/>
      <c r="M56" s="495">
        <v>0</v>
      </c>
      <c r="N56" s="495">
        <v>450</v>
      </c>
      <c r="O56" s="495"/>
      <c r="P56" s="495"/>
      <c r="Q56" s="495"/>
      <c r="R56" s="495"/>
      <c r="S56" s="495"/>
      <c r="T56" s="495"/>
      <c r="U56" s="495"/>
      <c r="V56" s="495"/>
      <c r="W56" s="495">
        <f t="shared" si="28"/>
        <v>450</v>
      </c>
      <c r="X56" s="496"/>
    </row>
    <row r="57" spans="1:24" s="497" customFormat="1" ht="16.5" hidden="1" customHeight="1">
      <c r="A57" s="491" t="s">
        <v>255</v>
      </c>
      <c r="B57" s="498" t="s">
        <v>728</v>
      </c>
      <c r="C57" s="493"/>
      <c r="D57" s="494">
        <f t="shared" si="24"/>
        <v>0</v>
      </c>
      <c r="E57" s="495">
        <f t="shared" si="25"/>
        <v>0</v>
      </c>
      <c r="F57" s="495">
        <f t="shared" si="26"/>
        <v>0</v>
      </c>
      <c r="G57" s="495"/>
      <c r="H57" s="495">
        <f>I57+J57</f>
        <v>0</v>
      </c>
      <c r="I57" s="495"/>
      <c r="J57" s="495"/>
      <c r="K57" s="495">
        <f>L57+M57</f>
        <v>0</v>
      </c>
      <c r="L57" s="495"/>
      <c r="M57" s="495">
        <v>0</v>
      </c>
      <c r="N57" s="495"/>
      <c r="O57" s="495"/>
      <c r="P57" s="495"/>
      <c r="Q57" s="495"/>
      <c r="R57" s="495"/>
      <c r="S57" s="495"/>
      <c r="T57" s="495"/>
      <c r="U57" s="495"/>
      <c r="V57" s="495"/>
      <c r="W57" s="495">
        <f t="shared" si="28"/>
        <v>0</v>
      </c>
      <c r="X57" s="496"/>
    </row>
    <row r="58" spans="1:24" s="497" customFormat="1" ht="28.5" hidden="1" customHeight="1">
      <c r="A58" s="491" t="s">
        <v>255</v>
      </c>
      <c r="B58" s="498" t="s">
        <v>729</v>
      </c>
      <c r="C58" s="493"/>
      <c r="D58" s="494">
        <f t="shared" si="24"/>
        <v>0</v>
      </c>
      <c r="E58" s="495">
        <f t="shared" si="25"/>
        <v>0</v>
      </c>
      <c r="F58" s="495">
        <f>H58+K58</f>
        <v>0</v>
      </c>
      <c r="G58" s="495"/>
      <c r="H58" s="495">
        <f t="shared" si="4"/>
        <v>0</v>
      </c>
      <c r="I58" s="495"/>
      <c r="J58" s="495"/>
      <c r="K58" s="495">
        <f t="shared" si="27"/>
        <v>0</v>
      </c>
      <c r="L58" s="495"/>
      <c r="M58" s="495">
        <v>0</v>
      </c>
      <c r="N58" s="495"/>
      <c r="O58" s="495"/>
      <c r="P58" s="495"/>
      <c r="Q58" s="495"/>
      <c r="R58" s="495"/>
      <c r="S58" s="495"/>
      <c r="T58" s="495"/>
      <c r="U58" s="495"/>
      <c r="V58" s="495"/>
      <c r="W58" s="495">
        <f t="shared" si="28"/>
        <v>0</v>
      </c>
      <c r="X58" s="496"/>
    </row>
    <row r="59" spans="1:24" s="497" customFormat="1" ht="35.25" customHeight="1">
      <c r="A59" s="491" t="s">
        <v>255</v>
      </c>
      <c r="B59" s="498" t="s">
        <v>646</v>
      </c>
      <c r="C59" s="493"/>
      <c r="D59" s="494">
        <f t="shared" si="24"/>
        <v>80</v>
      </c>
      <c r="E59" s="495">
        <f t="shared" si="25"/>
        <v>80</v>
      </c>
      <c r="F59" s="495">
        <f>H59+K59</f>
        <v>0</v>
      </c>
      <c r="G59" s="495"/>
      <c r="H59" s="495"/>
      <c r="I59" s="495"/>
      <c r="J59" s="495"/>
      <c r="K59" s="495"/>
      <c r="L59" s="495"/>
      <c r="M59" s="495"/>
      <c r="N59" s="495">
        <v>80</v>
      </c>
      <c r="O59" s="495"/>
      <c r="P59" s="495"/>
      <c r="Q59" s="495"/>
      <c r="R59" s="495">
        <v>8</v>
      </c>
      <c r="S59" s="495"/>
      <c r="T59" s="495"/>
      <c r="U59" s="495"/>
      <c r="V59" s="495"/>
      <c r="W59" s="495">
        <f t="shared" si="28"/>
        <v>72</v>
      </c>
      <c r="X59" s="496"/>
    </row>
    <row r="60" spans="1:24" s="497" customFormat="1" ht="17.25" hidden="1" customHeight="1">
      <c r="A60" s="491" t="s">
        <v>255</v>
      </c>
      <c r="B60" s="498"/>
      <c r="C60" s="493"/>
      <c r="D60" s="494">
        <f t="shared" si="24"/>
        <v>0</v>
      </c>
      <c r="E60" s="495">
        <f t="shared" si="25"/>
        <v>0</v>
      </c>
      <c r="F60" s="495">
        <f>H60+K60</f>
        <v>0</v>
      </c>
      <c r="G60" s="495"/>
      <c r="H60" s="495"/>
      <c r="I60" s="495"/>
      <c r="J60" s="495"/>
      <c r="K60" s="495"/>
      <c r="L60" s="495"/>
      <c r="M60" s="495"/>
      <c r="N60" s="495"/>
      <c r="O60" s="495"/>
      <c r="P60" s="495"/>
      <c r="Q60" s="495"/>
      <c r="R60" s="495"/>
      <c r="S60" s="495"/>
      <c r="T60" s="495"/>
      <c r="U60" s="495"/>
      <c r="V60" s="495"/>
      <c r="W60" s="495">
        <f t="shared" si="28"/>
        <v>0</v>
      </c>
      <c r="X60" s="496"/>
    </row>
    <row r="61" spans="1:24" s="497" customFormat="1" ht="30" customHeight="1">
      <c r="A61" s="491" t="s">
        <v>206</v>
      </c>
      <c r="B61" s="498" t="s">
        <v>984</v>
      </c>
      <c r="C61" s="494">
        <f>SUM(C62:C72)</f>
        <v>0</v>
      </c>
      <c r="D61" s="494">
        <f>SUM(D62:D69)</f>
        <v>1351.8100000000002</v>
      </c>
      <c r="E61" s="494">
        <f t="shared" ref="E61:W61" si="29">SUM(E62:E69)</f>
        <v>1351.8100000000002</v>
      </c>
      <c r="F61" s="494">
        <f t="shared" si="29"/>
        <v>1208.6600000000001</v>
      </c>
      <c r="G61" s="494">
        <f t="shared" si="29"/>
        <v>8</v>
      </c>
      <c r="H61" s="494">
        <f t="shared" si="29"/>
        <v>1064.6600000000001</v>
      </c>
      <c r="I61" s="494">
        <f t="shared" si="29"/>
        <v>0</v>
      </c>
      <c r="J61" s="494">
        <f t="shared" si="29"/>
        <v>0</v>
      </c>
      <c r="K61" s="494">
        <f t="shared" si="29"/>
        <v>144</v>
      </c>
      <c r="L61" s="494">
        <f t="shared" si="29"/>
        <v>144</v>
      </c>
      <c r="M61" s="494">
        <f t="shared" si="29"/>
        <v>0</v>
      </c>
      <c r="N61" s="494">
        <f t="shared" si="29"/>
        <v>143.14999999999998</v>
      </c>
      <c r="O61" s="494">
        <f t="shared" si="29"/>
        <v>0</v>
      </c>
      <c r="P61" s="494">
        <f t="shared" si="29"/>
        <v>0</v>
      </c>
      <c r="Q61" s="494">
        <f t="shared" si="29"/>
        <v>0</v>
      </c>
      <c r="R61" s="494">
        <f t="shared" si="29"/>
        <v>14.4</v>
      </c>
      <c r="S61" s="494">
        <f t="shared" si="29"/>
        <v>88.96</v>
      </c>
      <c r="T61" s="494">
        <f t="shared" si="29"/>
        <v>88.96</v>
      </c>
      <c r="U61" s="494">
        <f t="shared" si="29"/>
        <v>38</v>
      </c>
      <c r="V61" s="494">
        <f t="shared" si="29"/>
        <v>90.2</v>
      </c>
      <c r="W61" s="494">
        <f t="shared" si="29"/>
        <v>1389.6100000000001</v>
      </c>
      <c r="X61" s="617" t="s">
        <v>285</v>
      </c>
    </row>
    <row r="62" spans="1:24" s="497" customFormat="1" ht="27.75" customHeight="1">
      <c r="A62" s="491" t="s">
        <v>255</v>
      </c>
      <c r="B62" s="498" t="s">
        <v>498</v>
      </c>
      <c r="C62" s="493"/>
      <c r="D62" s="494">
        <f>E62+P62</f>
        <v>1043.5</v>
      </c>
      <c r="E62" s="495">
        <f t="shared" ref="E62:E72" si="30">F62+N62+O62</f>
        <v>1043.5</v>
      </c>
      <c r="F62" s="495">
        <f t="shared" ref="F62:F66" si="31">H62+K62</f>
        <v>1043.5</v>
      </c>
      <c r="G62" s="495">
        <v>8</v>
      </c>
      <c r="H62" s="495">
        <v>1043.5</v>
      </c>
      <c r="I62" s="495"/>
      <c r="J62" s="495"/>
      <c r="K62" s="495">
        <f t="shared" ref="K62:K66" si="32">L62+M62</f>
        <v>0</v>
      </c>
      <c r="L62" s="495"/>
      <c r="M62" s="495">
        <v>0</v>
      </c>
      <c r="N62" s="495"/>
      <c r="O62" s="495"/>
      <c r="P62" s="495"/>
      <c r="Q62" s="495"/>
      <c r="R62" s="495"/>
      <c r="S62" s="495">
        <v>88.96</v>
      </c>
      <c r="T62" s="495"/>
      <c r="U62" s="495"/>
      <c r="V62" s="495"/>
      <c r="W62" s="495">
        <f t="shared" ref="W62:W72" si="33">D62-Q62-R62-S62-U62+(T62+V62)</f>
        <v>954.54</v>
      </c>
      <c r="X62" s="617"/>
    </row>
    <row r="63" spans="1:24" s="497" customFormat="1" ht="31.5" customHeight="1">
      <c r="A63" s="491" t="s">
        <v>255</v>
      </c>
      <c r="B63" s="498" t="s">
        <v>594</v>
      </c>
      <c r="C63" s="493"/>
      <c r="D63" s="494">
        <f>E63+P63</f>
        <v>144</v>
      </c>
      <c r="E63" s="495">
        <f t="shared" si="30"/>
        <v>144</v>
      </c>
      <c r="F63" s="495">
        <f t="shared" si="31"/>
        <v>144</v>
      </c>
      <c r="G63" s="495"/>
      <c r="H63" s="495">
        <f t="shared" si="4"/>
        <v>0</v>
      </c>
      <c r="I63" s="495"/>
      <c r="J63" s="495"/>
      <c r="K63" s="495">
        <f t="shared" si="32"/>
        <v>144</v>
      </c>
      <c r="L63" s="495">
        <f>8*18</f>
        <v>144</v>
      </c>
      <c r="M63" s="495">
        <v>0</v>
      </c>
      <c r="N63" s="495">
        <v>0</v>
      </c>
      <c r="O63" s="495"/>
      <c r="P63" s="495">
        <v>0</v>
      </c>
      <c r="Q63" s="495"/>
      <c r="R63" s="495">
        <v>14.4</v>
      </c>
      <c r="S63" s="495"/>
      <c r="T63" s="495"/>
      <c r="U63" s="495"/>
      <c r="V63" s="495"/>
      <c r="W63" s="495">
        <f t="shared" si="33"/>
        <v>129.6</v>
      </c>
      <c r="X63" s="617"/>
    </row>
    <row r="64" spans="1:24" s="497" customFormat="1" ht="27" customHeight="1">
      <c r="A64" s="491" t="s">
        <v>255</v>
      </c>
      <c r="B64" s="289" t="s">
        <v>286</v>
      </c>
      <c r="C64" s="493"/>
      <c r="D64" s="494">
        <f>E64</f>
        <v>10.73</v>
      </c>
      <c r="E64" s="495">
        <f t="shared" si="30"/>
        <v>10.73</v>
      </c>
      <c r="F64" s="495">
        <f t="shared" si="31"/>
        <v>10.73</v>
      </c>
      <c r="G64" s="495"/>
      <c r="H64" s="495">
        <v>10.73</v>
      </c>
      <c r="I64" s="495"/>
      <c r="J64" s="495"/>
      <c r="K64" s="495">
        <f t="shared" si="32"/>
        <v>0</v>
      </c>
      <c r="L64" s="495"/>
      <c r="M64" s="495">
        <v>0</v>
      </c>
      <c r="N64" s="495"/>
      <c r="O64" s="495"/>
      <c r="P64" s="495"/>
      <c r="Q64" s="495"/>
      <c r="R64" s="495"/>
      <c r="S64" s="495"/>
      <c r="T64" s="495"/>
      <c r="U64" s="495"/>
      <c r="V64" s="495"/>
      <c r="W64" s="495">
        <f t="shared" si="33"/>
        <v>10.73</v>
      </c>
      <c r="X64" s="617"/>
    </row>
    <row r="65" spans="1:24" s="497" customFormat="1" ht="29.25" customHeight="1">
      <c r="A65" s="491" t="s">
        <v>255</v>
      </c>
      <c r="B65" s="498" t="s">
        <v>287</v>
      </c>
      <c r="C65" s="493"/>
      <c r="D65" s="494">
        <f>E65</f>
        <v>10.43</v>
      </c>
      <c r="E65" s="495">
        <f t="shared" si="30"/>
        <v>10.43</v>
      </c>
      <c r="F65" s="495">
        <f t="shared" si="31"/>
        <v>10.43</v>
      </c>
      <c r="G65" s="495"/>
      <c r="H65" s="495">
        <v>10.43</v>
      </c>
      <c r="I65" s="495"/>
      <c r="J65" s="495"/>
      <c r="K65" s="495">
        <f t="shared" si="32"/>
        <v>0</v>
      </c>
      <c r="L65" s="495"/>
      <c r="M65" s="495">
        <v>0</v>
      </c>
      <c r="N65" s="495"/>
      <c r="O65" s="495"/>
      <c r="P65" s="495"/>
      <c r="Q65" s="495"/>
      <c r="R65" s="495"/>
      <c r="S65" s="495"/>
      <c r="T65" s="495"/>
      <c r="U65" s="495"/>
      <c r="V65" s="495"/>
      <c r="W65" s="495">
        <f t="shared" si="33"/>
        <v>10.43</v>
      </c>
      <c r="X65" s="617"/>
    </row>
    <row r="66" spans="1:24" s="497" customFormat="1" ht="16.5" customHeight="1">
      <c r="A66" s="491" t="s">
        <v>255</v>
      </c>
      <c r="B66" s="498" t="s">
        <v>649</v>
      </c>
      <c r="C66" s="493"/>
      <c r="D66" s="494">
        <f t="shared" ref="D66:D72" si="34">E66+P66</f>
        <v>50</v>
      </c>
      <c r="E66" s="495">
        <f t="shared" si="30"/>
        <v>50</v>
      </c>
      <c r="F66" s="495">
        <f t="shared" si="31"/>
        <v>0</v>
      </c>
      <c r="G66" s="495"/>
      <c r="H66" s="495"/>
      <c r="I66" s="495"/>
      <c r="J66" s="495"/>
      <c r="K66" s="495">
        <f t="shared" si="32"/>
        <v>0</v>
      </c>
      <c r="L66" s="495"/>
      <c r="M66" s="495">
        <v>0</v>
      </c>
      <c r="N66" s="495">
        <v>50</v>
      </c>
      <c r="O66" s="495"/>
      <c r="P66" s="495"/>
      <c r="Q66" s="495"/>
      <c r="R66" s="495"/>
      <c r="S66" s="495"/>
      <c r="T66" s="495">
        <v>78.959999999999994</v>
      </c>
      <c r="U66" s="495">
        <v>38</v>
      </c>
      <c r="V66" s="495"/>
      <c r="W66" s="495">
        <f t="shared" si="33"/>
        <v>90.96</v>
      </c>
      <c r="X66" s="617"/>
    </row>
    <row r="67" spans="1:24" s="497" customFormat="1" ht="27" customHeight="1">
      <c r="A67" s="499" t="s">
        <v>255</v>
      </c>
      <c r="B67" s="289" t="s">
        <v>276</v>
      </c>
      <c r="C67" s="493"/>
      <c r="D67" s="494">
        <f t="shared" si="34"/>
        <v>93.149999999999991</v>
      </c>
      <c r="E67" s="495">
        <f t="shared" si="30"/>
        <v>93.149999999999991</v>
      </c>
      <c r="F67" s="495"/>
      <c r="G67" s="495"/>
      <c r="H67" s="495"/>
      <c r="I67" s="495"/>
      <c r="J67" s="495"/>
      <c r="K67" s="495"/>
      <c r="L67" s="495"/>
      <c r="M67" s="495"/>
      <c r="N67" s="495">
        <f>14.85+78.3</f>
        <v>93.149999999999991</v>
      </c>
      <c r="O67" s="495"/>
      <c r="P67" s="495"/>
      <c r="Q67" s="495"/>
      <c r="R67" s="495"/>
      <c r="S67" s="495"/>
      <c r="T67" s="495"/>
      <c r="U67" s="495"/>
      <c r="V67" s="495"/>
      <c r="W67" s="495">
        <f t="shared" si="33"/>
        <v>93.149999999999991</v>
      </c>
      <c r="X67" s="617"/>
    </row>
    <row r="68" spans="1:24" s="497" customFormat="1" ht="16.5" customHeight="1">
      <c r="A68" s="499" t="s">
        <v>255</v>
      </c>
      <c r="B68" s="290" t="s">
        <v>730</v>
      </c>
      <c r="C68" s="493"/>
      <c r="D68" s="494">
        <f t="shared" si="34"/>
        <v>0</v>
      </c>
      <c r="E68" s="495">
        <f t="shared" si="30"/>
        <v>0</v>
      </c>
      <c r="F68" s="495"/>
      <c r="G68" s="495"/>
      <c r="H68" s="495"/>
      <c r="I68" s="495"/>
      <c r="J68" s="495"/>
      <c r="K68" s="495"/>
      <c r="L68" s="495"/>
      <c r="M68" s="495"/>
      <c r="N68" s="495"/>
      <c r="O68" s="495"/>
      <c r="P68" s="495"/>
      <c r="Q68" s="495"/>
      <c r="R68" s="495"/>
      <c r="S68" s="495"/>
      <c r="T68" s="495">
        <v>10</v>
      </c>
      <c r="U68" s="495"/>
      <c r="V68" s="495"/>
      <c r="W68" s="495">
        <f t="shared" si="33"/>
        <v>10</v>
      </c>
      <c r="X68" s="617"/>
    </row>
    <row r="69" spans="1:24" s="501" customFormat="1" ht="32.25" customHeight="1">
      <c r="A69" s="499" t="s">
        <v>255</v>
      </c>
      <c r="B69" s="289" t="s">
        <v>993</v>
      </c>
      <c r="C69" s="493"/>
      <c r="D69" s="494">
        <f t="shared" si="34"/>
        <v>0</v>
      </c>
      <c r="E69" s="495">
        <f t="shared" si="30"/>
        <v>0</v>
      </c>
      <c r="F69" s="495"/>
      <c r="G69" s="495"/>
      <c r="H69" s="495"/>
      <c r="I69" s="495"/>
      <c r="J69" s="495"/>
      <c r="K69" s="495"/>
      <c r="L69" s="495"/>
      <c r="M69" s="495"/>
      <c r="N69" s="495"/>
      <c r="O69" s="495"/>
      <c r="P69" s="495"/>
      <c r="Q69" s="495"/>
      <c r="R69" s="495"/>
      <c r="S69" s="495"/>
      <c r="T69" s="495"/>
      <c r="U69" s="495"/>
      <c r="V69" s="495">
        <v>90.2</v>
      </c>
      <c r="W69" s="495">
        <f t="shared" si="33"/>
        <v>90.2</v>
      </c>
      <c r="X69" s="617"/>
    </row>
    <row r="70" spans="1:24" s="501" customFormat="1" ht="42.75" customHeight="1">
      <c r="A70" s="499" t="s">
        <v>208</v>
      </c>
      <c r="B70" s="290" t="s">
        <v>994</v>
      </c>
      <c r="C70" s="493"/>
      <c r="D70" s="494">
        <f t="shared" si="34"/>
        <v>0</v>
      </c>
      <c r="E70" s="495">
        <f t="shared" si="30"/>
        <v>0</v>
      </c>
      <c r="F70" s="495"/>
      <c r="G70" s="495"/>
      <c r="H70" s="495"/>
      <c r="I70" s="495"/>
      <c r="J70" s="495"/>
      <c r="K70" s="495"/>
      <c r="L70" s="495"/>
      <c r="M70" s="495"/>
      <c r="N70" s="495"/>
      <c r="O70" s="495"/>
      <c r="P70" s="495"/>
      <c r="Q70" s="495"/>
      <c r="R70" s="495"/>
      <c r="S70" s="495"/>
      <c r="T70" s="495"/>
      <c r="U70" s="495"/>
      <c r="V70" s="495">
        <v>100</v>
      </c>
      <c r="W70" s="495">
        <f t="shared" si="33"/>
        <v>100</v>
      </c>
      <c r="X70" s="496" t="s">
        <v>731</v>
      </c>
    </row>
    <row r="71" spans="1:24" s="501" customFormat="1" ht="32.25" customHeight="1">
      <c r="A71" s="499" t="s">
        <v>209</v>
      </c>
      <c r="B71" s="289" t="s">
        <v>995</v>
      </c>
      <c r="C71" s="493"/>
      <c r="D71" s="494">
        <f t="shared" si="34"/>
        <v>0</v>
      </c>
      <c r="E71" s="495">
        <f t="shared" si="30"/>
        <v>0</v>
      </c>
      <c r="F71" s="495"/>
      <c r="G71" s="495"/>
      <c r="H71" s="495"/>
      <c r="I71" s="495"/>
      <c r="J71" s="495"/>
      <c r="K71" s="495"/>
      <c r="L71" s="495"/>
      <c r="M71" s="495"/>
      <c r="N71" s="495"/>
      <c r="O71" s="495"/>
      <c r="P71" s="495"/>
      <c r="Q71" s="495"/>
      <c r="R71" s="495"/>
      <c r="S71" s="495"/>
      <c r="T71" s="495"/>
      <c r="U71" s="495"/>
      <c r="V71" s="495">
        <v>69.7</v>
      </c>
      <c r="W71" s="495">
        <f t="shared" si="33"/>
        <v>69.7</v>
      </c>
      <c r="X71" s="496" t="s">
        <v>731</v>
      </c>
    </row>
    <row r="72" spans="1:24" s="501" customFormat="1" ht="30" hidden="1" customHeight="1">
      <c r="A72" s="499" t="s">
        <v>255</v>
      </c>
      <c r="B72" s="289" t="s">
        <v>732</v>
      </c>
      <c r="C72" s="493"/>
      <c r="D72" s="494">
        <f t="shared" si="34"/>
        <v>0</v>
      </c>
      <c r="E72" s="495">
        <f t="shared" si="30"/>
        <v>0</v>
      </c>
      <c r="F72" s="495"/>
      <c r="G72" s="495"/>
      <c r="H72" s="495"/>
      <c r="I72" s="495"/>
      <c r="J72" s="495"/>
      <c r="K72" s="495"/>
      <c r="L72" s="495"/>
      <c r="M72" s="495"/>
      <c r="N72" s="495"/>
      <c r="O72" s="495"/>
      <c r="P72" s="495"/>
      <c r="Q72" s="495"/>
      <c r="R72" s="495"/>
      <c r="S72" s="495"/>
      <c r="T72" s="495"/>
      <c r="U72" s="495"/>
      <c r="V72" s="495"/>
      <c r="W72" s="495">
        <f t="shared" si="33"/>
        <v>0</v>
      </c>
      <c r="X72" s="496" t="s">
        <v>362</v>
      </c>
    </row>
    <row r="73" spans="1:24" s="497" customFormat="1" ht="28.5" customHeight="1">
      <c r="A73" s="491">
        <v>2</v>
      </c>
      <c r="B73" s="498" t="s">
        <v>288</v>
      </c>
      <c r="C73" s="493">
        <v>867</v>
      </c>
      <c r="D73" s="494">
        <f t="shared" ref="D73:V73" si="35">SUM(D74:D75)</f>
        <v>150</v>
      </c>
      <c r="E73" s="495">
        <f t="shared" si="35"/>
        <v>150</v>
      </c>
      <c r="F73" s="495">
        <f t="shared" si="35"/>
        <v>0</v>
      </c>
      <c r="G73" s="495">
        <f t="shared" si="35"/>
        <v>0</v>
      </c>
      <c r="H73" s="495">
        <f t="shared" si="35"/>
        <v>0</v>
      </c>
      <c r="I73" s="495">
        <f t="shared" si="35"/>
        <v>0</v>
      </c>
      <c r="J73" s="495"/>
      <c r="K73" s="495">
        <f t="shared" si="35"/>
        <v>0</v>
      </c>
      <c r="L73" s="495">
        <f t="shared" si="35"/>
        <v>0</v>
      </c>
      <c r="M73" s="495">
        <f t="shared" si="35"/>
        <v>0</v>
      </c>
      <c r="N73" s="495">
        <f t="shared" si="35"/>
        <v>150</v>
      </c>
      <c r="O73" s="495">
        <f t="shared" si="35"/>
        <v>0</v>
      </c>
      <c r="P73" s="495">
        <f t="shared" si="35"/>
        <v>0</v>
      </c>
      <c r="Q73" s="495">
        <f t="shared" si="35"/>
        <v>0</v>
      </c>
      <c r="R73" s="495">
        <f t="shared" si="35"/>
        <v>0</v>
      </c>
      <c r="S73" s="495">
        <f t="shared" si="35"/>
        <v>0</v>
      </c>
      <c r="T73" s="495">
        <f t="shared" si="35"/>
        <v>0</v>
      </c>
      <c r="U73" s="495">
        <f t="shared" si="35"/>
        <v>0</v>
      </c>
      <c r="V73" s="495">
        <f t="shared" si="35"/>
        <v>0</v>
      </c>
      <c r="W73" s="495">
        <f>SUM(W74:W75)</f>
        <v>150</v>
      </c>
      <c r="X73" s="496" t="s">
        <v>289</v>
      </c>
    </row>
    <row r="74" spans="1:24" s="497" customFormat="1" ht="28.5" customHeight="1">
      <c r="A74" s="491" t="s">
        <v>255</v>
      </c>
      <c r="B74" s="498" t="s">
        <v>290</v>
      </c>
      <c r="C74" s="493"/>
      <c r="D74" s="494">
        <f>E74+P74</f>
        <v>20</v>
      </c>
      <c r="E74" s="495">
        <f>F74+N74+O74</f>
        <v>20</v>
      </c>
      <c r="F74" s="495">
        <f>H74+K74</f>
        <v>0</v>
      </c>
      <c r="G74" s="495"/>
      <c r="H74" s="495">
        <f t="shared" ref="H74:H137" si="36">I74+J74</f>
        <v>0</v>
      </c>
      <c r="I74" s="495"/>
      <c r="J74" s="495"/>
      <c r="K74" s="495">
        <f>L74+M74</f>
        <v>0</v>
      </c>
      <c r="L74" s="495"/>
      <c r="M74" s="495">
        <v>0</v>
      </c>
      <c r="N74" s="495">
        <v>20</v>
      </c>
      <c r="O74" s="495"/>
      <c r="P74" s="495"/>
      <c r="Q74" s="495"/>
      <c r="R74" s="495"/>
      <c r="S74" s="495"/>
      <c r="T74" s="495"/>
      <c r="U74" s="495"/>
      <c r="V74" s="495"/>
      <c r="W74" s="495">
        <f>D74-Q74-R74-S74-U74+(T74+V74)</f>
        <v>20</v>
      </c>
      <c r="X74" s="496"/>
    </row>
    <row r="75" spans="1:24" s="497" customFormat="1" ht="24" customHeight="1">
      <c r="A75" s="491" t="s">
        <v>255</v>
      </c>
      <c r="B75" s="498" t="s">
        <v>291</v>
      </c>
      <c r="C75" s="493"/>
      <c r="D75" s="494">
        <f>E75+P75</f>
        <v>130</v>
      </c>
      <c r="E75" s="495">
        <f>F75+N75+O75</f>
        <v>130</v>
      </c>
      <c r="F75" s="495">
        <f>H75+K75</f>
        <v>0</v>
      </c>
      <c r="G75" s="495"/>
      <c r="H75" s="495">
        <f t="shared" si="36"/>
        <v>0</v>
      </c>
      <c r="I75" s="495"/>
      <c r="J75" s="495"/>
      <c r="K75" s="495">
        <f>L75+M75</f>
        <v>0</v>
      </c>
      <c r="L75" s="495"/>
      <c r="M75" s="495">
        <v>0</v>
      </c>
      <c r="N75" s="495">
        <v>130</v>
      </c>
      <c r="O75" s="495"/>
      <c r="P75" s="495"/>
      <c r="Q75" s="495"/>
      <c r="R75" s="495"/>
      <c r="S75" s="495"/>
      <c r="T75" s="495"/>
      <c r="U75" s="495"/>
      <c r="V75" s="495"/>
      <c r="W75" s="495">
        <f>D75-Q75-R75-S75-U75+(T75+V75)</f>
        <v>130</v>
      </c>
      <c r="X75" s="496"/>
    </row>
    <row r="76" spans="1:24" s="497" customFormat="1" ht="18" customHeight="1">
      <c r="A76" s="491">
        <v>3</v>
      </c>
      <c r="B76" s="498" t="s">
        <v>292</v>
      </c>
      <c r="C76" s="494">
        <f t="shared" ref="C76:W76" si="37">C78+C83+C85+C86+C87+C88+C89+C90</f>
        <v>0</v>
      </c>
      <c r="D76" s="494">
        <f>D78+D83+D85+D86+D87+D88+D89+D90</f>
        <v>5429</v>
      </c>
      <c r="E76" s="494">
        <f t="shared" si="37"/>
        <v>5429</v>
      </c>
      <c r="F76" s="494">
        <f t="shared" si="37"/>
        <v>0</v>
      </c>
      <c r="G76" s="494">
        <f t="shared" si="37"/>
        <v>3</v>
      </c>
      <c r="H76" s="494">
        <f t="shared" si="37"/>
        <v>0</v>
      </c>
      <c r="I76" s="494">
        <f t="shared" si="37"/>
        <v>0</v>
      </c>
      <c r="J76" s="494">
        <f t="shared" si="37"/>
        <v>0</v>
      </c>
      <c r="K76" s="494">
        <f t="shared" si="37"/>
        <v>0</v>
      </c>
      <c r="L76" s="494">
        <f t="shared" si="37"/>
        <v>0</v>
      </c>
      <c r="M76" s="494">
        <f t="shared" si="37"/>
        <v>0</v>
      </c>
      <c r="N76" s="494">
        <f t="shared" si="37"/>
        <v>5429</v>
      </c>
      <c r="O76" s="494">
        <f t="shared" si="37"/>
        <v>0</v>
      </c>
      <c r="P76" s="494">
        <f t="shared" si="37"/>
        <v>0</v>
      </c>
      <c r="Q76" s="494">
        <f t="shared" si="37"/>
        <v>0</v>
      </c>
      <c r="R76" s="494">
        <f t="shared" si="37"/>
        <v>327.79999999999995</v>
      </c>
      <c r="S76" s="494">
        <f t="shared" si="37"/>
        <v>0</v>
      </c>
      <c r="T76" s="494">
        <f t="shared" si="37"/>
        <v>0</v>
      </c>
      <c r="U76" s="494">
        <f t="shared" si="37"/>
        <v>0</v>
      </c>
      <c r="V76" s="494">
        <f t="shared" si="37"/>
        <v>0</v>
      </c>
      <c r="W76" s="494">
        <f t="shared" si="37"/>
        <v>5101.2</v>
      </c>
      <c r="X76" s="496"/>
    </row>
    <row r="77" spans="1:24" s="497" customFormat="1" ht="18" customHeight="1">
      <c r="A77" s="491" t="s">
        <v>293</v>
      </c>
      <c r="B77" s="498" t="s">
        <v>294</v>
      </c>
      <c r="C77" s="494">
        <f t="shared" ref="C77:W77" si="38">C78+C83+C86+C87+C88+C89+C90</f>
        <v>0</v>
      </c>
      <c r="D77" s="494">
        <f t="shared" si="38"/>
        <v>5379</v>
      </c>
      <c r="E77" s="494">
        <f t="shared" si="38"/>
        <v>5379</v>
      </c>
      <c r="F77" s="494">
        <f t="shared" si="38"/>
        <v>0</v>
      </c>
      <c r="G77" s="494">
        <f t="shared" si="38"/>
        <v>3</v>
      </c>
      <c r="H77" s="494">
        <f t="shared" si="38"/>
        <v>0</v>
      </c>
      <c r="I77" s="494">
        <f t="shared" si="38"/>
        <v>0</v>
      </c>
      <c r="J77" s="494">
        <f t="shared" si="38"/>
        <v>0</v>
      </c>
      <c r="K77" s="494">
        <f t="shared" si="38"/>
        <v>0</v>
      </c>
      <c r="L77" s="494">
        <f t="shared" si="38"/>
        <v>0</v>
      </c>
      <c r="M77" s="494">
        <f t="shared" si="38"/>
        <v>0</v>
      </c>
      <c r="N77" s="494">
        <f t="shared" si="38"/>
        <v>5379</v>
      </c>
      <c r="O77" s="494">
        <f t="shared" si="38"/>
        <v>0</v>
      </c>
      <c r="P77" s="494">
        <f t="shared" si="38"/>
        <v>0</v>
      </c>
      <c r="Q77" s="494">
        <f t="shared" si="38"/>
        <v>0</v>
      </c>
      <c r="R77" s="494">
        <f t="shared" si="38"/>
        <v>322.8</v>
      </c>
      <c r="S77" s="494">
        <f t="shared" si="38"/>
        <v>0</v>
      </c>
      <c r="T77" s="494">
        <f t="shared" si="38"/>
        <v>0</v>
      </c>
      <c r="U77" s="494">
        <f t="shared" si="38"/>
        <v>0</v>
      </c>
      <c r="V77" s="494">
        <f t="shared" si="38"/>
        <v>0</v>
      </c>
      <c r="W77" s="494">
        <f t="shared" si="38"/>
        <v>5056.2</v>
      </c>
      <c r="X77" s="496"/>
    </row>
    <row r="78" spans="1:24" s="497" customFormat="1" ht="30" hidden="1" customHeight="1">
      <c r="A78" s="491" t="s">
        <v>204</v>
      </c>
      <c r="B78" s="498" t="s">
        <v>295</v>
      </c>
      <c r="C78" s="493"/>
      <c r="D78" s="494">
        <f>SUM(D79:D82)</f>
        <v>0</v>
      </c>
      <c r="E78" s="495">
        <f t="shared" ref="E78:W78" si="39">SUM(E79:E82)</f>
        <v>0</v>
      </c>
      <c r="F78" s="495">
        <f t="shared" si="39"/>
        <v>0</v>
      </c>
      <c r="G78" s="495">
        <f t="shared" si="39"/>
        <v>3</v>
      </c>
      <c r="H78" s="495">
        <f t="shared" si="39"/>
        <v>0</v>
      </c>
      <c r="I78" s="495">
        <f t="shared" si="39"/>
        <v>0</v>
      </c>
      <c r="J78" s="495">
        <f t="shared" si="39"/>
        <v>0</v>
      </c>
      <c r="K78" s="495">
        <f t="shared" si="39"/>
        <v>0</v>
      </c>
      <c r="L78" s="495">
        <f t="shared" si="39"/>
        <v>0</v>
      </c>
      <c r="M78" s="495">
        <f t="shared" si="39"/>
        <v>0</v>
      </c>
      <c r="N78" s="495">
        <f t="shared" si="39"/>
        <v>0</v>
      </c>
      <c r="O78" s="495">
        <f t="shared" si="39"/>
        <v>0</v>
      </c>
      <c r="P78" s="495">
        <f t="shared" si="39"/>
        <v>0</v>
      </c>
      <c r="Q78" s="495">
        <f t="shared" si="39"/>
        <v>0</v>
      </c>
      <c r="R78" s="495">
        <f t="shared" si="39"/>
        <v>0</v>
      </c>
      <c r="S78" s="495">
        <f t="shared" si="39"/>
        <v>0</v>
      </c>
      <c r="T78" s="495">
        <f t="shared" si="39"/>
        <v>0</v>
      </c>
      <c r="U78" s="495">
        <f t="shared" si="39"/>
        <v>0</v>
      </c>
      <c r="V78" s="495">
        <f t="shared" si="39"/>
        <v>0</v>
      </c>
      <c r="W78" s="495">
        <f t="shared" si="39"/>
        <v>0</v>
      </c>
      <c r="X78" s="496" t="s">
        <v>792</v>
      </c>
    </row>
    <row r="79" spans="1:24" s="497" customFormat="1" ht="18" hidden="1" customHeight="1">
      <c r="A79" s="491" t="s">
        <v>255</v>
      </c>
      <c r="B79" s="498" t="s">
        <v>297</v>
      </c>
      <c r="C79" s="493"/>
      <c r="D79" s="494">
        <f>E79+P79</f>
        <v>0</v>
      </c>
      <c r="E79" s="495">
        <f t="shared" ref="E79:E82" si="40">F79+N79+O79</f>
        <v>0</v>
      </c>
      <c r="F79" s="495">
        <f t="shared" ref="F79:F82" si="41">H79+K79</f>
        <v>0</v>
      </c>
      <c r="G79" s="495">
        <v>3</v>
      </c>
      <c r="H79" s="495">
        <v>0</v>
      </c>
      <c r="I79" s="495">
        <v>0</v>
      </c>
      <c r="J79" s="495">
        <v>0</v>
      </c>
      <c r="K79" s="495">
        <f t="shared" ref="K79:K82" si="42">L79+M79</f>
        <v>0</v>
      </c>
      <c r="L79" s="495"/>
      <c r="M79" s="495">
        <v>0</v>
      </c>
      <c r="N79" s="495"/>
      <c r="O79" s="495"/>
      <c r="P79" s="495"/>
      <c r="Q79" s="495"/>
      <c r="R79" s="495"/>
      <c r="S79" s="495"/>
      <c r="T79" s="495"/>
      <c r="U79" s="495"/>
      <c r="V79" s="495"/>
      <c r="W79" s="495">
        <f>D79-Q79-R79-S79-U79+(T79+V79)</f>
        <v>0</v>
      </c>
      <c r="X79" s="496"/>
    </row>
    <row r="80" spans="1:24" s="497" customFormat="1" ht="23.25" hidden="1" customHeight="1">
      <c r="A80" s="491" t="s">
        <v>255</v>
      </c>
      <c r="B80" s="498" t="s">
        <v>298</v>
      </c>
      <c r="C80" s="493"/>
      <c r="D80" s="494">
        <f>E80+P80</f>
        <v>0</v>
      </c>
      <c r="E80" s="495">
        <f t="shared" si="40"/>
        <v>0</v>
      </c>
      <c r="F80" s="495">
        <f t="shared" si="41"/>
        <v>0</v>
      </c>
      <c r="G80" s="495"/>
      <c r="H80" s="495">
        <f t="shared" si="36"/>
        <v>0</v>
      </c>
      <c r="I80" s="495"/>
      <c r="J80" s="495"/>
      <c r="K80" s="495">
        <v>0</v>
      </c>
      <c r="L80" s="495">
        <v>0</v>
      </c>
      <c r="M80" s="495">
        <v>0</v>
      </c>
      <c r="N80" s="495">
        <v>0</v>
      </c>
      <c r="O80" s="495"/>
      <c r="P80" s="495">
        <v>0</v>
      </c>
      <c r="Q80" s="495"/>
      <c r="R80" s="495"/>
      <c r="S80" s="495"/>
      <c r="T80" s="495"/>
      <c r="U80" s="495"/>
      <c r="V80" s="495"/>
      <c r="W80" s="495">
        <f>D80-Q80-R80-S80-U80+(T80+V80)</f>
        <v>0</v>
      </c>
      <c r="X80" s="496"/>
    </row>
    <row r="81" spans="1:24" s="497" customFormat="1" ht="24.75" hidden="1" customHeight="1">
      <c r="A81" s="491" t="s">
        <v>255</v>
      </c>
      <c r="B81" s="498" t="s">
        <v>282</v>
      </c>
      <c r="C81" s="493"/>
      <c r="D81" s="494">
        <f>E81</f>
        <v>0</v>
      </c>
      <c r="E81" s="495">
        <f t="shared" si="40"/>
        <v>0</v>
      </c>
      <c r="F81" s="495">
        <f t="shared" si="41"/>
        <v>0</v>
      </c>
      <c r="G81" s="495"/>
      <c r="H81" s="495">
        <f t="shared" si="36"/>
        <v>0</v>
      </c>
      <c r="I81" s="495">
        <v>0</v>
      </c>
      <c r="J81" s="495">
        <v>0</v>
      </c>
      <c r="K81" s="495">
        <f t="shared" si="42"/>
        <v>0</v>
      </c>
      <c r="L81" s="495"/>
      <c r="M81" s="495">
        <v>0</v>
      </c>
      <c r="N81" s="495"/>
      <c r="O81" s="495"/>
      <c r="P81" s="495"/>
      <c r="Q81" s="495"/>
      <c r="R81" s="495"/>
      <c r="S81" s="495"/>
      <c r="T81" s="495"/>
      <c r="U81" s="495"/>
      <c r="V81" s="495"/>
      <c r="W81" s="495">
        <f>D81-Q81-R81-S81-U81+(T81+V81)</f>
        <v>0</v>
      </c>
      <c r="X81" s="496"/>
    </row>
    <row r="82" spans="1:24" s="497" customFormat="1" ht="28.5" hidden="1" customHeight="1">
      <c r="A82" s="491" t="s">
        <v>255</v>
      </c>
      <c r="B82" s="498" t="s">
        <v>287</v>
      </c>
      <c r="C82" s="493"/>
      <c r="D82" s="494">
        <f>E82</f>
        <v>0</v>
      </c>
      <c r="E82" s="495">
        <f t="shared" si="40"/>
        <v>0</v>
      </c>
      <c r="F82" s="495">
        <f t="shared" si="41"/>
        <v>0</v>
      </c>
      <c r="G82" s="495"/>
      <c r="H82" s="495">
        <f t="shared" si="36"/>
        <v>0</v>
      </c>
      <c r="I82" s="495">
        <v>0</v>
      </c>
      <c r="J82" s="495">
        <v>0</v>
      </c>
      <c r="K82" s="495">
        <f t="shared" si="42"/>
        <v>0</v>
      </c>
      <c r="L82" s="495"/>
      <c r="M82" s="495">
        <v>0</v>
      </c>
      <c r="N82" s="495"/>
      <c r="O82" s="495"/>
      <c r="P82" s="495"/>
      <c r="Q82" s="495"/>
      <c r="R82" s="495"/>
      <c r="S82" s="495"/>
      <c r="T82" s="495"/>
      <c r="U82" s="495"/>
      <c r="V82" s="495"/>
      <c r="W82" s="495">
        <f>D82-Q82-R82-S82-U82+(T82+V82)</f>
        <v>0</v>
      </c>
      <c r="X82" s="496"/>
    </row>
    <row r="83" spans="1:24" s="497" customFormat="1" ht="27" customHeight="1">
      <c r="A83" s="491" t="s">
        <v>206</v>
      </c>
      <c r="B83" s="498" t="s">
        <v>299</v>
      </c>
      <c r="C83" s="493"/>
      <c r="D83" s="494">
        <f t="shared" ref="D83:I83" si="43">SUM(D84:D84)</f>
        <v>3500</v>
      </c>
      <c r="E83" s="495">
        <f t="shared" si="43"/>
        <v>3500</v>
      </c>
      <c r="F83" s="495">
        <f t="shared" si="43"/>
        <v>0</v>
      </c>
      <c r="G83" s="495">
        <f>SUM(G84:G84)</f>
        <v>0</v>
      </c>
      <c r="H83" s="495">
        <f t="shared" si="43"/>
        <v>0</v>
      </c>
      <c r="I83" s="495">
        <f t="shared" si="43"/>
        <v>0</v>
      </c>
      <c r="J83" s="495"/>
      <c r="K83" s="495">
        <f t="shared" ref="K83:W83" si="44">SUM(K84:K84)</f>
        <v>0</v>
      </c>
      <c r="L83" s="495">
        <f t="shared" si="44"/>
        <v>0</v>
      </c>
      <c r="M83" s="495">
        <f t="shared" si="44"/>
        <v>0</v>
      </c>
      <c r="N83" s="495">
        <f t="shared" si="44"/>
        <v>3500</v>
      </c>
      <c r="O83" s="495">
        <f t="shared" si="44"/>
        <v>0</v>
      </c>
      <c r="P83" s="495">
        <f t="shared" si="44"/>
        <v>0</v>
      </c>
      <c r="Q83" s="495">
        <f t="shared" si="44"/>
        <v>0</v>
      </c>
      <c r="R83" s="495">
        <f t="shared" si="44"/>
        <v>210</v>
      </c>
      <c r="S83" s="495">
        <f t="shared" si="44"/>
        <v>0</v>
      </c>
      <c r="T83" s="495">
        <f t="shared" si="44"/>
        <v>0</v>
      </c>
      <c r="U83" s="495">
        <f t="shared" si="44"/>
        <v>0</v>
      </c>
      <c r="V83" s="495">
        <f t="shared" si="44"/>
        <v>0</v>
      </c>
      <c r="W83" s="495">
        <f t="shared" si="44"/>
        <v>3290</v>
      </c>
      <c r="X83" s="496" t="s">
        <v>792</v>
      </c>
    </row>
    <row r="84" spans="1:24" s="497" customFormat="1" ht="45.75" customHeight="1">
      <c r="A84" s="499" t="s">
        <v>255</v>
      </c>
      <c r="B84" s="498" t="s">
        <v>698</v>
      </c>
      <c r="C84" s="493"/>
      <c r="D84" s="494">
        <f t="shared" ref="D84:D90" si="45">E84+P84</f>
        <v>3500</v>
      </c>
      <c r="E84" s="495">
        <f>F84+N84+O84</f>
        <v>3500</v>
      </c>
      <c r="F84" s="495">
        <f>H84+K84</f>
        <v>0</v>
      </c>
      <c r="G84" s="495"/>
      <c r="H84" s="495">
        <f>I84+J84</f>
        <v>0</v>
      </c>
      <c r="I84" s="495"/>
      <c r="J84" s="495"/>
      <c r="K84" s="495">
        <f>L84+M84</f>
        <v>0</v>
      </c>
      <c r="L84" s="495"/>
      <c r="M84" s="495">
        <v>0</v>
      </c>
      <c r="N84" s="495">
        <v>3500</v>
      </c>
      <c r="O84" s="495"/>
      <c r="P84" s="495"/>
      <c r="Q84" s="495"/>
      <c r="R84" s="495">
        <f>D84*0.06</f>
        <v>210</v>
      </c>
      <c r="S84" s="495"/>
      <c r="T84" s="495"/>
      <c r="U84" s="495"/>
      <c r="V84" s="495"/>
      <c r="W84" s="495">
        <f t="shared" ref="W84:W90" si="46">D84-Q84-R84-S84-U84+(T84+V84)</f>
        <v>3290</v>
      </c>
      <c r="X84" s="496"/>
    </row>
    <row r="85" spans="1:24" s="497" customFormat="1" ht="47.25" customHeight="1">
      <c r="A85" s="491" t="s">
        <v>208</v>
      </c>
      <c r="B85" s="498" t="s">
        <v>300</v>
      </c>
      <c r="C85" s="493"/>
      <c r="D85" s="494">
        <f t="shared" si="45"/>
        <v>50</v>
      </c>
      <c r="E85" s="495">
        <f>F85+N85+O85</f>
        <v>50</v>
      </c>
      <c r="F85" s="495">
        <f>H85+K85</f>
        <v>0</v>
      </c>
      <c r="G85" s="495"/>
      <c r="H85" s="495">
        <f t="shared" si="36"/>
        <v>0</v>
      </c>
      <c r="I85" s="495"/>
      <c r="J85" s="495"/>
      <c r="K85" s="495">
        <f>L85+M85</f>
        <v>0</v>
      </c>
      <c r="L85" s="495"/>
      <c r="M85" s="495">
        <v>0</v>
      </c>
      <c r="N85" s="495">
        <v>50</v>
      </c>
      <c r="O85" s="495"/>
      <c r="P85" s="495"/>
      <c r="Q85" s="495"/>
      <c r="R85" s="495">
        <f>D85*0.1</f>
        <v>5</v>
      </c>
      <c r="S85" s="495"/>
      <c r="T85" s="495"/>
      <c r="U85" s="495"/>
      <c r="V85" s="495"/>
      <c r="W85" s="495">
        <f t="shared" si="46"/>
        <v>45</v>
      </c>
      <c r="X85" s="496" t="s">
        <v>793</v>
      </c>
    </row>
    <row r="86" spans="1:24" s="503" customFormat="1" ht="29.25" customHeight="1">
      <c r="A86" s="491" t="s">
        <v>209</v>
      </c>
      <c r="B86" s="502" t="s">
        <v>733</v>
      </c>
      <c r="C86" s="493"/>
      <c r="D86" s="494">
        <f t="shared" si="45"/>
        <v>439</v>
      </c>
      <c r="E86" s="495">
        <f>F86+N86+O86</f>
        <v>439</v>
      </c>
      <c r="F86" s="495">
        <f>H86+K86</f>
        <v>0</v>
      </c>
      <c r="G86" s="495"/>
      <c r="H86" s="495"/>
      <c r="I86" s="495"/>
      <c r="J86" s="495"/>
      <c r="K86" s="495"/>
      <c r="L86" s="495"/>
      <c r="M86" s="495"/>
      <c r="N86" s="495">
        <v>439</v>
      </c>
      <c r="O86" s="495"/>
      <c r="P86" s="495"/>
      <c r="Q86" s="495"/>
      <c r="R86" s="495">
        <v>26.4</v>
      </c>
      <c r="S86" s="495"/>
      <c r="T86" s="495"/>
      <c r="U86" s="495"/>
      <c r="V86" s="495"/>
      <c r="W86" s="495">
        <f t="shared" si="46"/>
        <v>412.6</v>
      </c>
      <c r="X86" s="496" t="s">
        <v>792</v>
      </c>
    </row>
    <row r="87" spans="1:24" s="497" customFormat="1" ht="37.5" customHeight="1">
      <c r="A87" s="499" t="s">
        <v>216</v>
      </c>
      <c r="B87" s="498" t="s">
        <v>787</v>
      </c>
      <c r="C87" s="493"/>
      <c r="D87" s="494">
        <f t="shared" si="45"/>
        <v>300</v>
      </c>
      <c r="E87" s="495">
        <f t="shared" ref="E87:E88" si="47">F87+N87+O87</f>
        <v>300</v>
      </c>
      <c r="F87" s="495">
        <f t="shared" ref="F87:F88" si="48">H87+K87</f>
        <v>0</v>
      </c>
      <c r="G87" s="495"/>
      <c r="H87" s="495">
        <f t="shared" ref="H87" si="49">I87+J87</f>
        <v>0</v>
      </c>
      <c r="I87" s="495"/>
      <c r="J87" s="495"/>
      <c r="K87" s="495">
        <f t="shared" ref="K87:K88" si="50">L87+M87</f>
        <v>0</v>
      </c>
      <c r="L87" s="495"/>
      <c r="M87" s="495">
        <v>0</v>
      </c>
      <c r="N87" s="495">
        <v>300</v>
      </c>
      <c r="O87" s="495"/>
      <c r="P87" s="495"/>
      <c r="Q87" s="495"/>
      <c r="R87" s="495">
        <f>D87*0.06</f>
        <v>18</v>
      </c>
      <c r="S87" s="495"/>
      <c r="T87" s="495"/>
      <c r="U87" s="495"/>
      <c r="V87" s="495"/>
      <c r="W87" s="495">
        <f t="shared" si="46"/>
        <v>282</v>
      </c>
      <c r="X87" s="496" t="s">
        <v>792</v>
      </c>
    </row>
    <row r="88" spans="1:24" s="497" customFormat="1" ht="47.25" customHeight="1">
      <c r="A88" s="499" t="s">
        <v>217</v>
      </c>
      <c r="B88" s="498" t="s">
        <v>593</v>
      </c>
      <c r="C88" s="493"/>
      <c r="D88" s="494">
        <f t="shared" si="45"/>
        <v>1140</v>
      </c>
      <c r="E88" s="495">
        <f t="shared" si="47"/>
        <v>1140</v>
      </c>
      <c r="F88" s="495">
        <f t="shared" si="48"/>
        <v>0</v>
      </c>
      <c r="G88" s="495"/>
      <c r="H88" s="495">
        <f>I88+J88</f>
        <v>0</v>
      </c>
      <c r="I88" s="495"/>
      <c r="J88" s="495"/>
      <c r="K88" s="495">
        <f t="shared" si="50"/>
        <v>0</v>
      </c>
      <c r="L88" s="495"/>
      <c r="M88" s="495">
        <v>0</v>
      </c>
      <c r="N88" s="495">
        <v>1140</v>
      </c>
      <c r="O88" s="495"/>
      <c r="P88" s="495"/>
      <c r="Q88" s="495"/>
      <c r="R88" s="495">
        <f>D88*0.06</f>
        <v>68.399999999999991</v>
      </c>
      <c r="S88" s="495"/>
      <c r="T88" s="495"/>
      <c r="U88" s="495"/>
      <c r="V88" s="495"/>
      <c r="W88" s="495">
        <f t="shared" si="46"/>
        <v>1071.5999999999999</v>
      </c>
      <c r="X88" s="496" t="s">
        <v>792</v>
      </c>
    </row>
    <row r="89" spans="1:24" s="503" customFormat="1" ht="23.25" hidden="1" customHeight="1">
      <c r="A89" s="491" t="s">
        <v>218</v>
      </c>
      <c r="B89" s="502" t="s">
        <v>662</v>
      </c>
      <c r="C89" s="493"/>
      <c r="D89" s="494">
        <f t="shared" si="45"/>
        <v>0</v>
      </c>
      <c r="E89" s="495">
        <f>F89+N89+O89</f>
        <v>0</v>
      </c>
      <c r="F89" s="495">
        <f>H89+K89</f>
        <v>0</v>
      </c>
      <c r="G89" s="495"/>
      <c r="H89" s="495"/>
      <c r="I89" s="495"/>
      <c r="J89" s="495"/>
      <c r="K89" s="495"/>
      <c r="L89" s="495"/>
      <c r="M89" s="495"/>
      <c r="N89" s="495"/>
      <c r="O89" s="495"/>
      <c r="P89" s="495"/>
      <c r="Q89" s="495"/>
      <c r="R89" s="495"/>
      <c r="S89" s="495"/>
      <c r="T89" s="495"/>
      <c r="U89" s="495"/>
      <c r="V89" s="495"/>
      <c r="W89" s="495">
        <f t="shared" si="46"/>
        <v>0</v>
      </c>
      <c r="X89" s="496" t="s">
        <v>663</v>
      </c>
    </row>
    <row r="90" spans="1:24" s="497" customFormat="1" ht="27" hidden="1" customHeight="1">
      <c r="A90" s="491" t="s">
        <v>220</v>
      </c>
      <c r="B90" s="504" t="s">
        <v>664</v>
      </c>
      <c r="C90" s="493"/>
      <c r="D90" s="494">
        <f t="shared" si="45"/>
        <v>0</v>
      </c>
      <c r="E90" s="495">
        <f>F90+N90+O90</f>
        <v>0</v>
      </c>
      <c r="F90" s="495">
        <f>H90+K90</f>
        <v>0</v>
      </c>
      <c r="G90" s="495"/>
      <c r="H90" s="495">
        <f t="shared" si="36"/>
        <v>0</v>
      </c>
      <c r="I90" s="495"/>
      <c r="J90" s="495"/>
      <c r="K90" s="495">
        <f>L90+M90</f>
        <v>0</v>
      </c>
      <c r="L90" s="495"/>
      <c r="M90" s="495">
        <v>0</v>
      </c>
      <c r="N90" s="495"/>
      <c r="O90" s="495"/>
      <c r="P90" s="495"/>
      <c r="Q90" s="495"/>
      <c r="R90" s="495"/>
      <c r="S90" s="495"/>
      <c r="T90" s="495"/>
      <c r="U90" s="495"/>
      <c r="V90" s="495"/>
      <c r="W90" s="495">
        <f t="shared" si="46"/>
        <v>0</v>
      </c>
      <c r="X90" s="496" t="s">
        <v>296</v>
      </c>
    </row>
    <row r="91" spans="1:24" s="497" customFormat="1" ht="32.25" customHeight="1">
      <c r="A91" s="491">
        <v>4</v>
      </c>
      <c r="B91" s="502" t="s">
        <v>301</v>
      </c>
      <c r="C91" s="505"/>
      <c r="D91" s="494">
        <f t="shared" ref="D91:W91" si="51">D92+D95+D142+D162+D186+D421+D433</f>
        <v>69417.970020000008</v>
      </c>
      <c r="E91" s="494">
        <f t="shared" si="51"/>
        <v>68797.970020000008</v>
      </c>
      <c r="F91" s="494">
        <f t="shared" si="51"/>
        <v>36585.800020000002</v>
      </c>
      <c r="G91" s="494">
        <f t="shared" si="51"/>
        <v>158</v>
      </c>
      <c r="H91" s="494">
        <f t="shared" si="51"/>
        <v>18420.39702</v>
      </c>
      <c r="I91" s="494">
        <f t="shared" si="51"/>
        <v>0</v>
      </c>
      <c r="J91" s="494">
        <f t="shared" si="51"/>
        <v>0</v>
      </c>
      <c r="K91" s="494">
        <f t="shared" si="51"/>
        <v>18165.403000000002</v>
      </c>
      <c r="L91" s="494">
        <f t="shared" si="51"/>
        <v>4503.01</v>
      </c>
      <c r="M91" s="494">
        <f t="shared" si="51"/>
        <v>13662.393</v>
      </c>
      <c r="N91" s="494">
        <f t="shared" si="51"/>
        <v>32212.170000000002</v>
      </c>
      <c r="O91" s="494">
        <f t="shared" si="51"/>
        <v>0</v>
      </c>
      <c r="P91" s="494">
        <f t="shared" si="51"/>
        <v>620</v>
      </c>
      <c r="Q91" s="494">
        <f t="shared" si="51"/>
        <v>0</v>
      </c>
      <c r="R91" s="494">
        <f t="shared" si="51"/>
        <v>2170.4</v>
      </c>
      <c r="S91" s="494">
        <f t="shared" si="51"/>
        <v>1850.09</v>
      </c>
      <c r="T91" s="494">
        <f t="shared" si="51"/>
        <v>1625.1299999999999</v>
      </c>
      <c r="U91" s="494">
        <f t="shared" si="51"/>
        <v>3580.16</v>
      </c>
      <c r="V91" s="494">
        <f t="shared" si="51"/>
        <v>3139.8209999999999</v>
      </c>
      <c r="W91" s="494">
        <f t="shared" si="51"/>
        <v>66582.27102</v>
      </c>
      <c r="X91" s="496"/>
    </row>
    <row r="92" spans="1:24" s="497" customFormat="1" ht="18" customHeight="1">
      <c r="A92" s="491" t="s">
        <v>302</v>
      </c>
      <c r="B92" s="498" t="s">
        <v>303</v>
      </c>
      <c r="C92" s="493"/>
      <c r="D92" s="494">
        <f>SUM(D93:D94)</f>
        <v>941</v>
      </c>
      <c r="E92" s="494">
        <f t="shared" ref="E92:W92" si="52">SUM(E93:E94)</f>
        <v>941</v>
      </c>
      <c r="F92" s="494">
        <f t="shared" si="52"/>
        <v>0</v>
      </c>
      <c r="G92" s="494">
        <f t="shared" si="52"/>
        <v>0</v>
      </c>
      <c r="H92" s="494">
        <f t="shared" si="52"/>
        <v>0</v>
      </c>
      <c r="I92" s="494">
        <f t="shared" si="52"/>
        <v>0</v>
      </c>
      <c r="J92" s="494">
        <f t="shared" si="52"/>
        <v>0</v>
      </c>
      <c r="K92" s="494">
        <f t="shared" si="52"/>
        <v>0</v>
      </c>
      <c r="L92" s="494">
        <f t="shared" si="52"/>
        <v>0</v>
      </c>
      <c r="M92" s="494">
        <f t="shared" si="52"/>
        <v>0</v>
      </c>
      <c r="N92" s="494">
        <f t="shared" si="52"/>
        <v>941</v>
      </c>
      <c r="O92" s="494">
        <f t="shared" si="52"/>
        <v>0</v>
      </c>
      <c r="P92" s="494">
        <f t="shared" si="52"/>
        <v>0</v>
      </c>
      <c r="Q92" s="494">
        <f t="shared" si="52"/>
        <v>0</v>
      </c>
      <c r="R92" s="494">
        <f t="shared" si="52"/>
        <v>0</v>
      </c>
      <c r="S92" s="494">
        <f t="shared" si="52"/>
        <v>0</v>
      </c>
      <c r="T92" s="494">
        <f t="shared" si="52"/>
        <v>0</v>
      </c>
      <c r="U92" s="494">
        <f t="shared" si="52"/>
        <v>0</v>
      </c>
      <c r="V92" s="494">
        <f t="shared" si="52"/>
        <v>0</v>
      </c>
      <c r="W92" s="494">
        <f t="shared" si="52"/>
        <v>941</v>
      </c>
      <c r="X92" s="496"/>
    </row>
    <row r="93" spans="1:24" s="497" customFormat="1" ht="35.25" customHeight="1">
      <c r="A93" s="491" t="s">
        <v>255</v>
      </c>
      <c r="B93" s="498" t="s">
        <v>353</v>
      </c>
      <c r="C93" s="493"/>
      <c r="D93" s="494">
        <f>E93+P93</f>
        <v>686</v>
      </c>
      <c r="E93" s="495">
        <f>F93+N93+O93</f>
        <v>686</v>
      </c>
      <c r="F93" s="495">
        <f>H93+K93</f>
        <v>0</v>
      </c>
      <c r="G93" s="495"/>
      <c r="H93" s="495">
        <f>I93+J93</f>
        <v>0</v>
      </c>
      <c r="I93" s="495"/>
      <c r="J93" s="495"/>
      <c r="K93" s="495">
        <f>L93+M93</f>
        <v>0</v>
      </c>
      <c r="L93" s="495"/>
      <c r="M93" s="495">
        <v>0</v>
      </c>
      <c r="N93" s="495">
        <v>686</v>
      </c>
      <c r="O93" s="495"/>
      <c r="P93" s="495"/>
      <c r="Q93" s="495"/>
      <c r="R93" s="495"/>
      <c r="S93" s="495"/>
      <c r="T93" s="495"/>
      <c r="U93" s="495"/>
      <c r="V93" s="495"/>
      <c r="W93" s="495">
        <f>D93-Q93-R93-S93-U93+(T93+V93)</f>
        <v>686</v>
      </c>
      <c r="X93" s="496"/>
    </row>
    <row r="94" spans="1:24" s="497" customFormat="1" ht="21.75" customHeight="1">
      <c r="A94" s="491" t="s">
        <v>255</v>
      </c>
      <c r="B94" s="498" t="s">
        <v>354</v>
      </c>
      <c r="C94" s="493"/>
      <c r="D94" s="494">
        <f>E94+P94</f>
        <v>255</v>
      </c>
      <c r="E94" s="495">
        <f>F94+N94+O94</f>
        <v>255</v>
      </c>
      <c r="F94" s="495">
        <f>H94+K94</f>
        <v>0</v>
      </c>
      <c r="G94" s="495"/>
      <c r="H94" s="495">
        <f>I94+J94</f>
        <v>0</v>
      </c>
      <c r="I94" s="495"/>
      <c r="J94" s="495"/>
      <c r="K94" s="495">
        <f>L94+M94</f>
        <v>0</v>
      </c>
      <c r="L94" s="495"/>
      <c r="M94" s="495">
        <v>0</v>
      </c>
      <c r="N94" s="495">
        <v>255</v>
      </c>
      <c r="O94" s="495"/>
      <c r="P94" s="495"/>
      <c r="Q94" s="495"/>
      <c r="R94" s="495"/>
      <c r="S94" s="495"/>
      <c r="T94" s="495"/>
      <c r="U94" s="495"/>
      <c r="V94" s="495"/>
      <c r="W94" s="495">
        <f>D94-Q94-R94-S94-U94+(T94+V94)</f>
        <v>255</v>
      </c>
      <c r="X94" s="496"/>
    </row>
    <row r="95" spans="1:24" s="497" customFormat="1" ht="18" customHeight="1">
      <c r="A95" s="491" t="s">
        <v>304</v>
      </c>
      <c r="B95" s="498" t="s">
        <v>305</v>
      </c>
      <c r="C95" s="493">
        <v>280</v>
      </c>
      <c r="D95" s="494">
        <f>D96+D118+D127+D136</f>
        <v>15195.412</v>
      </c>
      <c r="E95" s="495">
        <f t="shared" ref="E95:W95" si="53">E96+E118+E127+E136</f>
        <v>14575.412</v>
      </c>
      <c r="F95" s="495">
        <f t="shared" si="53"/>
        <v>543.62200000000007</v>
      </c>
      <c r="G95" s="495">
        <f t="shared" si="53"/>
        <v>6</v>
      </c>
      <c r="H95" s="495">
        <f t="shared" si="53"/>
        <v>430.62200000000001</v>
      </c>
      <c r="I95" s="495">
        <f t="shared" si="53"/>
        <v>0</v>
      </c>
      <c r="J95" s="495">
        <f t="shared" si="53"/>
        <v>0</v>
      </c>
      <c r="K95" s="495">
        <f t="shared" si="53"/>
        <v>113</v>
      </c>
      <c r="L95" s="495">
        <f t="shared" si="53"/>
        <v>113</v>
      </c>
      <c r="M95" s="495">
        <f t="shared" si="53"/>
        <v>0</v>
      </c>
      <c r="N95" s="495">
        <f t="shared" si="53"/>
        <v>14031.79</v>
      </c>
      <c r="O95" s="495">
        <f t="shared" si="53"/>
        <v>0</v>
      </c>
      <c r="P95" s="495">
        <f t="shared" si="53"/>
        <v>620</v>
      </c>
      <c r="Q95" s="495">
        <f t="shared" si="53"/>
        <v>0</v>
      </c>
      <c r="R95" s="495">
        <f t="shared" si="53"/>
        <v>870.5</v>
      </c>
      <c r="S95" s="495">
        <f t="shared" si="53"/>
        <v>837.5</v>
      </c>
      <c r="T95" s="495">
        <f t="shared" si="53"/>
        <v>827.5</v>
      </c>
      <c r="U95" s="495">
        <f t="shared" si="53"/>
        <v>1309.29</v>
      </c>
      <c r="V95" s="495">
        <f t="shared" si="53"/>
        <v>1792</v>
      </c>
      <c r="W95" s="495">
        <f t="shared" si="53"/>
        <v>14797.621999999999</v>
      </c>
      <c r="X95" s="496"/>
    </row>
    <row r="96" spans="1:24" s="497" customFormat="1" ht="18" customHeight="1">
      <c r="A96" s="491" t="s">
        <v>306</v>
      </c>
      <c r="B96" s="498" t="s">
        <v>307</v>
      </c>
      <c r="C96" s="494">
        <f t="shared" ref="C96:W96" si="54">C97+C109+C110+C111+C112+C113+C114+C115+C116+C117</f>
        <v>0</v>
      </c>
      <c r="D96" s="494">
        <f>D97+D109+D110+D111+D112+D113+D114+D115+D116+D117</f>
        <v>4590.4120000000003</v>
      </c>
      <c r="E96" s="494">
        <f t="shared" si="54"/>
        <v>4590.4120000000003</v>
      </c>
      <c r="F96" s="494">
        <f t="shared" si="54"/>
        <v>543.62200000000007</v>
      </c>
      <c r="G96" s="494">
        <f t="shared" si="54"/>
        <v>6</v>
      </c>
      <c r="H96" s="494">
        <f t="shared" si="54"/>
        <v>430.62200000000001</v>
      </c>
      <c r="I96" s="494">
        <f t="shared" si="54"/>
        <v>0</v>
      </c>
      <c r="J96" s="494">
        <f t="shared" si="54"/>
        <v>0</v>
      </c>
      <c r="K96" s="494">
        <f t="shared" si="54"/>
        <v>113</v>
      </c>
      <c r="L96" s="494">
        <f t="shared" si="54"/>
        <v>113</v>
      </c>
      <c r="M96" s="494">
        <f t="shared" si="54"/>
        <v>0</v>
      </c>
      <c r="N96" s="494">
        <f t="shared" si="54"/>
        <v>4046.79</v>
      </c>
      <c r="O96" s="494">
        <f t="shared" si="54"/>
        <v>0</v>
      </c>
      <c r="P96" s="494">
        <f t="shared" si="54"/>
        <v>0</v>
      </c>
      <c r="Q96" s="494">
        <f t="shared" si="54"/>
        <v>0</v>
      </c>
      <c r="R96" s="494">
        <f t="shared" si="54"/>
        <v>345.8</v>
      </c>
      <c r="S96" s="494">
        <f t="shared" si="54"/>
        <v>837.5</v>
      </c>
      <c r="T96" s="494">
        <f t="shared" si="54"/>
        <v>827.5</v>
      </c>
      <c r="U96" s="494">
        <f t="shared" si="54"/>
        <v>1309.29</v>
      </c>
      <c r="V96" s="494">
        <f t="shared" si="54"/>
        <v>150</v>
      </c>
      <c r="W96" s="494">
        <f t="shared" si="54"/>
        <v>3075.3220000000001</v>
      </c>
      <c r="X96" s="496"/>
    </row>
    <row r="97" spans="1:25" s="506" customFormat="1" ht="28.5" customHeight="1">
      <c r="A97" s="491" t="s">
        <v>293</v>
      </c>
      <c r="B97" s="498" t="s">
        <v>308</v>
      </c>
      <c r="C97" s="493">
        <f>SUM(C98:C108)</f>
        <v>0</v>
      </c>
      <c r="D97" s="494">
        <f>SUM(D98:D108)</f>
        <v>2213.6220000000003</v>
      </c>
      <c r="E97" s="494">
        <f t="shared" ref="E97:V97" si="55">SUM(E98:E108)</f>
        <v>2213.6220000000003</v>
      </c>
      <c r="F97" s="494">
        <f t="shared" si="55"/>
        <v>543.62200000000007</v>
      </c>
      <c r="G97" s="494">
        <f t="shared" si="55"/>
        <v>6</v>
      </c>
      <c r="H97" s="494">
        <f t="shared" si="55"/>
        <v>430.62200000000001</v>
      </c>
      <c r="I97" s="494">
        <f t="shared" si="55"/>
        <v>0</v>
      </c>
      <c r="J97" s="494">
        <f t="shared" si="55"/>
        <v>0</v>
      </c>
      <c r="K97" s="494">
        <f t="shared" si="55"/>
        <v>113</v>
      </c>
      <c r="L97" s="494">
        <f t="shared" si="55"/>
        <v>113</v>
      </c>
      <c r="M97" s="494">
        <f t="shared" si="55"/>
        <v>0</v>
      </c>
      <c r="N97" s="494">
        <f t="shared" si="55"/>
        <v>1670</v>
      </c>
      <c r="O97" s="494">
        <f t="shared" si="55"/>
        <v>0</v>
      </c>
      <c r="P97" s="494">
        <f t="shared" si="55"/>
        <v>0</v>
      </c>
      <c r="Q97" s="494">
        <f t="shared" si="55"/>
        <v>0</v>
      </c>
      <c r="R97" s="494">
        <f t="shared" si="55"/>
        <v>105.8</v>
      </c>
      <c r="S97" s="494">
        <f t="shared" si="55"/>
        <v>10</v>
      </c>
      <c r="T97" s="494">
        <f t="shared" si="55"/>
        <v>227.5</v>
      </c>
      <c r="U97" s="494">
        <f t="shared" si="55"/>
        <v>0</v>
      </c>
      <c r="V97" s="494">
        <f t="shared" si="55"/>
        <v>150</v>
      </c>
      <c r="W97" s="494">
        <f>SUM(W98:W108)</f>
        <v>2475.3220000000001</v>
      </c>
      <c r="X97" s="496" t="s">
        <v>794</v>
      </c>
      <c r="Y97" s="497"/>
    </row>
    <row r="98" spans="1:25" s="497" customFormat="1" ht="21">
      <c r="A98" s="499" t="s">
        <v>255</v>
      </c>
      <c r="B98" s="498" t="s">
        <v>734</v>
      </c>
      <c r="C98" s="493"/>
      <c r="D98" s="494">
        <f t="shared" ref="D98:D117" si="56">E98+P98</f>
        <v>425.262</v>
      </c>
      <c r="E98" s="495">
        <f t="shared" ref="E98:E116" si="57">F98+N98+O98</f>
        <v>425.262</v>
      </c>
      <c r="F98" s="495">
        <f t="shared" ref="F98:F116" si="58">H98+K98</f>
        <v>425.262</v>
      </c>
      <c r="G98" s="495">
        <v>6</v>
      </c>
      <c r="H98" s="495">
        <v>425.262</v>
      </c>
      <c r="I98" s="495"/>
      <c r="J98" s="495"/>
      <c r="K98" s="495">
        <f t="shared" ref="K98:K116" si="59">L98+M98</f>
        <v>0</v>
      </c>
      <c r="L98" s="495"/>
      <c r="M98" s="495"/>
      <c r="N98" s="495"/>
      <c r="O98" s="495"/>
      <c r="P98" s="495"/>
      <c r="Q98" s="495"/>
      <c r="R98" s="495"/>
      <c r="S98" s="495"/>
      <c r="T98" s="495"/>
      <c r="U98" s="495"/>
      <c r="V98" s="495"/>
      <c r="W98" s="495">
        <f t="shared" ref="W98:W117" si="60">D98-Q98-R98-S98-U98+(T98+V98)</f>
        <v>425.262</v>
      </c>
      <c r="X98" s="617" t="s">
        <v>309</v>
      </c>
    </row>
    <row r="99" spans="1:25" s="497" customFormat="1" ht="22.5" customHeight="1">
      <c r="A99" s="499" t="s">
        <v>255</v>
      </c>
      <c r="B99" s="498" t="s">
        <v>310</v>
      </c>
      <c r="C99" s="493"/>
      <c r="D99" s="494">
        <f t="shared" si="56"/>
        <v>5.36</v>
      </c>
      <c r="E99" s="495">
        <f t="shared" si="57"/>
        <v>5.36</v>
      </c>
      <c r="F99" s="495">
        <f t="shared" si="58"/>
        <v>5.36</v>
      </c>
      <c r="G99" s="495"/>
      <c r="H99" s="495">
        <v>5.36</v>
      </c>
      <c r="I99" s="495"/>
      <c r="J99" s="495"/>
      <c r="K99" s="495">
        <f t="shared" si="59"/>
        <v>0</v>
      </c>
      <c r="L99" s="495"/>
      <c r="M99" s="495"/>
      <c r="N99" s="495"/>
      <c r="O99" s="495"/>
      <c r="P99" s="495"/>
      <c r="Q99" s="495"/>
      <c r="R99" s="495"/>
      <c r="S99" s="495"/>
      <c r="T99" s="495"/>
      <c r="U99" s="495"/>
      <c r="V99" s="495"/>
      <c r="W99" s="495">
        <f t="shared" si="60"/>
        <v>5.36</v>
      </c>
      <c r="X99" s="617"/>
    </row>
    <row r="100" spans="1:25" s="497" customFormat="1" ht="27" customHeight="1">
      <c r="A100" s="499" t="s">
        <v>255</v>
      </c>
      <c r="B100" s="498" t="s">
        <v>287</v>
      </c>
      <c r="C100" s="493"/>
      <c r="D100" s="494">
        <f t="shared" si="56"/>
        <v>5</v>
      </c>
      <c r="E100" s="495">
        <f t="shared" si="57"/>
        <v>5</v>
      </c>
      <c r="F100" s="495">
        <f t="shared" si="58"/>
        <v>5</v>
      </c>
      <c r="G100" s="495"/>
      <c r="H100" s="495">
        <f t="shared" si="36"/>
        <v>0</v>
      </c>
      <c r="I100" s="495"/>
      <c r="J100" s="495"/>
      <c r="K100" s="495">
        <f t="shared" si="59"/>
        <v>5</v>
      </c>
      <c r="L100" s="495">
        <v>5</v>
      </c>
      <c r="M100" s="495"/>
      <c r="N100" s="495"/>
      <c r="O100" s="495"/>
      <c r="P100" s="495"/>
      <c r="Q100" s="495"/>
      <c r="R100" s="495"/>
      <c r="S100" s="495"/>
      <c r="T100" s="495"/>
      <c r="U100" s="495"/>
      <c r="V100" s="495"/>
      <c r="W100" s="495">
        <f t="shared" si="60"/>
        <v>5</v>
      </c>
      <c r="X100" s="617"/>
    </row>
    <row r="101" spans="1:25" s="497" customFormat="1" ht="18" customHeight="1">
      <c r="A101" s="499" t="s">
        <v>255</v>
      </c>
      <c r="B101" s="498" t="s">
        <v>311</v>
      </c>
      <c r="C101" s="493"/>
      <c r="D101" s="494">
        <f t="shared" si="56"/>
        <v>0</v>
      </c>
      <c r="E101" s="495">
        <f t="shared" si="57"/>
        <v>0</v>
      </c>
      <c r="F101" s="495">
        <f t="shared" si="58"/>
        <v>0</v>
      </c>
      <c r="G101" s="495"/>
      <c r="H101" s="495">
        <f t="shared" si="36"/>
        <v>0</v>
      </c>
      <c r="I101" s="495"/>
      <c r="J101" s="495"/>
      <c r="K101" s="495">
        <f t="shared" si="59"/>
        <v>0</v>
      </c>
      <c r="L101" s="495"/>
      <c r="M101" s="495"/>
      <c r="N101" s="495"/>
      <c r="O101" s="495"/>
      <c r="P101" s="495"/>
      <c r="Q101" s="495"/>
      <c r="R101" s="495"/>
      <c r="S101" s="495"/>
      <c r="T101" s="495"/>
      <c r="U101" s="495"/>
      <c r="V101" s="495"/>
      <c r="W101" s="495">
        <f t="shared" si="60"/>
        <v>0</v>
      </c>
      <c r="X101" s="617"/>
    </row>
    <row r="102" spans="1:25" s="497" customFormat="1" ht="21">
      <c r="A102" s="499" t="s">
        <v>255</v>
      </c>
      <c r="B102" s="498" t="s">
        <v>735</v>
      </c>
      <c r="C102" s="493"/>
      <c r="D102" s="494">
        <f t="shared" si="56"/>
        <v>108</v>
      </c>
      <c r="E102" s="495">
        <f t="shared" si="57"/>
        <v>108</v>
      </c>
      <c r="F102" s="495">
        <f t="shared" si="58"/>
        <v>108</v>
      </c>
      <c r="G102" s="495">
        <v>0</v>
      </c>
      <c r="H102" s="495">
        <f t="shared" si="36"/>
        <v>0</v>
      </c>
      <c r="I102" s="495">
        <v>0</v>
      </c>
      <c r="J102" s="495"/>
      <c r="K102" s="495">
        <f t="shared" si="59"/>
        <v>108</v>
      </c>
      <c r="L102" s="495">
        <f>6*18</f>
        <v>108</v>
      </c>
      <c r="M102" s="495">
        <v>0</v>
      </c>
      <c r="N102" s="495">
        <v>0</v>
      </c>
      <c r="O102" s="495"/>
      <c r="P102" s="495"/>
      <c r="Q102" s="495"/>
      <c r="R102" s="495">
        <f>D102*0.1</f>
        <v>10.8</v>
      </c>
      <c r="S102" s="495"/>
      <c r="T102" s="495"/>
      <c r="U102" s="495"/>
      <c r="V102" s="495"/>
      <c r="W102" s="495">
        <f t="shared" si="60"/>
        <v>97.2</v>
      </c>
      <c r="X102" s="617"/>
    </row>
    <row r="103" spans="1:25" s="501" customFormat="1" ht="52.5" customHeight="1">
      <c r="A103" s="499" t="s">
        <v>255</v>
      </c>
      <c r="B103" s="498" t="s">
        <v>996</v>
      </c>
      <c r="C103" s="493"/>
      <c r="D103" s="494">
        <f t="shared" si="56"/>
        <v>1000</v>
      </c>
      <c r="E103" s="495">
        <f t="shared" si="57"/>
        <v>1000</v>
      </c>
      <c r="F103" s="495">
        <f t="shared" si="58"/>
        <v>0</v>
      </c>
      <c r="G103" s="495"/>
      <c r="H103" s="495">
        <f t="shared" si="36"/>
        <v>0</v>
      </c>
      <c r="I103" s="495"/>
      <c r="J103" s="495"/>
      <c r="K103" s="495">
        <f t="shared" si="59"/>
        <v>0</v>
      </c>
      <c r="L103" s="495">
        <v>0</v>
      </c>
      <c r="M103" s="495">
        <v>0</v>
      </c>
      <c r="N103" s="495">
        <v>1000</v>
      </c>
      <c r="O103" s="495"/>
      <c r="P103" s="495"/>
      <c r="Q103" s="495"/>
      <c r="R103" s="495">
        <f>D103*0.06</f>
        <v>60</v>
      </c>
      <c r="S103" s="495"/>
      <c r="T103" s="495"/>
      <c r="U103" s="495"/>
      <c r="V103" s="495"/>
      <c r="W103" s="495">
        <f t="shared" si="60"/>
        <v>940</v>
      </c>
      <c r="X103" s="617"/>
    </row>
    <row r="104" spans="1:25" s="501" customFormat="1" ht="43.5" customHeight="1">
      <c r="A104" s="499" t="s">
        <v>255</v>
      </c>
      <c r="B104" s="498" t="s">
        <v>997</v>
      </c>
      <c r="C104" s="493"/>
      <c r="D104" s="494">
        <f t="shared" si="56"/>
        <v>500</v>
      </c>
      <c r="E104" s="495">
        <f t="shared" si="57"/>
        <v>500</v>
      </c>
      <c r="F104" s="495">
        <f t="shared" si="58"/>
        <v>0</v>
      </c>
      <c r="G104" s="495"/>
      <c r="H104" s="495">
        <f t="shared" si="36"/>
        <v>0</v>
      </c>
      <c r="I104" s="495"/>
      <c r="J104" s="495"/>
      <c r="K104" s="495">
        <f t="shared" si="59"/>
        <v>0</v>
      </c>
      <c r="L104" s="495"/>
      <c r="M104" s="495"/>
      <c r="N104" s="495">
        <v>500</v>
      </c>
      <c r="O104" s="495"/>
      <c r="P104" s="495"/>
      <c r="Q104" s="495"/>
      <c r="R104" s="495">
        <f>D104*0.06</f>
        <v>30</v>
      </c>
      <c r="S104" s="495"/>
      <c r="T104" s="495"/>
      <c r="U104" s="495"/>
      <c r="V104" s="495"/>
      <c r="W104" s="495">
        <f t="shared" si="60"/>
        <v>470</v>
      </c>
      <c r="X104" s="617"/>
    </row>
    <row r="105" spans="1:25" s="497" customFormat="1" ht="18" customHeight="1">
      <c r="A105" s="499" t="s">
        <v>255</v>
      </c>
      <c r="B105" s="498" t="s">
        <v>312</v>
      </c>
      <c r="C105" s="493"/>
      <c r="D105" s="494">
        <f t="shared" si="56"/>
        <v>20</v>
      </c>
      <c r="E105" s="495">
        <f>F105+N105+O105</f>
        <v>20</v>
      </c>
      <c r="F105" s="495">
        <f>H105+K105</f>
        <v>0</v>
      </c>
      <c r="G105" s="495"/>
      <c r="H105" s="495">
        <f>I105+J105</f>
        <v>0</v>
      </c>
      <c r="I105" s="495"/>
      <c r="J105" s="495"/>
      <c r="K105" s="495">
        <f>L105+M105</f>
        <v>0</v>
      </c>
      <c r="L105" s="495"/>
      <c r="M105" s="495">
        <v>0</v>
      </c>
      <c r="N105" s="495">
        <v>20</v>
      </c>
      <c r="O105" s="495"/>
      <c r="P105" s="495"/>
      <c r="Q105" s="495"/>
      <c r="R105" s="495">
        <f>D105*0.1</f>
        <v>2</v>
      </c>
      <c r="S105" s="495"/>
      <c r="T105" s="495"/>
      <c r="U105" s="495"/>
      <c r="V105" s="495"/>
      <c r="W105" s="495">
        <f t="shared" si="60"/>
        <v>18</v>
      </c>
      <c r="X105" s="617"/>
    </row>
    <row r="106" spans="1:25" s="497" customFormat="1" ht="44.25" customHeight="1">
      <c r="A106" s="499" t="s">
        <v>255</v>
      </c>
      <c r="B106" s="502" t="s">
        <v>788</v>
      </c>
      <c r="C106" s="493"/>
      <c r="D106" s="494">
        <f t="shared" si="56"/>
        <v>120</v>
      </c>
      <c r="E106" s="495">
        <f>F106+N106+O106</f>
        <v>120</v>
      </c>
      <c r="F106" s="495">
        <f>H106+K106</f>
        <v>0</v>
      </c>
      <c r="G106" s="495"/>
      <c r="H106" s="495">
        <f>I106+J106</f>
        <v>0</v>
      </c>
      <c r="I106" s="495"/>
      <c r="J106" s="495"/>
      <c r="K106" s="495">
        <f>L106+M106</f>
        <v>0</v>
      </c>
      <c r="L106" s="495"/>
      <c r="M106" s="495">
        <v>0</v>
      </c>
      <c r="N106" s="495">
        <v>120</v>
      </c>
      <c r="O106" s="495"/>
      <c r="P106" s="495"/>
      <c r="Q106" s="495"/>
      <c r="R106" s="495"/>
      <c r="S106" s="495"/>
      <c r="T106" s="495">
        <v>227.5</v>
      </c>
      <c r="U106" s="495"/>
      <c r="V106" s="495"/>
      <c r="W106" s="495">
        <f t="shared" si="60"/>
        <v>347.5</v>
      </c>
      <c r="X106" s="617"/>
    </row>
    <row r="107" spans="1:25" s="497" customFormat="1" ht="18" customHeight="1">
      <c r="A107" s="499" t="s">
        <v>255</v>
      </c>
      <c r="B107" s="498" t="s">
        <v>313</v>
      </c>
      <c r="C107" s="493"/>
      <c r="D107" s="494">
        <f t="shared" si="56"/>
        <v>30</v>
      </c>
      <c r="E107" s="495">
        <f t="shared" ref="E107" si="61">F107+N107+O107</f>
        <v>30</v>
      </c>
      <c r="F107" s="495">
        <f t="shared" ref="F107" si="62">H107+K107</f>
        <v>0</v>
      </c>
      <c r="G107" s="495"/>
      <c r="H107" s="495">
        <f t="shared" ref="H107" si="63">I107+J107</f>
        <v>0</v>
      </c>
      <c r="I107" s="495"/>
      <c r="J107" s="495"/>
      <c r="K107" s="495">
        <f t="shared" ref="K107" si="64">L107+M107</f>
        <v>0</v>
      </c>
      <c r="L107" s="495"/>
      <c r="M107" s="495">
        <v>0</v>
      </c>
      <c r="N107" s="495">
        <v>30</v>
      </c>
      <c r="O107" s="495"/>
      <c r="P107" s="495"/>
      <c r="Q107" s="495"/>
      <c r="R107" s="495">
        <f t="shared" ref="R107:R116" si="65">D107*0.1</f>
        <v>3</v>
      </c>
      <c r="S107" s="494">
        <v>10</v>
      </c>
      <c r="T107" s="495"/>
      <c r="U107" s="495"/>
      <c r="V107" s="495"/>
      <c r="W107" s="495">
        <f t="shared" si="60"/>
        <v>17</v>
      </c>
      <c r="X107" s="617"/>
    </row>
    <row r="108" spans="1:25" s="497" customFormat="1" ht="32.25" customHeight="1">
      <c r="A108" s="499" t="s">
        <v>255</v>
      </c>
      <c r="B108" s="498" t="s">
        <v>736</v>
      </c>
      <c r="C108" s="493"/>
      <c r="D108" s="494">
        <f t="shared" si="56"/>
        <v>0</v>
      </c>
      <c r="E108" s="495">
        <f t="shared" si="57"/>
        <v>0</v>
      </c>
      <c r="F108" s="495">
        <f t="shared" si="58"/>
        <v>0</v>
      </c>
      <c r="G108" s="495"/>
      <c r="H108" s="495">
        <f t="shared" si="36"/>
        <v>0</v>
      </c>
      <c r="I108" s="495"/>
      <c r="J108" s="495"/>
      <c r="K108" s="495">
        <f t="shared" si="59"/>
        <v>0</v>
      </c>
      <c r="L108" s="495"/>
      <c r="M108" s="495">
        <v>0</v>
      </c>
      <c r="N108" s="495"/>
      <c r="O108" s="495"/>
      <c r="P108" s="495"/>
      <c r="Q108" s="495"/>
      <c r="R108" s="495">
        <f t="shared" si="65"/>
        <v>0</v>
      </c>
      <c r="S108" s="494"/>
      <c r="T108" s="495"/>
      <c r="U108" s="495"/>
      <c r="V108" s="495">
        <v>150</v>
      </c>
      <c r="W108" s="495">
        <f t="shared" si="60"/>
        <v>150</v>
      </c>
      <c r="X108" s="617"/>
    </row>
    <row r="109" spans="1:25" s="497" customFormat="1" ht="44.25" hidden="1" customHeight="1">
      <c r="A109" s="499" t="s">
        <v>293</v>
      </c>
      <c r="B109" s="498" t="s">
        <v>314</v>
      </c>
      <c r="C109" s="493"/>
      <c r="D109" s="494">
        <f t="shared" si="56"/>
        <v>0</v>
      </c>
      <c r="E109" s="495">
        <f t="shared" si="57"/>
        <v>0</v>
      </c>
      <c r="F109" s="495">
        <f t="shared" si="58"/>
        <v>0</v>
      </c>
      <c r="G109" s="495"/>
      <c r="H109" s="495">
        <f t="shared" si="36"/>
        <v>0</v>
      </c>
      <c r="I109" s="495"/>
      <c r="J109" s="495"/>
      <c r="K109" s="495">
        <f t="shared" si="59"/>
        <v>0</v>
      </c>
      <c r="L109" s="495"/>
      <c r="M109" s="495">
        <v>0</v>
      </c>
      <c r="N109" s="495">
        <v>0</v>
      </c>
      <c r="O109" s="495"/>
      <c r="P109" s="495"/>
      <c r="Q109" s="495"/>
      <c r="R109" s="495">
        <f t="shared" si="65"/>
        <v>0</v>
      </c>
      <c r="S109" s="495"/>
      <c r="T109" s="495"/>
      <c r="U109" s="495"/>
      <c r="V109" s="495"/>
      <c r="W109" s="495">
        <f t="shared" si="60"/>
        <v>0</v>
      </c>
      <c r="X109" s="496"/>
    </row>
    <row r="110" spans="1:25" s="497" customFormat="1" ht="52.5" hidden="1" customHeight="1">
      <c r="A110" s="499" t="s">
        <v>293</v>
      </c>
      <c r="B110" s="289" t="s">
        <v>737</v>
      </c>
      <c r="C110" s="493"/>
      <c r="D110" s="494">
        <f t="shared" si="56"/>
        <v>0</v>
      </c>
      <c r="E110" s="495">
        <f t="shared" si="57"/>
        <v>0</v>
      </c>
      <c r="F110" s="495">
        <f t="shared" si="58"/>
        <v>0</v>
      </c>
      <c r="G110" s="495"/>
      <c r="H110" s="495">
        <f t="shared" si="36"/>
        <v>0</v>
      </c>
      <c r="I110" s="495"/>
      <c r="J110" s="495"/>
      <c r="K110" s="495">
        <f t="shared" si="59"/>
        <v>0</v>
      </c>
      <c r="L110" s="495"/>
      <c r="M110" s="495">
        <v>0</v>
      </c>
      <c r="N110" s="495">
        <v>0</v>
      </c>
      <c r="O110" s="495"/>
      <c r="P110" s="495"/>
      <c r="Q110" s="495"/>
      <c r="R110" s="495">
        <f t="shared" si="65"/>
        <v>0</v>
      </c>
      <c r="S110" s="495"/>
      <c r="T110" s="495"/>
      <c r="U110" s="495"/>
      <c r="V110" s="495"/>
      <c r="W110" s="495">
        <f t="shared" si="60"/>
        <v>0</v>
      </c>
      <c r="X110" s="496" t="s">
        <v>738</v>
      </c>
      <c r="Y110" s="507"/>
    </row>
    <row r="111" spans="1:25" s="497" customFormat="1" ht="67.5" hidden="1" customHeight="1">
      <c r="A111" s="499" t="s">
        <v>293</v>
      </c>
      <c r="B111" s="289" t="s">
        <v>739</v>
      </c>
      <c r="C111" s="493"/>
      <c r="D111" s="494">
        <f t="shared" si="56"/>
        <v>0</v>
      </c>
      <c r="E111" s="495">
        <f t="shared" si="57"/>
        <v>0</v>
      </c>
      <c r="F111" s="495">
        <f t="shared" si="58"/>
        <v>0</v>
      </c>
      <c r="G111" s="495"/>
      <c r="H111" s="495">
        <f t="shared" si="36"/>
        <v>0</v>
      </c>
      <c r="I111" s="495"/>
      <c r="J111" s="495"/>
      <c r="K111" s="495">
        <f t="shared" si="59"/>
        <v>0</v>
      </c>
      <c r="L111" s="495"/>
      <c r="M111" s="495">
        <v>0</v>
      </c>
      <c r="N111" s="495">
        <v>0</v>
      </c>
      <c r="O111" s="495"/>
      <c r="P111" s="495"/>
      <c r="Q111" s="495"/>
      <c r="R111" s="495">
        <f t="shared" si="65"/>
        <v>0</v>
      </c>
      <c r="S111" s="495"/>
      <c r="T111" s="495"/>
      <c r="U111" s="495"/>
      <c r="V111" s="495"/>
      <c r="W111" s="495">
        <f t="shared" si="60"/>
        <v>0</v>
      </c>
      <c r="X111" s="496" t="s">
        <v>740</v>
      </c>
      <c r="Y111" s="507"/>
    </row>
    <row r="112" spans="1:25" s="497" customFormat="1" ht="52.5" hidden="1" customHeight="1">
      <c r="A112" s="499" t="s">
        <v>293</v>
      </c>
      <c r="B112" s="289" t="s">
        <v>741</v>
      </c>
      <c r="C112" s="493"/>
      <c r="D112" s="494">
        <f t="shared" si="56"/>
        <v>0</v>
      </c>
      <c r="E112" s="495">
        <f t="shared" si="57"/>
        <v>0</v>
      </c>
      <c r="F112" s="495">
        <f t="shared" si="58"/>
        <v>0</v>
      </c>
      <c r="G112" s="495"/>
      <c r="H112" s="495">
        <f t="shared" si="36"/>
        <v>0</v>
      </c>
      <c r="I112" s="495"/>
      <c r="J112" s="495"/>
      <c r="K112" s="495">
        <f t="shared" si="59"/>
        <v>0</v>
      </c>
      <c r="L112" s="495"/>
      <c r="M112" s="495">
        <v>0</v>
      </c>
      <c r="N112" s="495">
        <v>0</v>
      </c>
      <c r="O112" s="495"/>
      <c r="P112" s="495"/>
      <c r="Q112" s="495"/>
      <c r="R112" s="495">
        <f t="shared" si="65"/>
        <v>0</v>
      </c>
      <c r="S112" s="495"/>
      <c r="T112" s="495"/>
      <c r="U112" s="495"/>
      <c r="V112" s="495"/>
      <c r="W112" s="495">
        <f t="shared" si="60"/>
        <v>0</v>
      </c>
      <c r="X112" s="496" t="s">
        <v>742</v>
      </c>
      <c r="Y112" s="507"/>
    </row>
    <row r="113" spans="1:25" s="497" customFormat="1" ht="44.25" hidden="1" customHeight="1">
      <c r="A113" s="499" t="s">
        <v>293</v>
      </c>
      <c r="B113" s="289" t="s">
        <v>743</v>
      </c>
      <c r="C113" s="493"/>
      <c r="D113" s="494">
        <f t="shared" si="56"/>
        <v>0</v>
      </c>
      <c r="E113" s="495">
        <f t="shared" si="57"/>
        <v>0</v>
      </c>
      <c r="F113" s="495">
        <f t="shared" si="58"/>
        <v>0</v>
      </c>
      <c r="G113" s="495"/>
      <c r="H113" s="495">
        <f t="shared" si="36"/>
        <v>0</v>
      </c>
      <c r="I113" s="495"/>
      <c r="J113" s="495"/>
      <c r="K113" s="495">
        <f t="shared" si="59"/>
        <v>0</v>
      </c>
      <c r="L113" s="495"/>
      <c r="M113" s="495">
        <v>0</v>
      </c>
      <c r="N113" s="495">
        <v>0</v>
      </c>
      <c r="O113" s="495"/>
      <c r="P113" s="495"/>
      <c r="Q113" s="495"/>
      <c r="R113" s="495">
        <f t="shared" si="65"/>
        <v>0</v>
      </c>
      <c r="S113" s="495"/>
      <c r="T113" s="495"/>
      <c r="U113" s="495"/>
      <c r="V113" s="495"/>
      <c r="W113" s="495">
        <f t="shared" si="60"/>
        <v>0</v>
      </c>
      <c r="X113" s="496" t="s">
        <v>738</v>
      </c>
      <c r="Y113" s="507"/>
    </row>
    <row r="114" spans="1:25" s="497" customFormat="1" ht="44.25" hidden="1" customHeight="1">
      <c r="A114" s="499" t="s">
        <v>293</v>
      </c>
      <c r="B114" s="289" t="s">
        <v>744</v>
      </c>
      <c r="C114" s="493"/>
      <c r="D114" s="494">
        <f t="shared" si="56"/>
        <v>0</v>
      </c>
      <c r="E114" s="495">
        <f t="shared" si="57"/>
        <v>0</v>
      </c>
      <c r="F114" s="495">
        <f t="shared" si="58"/>
        <v>0</v>
      </c>
      <c r="G114" s="495"/>
      <c r="H114" s="495">
        <f t="shared" si="36"/>
        <v>0</v>
      </c>
      <c r="I114" s="495"/>
      <c r="J114" s="495"/>
      <c r="K114" s="495">
        <f t="shared" si="59"/>
        <v>0</v>
      </c>
      <c r="L114" s="495"/>
      <c r="M114" s="495">
        <v>0</v>
      </c>
      <c r="N114" s="495">
        <v>0</v>
      </c>
      <c r="O114" s="495"/>
      <c r="P114" s="495"/>
      <c r="Q114" s="495"/>
      <c r="R114" s="495">
        <f t="shared" si="65"/>
        <v>0</v>
      </c>
      <c r="S114" s="495"/>
      <c r="T114" s="495"/>
      <c r="U114" s="495"/>
      <c r="V114" s="495"/>
      <c r="W114" s="495">
        <f t="shared" si="60"/>
        <v>0</v>
      </c>
      <c r="X114" s="496" t="s">
        <v>738</v>
      </c>
    </row>
    <row r="115" spans="1:25" s="497" customFormat="1" ht="29.25" hidden="1" customHeight="1">
      <c r="A115" s="499" t="s">
        <v>293</v>
      </c>
      <c r="B115" s="289" t="s">
        <v>745</v>
      </c>
      <c r="C115" s="493"/>
      <c r="D115" s="494">
        <f t="shared" si="56"/>
        <v>0</v>
      </c>
      <c r="E115" s="495">
        <f t="shared" si="57"/>
        <v>0</v>
      </c>
      <c r="F115" s="495">
        <f t="shared" si="58"/>
        <v>0</v>
      </c>
      <c r="G115" s="495"/>
      <c r="H115" s="495">
        <f t="shared" si="36"/>
        <v>0</v>
      </c>
      <c r="I115" s="495"/>
      <c r="J115" s="495"/>
      <c r="K115" s="495">
        <f t="shared" si="59"/>
        <v>0</v>
      </c>
      <c r="L115" s="495"/>
      <c r="M115" s="495">
        <v>0</v>
      </c>
      <c r="N115" s="495">
        <v>0</v>
      </c>
      <c r="O115" s="495"/>
      <c r="P115" s="495"/>
      <c r="Q115" s="495"/>
      <c r="R115" s="495">
        <f t="shared" si="65"/>
        <v>0</v>
      </c>
      <c r="S115" s="495"/>
      <c r="T115" s="495"/>
      <c r="U115" s="495"/>
      <c r="V115" s="495"/>
      <c r="W115" s="495">
        <f t="shared" si="60"/>
        <v>0</v>
      </c>
      <c r="X115" s="496" t="s">
        <v>738</v>
      </c>
    </row>
    <row r="116" spans="1:25" s="497" customFormat="1" ht="29.25" customHeight="1">
      <c r="A116" s="499" t="s">
        <v>293</v>
      </c>
      <c r="B116" s="462" t="s">
        <v>746</v>
      </c>
      <c r="C116" s="493"/>
      <c r="D116" s="494">
        <f t="shared" si="56"/>
        <v>0</v>
      </c>
      <c r="E116" s="495">
        <f t="shared" si="57"/>
        <v>0</v>
      </c>
      <c r="F116" s="495">
        <f t="shared" si="58"/>
        <v>0</v>
      </c>
      <c r="G116" s="495"/>
      <c r="H116" s="495">
        <f t="shared" si="36"/>
        <v>0</v>
      </c>
      <c r="I116" s="495"/>
      <c r="J116" s="495"/>
      <c r="K116" s="495">
        <f t="shared" si="59"/>
        <v>0</v>
      </c>
      <c r="L116" s="495"/>
      <c r="M116" s="495">
        <v>0</v>
      </c>
      <c r="N116" s="495">
        <v>0</v>
      </c>
      <c r="O116" s="495"/>
      <c r="P116" s="495"/>
      <c r="Q116" s="495"/>
      <c r="R116" s="495">
        <f t="shared" si="65"/>
        <v>0</v>
      </c>
      <c r="S116" s="495"/>
      <c r="T116" s="495">
        <v>600</v>
      </c>
      <c r="U116" s="495"/>
      <c r="V116" s="495"/>
      <c r="W116" s="495">
        <f t="shared" si="60"/>
        <v>600</v>
      </c>
      <c r="X116" s="496" t="s">
        <v>309</v>
      </c>
    </row>
    <row r="117" spans="1:25" s="497" customFormat="1" ht="49.5" customHeight="1">
      <c r="A117" s="499" t="s">
        <v>293</v>
      </c>
      <c r="B117" s="508" t="s">
        <v>985</v>
      </c>
      <c r="C117" s="493"/>
      <c r="D117" s="494">
        <f t="shared" si="56"/>
        <v>2376.79</v>
      </c>
      <c r="E117" s="495">
        <f>F117+N117+O117</f>
        <v>2376.79</v>
      </c>
      <c r="F117" s="495">
        <f>H117+K117</f>
        <v>0</v>
      </c>
      <c r="G117" s="495"/>
      <c r="H117" s="495">
        <f t="shared" si="36"/>
        <v>0</v>
      </c>
      <c r="I117" s="495"/>
      <c r="J117" s="495"/>
      <c r="K117" s="495">
        <f>L117+M117</f>
        <v>0</v>
      </c>
      <c r="L117" s="495"/>
      <c r="M117" s="495">
        <v>0</v>
      </c>
      <c r="N117" s="495">
        <v>2376.79</v>
      </c>
      <c r="O117" s="495"/>
      <c r="P117" s="495"/>
      <c r="Q117" s="495"/>
      <c r="R117" s="495">
        <v>240</v>
      </c>
      <c r="S117" s="495">
        <v>827.5</v>
      </c>
      <c r="T117" s="495"/>
      <c r="U117" s="495">
        <f>300+150+311.63+547.66</f>
        <v>1309.29</v>
      </c>
      <c r="V117" s="495"/>
      <c r="W117" s="495">
        <f t="shared" si="60"/>
        <v>0</v>
      </c>
      <c r="X117" s="496"/>
    </row>
    <row r="118" spans="1:25" s="497" customFormat="1" ht="18" customHeight="1">
      <c r="A118" s="491" t="s">
        <v>315</v>
      </c>
      <c r="B118" s="498" t="s">
        <v>316</v>
      </c>
      <c r="C118" s="493"/>
      <c r="D118" s="494">
        <f t="shared" ref="D118:I118" si="66">SUM(D119:D126)</f>
        <v>7525</v>
      </c>
      <c r="E118" s="495">
        <f t="shared" si="66"/>
        <v>7525</v>
      </c>
      <c r="F118" s="495">
        <f t="shared" si="66"/>
        <v>0</v>
      </c>
      <c r="G118" s="495">
        <f t="shared" si="66"/>
        <v>0</v>
      </c>
      <c r="H118" s="495">
        <f t="shared" si="66"/>
        <v>0</v>
      </c>
      <c r="I118" s="495">
        <f t="shared" si="66"/>
        <v>0</v>
      </c>
      <c r="J118" s="495"/>
      <c r="K118" s="495">
        <f t="shared" ref="K118:W118" si="67">SUM(K119:K126)</f>
        <v>0</v>
      </c>
      <c r="L118" s="495">
        <f t="shared" si="67"/>
        <v>0</v>
      </c>
      <c r="M118" s="495">
        <f t="shared" si="67"/>
        <v>0</v>
      </c>
      <c r="N118" s="495">
        <f t="shared" si="67"/>
        <v>7525</v>
      </c>
      <c r="O118" s="495">
        <f t="shared" si="67"/>
        <v>0</v>
      </c>
      <c r="P118" s="495">
        <f t="shared" si="67"/>
        <v>0</v>
      </c>
      <c r="Q118" s="495">
        <f t="shared" si="67"/>
        <v>0</v>
      </c>
      <c r="R118" s="495">
        <f>SUM(R119:R126)</f>
        <v>451.5</v>
      </c>
      <c r="S118" s="495">
        <f t="shared" si="67"/>
        <v>0</v>
      </c>
      <c r="T118" s="495">
        <f t="shared" si="67"/>
        <v>0</v>
      </c>
      <c r="U118" s="495">
        <f t="shared" si="67"/>
        <v>0</v>
      </c>
      <c r="V118" s="495">
        <f t="shared" si="67"/>
        <v>42</v>
      </c>
      <c r="W118" s="495">
        <f t="shared" si="67"/>
        <v>7115.5</v>
      </c>
      <c r="X118" s="496"/>
    </row>
    <row r="119" spans="1:25" s="497" customFormat="1" ht="30.75" customHeight="1">
      <c r="A119" s="499" t="s">
        <v>255</v>
      </c>
      <c r="B119" s="498" t="s">
        <v>688</v>
      </c>
      <c r="C119" s="493"/>
      <c r="D119" s="494">
        <f t="shared" ref="D119:D126" si="68">E119+P119</f>
        <v>0</v>
      </c>
      <c r="E119" s="495">
        <f t="shared" ref="E119:E123" si="69">F119+N119+O119</f>
        <v>0</v>
      </c>
      <c r="F119" s="495">
        <f t="shared" ref="F119:F123" si="70">H119+K119</f>
        <v>0</v>
      </c>
      <c r="G119" s="495"/>
      <c r="H119" s="495">
        <f t="shared" si="36"/>
        <v>0</v>
      </c>
      <c r="I119" s="495"/>
      <c r="J119" s="495"/>
      <c r="K119" s="495">
        <f t="shared" ref="K119:K123" si="71">L119+M119</f>
        <v>0</v>
      </c>
      <c r="L119" s="495"/>
      <c r="M119" s="495">
        <v>0</v>
      </c>
      <c r="N119" s="495"/>
      <c r="O119" s="495"/>
      <c r="P119" s="495"/>
      <c r="Q119" s="495"/>
      <c r="R119" s="495">
        <f>D119*0.06</f>
        <v>0</v>
      </c>
      <c r="S119" s="495"/>
      <c r="T119" s="495"/>
      <c r="U119" s="495"/>
      <c r="V119" s="495"/>
      <c r="W119" s="495">
        <f t="shared" ref="W119:W126" si="72">D119-Q119-R119-S119-U119+(T119+V119)</f>
        <v>0</v>
      </c>
      <c r="X119" s="496" t="s">
        <v>259</v>
      </c>
    </row>
    <row r="120" spans="1:25" s="497" customFormat="1" ht="46.5" customHeight="1">
      <c r="A120" s="499" t="s">
        <v>255</v>
      </c>
      <c r="B120" s="498" t="s">
        <v>747</v>
      </c>
      <c r="C120" s="493"/>
      <c r="D120" s="494">
        <f t="shared" si="68"/>
        <v>425</v>
      </c>
      <c r="E120" s="495">
        <f t="shared" si="69"/>
        <v>425</v>
      </c>
      <c r="F120" s="495">
        <f t="shared" si="70"/>
        <v>0</v>
      </c>
      <c r="G120" s="495"/>
      <c r="H120" s="495">
        <f t="shared" si="36"/>
        <v>0</v>
      </c>
      <c r="I120" s="495"/>
      <c r="J120" s="495"/>
      <c r="K120" s="495">
        <f t="shared" si="71"/>
        <v>0</v>
      </c>
      <c r="L120" s="495"/>
      <c r="M120" s="495">
        <v>0</v>
      </c>
      <c r="N120" s="495">
        <v>425</v>
      </c>
      <c r="O120" s="495"/>
      <c r="P120" s="495"/>
      <c r="Q120" s="495"/>
      <c r="R120" s="495">
        <f>D120*0.06</f>
        <v>25.5</v>
      </c>
      <c r="S120" s="495"/>
      <c r="T120" s="495"/>
      <c r="U120" s="495"/>
      <c r="V120" s="495"/>
      <c r="W120" s="495">
        <f t="shared" si="72"/>
        <v>399.5</v>
      </c>
      <c r="X120" s="496" t="s">
        <v>259</v>
      </c>
    </row>
    <row r="121" spans="1:25" s="497" customFormat="1" ht="43.5" customHeight="1">
      <c r="A121" s="499" t="s">
        <v>255</v>
      </c>
      <c r="B121" s="498" t="s">
        <v>685</v>
      </c>
      <c r="C121" s="493"/>
      <c r="D121" s="494">
        <f t="shared" si="68"/>
        <v>2900</v>
      </c>
      <c r="E121" s="495">
        <f t="shared" si="69"/>
        <v>2900</v>
      </c>
      <c r="F121" s="495">
        <f t="shared" si="70"/>
        <v>0</v>
      </c>
      <c r="G121" s="495"/>
      <c r="H121" s="495">
        <f t="shared" si="36"/>
        <v>0</v>
      </c>
      <c r="I121" s="495"/>
      <c r="J121" s="495"/>
      <c r="K121" s="495">
        <f t="shared" si="71"/>
        <v>0</v>
      </c>
      <c r="L121" s="495"/>
      <c r="M121" s="495">
        <v>0</v>
      </c>
      <c r="N121" s="495">
        <v>2900</v>
      </c>
      <c r="O121" s="495"/>
      <c r="P121" s="495"/>
      <c r="Q121" s="495"/>
      <c r="R121" s="495">
        <f>D121*0.06</f>
        <v>174</v>
      </c>
      <c r="S121" s="495"/>
      <c r="T121" s="495"/>
      <c r="U121" s="495"/>
      <c r="V121" s="495"/>
      <c r="W121" s="495">
        <f t="shared" si="72"/>
        <v>2726</v>
      </c>
      <c r="X121" s="496" t="s">
        <v>259</v>
      </c>
    </row>
    <row r="122" spans="1:25" s="497" customFormat="1" ht="45" customHeight="1">
      <c r="A122" s="499" t="s">
        <v>255</v>
      </c>
      <c r="B122" s="498" t="s">
        <v>686</v>
      </c>
      <c r="C122" s="493"/>
      <c r="D122" s="494">
        <f t="shared" si="68"/>
        <v>2950</v>
      </c>
      <c r="E122" s="495">
        <f t="shared" si="69"/>
        <v>2950</v>
      </c>
      <c r="F122" s="495">
        <f t="shared" si="70"/>
        <v>0</v>
      </c>
      <c r="G122" s="495"/>
      <c r="H122" s="495">
        <f t="shared" si="36"/>
        <v>0</v>
      </c>
      <c r="I122" s="495"/>
      <c r="J122" s="495"/>
      <c r="K122" s="495">
        <f t="shared" si="71"/>
        <v>0</v>
      </c>
      <c r="L122" s="495"/>
      <c r="M122" s="495">
        <v>0</v>
      </c>
      <c r="N122" s="495">
        <v>2950</v>
      </c>
      <c r="O122" s="495"/>
      <c r="P122" s="495"/>
      <c r="Q122" s="495"/>
      <c r="R122" s="495">
        <f>D122*0.06</f>
        <v>177</v>
      </c>
      <c r="S122" s="495"/>
      <c r="T122" s="495"/>
      <c r="U122" s="495"/>
      <c r="V122" s="495"/>
      <c r="W122" s="495">
        <f t="shared" si="72"/>
        <v>2773</v>
      </c>
      <c r="X122" s="496" t="s">
        <v>259</v>
      </c>
    </row>
    <row r="123" spans="1:25" s="497" customFormat="1" ht="27" customHeight="1">
      <c r="A123" s="499" t="s">
        <v>255</v>
      </c>
      <c r="B123" s="498" t="s">
        <v>687</v>
      </c>
      <c r="C123" s="493"/>
      <c r="D123" s="494">
        <f t="shared" si="68"/>
        <v>700</v>
      </c>
      <c r="E123" s="495">
        <f t="shared" si="69"/>
        <v>700</v>
      </c>
      <c r="F123" s="495">
        <f t="shared" si="70"/>
        <v>0</v>
      </c>
      <c r="G123" s="495"/>
      <c r="H123" s="495">
        <f t="shared" si="36"/>
        <v>0</v>
      </c>
      <c r="I123" s="495"/>
      <c r="J123" s="495"/>
      <c r="K123" s="495">
        <f t="shared" si="71"/>
        <v>0</v>
      </c>
      <c r="L123" s="495"/>
      <c r="M123" s="495">
        <v>0</v>
      </c>
      <c r="N123" s="495">
        <v>700</v>
      </c>
      <c r="O123" s="495"/>
      <c r="P123" s="495"/>
      <c r="Q123" s="495"/>
      <c r="R123" s="495">
        <v>42</v>
      </c>
      <c r="S123" s="495"/>
      <c r="T123" s="495"/>
      <c r="U123" s="495"/>
      <c r="V123" s="495">
        <v>42</v>
      </c>
      <c r="W123" s="495">
        <f t="shared" si="72"/>
        <v>700</v>
      </c>
      <c r="X123" s="496" t="s">
        <v>259</v>
      </c>
    </row>
    <row r="124" spans="1:25" s="272" customFormat="1" ht="36.75" customHeight="1">
      <c r="A124" s="291" t="s">
        <v>255</v>
      </c>
      <c r="B124" s="292" t="s">
        <v>317</v>
      </c>
      <c r="C124" s="293"/>
      <c r="D124" s="494">
        <f t="shared" si="68"/>
        <v>0</v>
      </c>
      <c r="E124" s="495">
        <f>F124+N124+O124</f>
        <v>0</v>
      </c>
      <c r="F124" s="495">
        <f>H124+K124</f>
        <v>0</v>
      </c>
      <c r="G124" s="495"/>
      <c r="H124" s="495">
        <f>I124+J124</f>
        <v>0</v>
      </c>
      <c r="I124" s="495"/>
      <c r="J124" s="495"/>
      <c r="K124" s="495">
        <f>L124+M124</f>
        <v>0</v>
      </c>
      <c r="L124" s="495"/>
      <c r="M124" s="495">
        <v>0</v>
      </c>
      <c r="N124" s="495"/>
      <c r="O124" s="495"/>
      <c r="P124" s="495"/>
      <c r="Q124" s="495"/>
      <c r="R124" s="495">
        <f>D124*0.06</f>
        <v>0</v>
      </c>
      <c r="S124" s="495"/>
      <c r="T124" s="495"/>
      <c r="U124" s="495"/>
      <c r="V124" s="495"/>
      <c r="W124" s="495">
        <f t="shared" si="72"/>
        <v>0</v>
      </c>
      <c r="X124" s="294" t="s">
        <v>259</v>
      </c>
    </row>
    <row r="125" spans="1:25" s="272" customFormat="1" ht="48.75" customHeight="1">
      <c r="A125" s="291" t="s">
        <v>255</v>
      </c>
      <c r="B125" s="295" t="s">
        <v>789</v>
      </c>
      <c r="C125" s="293"/>
      <c r="D125" s="494">
        <f t="shared" si="68"/>
        <v>550</v>
      </c>
      <c r="E125" s="495">
        <f>F125+N125+O125</f>
        <v>550</v>
      </c>
      <c r="F125" s="495">
        <f>H125+K125</f>
        <v>0</v>
      </c>
      <c r="G125" s="495"/>
      <c r="H125" s="495">
        <f>I125+J125</f>
        <v>0</v>
      </c>
      <c r="I125" s="495"/>
      <c r="J125" s="495"/>
      <c r="K125" s="495">
        <f>L125+M125</f>
        <v>0</v>
      </c>
      <c r="L125" s="495"/>
      <c r="M125" s="495">
        <v>0</v>
      </c>
      <c r="N125" s="495">
        <v>550</v>
      </c>
      <c r="O125" s="495"/>
      <c r="P125" s="495"/>
      <c r="Q125" s="495"/>
      <c r="R125" s="495">
        <f>D125*0.06</f>
        <v>33</v>
      </c>
      <c r="S125" s="495"/>
      <c r="T125" s="495"/>
      <c r="U125" s="495"/>
      <c r="V125" s="495"/>
      <c r="W125" s="495">
        <f t="shared" si="72"/>
        <v>517</v>
      </c>
      <c r="X125" s="294" t="s">
        <v>259</v>
      </c>
    </row>
    <row r="126" spans="1:25" s="497" customFormat="1" ht="37.5" customHeight="1">
      <c r="A126" s="499" t="s">
        <v>216</v>
      </c>
      <c r="B126" s="498" t="s">
        <v>787</v>
      </c>
      <c r="C126" s="493"/>
      <c r="D126" s="494">
        <f t="shared" si="68"/>
        <v>0</v>
      </c>
      <c r="E126" s="495">
        <f t="shared" ref="E126" si="73">F126+N126+O126</f>
        <v>0</v>
      </c>
      <c r="F126" s="495">
        <f t="shared" ref="F126" si="74">H126+K126</f>
        <v>0</v>
      </c>
      <c r="G126" s="495"/>
      <c r="H126" s="495">
        <f t="shared" ref="H126" si="75">I126+J126</f>
        <v>0</v>
      </c>
      <c r="I126" s="495"/>
      <c r="J126" s="495"/>
      <c r="K126" s="495">
        <f t="shared" ref="K126" si="76">L126+M126</f>
        <v>0</v>
      </c>
      <c r="L126" s="495"/>
      <c r="M126" s="495">
        <v>0</v>
      </c>
      <c r="N126" s="495"/>
      <c r="O126" s="495"/>
      <c r="P126" s="495"/>
      <c r="Q126" s="495"/>
      <c r="R126" s="495"/>
      <c r="S126" s="495"/>
      <c r="T126" s="495"/>
      <c r="U126" s="495"/>
      <c r="V126" s="495"/>
      <c r="W126" s="495">
        <f t="shared" si="72"/>
        <v>0</v>
      </c>
      <c r="X126" s="496" t="s">
        <v>294</v>
      </c>
    </row>
    <row r="127" spans="1:25" s="497" customFormat="1" ht="18" customHeight="1">
      <c r="A127" s="491" t="s">
        <v>318</v>
      </c>
      <c r="B127" s="498" t="s">
        <v>319</v>
      </c>
      <c r="C127" s="493"/>
      <c r="D127" s="494">
        <f>SUM(D128:D135)</f>
        <v>2680</v>
      </c>
      <c r="E127" s="494">
        <f>SUM(E128:E135)</f>
        <v>2060</v>
      </c>
      <c r="F127" s="494">
        <f t="shared" ref="F127:W127" si="77">SUM(F128:F135)</f>
        <v>0</v>
      </c>
      <c r="G127" s="494">
        <f t="shared" si="77"/>
        <v>0</v>
      </c>
      <c r="H127" s="494">
        <f t="shared" si="77"/>
        <v>0</v>
      </c>
      <c r="I127" s="494">
        <f t="shared" si="77"/>
        <v>0</v>
      </c>
      <c r="J127" s="494">
        <f t="shared" si="77"/>
        <v>0</v>
      </c>
      <c r="K127" s="494">
        <f t="shared" si="77"/>
        <v>0</v>
      </c>
      <c r="L127" s="494">
        <f t="shared" si="77"/>
        <v>0</v>
      </c>
      <c r="M127" s="494">
        <f t="shared" si="77"/>
        <v>0</v>
      </c>
      <c r="N127" s="494">
        <f t="shared" si="77"/>
        <v>2060</v>
      </c>
      <c r="O127" s="494">
        <f t="shared" si="77"/>
        <v>0</v>
      </c>
      <c r="P127" s="494">
        <f t="shared" si="77"/>
        <v>620</v>
      </c>
      <c r="Q127" s="494">
        <f t="shared" si="77"/>
        <v>0</v>
      </c>
      <c r="R127" s="494">
        <f>SUM(R128:R135)</f>
        <v>43.199999999999996</v>
      </c>
      <c r="S127" s="494">
        <f t="shared" si="77"/>
        <v>0</v>
      </c>
      <c r="T127" s="494">
        <f t="shared" si="77"/>
        <v>0</v>
      </c>
      <c r="U127" s="494">
        <f t="shared" si="77"/>
        <v>0</v>
      </c>
      <c r="V127" s="494">
        <f t="shared" si="77"/>
        <v>0</v>
      </c>
      <c r="W127" s="494">
        <f t="shared" si="77"/>
        <v>2636.8</v>
      </c>
      <c r="X127" s="496"/>
    </row>
    <row r="128" spans="1:25" s="497" customFormat="1" ht="111" customHeight="1">
      <c r="A128" s="499"/>
      <c r="B128" s="292" t="s">
        <v>661</v>
      </c>
      <c r="C128" s="293"/>
      <c r="D128" s="494">
        <f t="shared" ref="D128:D135" si="78">E128+P128</f>
        <v>0</v>
      </c>
      <c r="E128" s="495">
        <f>F128+N128+O128</f>
        <v>0</v>
      </c>
      <c r="F128" s="495">
        <f>H128+K128</f>
        <v>0</v>
      </c>
      <c r="G128" s="495"/>
      <c r="H128" s="495">
        <f>I128+J128</f>
        <v>0</v>
      </c>
      <c r="I128" s="495"/>
      <c r="J128" s="495"/>
      <c r="K128" s="495">
        <f>L128+M128</f>
        <v>0</v>
      </c>
      <c r="L128" s="495"/>
      <c r="M128" s="495">
        <v>0</v>
      </c>
      <c r="N128" s="495"/>
      <c r="O128" s="495"/>
      <c r="P128" s="495"/>
      <c r="Q128" s="495"/>
      <c r="R128" s="495">
        <f>D128*0.06</f>
        <v>0</v>
      </c>
      <c r="S128" s="495"/>
      <c r="T128" s="495"/>
      <c r="U128" s="495"/>
      <c r="V128" s="495"/>
      <c r="W128" s="495">
        <f t="shared" ref="W128:W135" si="79">D128-Q128-R128-S128-U128+(T128+V128)</f>
        <v>0</v>
      </c>
      <c r="X128" s="496"/>
    </row>
    <row r="129" spans="1:25" s="497" customFormat="1" ht="36" customHeight="1">
      <c r="A129" s="499"/>
      <c r="B129" s="289" t="s">
        <v>660</v>
      </c>
      <c r="C129" s="293"/>
      <c r="D129" s="494">
        <f t="shared" si="78"/>
        <v>0</v>
      </c>
      <c r="E129" s="495">
        <f t="shared" ref="E129:E135" si="80">F129+N129+O129</f>
        <v>0</v>
      </c>
      <c r="F129" s="495">
        <f t="shared" ref="F129:F135" si="81">H129+K129</f>
        <v>0</v>
      </c>
      <c r="G129" s="495"/>
      <c r="H129" s="495">
        <f>I129+J129</f>
        <v>0</v>
      </c>
      <c r="I129" s="495"/>
      <c r="J129" s="495"/>
      <c r="K129" s="495">
        <f t="shared" ref="K129:K135" si="82">L129+M129</f>
        <v>0</v>
      </c>
      <c r="L129" s="495"/>
      <c r="M129" s="495">
        <v>0</v>
      </c>
      <c r="N129" s="495"/>
      <c r="O129" s="495"/>
      <c r="P129" s="495"/>
      <c r="Q129" s="495"/>
      <c r="R129" s="495">
        <f>D129*0.06</f>
        <v>0</v>
      </c>
      <c r="S129" s="495"/>
      <c r="T129" s="495"/>
      <c r="U129" s="495"/>
      <c r="V129" s="495"/>
      <c r="W129" s="495">
        <f t="shared" si="79"/>
        <v>0</v>
      </c>
      <c r="X129" s="496"/>
    </row>
    <row r="130" spans="1:25" s="497" customFormat="1" ht="50.25" customHeight="1">
      <c r="A130" s="499" t="s">
        <v>255</v>
      </c>
      <c r="B130" s="498" t="s">
        <v>593</v>
      </c>
      <c r="C130" s="493"/>
      <c r="D130" s="494">
        <f t="shared" si="78"/>
        <v>0</v>
      </c>
      <c r="E130" s="495">
        <f t="shared" si="80"/>
        <v>0</v>
      </c>
      <c r="F130" s="495">
        <f t="shared" si="81"/>
        <v>0</v>
      </c>
      <c r="G130" s="495"/>
      <c r="H130" s="495">
        <f>I130+J130</f>
        <v>0</v>
      </c>
      <c r="I130" s="495"/>
      <c r="J130" s="495"/>
      <c r="K130" s="495">
        <f t="shared" si="82"/>
        <v>0</v>
      </c>
      <c r="L130" s="495"/>
      <c r="M130" s="495">
        <v>0</v>
      </c>
      <c r="N130" s="495"/>
      <c r="O130" s="495"/>
      <c r="P130" s="495"/>
      <c r="Q130" s="495"/>
      <c r="R130" s="495">
        <f>D130*0.06</f>
        <v>0</v>
      </c>
      <c r="S130" s="495"/>
      <c r="T130" s="495"/>
      <c r="U130" s="495"/>
      <c r="V130" s="495"/>
      <c r="W130" s="495">
        <f t="shared" si="79"/>
        <v>0</v>
      </c>
      <c r="X130" s="496" t="s">
        <v>294</v>
      </c>
    </row>
    <row r="131" spans="1:25" s="503" customFormat="1" ht="44.25" customHeight="1">
      <c r="A131" s="499" t="s">
        <v>255</v>
      </c>
      <c r="B131" s="502" t="s">
        <v>320</v>
      </c>
      <c r="C131" s="493"/>
      <c r="D131" s="494">
        <f t="shared" si="78"/>
        <v>570</v>
      </c>
      <c r="E131" s="495">
        <f t="shared" si="80"/>
        <v>570</v>
      </c>
      <c r="F131" s="495">
        <f t="shared" si="81"/>
        <v>0</v>
      </c>
      <c r="G131" s="495"/>
      <c r="H131" s="495">
        <f>I131+J131</f>
        <v>0</v>
      </c>
      <c r="I131" s="495"/>
      <c r="J131" s="495"/>
      <c r="K131" s="495">
        <f t="shared" si="82"/>
        <v>0</v>
      </c>
      <c r="L131" s="495"/>
      <c r="M131" s="495">
        <v>0</v>
      </c>
      <c r="N131" s="495">
        <v>570</v>
      </c>
      <c r="O131" s="495"/>
      <c r="P131" s="495"/>
      <c r="Q131" s="495"/>
      <c r="R131" s="495">
        <f>D131*0.06</f>
        <v>34.199999999999996</v>
      </c>
      <c r="S131" s="495"/>
      <c r="T131" s="495"/>
      <c r="U131" s="495"/>
      <c r="V131" s="495"/>
      <c r="W131" s="495">
        <f t="shared" si="79"/>
        <v>535.79999999999995</v>
      </c>
      <c r="X131" s="496" t="s">
        <v>289</v>
      </c>
    </row>
    <row r="132" spans="1:25" s="497" customFormat="1" ht="18" customHeight="1">
      <c r="A132" s="499" t="s">
        <v>255</v>
      </c>
      <c r="B132" s="498" t="s">
        <v>321</v>
      </c>
      <c r="C132" s="493"/>
      <c r="D132" s="494">
        <f t="shared" si="78"/>
        <v>700</v>
      </c>
      <c r="E132" s="495">
        <f t="shared" si="80"/>
        <v>700</v>
      </c>
      <c r="F132" s="495"/>
      <c r="G132" s="495"/>
      <c r="H132" s="495"/>
      <c r="I132" s="495"/>
      <c r="J132" s="495"/>
      <c r="K132" s="495">
        <f t="shared" si="82"/>
        <v>0</v>
      </c>
      <c r="L132" s="495"/>
      <c r="M132" s="495">
        <v>0</v>
      </c>
      <c r="N132" s="495">
        <v>700</v>
      </c>
      <c r="O132" s="495"/>
      <c r="P132" s="495"/>
      <c r="Q132" s="495"/>
      <c r="R132" s="495"/>
      <c r="S132" s="495"/>
      <c r="T132" s="495"/>
      <c r="U132" s="495"/>
      <c r="V132" s="495"/>
      <c r="W132" s="495">
        <f t="shared" si="79"/>
        <v>700</v>
      </c>
      <c r="X132" s="496" t="s">
        <v>795</v>
      </c>
    </row>
    <row r="133" spans="1:25" s="497" customFormat="1" ht="32.25" customHeight="1">
      <c r="A133" s="499" t="s">
        <v>255</v>
      </c>
      <c r="B133" s="502" t="s">
        <v>322</v>
      </c>
      <c r="C133" s="493"/>
      <c r="D133" s="494">
        <f t="shared" si="78"/>
        <v>150</v>
      </c>
      <c r="E133" s="495">
        <f t="shared" si="80"/>
        <v>30</v>
      </c>
      <c r="F133" s="495">
        <f t="shared" si="81"/>
        <v>0</v>
      </c>
      <c r="G133" s="495"/>
      <c r="H133" s="495">
        <f t="shared" si="36"/>
        <v>0</v>
      </c>
      <c r="I133" s="495"/>
      <c r="J133" s="495"/>
      <c r="K133" s="495">
        <f t="shared" si="82"/>
        <v>0</v>
      </c>
      <c r="L133" s="495"/>
      <c r="M133" s="495"/>
      <c r="N133" s="495">
        <v>30</v>
      </c>
      <c r="O133" s="495"/>
      <c r="P133" s="495">
        <v>120</v>
      </c>
      <c r="Q133" s="495"/>
      <c r="R133" s="495">
        <f>D133*0.06</f>
        <v>9</v>
      </c>
      <c r="S133" s="495"/>
      <c r="T133" s="495"/>
      <c r="U133" s="495"/>
      <c r="V133" s="495"/>
      <c r="W133" s="495">
        <f t="shared" si="79"/>
        <v>141</v>
      </c>
      <c r="X133" s="496" t="s">
        <v>289</v>
      </c>
    </row>
    <row r="134" spans="1:25" s="497" customFormat="1" ht="18" customHeight="1">
      <c r="A134" s="499" t="s">
        <v>255</v>
      </c>
      <c r="B134" s="509" t="s">
        <v>323</v>
      </c>
      <c r="C134" s="493"/>
      <c r="D134" s="494">
        <f t="shared" si="78"/>
        <v>0</v>
      </c>
      <c r="E134" s="495">
        <f t="shared" si="80"/>
        <v>0</v>
      </c>
      <c r="F134" s="495">
        <f t="shared" si="81"/>
        <v>0</v>
      </c>
      <c r="G134" s="495"/>
      <c r="H134" s="495">
        <f t="shared" si="36"/>
        <v>0</v>
      </c>
      <c r="I134" s="495"/>
      <c r="J134" s="495"/>
      <c r="K134" s="495">
        <f t="shared" si="82"/>
        <v>0</v>
      </c>
      <c r="L134" s="495"/>
      <c r="M134" s="495">
        <v>0</v>
      </c>
      <c r="N134" s="495"/>
      <c r="O134" s="495"/>
      <c r="P134" s="495"/>
      <c r="Q134" s="495"/>
      <c r="R134" s="495">
        <f>D134*0.06</f>
        <v>0</v>
      </c>
      <c r="S134" s="495"/>
      <c r="T134" s="495"/>
      <c r="U134" s="495"/>
      <c r="V134" s="495"/>
      <c r="W134" s="495">
        <f t="shared" si="79"/>
        <v>0</v>
      </c>
      <c r="X134" s="496" t="s">
        <v>296</v>
      </c>
    </row>
    <row r="135" spans="1:25" s="497" customFormat="1" ht="21">
      <c r="A135" s="499" t="s">
        <v>255</v>
      </c>
      <c r="B135" s="498" t="s">
        <v>324</v>
      </c>
      <c r="C135" s="493"/>
      <c r="D135" s="494">
        <f t="shared" si="78"/>
        <v>1260</v>
      </c>
      <c r="E135" s="495">
        <f t="shared" si="80"/>
        <v>760</v>
      </c>
      <c r="F135" s="495">
        <f t="shared" si="81"/>
        <v>0</v>
      </c>
      <c r="G135" s="495"/>
      <c r="H135" s="495">
        <f t="shared" si="36"/>
        <v>0</v>
      </c>
      <c r="I135" s="495"/>
      <c r="J135" s="495"/>
      <c r="K135" s="495">
        <f t="shared" si="82"/>
        <v>0</v>
      </c>
      <c r="L135" s="495"/>
      <c r="M135" s="495">
        <v>0</v>
      </c>
      <c r="N135" s="495">
        <f>1260-500</f>
        <v>760</v>
      </c>
      <c r="O135" s="495"/>
      <c r="P135" s="495">
        <v>500</v>
      </c>
      <c r="Q135" s="495"/>
      <c r="R135" s="495"/>
      <c r="S135" s="495"/>
      <c r="T135" s="495"/>
      <c r="U135" s="495"/>
      <c r="V135" s="495"/>
      <c r="W135" s="495">
        <f t="shared" si="79"/>
        <v>1260</v>
      </c>
      <c r="X135" s="496" t="s">
        <v>325</v>
      </c>
    </row>
    <row r="136" spans="1:25" s="497" customFormat="1" ht="18" customHeight="1">
      <c r="A136" s="491" t="s">
        <v>326</v>
      </c>
      <c r="B136" s="498" t="s">
        <v>327</v>
      </c>
      <c r="C136" s="493"/>
      <c r="D136" s="494">
        <f t="shared" ref="D136:I136" si="83">SUM(D137:D141)</f>
        <v>400</v>
      </c>
      <c r="E136" s="495">
        <f t="shared" si="83"/>
        <v>400</v>
      </c>
      <c r="F136" s="495">
        <f t="shared" si="83"/>
        <v>0</v>
      </c>
      <c r="G136" s="495">
        <f t="shared" si="83"/>
        <v>0</v>
      </c>
      <c r="H136" s="495">
        <f t="shared" si="83"/>
        <v>0</v>
      </c>
      <c r="I136" s="495">
        <f t="shared" si="83"/>
        <v>0</v>
      </c>
      <c r="J136" s="495"/>
      <c r="K136" s="495">
        <f t="shared" ref="K136:U136" si="84">SUM(K137:K141)</f>
        <v>0</v>
      </c>
      <c r="L136" s="495">
        <f t="shared" si="84"/>
        <v>0</v>
      </c>
      <c r="M136" s="495">
        <f t="shared" si="84"/>
        <v>0</v>
      </c>
      <c r="N136" s="495">
        <f t="shared" si="84"/>
        <v>400</v>
      </c>
      <c r="O136" s="495">
        <f t="shared" si="84"/>
        <v>0</v>
      </c>
      <c r="P136" s="495">
        <f t="shared" si="84"/>
        <v>0</v>
      </c>
      <c r="Q136" s="495">
        <f t="shared" si="84"/>
        <v>0</v>
      </c>
      <c r="R136" s="495">
        <f t="shared" si="84"/>
        <v>30</v>
      </c>
      <c r="S136" s="495">
        <f t="shared" si="84"/>
        <v>0</v>
      </c>
      <c r="T136" s="495">
        <f t="shared" si="84"/>
        <v>0</v>
      </c>
      <c r="U136" s="495">
        <f t="shared" si="84"/>
        <v>0</v>
      </c>
      <c r="V136" s="495">
        <f>SUM(V137:V141)</f>
        <v>1600</v>
      </c>
      <c r="W136" s="495">
        <f>SUM(W137:W141)</f>
        <v>1970</v>
      </c>
      <c r="X136" s="496"/>
    </row>
    <row r="137" spans="1:25" s="497" customFormat="1" ht="34.5" customHeight="1">
      <c r="A137" s="499" t="s">
        <v>255</v>
      </c>
      <c r="B137" s="498" t="s">
        <v>748</v>
      </c>
      <c r="C137" s="493"/>
      <c r="D137" s="494">
        <f>E137+P137</f>
        <v>100</v>
      </c>
      <c r="E137" s="495">
        <f>F137+N137+O137</f>
        <v>100</v>
      </c>
      <c r="F137" s="495">
        <f>H137+K137</f>
        <v>0</v>
      </c>
      <c r="G137" s="495"/>
      <c r="H137" s="495">
        <f t="shared" si="36"/>
        <v>0</v>
      </c>
      <c r="I137" s="495"/>
      <c r="J137" s="495"/>
      <c r="K137" s="495">
        <f>L137+M137</f>
        <v>0</v>
      </c>
      <c r="L137" s="495"/>
      <c r="M137" s="495">
        <v>0</v>
      </c>
      <c r="N137" s="495">
        <v>100</v>
      </c>
      <c r="O137" s="495"/>
      <c r="P137" s="495"/>
      <c r="Q137" s="495"/>
      <c r="R137" s="495">
        <f>D137*0.1</f>
        <v>10</v>
      </c>
      <c r="S137" s="495"/>
      <c r="T137" s="495"/>
      <c r="U137" s="495"/>
      <c r="V137" s="495"/>
      <c r="W137" s="495">
        <f>D137-Q137-R137-S137-U137+(T137+V137)</f>
        <v>90</v>
      </c>
      <c r="X137" s="496" t="s">
        <v>328</v>
      </c>
    </row>
    <row r="138" spans="1:25" s="497" customFormat="1" ht="21.75" customHeight="1">
      <c r="A138" s="499" t="s">
        <v>255</v>
      </c>
      <c r="B138" s="498" t="s">
        <v>592</v>
      </c>
      <c r="C138" s="493"/>
      <c r="D138" s="494">
        <f>E138+P138</f>
        <v>300</v>
      </c>
      <c r="E138" s="495">
        <f>F138+N138+O138</f>
        <v>300</v>
      </c>
      <c r="F138" s="495">
        <f>H138+K138</f>
        <v>0</v>
      </c>
      <c r="G138" s="495"/>
      <c r="H138" s="495">
        <f>I138+J138</f>
        <v>0</v>
      </c>
      <c r="I138" s="495"/>
      <c r="J138" s="495"/>
      <c r="K138" s="495">
        <f>L138+M138</f>
        <v>0</v>
      </c>
      <c r="L138" s="495"/>
      <c r="M138" s="495">
        <v>0</v>
      </c>
      <c r="N138" s="495">
        <v>300</v>
      </c>
      <c r="O138" s="495"/>
      <c r="P138" s="495"/>
      <c r="Q138" s="495"/>
      <c r="R138" s="495">
        <v>20</v>
      </c>
      <c r="S138" s="495"/>
      <c r="T138" s="495"/>
      <c r="U138" s="495"/>
      <c r="V138" s="495"/>
      <c r="W138" s="495">
        <f>D138-Q138-R138-S138-U138+(T138+V138)</f>
        <v>280</v>
      </c>
      <c r="X138" s="496" t="s">
        <v>795</v>
      </c>
    </row>
    <row r="139" spans="1:25" s="497" customFormat="1" ht="18" customHeight="1">
      <c r="A139" s="499" t="s">
        <v>255</v>
      </c>
      <c r="B139" s="502" t="s">
        <v>666</v>
      </c>
      <c r="C139" s="493"/>
      <c r="D139" s="494">
        <f>E139+P139</f>
        <v>0</v>
      </c>
      <c r="E139" s="495">
        <f>F139+N139+O139</f>
        <v>0</v>
      </c>
      <c r="F139" s="495">
        <f>H139+K139</f>
        <v>0</v>
      </c>
      <c r="G139" s="495"/>
      <c r="H139" s="495">
        <f>I139+J139</f>
        <v>0</v>
      </c>
      <c r="I139" s="495"/>
      <c r="J139" s="495"/>
      <c r="K139" s="495"/>
      <c r="L139" s="495"/>
      <c r="M139" s="495"/>
      <c r="N139" s="495"/>
      <c r="O139" s="495"/>
      <c r="P139" s="495"/>
      <c r="Q139" s="495"/>
      <c r="R139" s="495">
        <f>D139*0.06</f>
        <v>0</v>
      </c>
      <c r="S139" s="495"/>
      <c r="T139" s="495"/>
      <c r="U139" s="495"/>
      <c r="V139" s="495"/>
      <c r="W139" s="495">
        <f>D139-Q139-R139-S139-U139+(T139+V139)</f>
        <v>0</v>
      </c>
      <c r="X139" s="496"/>
      <c r="Y139" s="510"/>
    </row>
    <row r="140" spans="1:25" s="497" customFormat="1" ht="30.75" customHeight="1">
      <c r="A140" s="499" t="s">
        <v>255</v>
      </c>
      <c r="B140" s="498" t="s">
        <v>512</v>
      </c>
      <c r="C140" s="493"/>
      <c r="D140" s="494">
        <f t="shared" ref="D140:D141" si="85">E140+P140</f>
        <v>0</v>
      </c>
      <c r="E140" s="495">
        <f>F140+N140+O140</f>
        <v>0</v>
      </c>
      <c r="F140" s="495">
        <f>H140+K140</f>
        <v>0</v>
      </c>
      <c r="G140" s="495"/>
      <c r="H140" s="495">
        <f>I140+J140</f>
        <v>0</v>
      </c>
      <c r="I140" s="495"/>
      <c r="J140" s="495"/>
      <c r="K140" s="495">
        <f t="shared" ref="K140:K141" si="86">L140+M140</f>
        <v>0</v>
      </c>
      <c r="L140" s="495"/>
      <c r="M140" s="495"/>
      <c r="N140" s="495"/>
      <c r="O140" s="495"/>
      <c r="P140" s="495"/>
      <c r="Q140" s="495"/>
      <c r="R140" s="495"/>
      <c r="S140" s="495"/>
      <c r="T140" s="495"/>
      <c r="U140" s="495"/>
      <c r="V140" s="495">
        <v>1500</v>
      </c>
      <c r="W140" s="495">
        <f>D140-Q140-R140-S140-U140+(T140+V140)</f>
        <v>1500</v>
      </c>
      <c r="X140" s="496" t="s">
        <v>488</v>
      </c>
    </row>
    <row r="141" spans="1:25" s="497" customFormat="1" ht="30.75" customHeight="1">
      <c r="A141" s="499" t="s">
        <v>255</v>
      </c>
      <c r="B141" s="498" t="s">
        <v>489</v>
      </c>
      <c r="C141" s="493"/>
      <c r="D141" s="494">
        <f t="shared" si="85"/>
        <v>0</v>
      </c>
      <c r="E141" s="495">
        <f t="shared" ref="E141" si="87">F141+N141+O141</f>
        <v>0</v>
      </c>
      <c r="F141" s="495">
        <f t="shared" ref="F141" si="88">H141+K141</f>
        <v>0</v>
      </c>
      <c r="G141" s="495"/>
      <c r="H141" s="495">
        <f t="shared" ref="H141" si="89">I141+J141</f>
        <v>0</v>
      </c>
      <c r="I141" s="495"/>
      <c r="J141" s="495"/>
      <c r="K141" s="495">
        <f t="shared" si="86"/>
        <v>0</v>
      </c>
      <c r="L141" s="495"/>
      <c r="M141" s="495"/>
      <c r="N141" s="495"/>
      <c r="O141" s="495"/>
      <c r="P141" s="495"/>
      <c r="Q141" s="495"/>
      <c r="R141" s="495"/>
      <c r="S141" s="495"/>
      <c r="T141" s="495"/>
      <c r="U141" s="495"/>
      <c r="V141" s="495">
        <v>100</v>
      </c>
      <c r="W141" s="495">
        <f>D141-Q141-R141-S141-U141+(T141+V141)</f>
        <v>100</v>
      </c>
      <c r="X141" s="496" t="s">
        <v>490</v>
      </c>
    </row>
    <row r="142" spans="1:25" s="497" customFormat="1" ht="34.5" customHeight="1">
      <c r="A142" s="491" t="s">
        <v>329</v>
      </c>
      <c r="B142" s="498" t="s">
        <v>786</v>
      </c>
      <c r="C142" s="493"/>
      <c r="D142" s="494">
        <f>D143+D153+D154</f>
        <v>2803</v>
      </c>
      <c r="E142" s="495">
        <f t="shared" ref="E142:W142" si="90">E143+E153+E154</f>
        <v>2803</v>
      </c>
      <c r="F142" s="495">
        <f t="shared" si="90"/>
        <v>1709.4</v>
      </c>
      <c r="G142" s="495">
        <f t="shared" si="90"/>
        <v>17</v>
      </c>
      <c r="H142" s="495">
        <f t="shared" si="90"/>
        <v>1393.9</v>
      </c>
      <c r="I142" s="495">
        <f t="shared" si="90"/>
        <v>0</v>
      </c>
      <c r="J142" s="495">
        <f t="shared" si="90"/>
        <v>0</v>
      </c>
      <c r="K142" s="495">
        <f t="shared" si="90"/>
        <v>315.5</v>
      </c>
      <c r="L142" s="495">
        <f t="shared" si="90"/>
        <v>315.5</v>
      </c>
      <c r="M142" s="495">
        <f t="shared" si="90"/>
        <v>0</v>
      </c>
      <c r="N142" s="495">
        <f t="shared" si="90"/>
        <v>1093.6000000000001</v>
      </c>
      <c r="O142" s="495">
        <f t="shared" si="90"/>
        <v>0</v>
      </c>
      <c r="P142" s="495">
        <f t="shared" si="90"/>
        <v>0</v>
      </c>
      <c r="Q142" s="495">
        <f t="shared" si="90"/>
        <v>0</v>
      </c>
      <c r="R142" s="495">
        <f>R143+R153+R154</f>
        <v>85.699999999999989</v>
      </c>
      <c r="S142" s="495">
        <f t="shared" si="90"/>
        <v>146.91</v>
      </c>
      <c r="T142" s="495">
        <f t="shared" si="90"/>
        <v>129.31</v>
      </c>
      <c r="U142" s="495">
        <f t="shared" si="90"/>
        <v>36</v>
      </c>
      <c r="V142" s="495">
        <f t="shared" si="90"/>
        <v>100</v>
      </c>
      <c r="W142" s="495">
        <f t="shared" si="90"/>
        <v>2763.7000000000003</v>
      </c>
      <c r="X142" s="617" t="s">
        <v>330</v>
      </c>
    </row>
    <row r="143" spans="1:25" s="497" customFormat="1" ht="18" customHeight="1">
      <c r="A143" s="491" t="s">
        <v>204</v>
      </c>
      <c r="B143" s="498" t="s">
        <v>331</v>
      </c>
      <c r="C143" s="493">
        <v>160</v>
      </c>
      <c r="D143" s="494">
        <f>SUM(D144:D152)</f>
        <v>1432</v>
      </c>
      <c r="E143" s="495">
        <f t="shared" ref="E143:W143" si="91">SUM(E144:E152)</f>
        <v>1432</v>
      </c>
      <c r="F143" s="495">
        <f t="shared" si="91"/>
        <v>869.59</v>
      </c>
      <c r="G143" s="495">
        <f t="shared" si="91"/>
        <v>9</v>
      </c>
      <c r="H143" s="495">
        <f t="shared" si="91"/>
        <v>698.09</v>
      </c>
      <c r="I143" s="495">
        <f t="shared" si="91"/>
        <v>0</v>
      </c>
      <c r="J143" s="495">
        <f t="shared" si="91"/>
        <v>0</v>
      </c>
      <c r="K143" s="495">
        <f t="shared" si="91"/>
        <v>171.5</v>
      </c>
      <c r="L143" s="495">
        <f t="shared" si="91"/>
        <v>171.5</v>
      </c>
      <c r="M143" s="495">
        <f t="shared" si="91"/>
        <v>0</v>
      </c>
      <c r="N143" s="495">
        <f t="shared" si="91"/>
        <v>562.41000000000008</v>
      </c>
      <c r="O143" s="495">
        <f t="shared" si="91"/>
        <v>0</v>
      </c>
      <c r="P143" s="495">
        <f t="shared" si="91"/>
        <v>0</v>
      </c>
      <c r="Q143" s="495">
        <f t="shared" si="91"/>
        <v>0</v>
      </c>
      <c r="R143" s="495">
        <f>SUM(R144:R152)</f>
        <v>42.5</v>
      </c>
      <c r="S143" s="495">
        <f t="shared" si="91"/>
        <v>9.5</v>
      </c>
      <c r="T143" s="495">
        <f t="shared" si="91"/>
        <v>67.31</v>
      </c>
      <c r="U143" s="495">
        <f t="shared" si="91"/>
        <v>18</v>
      </c>
      <c r="V143" s="495">
        <f t="shared" si="91"/>
        <v>100</v>
      </c>
      <c r="W143" s="495">
        <f t="shared" si="91"/>
        <v>1529.3100000000002</v>
      </c>
      <c r="X143" s="617"/>
    </row>
    <row r="144" spans="1:25" s="497" customFormat="1" ht="25.5" customHeight="1">
      <c r="A144" s="491" t="s">
        <v>255</v>
      </c>
      <c r="B144" s="498" t="s">
        <v>332</v>
      </c>
      <c r="C144" s="493"/>
      <c r="D144" s="494">
        <f t="shared" ref="D144:D150" si="92">E144+P144</f>
        <v>692.72</v>
      </c>
      <c r="E144" s="495">
        <f t="shared" ref="E144:E153" si="93">F144+N144+O144</f>
        <v>692.72</v>
      </c>
      <c r="F144" s="495">
        <f t="shared" ref="F144:F153" si="94">H144+K144</f>
        <v>692.72</v>
      </c>
      <c r="G144" s="495">
        <v>9</v>
      </c>
      <c r="H144" s="495">
        <v>692.72</v>
      </c>
      <c r="I144" s="495"/>
      <c r="J144" s="495"/>
      <c r="K144" s="495">
        <f t="shared" ref="K144:K150" si="95">L144+M144</f>
        <v>0</v>
      </c>
      <c r="L144" s="495"/>
      <c r="M144" s="495">
        <v>0</v>
      </c>
      <c r="N144" s="495"/>
      <c r="O144" s="495"/>
      <c r="P144" s="495"/>
      <c r="Q144" s="495"/>
      <c r="R144" s="495"/>
      <c r="S144" s="494"/>
      <c r="T144" s="494">
        <v>27.63</v>
      </c>
      <c r="U144" s="495"/>
      <c r="V144" s="495"/>
      <c r="W144" s="495">
        <f t="shared" ref="W144:W153" si="96">D144-Q144-R144-S144-U144+(T144+V144)</f>
        <v>720.35</v>
      </c>
      <c r="X144" s="617"/>
    </row>
    <row r="145" spans="1:24" s="497" customFormat="1" ht="24" customHeight="1">
      <c r="A145" s="491" t="s">
        <v>255</v>
      </c>
      <c r="B145" s="498" t="s">
        <v>595</v>
      </c>
      <c r="C145" s="493"/>
      <c r="D145" s="494">
        <f t="shared" si="92"/>
        <v>162</v>
      </c>
      <c r="E145" s="495">
        <f t="shared" si="93"/>
        <v>162</v>
      </c>
      <c r="F145" s="495">
        <f t="shared" si="94"/>
        <v>162</v>
      </c>
      <c r="G145" s="495"/>
      <c r="H145" s="495">
        <f t="shared" ref="H145:H195" si="97">I145+J145</f>
        <v>0</v>
      </c>
      <c r="I145" s="495"/>
      <c r="J145" s="495"/>
      <c r="K145" s="495">
        <f t="shared" si="95"/>
        <v>162</v>
      </c>
      <c r="L145" s="495">
        <f>9*18</f>
        <v>162</v>
      </c>
      <c r="M145" s="495">
        <v>0</v>
      </c>
      <c r="N145" s="495">
        <v>0</v>
      </c>
      <c r="O145" s="495"/>
      <c r="P145" s="495">
        <v>0</v>
      </c>
      <c r="Q145" s="495"/>
      <c r="R145" s="495">
        <v>16.2</v>
      </c>
      <c r="S145" s="495"/>
      <c r="T145" s="495"/>
      <c r="U145" s="495">
        <v>18</v>
      </c>
      <c r="V145" s="495"/>
      <c r="W145" s="495">
        <f t="shared" si="96"/>
        <v>127.80000000000001</v>
      </c>
      <c r="X145" s="617"/>
    </row>
    <row r="146" spans="1:24" s="497" customFormat="1" ht="21" customHeight="1">
      <c r="A146" s="491" t="s">
        <v>255</v>
      </c>
      <c r="B146" s="498" t="s">
        <v>433</v>
      </c>
      <c r="C146" s="493"/>
      <c r="D146" s="494">
        <f t="shared" si="92"/>
        <v>5.37</v>
      </c>
      <c r="E146" s="495">
        <f t="shared" si="93"/>
        <v>5.37</v>
      </c>
      <c r="F146" s="495">
        <f t="shared" si="94"/>
        <v>5.37</v>
      </c>
      <c r="G146" s="495"/>
      <c r="H146" s="495">
        <v>5.37</v>
      </c>
      <c r="I146" s="495"/>
      <c r="J146" s="495"/>
      <c r="K146" s="495">
        <f t="shared" si="95"/>
        <v>0</v>
      </c>
      <c r="L146" s="495"/>
      <c r="M146" s="495">
        <v>0</v>
      </c>
      <c r="N146" s="495"/>
      <c r="O146" s="495"/>
      <c r="P146" s="495"/>
      <c r="Q146" s="495"/>
      <c r="R146" s="495"/>
      <c r="S146" s="495"/>
      <c r="T146" s="495"/>
      <c r="U146" s="495"/>
      <c r="V146" s="495"/>
      <c r="W146" s="495">
        <f t="shared" si="96"/>
        <v>5.37</v>
      </c>
      <c r="X146" s="617"/>
    </row>
    <row r="147" spans="1:24" s="497" customFormat="1" ht="26.25" customHeight="1">
      <c r="A147" s="491" t="s">
        <v>255</v>
      </c>
      <c r="B147" s="498" t="s">
        <v>333</v>
      </c>
      <c r="C147" s="493"/>
      <c r="D147" s="494">
        <f t="shared" si="92"/>
        <v>9.5</v>
      </c>
      <c r="E147" s="495">
        <f t="shared" si="93"/>
        <v>9.5</v>
      </c>
      <c r="F147" s="495">
        <f t="shared" si="94"/>
        <v>9.5</v>
      </c>
      <c r="G147" s="495"/>
      <c r="H147" s="495">
        <f t="shared" si="97"/>
        <v>0</v>
      </c>
      <c r="I147" s="495"/>
      <c r="J147" s="495"/>
      <c r="K147" s="495">
        <f t="shared" si="95"/>
        <v>9.5</v>
      </c>
      <c r="L147" s="495">
        <v>9.5</v>
      </c>
      <c r="M147" s="495">
        <v>0</v>
      </c>
      <c r="N147" s="495"/>
      <c r="O147" s="495"/>
      <c r="P147" s="495"/>
      <c r="Q147" s="495"/>
      <c r="R147" s="495"/>
      <c r="S147" s="494">
        <v>9.5</v>
      </c>
      <c r="T147" s="495"/>
      <c r="U147" s="495"/>
      <c r="V147" s="495"/>
      <c r="W147" s="495">
        <f t="shared" si="96"/>
        <v>0</v>
      </c>
      <c r="X147" s="617"/>
    </row>
    <row r="148" spans="1:24" s="501" customFormat="1" ht="60.75" customHeight="1">
      <c r="A148" s="491" t="s">
        <v>255</v>
      </c>
      <c r="B148" s="498" t="s">
        <v>1035</v>
      </c>
      <c r="C148" s="493"/>
      <c r="D148" s="494">
        <f t="shared" si="92"/>
        <v>372.41</v>
      </c>
      <c r="E148" s="495">
        <f t="shared" si="93"/>
        <v>372.41</v>
      </c>
      <c r="F148" s="495">
        <f t="shared" si="94"/>
        <v>0</v>
      </c>
      <c r="G148" s="495">
        <v>0</v>
      </c>
      <c r="H148" s="495">
        <f t="shared" si="97"/>
        <v>0</v>
      </c>
      <c r="I148" s="495"/>
      <c r="J148" s="495"/>
      <c r="K148" s="495">
        <f t="shared" si="95"/>
        <v>0</v>
      </c>
      <c r="L148" s="495"/>
      <c r="M148" s="495">
        <v>0</v>
      </c>
      <c r="N148" s="495">
        <v>372.41</v>
      </c>
      <c r="O148" s="495"/>
      <c r="P148" s="495"/>
      <c r="Q148" s="495"/>
      <c r="R148" s="495">
        <v>22.3</v>
      </c>
      <c r="S148" s="495"/>
      <c r="T148" s="494">
        <v>39.68</v>
      </c>
      <c r="U148" s="495"/>
      <c r="V148" s="495"/>
      <c r="W148" s="495">
        <f t="shared" si="96"/>
        <v>389.79</v>
      </c>
      <c r="X148" s="617"/>
    </row>
    <row r="149" spans="1:24" s="501" customFormat="1" ht="48" customHeight="1">
      <c r="A149" s="491" t="s">
        <v>255</v>
      </c>
      <c r="B149" s="498" t="s">
        <v>998</v>
      </c>
      <c r="C149" s="493"/>
      <c r="D149" s="494">
        <f t="shared" si="92"/>
        <v>150</v>
      </c>
      <c r="E149" s="495">
        <f t="shared" si="93"/>
        <v>150</v>
      </c>
      <c r="F149" s="495">
        <f t="shared" si="94"/>
        <v>0</v>
      </c>
      <c r="G149" s="495"/>
      <c r="H149" s="495">
        <f t="shared" si="97"/>
        <v>0</v>
      </c>
      <c r="I149" s="495"/>
      <c r="J149" s="495"/>
      <c r="K149" s="495">
        <f t="shared" si="95"/>
        <v>0</v>
      </c>
      <c r="L149" s="495"/>
      <c r="M149" s="495">
        <v>0</v>
      </c>
      <c r="N149" s="495">
        <v>150</v>
      </c>
      <c r="O149" s="495"/>
      <c r="P149" s="495"/>
      <c r="Q149" s="495"/>
      <c r="R149" s="495"/>
      <c r="S149" s="495"/>
      <c r="T149" s="495"/>
      <c r="U149" s="495"/>
      <c r="V149" s="495">
        <v>100</v>
      </c>
      <c r="W149" s="495">
        <f t="shared" si="96"/>
        <v>250</v>
      </c>
      <c r="X149" s="617" t="s">
        <v>335</v>
      </c>
    </row>
    <row r="150" spans="1:24" s="497" customFormat="1" ht="18" customHeight="1">
      <c r="A150" s="491" t="s">
        <v>255</v>
      </c>
      <c r="B150" s="498" t="s">
        <v>334</v>
      </c>
      <c r="C150" s="493"/>
      <c r="D150" s="494">
        <f t="shared" si="92"/>
        <v>40</v>
      </c>
      <c r="E150" s="495">
        <f t="shared" si="93"/>
        <v>40</v>
      </c>
      <c r="F150" s="495">
        <f t="shared" si="94"/>
        <v>0</v>
      </c>
      <c r="G150" s="495"/>
      <c r="H150" s="495">
        <f t="shared" si="97"/>
        <v>0</v>
      </c>
      <c r="I150" s="495"/>
      <c r="J150" s="495"/>
      <c r="K150" s="495">
        <f t="shared" si="95"/>
        <v>0</v>
      </c>
      <c r="L150" s="495"/>
      <c r="M150" s="495">
        <v>0</v>
      </c>
      <c r="N150" s="495">
        <v>40</v>
      </c>
      <c r="O150" s="495"/>
      <c r="P150" s="495"/>
      <c r="Q150" s="495"/>
      <c r="R150" s="495">
        <f>D150*0.1</f>
        <v>4</v>
      </c>
      <c r="S150" s="495"/>
      <c r="T150" s="495"/>
      <c r="U150" s="495"/>
      <c r="V150" s="495"/>
      <c r="W150" s="495">
        <f t="shared" si="96"/>
        <v>36</v>
      </c>
      <c r="X150" s="617"/>
    </row>
    <row r="151" spans="1:24" s="497" customFormat="1" ht="12.75" customHeight="1">
      <c r="A151" s="491" t="s">
        <v>255</v>
      </c>
      <c r="B151" s="498"/>
      <c r="C151" s="493"/>
      <c r="D151" s="494"/>
      <c r="E151" s="495"/>
      <c r="F151" s="495"/>
      <c r="G151" s="495"/>
      <c r="H151" s="495"/>
      <c r="I151" s="495"/>
      <c r="J151" s="495"/>
      <c r="K151" s="495"/>
      <c r="L151" s="495"/>
      <c r="M151" s="495"/>
      <c r="N151" s="495"/>
      <c r="O151" s="495"/>
      <c r="P151" s="495"/>
      <c r="Q151" s="495"/>
      <c r="R151" s="495"/>
      <c r="S151" s="495"/>
      <c r="T151" s="495"/>
      <c r="U151" s="495"/>
      <c r="V151" s="495"/>
      <c r="W151" s="495">
        <f t="shared" si="96"/>
        <v>0</v>
      </c>
      <c r="X151" s="496"/>
    </row>
    <row r="152" spans="1:24" s="497" customFormat="1" ht="18.75" customHeight="1">
      <c r="A152" s="491" t="s">
        <v>255</v>
      </c>
      <c r="B152" s="498" t="s">
        <v>667</v>
      </c>
      <c r="C152" s="493"/>
      <c r="D152" s="494"/>
      <c r="E152" s="495"/>
      <c r="F152" s="495"/>
      <c r="G152" s="495"/>
      <c r="H152" s="495"/>
      <c r="I152" s="495"/>
      <c r="J152" s="495"/>
      <c r="K152" s="495"/>
      <c r="L152" s="495"/>
      <c r="M152" s="495"/>
      <c r="N152" s="495"/>
      <c r="O152" s="495"/>
      <c r="P152" s="495"/>
      <c r="Q152" s="495"/>
      <c r="R152" s="495"/>
      <c r="S152" s="495"/>
      <c r="T152" s="495"/>
      <c r="U152" s="495"/>
      <c r="V152" s="495"/>
      <c r="W152" s="495">
        <f t="shared" si="96"/>
        <v>0</v>
      </c>
      <c r="X152" s="496"/>
    </row>
    <row r="153" spans="1:24" s="497" customFormat="1" ht="36.75" customHeight="1">
      <c r="A153" s="491" t="s">
        <v>206</v>
      </c>
      <c r="B153" s="498" t="s">
        <v>336</v>
      </c>
      <c r="C153" s="493">
        <v>220</v>
      </c>
      <c r="D153" s="494">
        <f>E153+P153</f>
        <v>303</v>
      </c>
      <c r="E153" s="495">
        <f t="shared" si="93"/>
        <v>303</v>
      </c>
      <c r="F153" s="495">
        <f t="shared" si="94"/>
        <v>0</v>
      </c>
      <c r="G153" s="495"/>
      <c r="H153" s="495">
        <f t="shared" si="97"/>
        <v>0</v>
      </c>
      <c r="I153" s="495"/>
      <c r="J153" s="495"/>
      <c r="K153" s="495">
        <f>L153+M153</f>
        <v>0</v>
      </c>
      <c r="L153" s="495"/>
      <c r="M153" s="495">
        <v>0</v>
      </c>
      <c r="N153" s="495">
        <f>253+50</f>
        <v>303</v>
      </c>
      <c r="O153" s="495"/>
      <c r="P153" s="495"/>
      <c r="Q153" s="495"/>
      <c r="R153" s="495">
        <v>14.8</v>
      </c>
      <c r="S153" s="495"/>
      <c r="T153" s="494">
        <v>62</v>
      </c>
      <c r="U153" s="495"/>
      <c r="V153" s="495"/>
      <c r="W153" s="495">
        <f t="shared" si="96"/>
        <v>350.2</v>
      </c>
      <c r="X153" s="496" t="s">
        <v>796</v>
      </c>
    </row>
    <row r="154" spans="1:24" s="497" customFormat="1" ht="36.75" customHeight="1">
      <c r="A154" s="491" t="s">
        <v>208</v>
      </c>
      <c r="B154" s="498" t="s">
        <v>337</v>
      </c>
      <c r="C154" s="493">
        <v>190</v>
      </c>
      <c r="D154" s="494">
        <f>SUM(D155:D161)</f>
        <v>1068</v>
      </c>
      <c r="E154" s="495">
        <f t="shared" ref="E154:W154" si="98">SUM(E155:E161)</f>
        <v>1068</v>
      </c>
      <c r="F154" s="495">
        <f t="shared" si="98"/>
        <v>839.81</v>
      </c>
      <c r="G154" s="495">
        <f t="shared" si="98"/>
        <v>8</v>
      </c>
      <c r="H154" s="495">
        <f t="shared" si="98"/>
        <v>695.81</v>
      </c>
      <c r="I154" s="495">
        <f t="shared" si="98"/>
        <v>0</v>
      </c>
      <c r="J154" s="495">
        <f t="shared" si="98"/>
        <v>0</v>
      </c>
      <c r="K154" s="495">
        <f t="shared" si="98"/>
        <v>144</v>
      </c>
      <c r="L154" s="495">
        <f t="shared" si="98"/>
        <v>144</v>
      </c>
      <c r="M154" s="495">
        <f t="shared" si="98"/>
        <v>0</v>
      </c>
      <c r="N154" s="495">
        <f t="shared" si="98"/>
        <v>228.19</v>
      </c>
      <c r="O154" s="495">
        <f t="shared" si="98"/>
        <v>0</v>
      </c>
      <c r="P154" s="495">
        <f t="shared" si="98"/>
        <v>0</v>
      </c>
      <c r="Q154" s="495">
        <f t="shared" si="98"/>
        <v>0</v>
      </c>
      <c r="R154" s="495">
        <f t="shared" si="98"/>
        <v>28.4</v>
      </c>
      <c r="S154" s="495">
        <f t="shared" si="98"/>
        <v>137.41</v>
      </c>
      <c r="T154" s="495">
        <f t="shared" si="98"/>
        <v>0</v>
      </c>
      <c r="U154" s="495">
        <f t="shared" si="98"/>
        <v>18</v>
      </c>
      <c r="V154" s="495">
        <f t="shared" si="98"/>
        <v>0</v>
      </c>
      <c r="W154" s="495">
        <f t="shared" si="98"/>
        <v>884.18999999999994</v>
      </c>
      <c r="X154" s="496" t="s">
        <v>796</v>
      </c>
    </row>
    <row r="155" spans="1:24" s="497" customFormat="1" ht="27" customHeight="1">
      <c r="A155" s="491" t="s">
        <v>255</v>
      </c>
      <c r="B155" s="498" t="s">
        <v>338</v>
      </c>
      <c r="C155" s="493"/>
      <c r="D155" s="494">
        <f t="shared" ref="D155:D161" si="99">E155+P155</f>
        <v>695.81</v>
      </c>
      <c r="E155" s="495">
        <f t="shared" ref="E155:E161" si="100">F155+N155+O155</f>
        <v>695.81</v>
      </c>
      <c r="F155" s="495">
        <f t="shared" ref="F155:F161" si="101">H155+K155</f>
        <v>695.81</v>
      </c>
      <c r="G155" s="495">
        <v>8</v>
      </c>
      <c r="H155" s="495">
        <v>695.81</v>
      </c>
      <c r="I155" s="495"/>
      <c r="J155" s="495"/>
      <c r="K155" s="495">
        <f t="shared" ref="K155:K161" si="102">L155+M155</f>
        <v>0</v>
      </c>
      <c r="L155" s="495"/>
      <c r="M155" s="495"/>
      <c r="N155" s="495"/>
      <c r="O155" s="495"/>
      <c r="P155" s="495"/>
      <c r="Q155" s="495"/>
      <c r="R155" s="495"/>
      <c r="S155" s="494">
        <v>23.21</v>
      </c>
      <c r="T155" s="495"/>
      <c r="U155" s="495"/>
      <c r="V155" s="495"/>
      <c r="W155" s="495">
        <f t="shared" ref="W155:W161" si="103">D155-Q155-R155-S155-U155+(T155+V155)</f>
        <v>672.59999999999991</v>
      </c>
      <c r="X155" s="496"/>
    </row>
    <row r="156" spans="1:24" s="497" customFormat="1" ht="25.5" customHeight="1">
      <c r="A156" s="491" t="s">
        <v>255</v>
      </c>
      <c r="B156" s="498" t="s">
        <v>596</v>
      </c>
      <c r="C156" s="493"/>
      <c r="D156" s="494">
        <f t="shared" si="99"/>
        <v>144</v>
      </c>
      <c r="E156" s="495">
        <f t="shared" si="100"/>
        <v>144</v>
      </c>
      <c r="F156" s="495">
        <f t="shared" si="101"/>
        <v>144</v>
      </c>
      <c r="G156" s="495"/>
      <c r="H156" s="495">
        <f t="shared" si="97"/>
        <v>0</v>
      </c>
      <c r="I156" s="495"/>
      <c r="J156" s="495"/>
      <c r="K156" s="495">
        <f t="shared" si="102"/>
        <v>144</v>
      </c>
      <c r="L156" s="495">
        <f>8*18</f>
        <v>144</v>
      </c>
      <c r="M156" s="495">
        <v>0</v>
      </c>
      <c r="N156" s="495"/>
      <c r="O156" s="495"/>
      <c r="P156" s="495">
        <v>0</v>
      </c>
      <c r="Q156" s="495"/>
      <c r="R156" s="495">
        <v>14.4</v>
      </c>
      <c r="S156" s="495"/>
      <c r="T156" s="495"/>
      <c r="U156" s="495">
        <v>18</v>
      </c>
      <c r="V156" s="495"/>
      <c r="W156" s="495">
        <f t="shared" si="103"/>
        <v>111.6</v>
      </c>
      <c r="X156" s="496"/>
    </row>
    <row r="157" spans="1:24" s="497" customFormat="1" ht="18" customHeight="1">
      <c r="A157" s="491" t="s">
        <v>255</v>
      </c>
      <c r="B157" s="498" t="s">
        <v>339</v>
      </c>
      <c r="C157" s="493"/>
      <c r="D157" s="494">
        <f t="shared" si="99"/>
        <v>0</v>
      </c>
      <c r="E157" s="495">
        <f t="shared" si="100"/>
        <v>0</v>
      </c>
      <c r="F157" s="495">
        <f t="shared" si="101"/>
        <v>0</v>
      </c>
      <c r="G157" s="495"/>
      <c r="H157" s="495">
        <f t="shared" si="97"/>
        <v>0</v>
      </c>
      <c r="I157" s="495"/>
      <c r="J157" s="495"/>
      <c r="K157" s="495">
        <f t="shared" si="102"/>
        <v>0</v>
      </c>
      <c r="L157" s="495"/>
      <c r="M157" s="495">
        <v>0</v>
      </c>
      <c r="N157" s="495"/>
      <c r="O157" s="495"/>
      <c r="P157" s="495"/>
      <c r="Q157" s="495"/>
      <c r="R157" s="495">
        <f>D157*0.1</f>
        <v>0</v>
      </c>
      <c r="S157" s="495"/>
      <c r="T157" s="495"/>
      <c r="U157" s="495"/>
      <c r="V157" s="495"/>
      <c r="W157" s="495">
        <f t="shared" si="103"/>
        <v>0</v>
      </c>
      <c r="X157" s="496"/>
    </row>
    <row r="158" spans="1:24" s="497" customFormat="1" ht="27" customHeight="1">
      <c r="A158" s="491" t="s">
        <v>255</v>
      </c>
      <c r="B158" s="498" t="s">
        <v>340</v>
      </c>
      <c r="C158" s="493"/>
      <c r="D158" s="494">
        <f t="shared" si="99"/>
        <v>0</v>
      </c>
      <c r="E158" s="495">
        <f t="shared" si="100"/>
        <v>0</v>
      </c>
      <c r="F158" s="495">
        <f t="shared" si="101"/>
        <v>0</v>
      </c>
      <c r="G158" s="495"/>
      <c r="H158" s="495">
        <f t="shared" si="97"/>
        <v>0</v>
      </c>
      <c r="I158" s="495"/>
      <c r="J158" s="495"/>
      <c r="K158" s="495">
        <f t="shared" si="102"/>
        <v>0</v>
      </c>
      <c r="L158" s="495"/>
      <c r="M158" s="495">
        <v>0</v>
      </c>
      <c r="N158" s="495"/>
      <c r="O158" s="495"/>
      <c r="P158" s="495"/>
      <c r="Q158" s="495"/>
      <c r="R158" s="495">
        <f>D158*0.1</f>
        <v>0</v>
      </c>
      <c r="S158" s="495"/>
      <c r="T158" s="495"/>
      <c r="U158" s="495"/>
      <c r="V158" s="495"/>
      <c r="W158" s="495">
        <f t="shared" si="103"/>
        <v>0</v>
      </c>
      <c r="X158" s="496"/>
    </row>
    <row r="159" spans="1:24" s="497" customFormat="1" ht="30" customHeight="1">
      <c r="A159" s="491" t="s">
        <v>255</v>
      </c>
      <c r="B159" s="498" t="s">
        <v>341</v>
      </c>
      <c r="C159" s="493"/>
      <c r="D159" s="494">
        <f t="shared" si="99"/>
        <v>0</v>
      </c>
      <c r="E159" s="495">
        <f t="shared" si="100"/>
        <v>0</v>
      </c>
      <c r="F159" s="495">
        <f t="shared" si="101"/>
        <v>0</v>
      </c>
      <c r="G159" s="495"/>
      <c r="H159" s="495">
        <f t="shared" si="97"/>
        <v>0</v>
      </c>
      <c r="I159" s="495"/>
      <c r="J159" s="495"/>
      <c r="K159" s="495">
        <f t="shared" si="102"/>
        <v>0</v>
      </c>
      <c r="L159" s="495"/>
      <c r="M159" s="495">
        <v>0</v>
      </c>
      <c r="N159" s="495"/>
      <c r="O159" s="495"/>
      <c r="P159" s="495"/>
      <c r="Q159" s="495"/>
      <c r="R159" s="495">
        <f>D159*0.1</f>
        <v>0</v>
      </c>
      <c r="S159" s="495"/>
      <c r="T159" s="495"/>
      <c r="U159" s="495"/>
      <c r="V159" s="495"/>
      <c r="W159" s="495">
        <f t="shared" si="103"/>
        <v>0</v>
      </c>
      <c r="X159" s="496"/>
    </row>
    <row r="160" spans="1:24" s="497" customFormat="1" ht="29.25" customHeight="1">
      <c r="A160" s="491" t="s">
        <v>255</v>
      </c>
      <c r="B160" s="498" t="s">
        <v>342</v>
      </c>
      <c r="C160" s="493"/>
      <c r="D160" s="494">
        <f t="shared" si="99"/>
        <v>0</v>
      </c>
      <c r="E160" s="495">
        <f t="shared" si="100"/>
        <v>0</v>
      </c>
      <c r="F160" s="495">
        <f t="shared" si="101"/>
        <v>0</v>
      </c>
      <c r="G160" s="495"/>
      <c r="H160" s="495">
        <f>I160+J160</f>
        <v>0</v>
      </c>
      <c r="I160" s="495"/>
      <c r="J160" s="495"/>
      <c r="K160" s="495">
        <f t="shared" si="102"/>
        <v>0</v>
      </c>
      <c r="L160" s="495"/>
      <c r="M160" s="495">
        <v>0</v>
      </c>
      <c r="N160" s="495"/>
      <c r="O160" s="495"/>
      <c r="P160" s="495"/>
      <c r="Q160" s="495"/>
      <c r="R160" s="495">
        <f>D160*0.1</f>
        <v>0</v>
      </c>
      <c r="S160" s="495"/>
      <c r="T160" s="495"/>
      <c r="U160" s="495"/>
      <c r="V160" s="495"/>
      <c r="W160" s="495">
        <f t="shared" si="103"/>
        <v>0</v>
      </c>
      <c r="X160" s="496"/>
    </row>
    <row r="161" spans="1:24" s="497" customFormat="1" ht="59.25" customHeight="1">
      <c r="A161" s="491" t="s">
        <v>255</v>
      </c>
      <c r="B161" s="498" t="s">
        <v>749</v>
      </c>
      <c r="C161" s="493"/>
      <c r="D161" s="494">
        <f t="shared" si="99"/>
        <v>228.19</v>
      </c>
      <c r="E161" s="495">
        <f t="shared" si="100"/>
        <v>228.19</v>
      </c>
      <c r="F161" s="495">
        <f t="shared" si="101"/>
        <v>0</v>
      </c>
      <c r="G161" s="495"/>
      <c r="H161" s="495">
        <f t="shared" si="97"/>
        <v>0</v>
      </c>
      <c r="I161" s="495"/>
      <c r="J161" s="495"/>
      <c r="K161" s="495">
        <f t="shared" si="102"/>
        <v>0</v>
      </c>
      <c r="L161" s="495"/>
      <c r="M161" s="495">
        <v>0</v>
      </c>
      <c r="N161" s="495">
        <f>180+48.19</f>
        <v>228.19</v>
      </c>
      <c r="O161" s="495"/>
      <c r="P161" s="495"/>
      <c r="Q161" s="495"/>
      <c r="R161" s="495">
        <v>14</v>
      </c>
      <c r="S161" s="494">
        <v>114.2</v>
      </c>
      <c r="T161" s="495"/>
      <c r="U161" s="495"/>
      <c r="V161" s="495"/>
      <c r="W161" s="495">
        <f t="shared" si="103"/>
        <v>99.99</v>
      </c>
      <c r="X161" s="496"/>
    </row>
    <row r="162" spans="1:24" s="497" customFormat="1" ht="19.5" customHeight="1">
      <c r="A162" s="491" t="s">
        <v>343</v>
      </c>
      <c r="B162" s="498" t="s">
        <v>344</v>
      </c>
      <c r="C162" s="493">
        <v>370</v>
      </c>
      <c r="D162" s="494">
        <f t="shared" ref="D162:I162" si="104">D163+D166+D181+D182+D185</f>
        <v>16244.78</v>
      </c>
      <c r="E162" s="495">
        <f t="shared" si="104"/>
        <v>16244.78</v>
      </c>
      <c r="F162" s="495">
        <f t="shared" si="104"/>
        <v>99</v>
      </c>
      <c r="G162" s="495">
        <f t="shared" si="104"/>
        <v>0</v>
      </c>
      <c r="H162" s="495">
        <f t="shared" si="104"/>
        <v>0</v>
      </c>
      <c r="I162" s="495">
        <f t="shared" si="104"/>
        <v>0</v>
      </c>
      <c r="J162" s="495"/>
      <c r="K162" s="495">
        <f t="shared" ref="K162:W162" si="105">K163+K166+K181+K182+K185</f>
        <v>99</v>
      </c>
      <c r="L162" s="495">
        <f t="shared" si="105"/>
        <v>99</v>
      </c>
      <c r="M162" s="495">
        <f t="shared" si="105"/>
        <v>0</v>
      </c>
      <c r="N162" s="495">
        <f t="shared" si="105"/>
        <v>16145.78</v>
      </c>
      <c r="O162" s="495">
        <f t="shared" si="105"/>
        <v>0</v>
      </c>
      <c r="P162" s="495">
        <f t="shared" si="105"/>
        <v>0</v>
      </c>
      <c r="Q162" s="495">
        <f t="shared" si="105"/>
        <v>0</v>
      </c>
      <c r="R162" s="495">
        <f t="shared" si="105"/>
        <v>86.5</v>
      </c>
      <c r="S162" s="495">
        <f t="shared" si="105"/>
        <v>401</v>
      </c>
      <c r="T162" s="495">
        <f t="shared" si="105"/>
        <v>360</v>
      </c>
      <c r="U162" s="495">
        <f t="shared" si="105"/>
        <v>0</v>
      </c>
      <c r="V162" s="495">
        <f t="shared" si="105"/>
        <v>329.4</v>
      </c>
      <c r="W162" s="495">
        <f t="shared" si="105"/>
        <v>16446.68</v>
      </c>
      <c r="X162" s="496"/>
    </row>
    <row r="163" spans="1:24" s="497" customFormat="1" ht="26.25" customHeight="1">
      <c r="A163" s="491" t="s">
        <v>345</v>
      </c>
      <c r="B163" s="498" t="s">
        <v>346</v>
      </c>
      <c r="C163" s="493"/>
      <c r="D163" s="494">
        <f t="shared" ref="D163:W163" si="106">D165+D164</f>
        <v>65</v>
      </c>
      <c r="E163" s="495">
        <f t="shared" si="106"/>
        <v>65</v>
      </c>
      <c r="F163" s="495">
        <f t="shared" si="106"/>
        <v>0</v>
      </c>
      <c r="G163" s="495">
        <f t="shared" si="106"/>
        <v>0</v>
      </c>
      <c r="H163" s="495">
        <f t="shared" si="106"/>
        <v>0</v>
      </c>
      <c r="I163" s="495">
        <f t="shared" si="106"/>
        <v>0</v>
      </c>
      <c r="J163" s="495"/>
      <c r="K163" s="495">
        <f t="shared" si="106"/>
        <v>0</v>
      </c>
      <c r="L163" s="495">
        <f t="shared" si="106"/>
        <v>0</v>
      </c>
      <c r="M163" s="495">
        <f t="shared" si="106"/>
        <v>0</v>
      </c>
      <c r="N163" s="495">
        <f>N165+N164</f>
        <v>65</v>
      </c>
      <c r="O163" s="495">
        <f t="shared" si="106"/>
        <v>0</v>
      </c>
      <c r="P163" s="495">
        <f t="shared" si="106"/>
        <v>0</v>
      </c>
      <c r="Q163" s="495">
        <f t="shared" si="106"/>
        <v>0</v>
      </c>
      <c r="R163" s="495">
        <f t="shared" si="106"/>
        <v>6.5</v>
      </c>
      <c r="S163" s="495">
        <f t="shared" si="106"/>
        <v>0</v>
      </c>
      <c r="T163" s="495">
        <f t="shared" si="106"/>
        <v>0</v>
      </c>
      <c r="U163" s="495">
        <f t="shared" si="106"/>
        <v>0</v>
      </c>
      <c r="V163" s="495">
        <f t="shared" si="106"/>
        <v>0</v>
      </c>
      <c r="W163" s="495">
        <f t="shared" si="106"/>
        <v>58.5</v>
      </c>
      <c r="X163" s="496" t="s">
        <v>277</v>
      </c>
    </row>
    <row r="164" spans="1:24" s="501" customFormat="1" ht="44.25" customHeight="1">
      <c r="A164" s="491" t="s">
        <v>204</v>
      </c>
      <c r="B164" s="498" t="s">
        <v>999</v>
      </c>
      <c r="C164" s="493"/>
      <c r="D164" s="494">
        <f>E164+P164</f>
        <v>25</v>
      </c>
      <c r="E164" s="495">
        <f>F164+N164+O164</f>
        <v>25</v>
      </c>
      <c r="F164" s="495">
        <f>H164+K164</f>
        <v>0</v>
      </c>
      <c r="G164" s="495"/>
      <c r="H164" s="495">
        <f t="shared" si="97"/>
        <v>0</v>
      </c>
      <c r="I164" s="495"/>
      <c r="J164" s="495"/>
      <c r="K164" s="495">
        <f>L164+M164</f>
        <v>0</v>
      </c>
      <c r="L164" s="495"/>
      <c r="M164" s="495">
        <v>0</v>
      </c>
      <c r="N164" s="495">
        <v>25</v>
      </c>
      <c r="O164" s="495"/>
      <c r="P164" s="495"/>
      <c r="Q164" s="495"/>
      <c r="R164" s="495">
        <f>D164*0.1</f>
        <v>2.5</v>
      </c>
      <c r="S164" s="495"/>
      <c r="T164" s="495"/>
      <c r="U164" s="495"/>
      <c r="V164" s="495"/>
      <c r="W164" s="495">
        <f>D164-Q164-R164-S164-U164+(T164+V164)</f>
        <v>22.5</v>
      </c>
      <c r="X164" s="496"/>
    </row>
    <row r="165" spans="1:24" s="497" customFormat="1" ht="19.5" customHeight="1">
      <c r="A165" s="491" t="s">
        <v>206</v>
      </c>
      <c r="B165" s="498" t="s">
        <v>347</v>
      </c>
      <c r="C165" s="493"/>
      <c r="D165" s="494">
        <f>E165+P165</f>
        <v>40</v>
      </c>
      <c r="E165" s="495">
        <f>F165+N165+O165</f>
        <v>40</v>
      </c>
      <c r="F165" s="495">
        <f>H165+K165</f>
        <v>0</v>
      </c>
      <c r="G165" s="495"/>
      <c r="H165" s="495">
        <f t="shared" si="97"/>
        <v>0</v>
      </c>
      <c r="I165" s="495"/>
      <c r="J165" s="495"/>
      <c r="K165" s="495">
        <f>L165+M165</f>
        <v>0</v>
      </c>
      <c r="L165" s="495"/>
      <c r="M165" s="495">
        <v>0</v>
      </c>
      <c r="N165" s="495">
        <v>40</v>
      </c>
      <c r="O165" s="495"/>
      <c r="P165" s="495"/>
      <c r="Q165" s="495"/>
      <c r="R165" s="495">
        <f>D165*0.1</f>
        <v>4</v>
      </c>
      <c r="S165" s="495"/>
      <c r="T165" s="495"/>
      <c r="U165" s="495"/>
      <c r="V165" s="495"/>
      <c r="W165" s="495">
        <f>D165-Q165-R165-S165-U165+(T165+V165)</f>
        <v>36</v>
      </c>
      <c r="X165" s="496"/>
    </row>
    <row r="166" spans="1:24" s="497" customFormat="1" ht="21" customHeight="1">
      <c r="A166" s="491" t="s">
        <v>348</v>
      </c>
      <c r="B166" s="498" t="s">
        <v>349</v>
      </c>
      <c r="C166" s="493"/>
      <c r="D166" s="494">
        <f>SUM(D167:D180)</f>
        <v>14626.78</v>
      </c>
      <c r="E166" s="494">
        <f t="shared" ref="E166:W166" si="107">SUM(E167:E180)</f>
        <v>14626.78</v>
      </c>
      <c r="F166" s="494">
        <f t="shared" si="107"/>
        <v>99</v>
      </c>
      <c r="G166" s="494">
        <f t="shared" si="107"/>
        <v>0</v>
      </c>
      <c r="H166" s="494">
        <f t="shared" si="107"/>
        <v>0</v>
      </c>
      <c r="I166" s="494">
        <f t="shared" si="107"/>
        <v>0</v>
      </c>
      <c r="J166" s="494">
        <f t="shared" si="107"/>
        <v>0</v>
      </c>
      <c r="K166" s="494">
        <f t="shared" si="107"/>
        <v>99</v>
      </c>
      <c r="L166" s="494">
        <f t="shared" si="107"/>
        <v>99</v>
      </c>
      <c r="M166" s="494">
        <f t="shared" si="107"/>
        <v>0</v>
      </c>
      <c r="N166" s="494">
        <f t="shared" si="107"/>
        <v>14527.78</v>
      </c>
      <c r="O166" s="494">
        <f t="shared" si="107"/>
        <v>0</v>
      </c>
      <c r="P166" s="494">
        <f t="shared" si="107"/>
        <v>0</v>
      </c>
      <c r="Q166" s="494">
        <f t="shared" si="107"/>
        <v>0</v>
      </c>
      <c r="R166" s="494">
        <f t="shared" si="107"/>
        <v>73</v>
      </c>
      <c r="S166" s="494">
        <f t="shared" si="107"/>
        <v>401</v>
      </c>
      <c r="T166" s="494">
        <f t="shared" si="107"/>
        <v>360</v>
      </c>
      <c r="U166" s="494">
        <f t="shared" si="107"/>
        <v>0</v>
      </c>
      <c r="V166" s="494">
        <f t="shared" si="107"/>
        <v>329.4</v>
      </c>
      <c r="W166" s="494">
        <f t="shared" si="107"/>
        <v>14842.18</v>
      </c>
      <c r="X166" s="496" t="s">
        <v>277</v>
      </c>
    </row>
    <row r="167" spans="1:24" s="497" customFormat="1" ht="27.75" customHeight="1">
      <c r="A167" s="491" t="s">
        <v>255</v>
      </c>
      <c r="B167" s="498" t="s">
        <v>1000</v>
      </c>
      <c r="C167" s="493"/>
      <c r="D167" s="494">
        <f>E167+P167</f>
        <v>12847.78</v>
      </c>
      <c r="E167" s="495">
        <f t="shared" ref="E167:E181" si="108">F167+N167+O167</f>
        <v>12847.78</v>
      </c>
      <c r="F167" s="495">
        <f t="shared" ref="F167:F181" si="109">H167+K167</f>
        <v>0</v>
      </c>
      <c r="G167" s="495"/>
      <c r="H167" s="495">
        <f t="shared" si="97"/>
        <v>0</v>
      </c>
      <c r="I167" s="495"/>
      <c r="J167" s="495"/>
      <c r="K167" s="495">
        <f t="shared" ref="K167:K181" si="110">L167+M167</f>
        <v>0</v>
      </c>
      <c r="L167" s="495"/>
      <c r="M167" s="495">
        <v>0</v>
      </c>
      <c r="N167" s="495">
        <f>(13220+71)-125-17.22-87-34-180</f>
        <v>12847.78</v>
      </c>
      <c r="O167" s="495"/>
      <c r="P167" s="495"/>
      <c r="Q167" s="495"/>
      <c r="R167" s="495"/>
      <c r="S167" s="495">
        <v>360</v>
      </c>
      <c r="T167" s="495"/>
      <c r="U167" s="495"/>
      <c r="V167" s="495"/>
      <c r="W167" s="495">
        <f t="shared" ref="W167:W181" si="111">D167-Q167-R167-S167-U167+(T167+V167)</f>
        <v>12487.78</v>
      </c>
      <c r="X167" s="496"/>
    </row>
    <row r="168" spans="1:24" s="497" customFormat="1" ht="35.25" hidden="1" customHeight="1">
      <c r="A168" s="491"/>
      <c r="B168" s="498"/>
      <c r="C168" s="493"/>
      <c r="D168" s="494"/>
      <c r="E168" s="495">
        <f t="shared" si="108"/>
        <v>0</v>
      </c>
      <c r="F168" s="495"/>
      <c r="G168" s="495"/>
      <c r="H168" s="495"/>
      <c r="I168" s="495"/>
      <c r="J168" s="495"/>
      <c r="K168" s="495"/>
      <c r="L168" s="495"/>
      <c r="M168" s="495"/>
      <c r="N168" s="495"/>
      <c r="O168" s="495"/>
      <c r="P168" s="495"/>
      <c r="Q168" s="495"/>
      <c r="R168" s="495"/>
      <c r="S168" s="495"/>
      <c r="T168" s="495"/>
      <c r="U168" s="495"/>
      <c r="V168" s="495"/>
      <c r="W168" s="495">
        <f t="shared" si="111"/>
        <v>0</v>
      </c>
      <c r="X168" s="496"/>
    </row>
    <row r="169" spans="1:24" s="497" customFormat="1" ht="21.75" hidden="1" customHeight="1">
      <c r="A169" s="491"/>
      <c r="B169" s="498"/>
      <c r="C169" s="493"/>
      <c r="D169" s="494"/>
      <c r="E169" s="495">
        <f t="shared" si="108"/>
        <v>0</v>
      </c>
      <c r="F169" s="495"/>
      <c r="G169" s="495"/>
      <c r="H169" s="495"/>
      <c r="I169" s="495"/>
      <c r="J169" s="495"/>
      <c r="K169" s="495"/>
      <c r="L169" s="495"/>
      <c r="M169" s="495"/>
      <c r="N169" s="495"/>
      <c r="O169" s="495"/>
      <c r="P169" s="495"/>
      <c r="Q169" s="495"/>
      <c r="R169" s="495"/>
      <c r="S169" s="495"/>
      <c r="T169" s="495"/>
      <c r="U169" s="495"/>
      <c r="V169" s="495"/>
      <c r="W169" s="495">
        <f t="shared" si="111"/>
        <v>0</v>
      </c>
      <c r="X169" s="496"/>
    </row>
    <row r="170" spans="1:24" s="497" customFormat="1" ht="28.5" customHeight="1">
      <c r="A170" s="499"/>
      <c r="B170" s="498" t="s">
        <v>507</v>
      </c>
      <c r="C170" s="493"/>
      <c r="D170" s="494">
        <f t="shared" ref="D170:D181" si="112">E170+P170</f>
        <v>363</v>
      </c>
      <c r="E170" s="495">
        <f t="shared" si="108"/>
        <v>363</v>
      </c>
      <c r="F170" s="495"/>
      <c r="G170" s="495"/>
      <c r="H170" s="495"/>
      <c r="I170" s="495"/>
      <c r="J170" s="495"/>
      <c r="K170" s="495"/>
      <c r="L170" s="495"/>
      <c r="M170" s="495"/>
      <c r="N170" s="495">
        <v>363</v>
      </c>
      <c r="O170" s="495"/>
      <c r="P170" s="495"/>
      <c r="Q170" s="495"/>
      <c r="R170" s="495"/>
      <c r="S170" s="495"/>
      <c r="T170" s="495"/>
      <c r="U170" s="495"/>
      <c r="V170" s="495"/>
      <c r="W170" s="495">
        <f t="shared" si="111"/>
        <v>363</v>
      </c>
      <c r="X170" s="496"/>
    </row>
    <row r="171" spans="1:24" s="497" customFormat="1" ht="48" customHeight="1">
      <c r="A171" s="491" t="s">
        <v>255</v>
      </c>
      <c r="B171" s="498" t="s">
        <v>350</v>
      </c>
      <c r="C171" s="493"/>
      <c r="D171" s="494">
        <f t="shared" si="112"/>
        <v>108</v>
      </c>
      <c r="E171" s="495">
        <f t="shared" si="108"/>
        <v>108</v>
      </c>
      <c r="F171" s="495">
        <f t="shared" si="109"/>
        <v>0</v>
      </c>
      <c r="G171" s="495"/>
      <c r="H171" s="495">
        <f t="shared" si="97"/>
        <v>0</v>
      </c>
      <c r="I171" s="495"/>
      <c r="J171" s="495"/>
      <c r="K171" s="495">
        <f t="shared" si="110"/>
        <v>0</v>
      </c>
      <c r="L171" s="495"/>
      <c r="M171" s="495">
        <v>0</v>
      </c>
      <c r="N171" s="495">
        <v>108</v>
      </c>
      <c r="O171" s="495"/>
      <c r="P171" s="495"/>
      <c r="Q171" s="495"/>
      <c r="R171" s="495"/>
      <c r="S171" s="495"/>
      <c r="T171" s="495"/>
      <c r="U171" s="495"/>
      <c r="V171" s="495"/>
      <c r="W171" s="495">
        <f t="shared" si="111"/>
        <v>108</v>
      </c>
      <c r="X171" s="496"/>
    </row>
    <row r="172" spans="1:24" s="497" customFormat="1" ht="18.75" customHeight="1">
      <c r="A172" s="491" t="s">
        <v>255</v>
      </c>
      <c r="B172" s="498" t="s">
        <v>351</v>
      </c>
      <c r="C172" s="493"/>
      <c r="D172" s="494">
        <f t="shared" si="112"/>
        <v>25</v>
      </c>
      <c r="E172" s="495">
        <f t="shared" si="108"/>
        <v>25</v>
      </c>
      <c r="F172" s="495">
        <f t="shared" si="109"/>
        <v>0</v>
      </c>
      <c r="G172" s="495"/>
      <c r="H172" s="495">
        <f t="shared" si="97"/>
        <v>0</v>
      </c>
      <c r="I172" s="495"/>
      <c r="J172" s="495"/>
      <c r="K172" s="495">
        <f t="shared" si="110"/>
        <v>0</v>
      </c>
      <c r="L172" s="495"/>
      <c r="M172" s="495">
        <v>0</v>
      </c>
      <c r="N172" s="495">
        <v>25</v>
      </c>
      <c r="O172" s="495"/>
      <c r="P172" s="495"/>
      <c r="Q172" s="495"/>
      <c r="R172" s="495">
        <f>D172*0.1</f>
        <v>2.5</v>
      </c>
      <c r="S172" s="495"/>
      <c r="T172" s="495"/>
      <c r="U172" s="495"/>
      <c r="V172" s="495"/>
      <c r="W172" s="495">
        <f t="shared" si="111"/>
        <v>22.5</v>
      </c>
      <c r="X172" s="496"/>
    </row>
    <row r="173" spans="1:24" s="497" customFormat="1" ht="18.75" customHeight="1">
      <c r="A173" s="491" t="s">
        <v>255</v>
      </c>
      <c r="B173" s="498" t="s">
        <v>1001</v>
      </c>
      <c r="C173" s="493"/>
      <c r="D173" s="494">
        <f t="shared" si="112"/>
        <v>1000</v>
      </c>
      <c r="E173" s="495">
        <f t="shared" si="108"/>
        <v>1000</v>
      </c>
      <c r="F173" s="495">
        <f t="shared" si="109"/>
        <v>0</v>
      </c>
      <c r="G173" s="495"/>
      <c r="H173" s="495">
        <f t="shared" si="97"/>
        <v>0</v>
      </c>
      <c r="I173" s="495"/>
      <c r="J173" s="495"/>
      <c r="K173" s="495">
        <f t="shared" si="110"/>
        <v>0</v>
      </c>
      <c r="L173" s="495"/>
      <c r="M173" s="495">
        <v>0</v>
      </c>
      <c r="N173" s="495">
        <v>1000</v>
      </c>
      <c r="O173" s="495"/>
      <c r="P173" s="495"/>
      <c r="Q173" s="495"/>
      <c r="R173" s="495">
        <v>60.5</v>
      </c>
      <c r="S173" s="495"/>
      <c r="T173" s="495"/>
      <c r="U173" s="495"/>
      <c r="V173" s="495"/>
      <c r="W173" s="495">
        <f t="shared" si="111"/>
        <v>939.5</v>
      </c>
      <c r="X173" s="496"/>
    </row>
    <row r="174" spans="1:24" s="497" customFormat="1" ht="29.25" customHeight="1">
      <c r="A174" s="491" t="s">
        <v>255</v>
      </c>
      <c r="B174" s="498" t="s">
        <v>352</v>
      </c>
      <c r="C174" s="493"/>
      <c r="D174" s="494">
        <f t="shared" si="112"/>
        <v>50</v>
      </c>
      <c r="E174" s="495">
        <f t="shared" si="108"/>
        <v>50</v>
      </c>
      <c r="F174" s="495">
        <f t="shared" si="109"/>
        <v>0</v>
      </c>
      <c r="G174" s="495"/>
      <c r="H174" s="495">
        <f t="shared" si="97"/>
        <v>0</v>
      </c>
      <c r="I174" s="495"/>
      <c r="J174" s="495"/>
      <c r="K174" s="495">
        <f t="shared" si="110"/>
        <v>0</v>
      </c>
      <c r="L174" s="495"/>
      <c r="M174" s="495">
        <v>0</v>
      </c>
      <c r="N174" s="495">
        <v>50</v>
      </c>
      <c r="O174" s="495"/>
      <c r="P174" s="495"/>
      <c r="Q174" s="495"/>
      <c r="R174" s="495">
        <f>D174*0.1</f>
        <v>5</v>
      </c>
      <c r="S174" s="495"/>
      <c r="T174" s="495"/>
      <c r="U174" s="495"/>
      <c r="V174" s="495"/>
      <c r="W174" s="495">
        <f t="shared" si="111"/>
        <v>45</v>
      </c>
      <c r="X174" s="496"/>
    </row>
    <row r="175" spans="1:24" s="497" customFormat="1" ht="36.75" customHeight="1">
      <c r="A175" s="491" t="s">
        <v>255</v>
      </c>
      <c r="B175" s="498" t="s">
        <v>355</v>
      </c>
      <c r="C175" s="493"/>
      <c r="D175" s="494">
        <f t="shared" si="112"/>
        <v>20</v>
      </c>
      <c r="E175" s="495">
        <f t="shared" si="108"/>
        <v>20</v>
      </c>
      <c r="F175" s="495">
        <f t="shared" si="109"/>
        <v>0</v>
      </c>
      <c r="G175" s="495"/>
      <c r="H175" s="495">
        <f t="shared" si="97"/>
        <v>0</v>
      </c>
      <c r="I175" s="495"/>
      <c r="J175" s="495"/>
      <c r="K175" s="495">
        <f t="shared" si="110"/>
        <v>0</v>
      </c>
      <c r="L175" s="495"/>
      <c r="M175" s="495">
        <v>0</v>
      </c>
      <c r="N175" s="495">
        <v>20</v>
      </c>
      <c r="O175" s="495"/>
      <c r="P175" s="495"/>
      <c r="Q175" s="495"/>
      <c r="R175" s="495">
        <f>D175*0.1</f>
        <v>2</v>
      </c>
      <c r="S175" s="495"/>
      <c r="T175" s="495"/>
      <c r="U175" s="495"/>
      <c r="V175" s="495"/>
      <c r="W175" s="495">
        <f t="shared" si="111"/>
        <v>18</v>
      </c>
      <c r="X175" s="496"/>
    </row>
    <row r="176" spans="1:24" s="497" customFormat="1" ht="45" customHeight="1">
      <c r="A176" s="491" t="s">
        <v>255</v>
      </c>
      <c r="B176" s="498" t="s">
        <v>692</v>
      </c>
      <c r="C176" s="493"/>
      <c r="D176" s="494">
        <f t="shared" si="112"/>
        <v>84</v>
      </c>
      <c r="E176" s="495">
        <f t="shared" si="108"/>
        <v>84</v>
      </c>
      <c r="F176" s="495"/>
      <c r="G176" s="495"/>
      <c r="H176" s="495"/>
      <c r="I176" s="495"/>
      <c r="J176" s="495"/>
      <c r="K176" s="495">
        <f t="shared" si="110"/>
        <v>0</v>
      </c>
      <c r="L176" s="495"/>
      <c r="M176" s="495"/>
      <c r="N176" s="495">
        <v>84</v>
      </c>
      <c r="O176" s="495"/>
      <c r="P176" s="495"/>
      <c r="Q176" s="495"/>
      <c r="R176" s="495"/>
      <c r="S176" s="495"/>
      <c r="T176" s="495"/>
      <c r="U176" s="495"/>
      <c r="V176" s="495">
        <v>300</v>
      </c>
      <c r="W176" s="495">
        <f t="shared" si="111"/>
        <v>384</v>
      </c>
      <c r="X176" s="496"/>
    </row>
    <row r="177" spans="1:24" s="501" customFormat="1" ht="51" customHeight="1">
      <c r="A177" s="491" t="s">
        <v>255</v>
      </c>
      <c r="B177" s="498" t="s">
        <v>1002</v>
      </c>
      <c r="C177" s="493"/>
      <c r="D177" s="494">
        <f t="shared" si="112"/>
        <v>30</v>
      </c>
      <c r="E177" s="495">
        <f t="shared" si="108"/>
        <v>30</v>
      </c>
      <c r="F177" s="495">
        <f t="shared" si="109"/>
        <v>0</v>
      </c>
      <c r="G177" s="495"/>
      <c r="H177" s="495">
        <f t="shared" si="97"/>
        <v>0</v>
      </c>
      <c r="I177" s="495"/>
      <c r="J177" s="495"/>
      <c r="K177" s="495">
        <f t="shared" si="110"/>
        <v>0</v>
      </c>
      <c r="L177" s="495"/>
      <c r="M177" s="495">
        <v>0</v>
      </c>
      <c r="N177" s="495">
        <v>30</v>
      </c>
      <c r="O177" s="495"/>
      <c r="P177" s="495"/>
      <c r="Q177" s="495"/>
      <c r="R177" s="495">
        <f>D177*0.1</f>
        <v>3</v>
      </c>
      <c r="S177" s="495"/>
      <c r="T177" s="495"/>
      <c r="U177" s="495"/>
      <c r="V177" s="495"/>
      <c r="W177" s="495">
        <f t="shared" si="111"/>
        <v>27</v>
      </c>
      <c r="X177" s="496"/>
    </row>
    <row r="178" spans="1:24" s="497" customFormat="1" ht="42" customHeight="1">
      <c r="A178" s="499" t="s">
        <v>255</v>
      </c>
      <c r="B178" s="498" t="s">
        <v>750</v>
      </c>
      <c r="C178" s="493"/>
      <c r="D178" s="494">
        <f t="shared" si="112"/>
        <v>99</v>
      </c>
      <c r="E178" s="495">
        <f t="shared" si="108"/>
        <v>99</v>
      </c>
      <c r="F178" s="495">
        <f t="shared" si="109"/>
        <v>99</v>
      </c>
      <c r="G178" s="495"/>
      <c r="H178" s="495">
        <f t="shared" si="97"/>
        <v>0</v>
      </c>
      <c r="I178" s="495"/>
      <c r="J178" s="495"/>
      <c r="K178" s="495">
        <f t="shared" si="110"/>
        <v>99</v>
      </c>
      <c r="L178" s="495">
        <v>99</v>
      </c>
      <c r="M178" s="495"/>
      <c r="N178" s="495"/>
      <c r="O178" s="495"/>
      <c r="P178" s="495"/>
      <c r="Q178" s="495"/>
      <c r="R178" s="495"/>
      <c r="S178" s="495">
        <v>41</v>
      </c>
      <c r="T178" s="495"/>
      <c r="U178" s="495"/>
      <c r="V178" s="495"/>
      <c r="W178" s="495">
        <f t="shared" si="111"/>
        <v>58</v>
      </c>
      <c r="X178" s="496"/>
    </row>
    <row r="179" spans="1:24" s="497" customFormat="1" ht="64.5" customHeight="1">
      <c r="A179" s="499" t="s">
        <v>255</v>
      </c>
      <c r="B179" s="290" t="s">
        <v>751</v>
      </c>
      <c r="C179" s="493"/>
      <c r="D179" s="494">
        <f t="shared" si="112"/>
        <v>0</v>
      </c>
      <c r="E179" s="495">
        <f t="shared" si="108"/>
        <v>0</v>
      </c>
      <c r="F179" s="495">
        <f t="shared" si="109"/>
        <v>0</v>
      </c>
      <c r="G179" s="495"/>
      <c r="H179" s="495">
        <f t="shared" si="97"/>
        <v>0</v>
      </c>
      <c r="I179" s="495"/>
      <c r="J179" s="495"/>
      <c r="K179" s="495">
        <f t="shared" si="110"/>
        <v>0</v>
      </c>
      <c r="L179" s="495"/>
      <c r="M179" s="495"/>
      <c r="N179" s="495"/>
      <c r="O179" s="495"/>
      <c r="P179" s="495"/>
      <c r="Q179" s="495"/>
      <c r="R179" s="495"/>
      <c r="S179" s="495"/>
      <c r="T179" s="495">
        <v>360</v>
      </c>
      <c r="U179" s="495"/>
      <c r="V179" s="495"/>
      <c r="W179" s="495">
        <f t="shared" si="111"/>
        <v>360</v>
      </c>
      <c r="X179" s="496"/>
    </row>
    <row r="180" spans="1:24" s="501" customFormat="1" ht="36" customHeight="1">
      <c r="A180" s="499" t="s">
        <v>255</v>
      </c>
      <c r="B180" s="289" t="s">
        <v>1003</v>
      </c>
      <c r="C180" s="493"/>
      <c r="D180" s="494">
        <f t="shared" si="112"/>
        <v>0</v>
      </c>
      <c r="E180" s="495">
        <f t="shared" si="108"/>
        <v>0</v>
      </c>
      <c r="F180" s="495">
        <f t="shared" si="109"/>
        <v>0</v>
      </c>
      <c r="G180" s="495"/>
      <c r="H180" s="495">
        <f t="shared" si="97"/>
        <v>0</v>
      </c>
      <c r="I180" s="495"/>
      <c r="J180" s="495"/>
      <c r="K180" s="495">
        <f t="shared" si="110"/>
        <v>0</v>
      </c>
      <c r="L180" s="495"/>
      <c r="M180" s="495"/>
      <c r="N180" s="495"/>
      <c r="O180" s="495"/>
      <c r="P180" s="495"/>
      <c r="Q180" s="495"/>
      <c r="R180" s="495"/>
      <c r="S180" s="495"/>
      <c r="T180" s="495"/>
      <c r="U180" s="495"/>
      <c r="V180" s="495">
        <v>29.4</v>
      </c>
      <c r="W180" s="495">
        <f t="shared" si="111"/>
        <v>29.4</v>
      </c>
      <c r="X180" s="496"/>
    </row>
    <row r="181" spans="1:24" s="497" customFormat="1" ht="20.25" customHeight="1">
      <c r="A181" s="491" t="s">
        <v>356</v>
      </c>
      <c r="B181" s="498" t="s">
        <v>357</v>
      </c>
      <c r="C181" s="493"/>
      <c r="D181" s="494">
        <f t="shared" si="112"/>
        <v>0</v>
      </c>
      <c r="E181" s="495">
        <f t="shared" si="108"/>
        <v>0</v>
      </c>
      <c r="F181" s="495">
        <f t="shared" si="109"/>
        <v>0</v>
      </c>
      <c r="G181" s="495"/>
      <c r="H181" s="495">
        <f t="shared" si="97"/>
        <v>0</v>
      </c>
      <c r="I181" s="495"/>
      <c r="J181" s="495"/>
      <c r="K181" s="495">
        <f t="shared" si="110"/>
        <v>0</v>
      </c>
      <c r="L181" s="495"/>
      <c r="M181" s="495"/>
      <c r="N181" s="495"/>
      <c r="O181" s="495"/>
      <c r="P181" s="495"/>
      <c r="Q181" s="495"/>
      <c r="R181" s="495"/>
      <c r="S181" s="495"/>
      <c r="T181" s="495"/>
      <c r="U181" s="495"/>
      <c r="V181" s="495"/>
      <c r="W181" s="495">
        <f t="shared" si="111"/>
        <v>0</v>
      </c>
      <c r="X181" s="496" t="s">
        <v>261</v>
      </c>
    </row>
    <row r="182" spans="1:24" s="497" customFormat="1" ht="30.75" customHeight="1">
      <c r="A182" s="491" t="s">
        <v>358</v>
      </c>
      <c r="B182" s="498" t="s">
        <v>359</v>
      </c>
      <c r="C182" s="493"/>
      <c r="D182" s="494">
        <f>SUM(D183:D184)</f>
        <v>177</v>
      </c>
      <c r="E182" s="495">
        <f t="shared" ref="E182:W182" si="113">SUM(E183:E184)</f>
        <v>177</v>
      </c>
      <c r="F182" s="495">
        <f t="shared" si="113"/>
        <v>0</v>
      </c>
      <c r="G182" s="495">
        <f t="shared" si="113"/>
        <v>0</v>
      </c>
      <c r="H182" s="495">
        <f t="shared" si="113"/>
        <v>0</v>
      </c>
      <c r="I182" s="495">
        <f t="shared" si="113"/>
        <v>0</v>
      </c>
      <c r="J182" s="495"/>
      <c r="K182" s="495">
        <f t="shared" si="113"/>
        <v>0</v>
      </c>
      <c r="L182" s="495">
        <f t="shared" si="113"/>
        <v>0</v>
      </c>
      <c r="M182" s="495">
        <f t="shared" si="113"/>
        <v>0</v>
      </c>
      <c r="N182" s="495">
        <f t="shared" si="113"/>
        <v>177</v>
      </c>
      <c r="O182" s="495">
        <f t="shared" si="113"/>
        <v>0</v>
      </c>
      <c r="P182" s="495">
        <f t="shared" si="113"/>
        <v>0</v>
      </c>
      <c r="Q182" s="495">
        <f t="shared" si="113"/>
        <v>0</v>
      </c>
      <c r="R182" s="495">
        <f t="shared" si="113"/>
        <v>7</v>
      </c>
      <c r="S182" s="495">
        <f t="shared" si="113"/>
        <v>0</v>
      </c>
      <c r="T182" s="495">
        <f t="shared" si="113"/>
        <v>0</v>
      </c>
      <c r="U182" s="495">
        <f t="shared" si="113"/>
        <v>0</v>
      </c>
      <c r="V182" s="495">
        <f t="shared" si="113"/>
        <v>0</v>
      </c>
      <c r="W182" s="495">
        <f t="shared" si="113"/>
        <v>170</v>
      </c>
      <c r="X182" s="496"/>
    </row>
    <row r="183" spans="1:24" s="497" customFormat="1" ht="48" customHeight="1">
      <c r="A183" s="491" t="s">
        <v>255</v>
      </c>
      <c r="B183" s="498" t="s">
        <v>1004</v>
      </c>
      <c r="C183" s="493"/>
      <c r="D183" s="494">
        <f>E183+P183</f>
        <v>107</v>
      </c>
      <c r="E183" s="495">
        <f>F183+N183+O183</f>
        <v>107</v>
      </c>
      <c r="F183" s="495">
        <f>H183+K183</f>
        <v>0</v>
      </c>
      <c r="G183" s="495"/>
      <c r="H183" s="495">
        <f t="shared" si="97"/>
        <v>0</v>
      </c>
      <c r="I183" s="495"/>
      <c r="J183" s="495"/>
      <c r="K183" s="495">
        <f>L183+M183</f>
        <v>0</v>
      </c>
      <c r="L183" s="495"/>
      <c r="M183" s="495">
        <v>0</v>
      </c>
      <c r="N183" s="495">
        <f>107</f>
        <v>107</v>
      </c>
      <c r="O183" s="495"/>
      <c r="P183" s="495"/>
      <c r="Q183" s="495"/>
      <c r="R183" s="495"/>
      <c r="S183" s="495"/>
      <c r="T183" s="495"/>
      <c r="U183" s="495"/>
      <c r="V183" s="495"/>
      <c r="W183" s="495">
        <f>D183-Q183-R183-S183-U183+(T183+V183)</f>
        <v>107</v>
      </c>
      <c r="X183" s="496" t="s">
        <v>360</v>
      </c>
    </row>
    <row r="184" spans="1:24" s="497" customFormat="1" ht="20.25" customHeight="1">
      <c r="A184" s="491" t="s">
        <v>255</v>
      </c>
      <c r="B184" s="498" t="s">
        <v>361</v>
      </c>
      <c r="C184" s="493"/>
      <c r="D184" s="494">
        <f>E184+P184</f>
        <v>70</v>
      </c>
      <c r="E184" s="495">
        <f>F184+N184+O184</f>
        <v>70</v>
      </c>
      <c r="F184" s="495">
        <f>H184+K184</f>
        <v>0</v>
      </c>
      <c r="G184" s="495"/>
      <c r="H184" s="495">
        <f t="shared" si="97"/>
        <v>0</v>
      </c>
      <c r="I184" s="495"/>
      <c r="J184" s="495"/>
      <c r="K184" s="495">
        <f>L184+M184</f>
        <v>0</v>
      </c>
      <c r="L184" s="495"/>
      <c r="M184" s="495">
        <v>0</v>
      </c>
      <c r="N184" s="495">
        <v>70</v>
      </c>
      <c r="O184" s="495"/>
      <c r="P184" s="495">
        <v>0</v>
      </c>
      <c r="Q184" s="495"/>
      <c r="R184" s="495">
        <v>7</v>
      </c>
      <c r="S184" s="495"/>
      <c r="T184" s="495"/>
      <c r="U184" s="495"/>
      <c r="V184" s="495"/>
      <c r="W184" s="495">
        <f>D184-Q184-R184-S184-U184+(T184+V184)</f>
        <v>63</v>
      </c>
      <c r="X184" s="496" t="s">
        <v>362</v>
      </c>
    </row>
    <row r="185" spans="1:24" s="497" customFormat="1" ht="20.25" customHeight="1">
      <c r="A185" s="491" t="s">
        <v>363</v>
      </c>
      <c r="B185" s="498" t="s">
        <v>364</v>
      </c>
      <c r="C185" s="493"/>
      <c r="D185" s="494">
        <f>E185+P185</f>
        <v>1376</v>
      </c>
      <c r="E185" s="495">
        <f>F185+N185+O185</f>
        <v>1376</v>
      </c>
      <c r="F185" s="495">
        <f>H185+K185</f>
        <v>0</v>
      </c>
      <c r="G185" s="495"/>
      <c r="H185" s="495">
        <f t="shared" si="97"/>
        <v>0</v>
      </c>
      <c r="I185" s="495"/>
      <c r="J185" s="495"/>
      <c r="K185" s="495">
        <f>L185+M185</f>
        <v>0</v>
      </c>
      <c r="L185" s="495"/>
      <c r="M185" s="495">
        <v>0</v>
      </c>
      <c r="N185" s="495">
        <v>1376</v>
      </c>
      <c r="O185" s="495"/>
      <c r="P185" s="495"/>
      <c r="Q185" s="495"/>
      <c r="R185" s="495"/>
      <c r="S185" s="495"/>
      <c r="T185" s="495"/>
      <c r="U185" s="495"/>
      <c r="V185" s="495"/>
      <c r="W185" s="495">
        <f>D185-Q185-R185-S185-U185+(T185+V185)</f>
        <v>1376</v>
      </c>
      <c r="X185" s="496" t="s">
        <v>261</v>
      </c>
    </row>
    <row r="186" spans="1:24" s="497" customFormat="1" ht="20.25" customHeight="1">
      <c r="A186" s="491" t="s">
        <v>365</v>
      </c>
      <c r="B186" s="498" t="s">
        <v>366</v>
      </c>
      <c r="C186" s="511">
        <f>(D186-D187)/D186</f>
        <v>0.42038956664521959</v>
      </c>
      <c r="D186" s="494">
        <f>D188+D214+D217+D283+D420</f>
        <v>27461.005020000001</v>
      </c>
      <c r="E186" s="495">
        <f t="shared" ref="E186:W186" si="114">E188+E214+E217+E283+E420</f>
        <v>27461.005020000001</v>
      </c>
      <c r="F186" s="495">
        <f t="shared" si="114"/>
        <v>27461.005020000001</v>
      </c>
      <c r="G186" s="495">
        <f t="shared" si="114"/>
        <v>135</v>
      </c>
      <c r="H186" s="495">
        <f t="shared" si="114"/>
        <v>16595.875019999999</v>
      </c>
      <c r="I186" s="495">
        <f t="shared" si="114"/>
        <v>0</v>
      </c>
      <c r="J186" s="495">
        <f t="shared" si="114"/>
        <v>0</v>
      </c>
      <c r="K186" s="495">
        <f t="shared" si="114"/>
        <v>10865.130000000001</v>
      </c>
      <c r="L186" s="495">
        <f t="shared" si="114"/>
        <v>3975.5099999999998</v>
      </c>
      <c r="M186" s="495">
        <f t="shared" si="114"/>
        <v>6889.62</v>
      </c>
      <c r="N186" s="495">
        <f t="shared" si="114"/>
        <v>0</v>
      </c>
      <c r="O186" s="495">
        <f t="shared" si="114"/>
        <v>0</v>
      </c>
      <c r="P186" s="495">
        <f t="shared" si="114"/>
        <v>0</v>
      </c>
      <c r="Q186" s="495">
        <f t="shared" si="114"/>
        <v>0</v>
      </c>
      <c r="R186" s="495">
        <f t="shared" si="114"/>
        <v>1017.7</v>
      </c>
      <c r="S186" s="495">
        <f t="shared" si="114"/>
        <v>464.68</v>
      </c>
      <c r="T186" s="495">
        <f t="shared" si="114"/>
        <v>302.20000000000005</v>
      </c>
      <c r="U186" s="495">
        <f t="shared" si="114"/>
        <v>409.87</v>
      </c>
      <c r="V186" s="495">
        <f t="shared" si="114"/>
        <v>693.42100000000005</v>
      </c>
      <c r="W186" s="495">
        <f t="shared" si="114"/>
        <v>26564.37602</v>
      </c>
      <c r="X186" s="496"/>
    </row>
    <row r="187" spans="1:24" s="497" customFormat="1" ht="20.25" customHeight="1">
      <c r="A187" s="491" t="s">
        <v>293</v>
      </c>
      <c r="B187" s="498" t="s">
        <v>575</v>
      </c>
      <c r="C187" s="511">
        <f>D187/D186</f>
        <v>0.57961043335478046</v>
      </c>
      <c r="D187" s="494">
        <f>D191+D215+D219+D239+D249+D259+D270+D279+D286+D308+D317+D324+D335+D346+D357+D371+D380+D387+D396+D403+D411+D418</f>
        <v>15916.685020000001</v>
      </c>
      <c r="E187" s="494">
        <f t="shared" ref="E187:Q187" si="115">E191+E215+E219+E239+E249+E259+E270+E279+E286+E308+E317+E324+E335+E346+E357+E371+E380+E387+E396+E403+E411+E418</f>
        <v>15916.685020000001</v>
      </c>
      <c r="F187" s="494">
        <f t="shared" si="115"/>
        <v>15916.685020000001</v>
      </c>
      <c r="G187" s="494">
        <f t="shared" si="115"/>
        <v>135</v>
      </c>
      <c r="H187" s="494">
        <f t="shared" si="115"/>
        <v>15880.685020000001</v>
      </c>
      <c r="I187" s="494">
        <f t="shared" si="115"/>
        <v>0</v>
      </c>
      <c r="J187" s="494">
        <f t="shared" si="115"/>
        <v>0</v>
      </c>
      <c r="K187" s="494">
        <f t="shared" si="115"/>
        <v>36</v>
      </c>
      <c r="L187" s="494">
        <f t="shared" si="115"/>
        <v>36</v>
      </c>
      <c r="M187" s="494">
        <f t="shared" si="115"/>
        <v>0</v>
      </c>
      <c r="N187" s="494">
        <f t="shared" si="115"/>
        <v>0</v>
      </c>
      <c r="O187" s="494">
        <f t="shared" si="115"/>
        <v>0</v>
      </c>
      <c r="P187" s="494">
        <f t="shared" si="115"/>
        <v>0</v>
      </c>
      <c r="Q187" s="494">
        <f t="shared" si="115"/>
        <v>0</v>
      </c>
      <c r="R187" s="494"/>
      <c r="S187" s="494">
        <f>S191+S215+S219+S239+S249+S259+S270+S279+S286+S308+S317+S324+S335+S346+S357+S371+S380+S387+S396+S403+S411+S418</f>
        <v>459.31000000000006</v>
      </c>
      <c r="T187" s="494">
        <f>T191+T215+T219+T239+T249+T259+T270+T279+T286+T308+T317+T324+T335+T346+T357+T371+T380+T387+T396+T403+T411+T418</f>
        <v>34.46</v>
      </c>
      <c r="U187" s="494">
        <f>U191+U215+U219+U239+U249+U259+U270+U279+U286+U308+U317+U324+U335+U346+U357+U371+U380+U387+U396+U403+U411+U418</f>
        <v>156.5</v>
      </c>
      <c r="V187" s="494">
        <f>V191+V215+V219+V239+V249+V259+V270+V279+V286+V308+V317+V324+V335+V346+V357+V371+V380+V387+V396+V403+V411+V418</f>
        <v>31.259999999999998</v>
      </c>
      <c r="W187" s="494">
        <f>W191+W215+W219+W239+W249+W259+W270+W279+W286+W308+W317+W324+W335+W346+W357+W371+W380+W387+W396+W403+W411+W418</f>
        <v>15362.99502</v>
      </c>
      <c r="X187" s="496"/>
    </row>
    <row r="188" spans="1:24" s="501" customFormat="1" ht="20.25" customHeight="1">
      <c r="A188" s="491" t="s">
        <v>367</v>
      </c>
      <c r="B188" s="498" t="s">
        <v>368</v>
      </c>
      <c r="C188" s="493"/>
      <c r="D188" s="494">
        <f>D189</f>
        <v>7970.5520000000015</v>
      </c>
      <c r="E188" s="494">
        <f t="shared" ref="E188:W188" si="116">E189</f>
        <v>7970.5520000000015</v>
      </c>
      <c r="F188" s="494">
        <f t="shared" si="116"/>
        <v>7970.5520000000015</v>
      </c>
      <c r="G188" s="494">
        <f t="shared" si="116"/>
        <v>37</v>
      </c>
      <c r="H188" s="494">
        <f t="shared" si="116"/>
        <v>5128.4420000000009</v>
      </c>
      <c r="I188" s="494">
        <f t="shared" si="116"/>
        <v>0</v>
      </c>
      <c r="J188" s="494">
        <f t="shared" si="116"/>
        <v>0</v>
      </c>
      <c r="K188" s="494">
        <f t="shared" si="116"/>
        <v>2842.11</v>
      </c>
      <c r="L188" s="494">
        <f t="shared" si="116"/>
        <v>1012.11</v>
      </c>
      <c r="M188" s="494">
        <f t="shared" si="116"/>
        <v>1830</v>
      </c>
      <c r="N188" s="494">
        <f t="shared" si="116"/>
        <v>0</v>
      </c>
      <c r="O188" s="494">
        <f t="shared" si="116"/>
        <v>0</v>
      </c>
      <c r="P188" s="494">
        <f t="shared" si="116"/>
        <v>0</v>
      </c>
      <c r="Q188" s="494">
        <f t="shared" si="116"/>
        <v>0</v>
      </c>
      <c r="R188" s="494">
        <f t="shared" si="116"/>
        <v>268</v>
      </c>
      <c r="S188" s="494">
        <f t="shared" si="116"/>
        <v>0</v>
      </c>
      <c r="T188" s="494">
        <f t="shared" si="116"/>
        <v>106</v>
      </c>
      <c r="U188" s="494">
        <f t="shared" si="116"/>
        <v>0</v>
      </c>
      <c r="V188" s="494">
        <f t="shared" si="116"/>
        <v>216</v>
      </c>
      <c r="W188" s="494">
        <f t="shared" si="116"/>
        <v>8024.5520000000015</v>
      </c>
      <c r="X188" s="496"/>
    </row>
    <row r="189" spans="1:24" s="497" customFormat="1" ht="20.25" customHeight="1">
      <c r="A189" s="491" t="s">
        <v>204</v>
      </c>
      <c r="B189" s="498" t="s">
        <v>369</v>
      </c>
      <c r="C189" s="511"/>
      <c r="D189" s="494">
        <f>D190+D203</f>
        <v>7970.5520000000015</v>
      </c>
      <c r="E189" s="495">
        <f t="shared" ref="E189:W189" si="117">E190+E203</f>
        <v>7970.5520000000015</v>
      </c>
      <c r="F189" s="495">
        <f t="shared" si="117"/>
        <v>7970.5520000000015</v>
      </c>
      <c r="G189" s="495">
        <f t="shared" si="117"/>
        <v>37</v>
      </c>
      <c r="H189" s="495">
        <f t="shared" si="117"/>
        <v>5128.4420000000009</v>
      </c>
      <c r="I189" s="495">
        <f t="shared" si="117"/>
        <v>0</v>
      </c>
      <c r="J189" s="495">
        <f t="shared" si="117"/>
        <v>0</v>
      </c>
      <c r="K189" s="495">
        <f t="shared" si="117"/>
        <v>2842.11</v>
      </c>
      <c r="L189" s="495">
        <f t="shared" si="117"/>
        <v>1012.11</v>
      </c>
      <c r="M189" s="495">
        <f t="shared" si="117"/>
        <v>1830</v>
      </c>
      <c r="N189" s="495">
        <f t="shared" si="117"/>
        <v>0</v>
      </c>
      <c r="O189" s="495">
        <f t="shared" si="117"/>
        <v>0</v>
      </c>
      <c r="P189" s="495">
        <f t="shared" si="117"/>
        <v>0</v>
      </c>
      <c r="Q189" s="495">
        <f t="shared" si="117"/>
        <v>0</v>
      </c>
      <c r="R189" s="495">
        <f t="shared" si="117"/>
        <v>268</v>
      </c>
      <c r="S189" s="495">
        <f t="shared" si="117"/>
        <v>0</v>
      </c>
      <c r="T189" s="495">
        <f t="shared" si="117"/>
        <v>106</v>
      </c>
      <c r="U189" s="495">
        <f t="shared" si="117"/>
        <v>0</v>
      </c>
      <c r="V189" s="495">
        <f t="shared" si="117"/>
        <v>216</v>
      </c>
      <c r="W189" s="495">
        <f t="shared" si="117"/>
        <v>8024.5520000000015</v>
      </c>
      <c r="X189" s="496" t="s">
        <v>369</v>
      </c>
    </row>
    <row r="190" spans="1:24" s="497" customFormat="1" ht="20.25" customHeight="1">
      <c r="A190" s="491" t="s">
        <v>266</v>
      </c>
      <c r="B190" s="498" t="s">
        <v>370</v>
      </c>
      <c r="C190" s="493"/>
      <c r="D190" s="494">
        <f>SUM(D191:D202)-D193-D194</f>
        <v>6240.5520000000015</v>
      </c>
      <c r="E190" s="495">
        <f t="shared" ref="E190:W190" si="118">SUM(E191:E202)-E193-E194</f>
        <v>6240.5520000000015</v>
      </c>
      <c r="F190" s="495">
        <f t="shared" si="118"/>
        <v>6240.5520000000015</v>
      </c>
      <c r="G190" s="495">
        <f t="shared" si="118"/>
        <v>37</v>
      </c>
      <c r="H190" s="495">
        <f t="shared" si="118"/>
        <v>5128.4420000000009</v>
      </c>
      <c r="I190" s="495">
        <f t="shared" si="118"/>
        <v>0</v>
      </c>
      <c r="J190" s="495">
        <f t="shared" si="118"/>
        <v>0</v>
      </c>
      <c r="K190" s="495">
        <f t="shared" si="118"/>
        <v>1112.1100000000001</v>
      </c>
      <c r="L190" s="495">
        <f t="shared" si="118"/>
        <v>1012.11</v>
      </c>
      <c r="M190" s="495">
        <f t="shared" si="118"/>
        <v>100</v>
      </c>
      <c r="N190" s="495">
        <f t="shared" si="118"/>
        <v>0</v>
      </c>
      <c r="O190" s="495">
        <f t="shared" si="118"/>
        <v>0</v>
      </c>
      <c r="P190" s="495">
        <f t="shared" si="118"/>
        <v>0</v>
      </c>
      <c r="Q190" s="495">
        <f t="shared" si="118"/>
        <v>0</v>
      </c>
      <c r="R190" s="495">
        <f t="shared" si="118"/>
        <v>95</v>
      </c>
      <c r="S190" s="495">
        <f t="shared" si="118"/>
        <v>0</v>
      </c>
      <c r="T190" s="495">
        <f t="shared" si="118"/>
        <v>31</v>
      </c>
      <c r="U190" s="495">
        <f t="shared" si="118"/>
        <v>0</v>
      </c>
      <c r="V190" s="495">
        <f t="shared" si="118"/>
        <v>0</v>
      </c>
      <c r="W190" s="495">
        <f t="shared" si="118"/>
        <v>6176.5520000000015</v>
      </c>
      <c r="X190" s="496"/>
    </row>
    <row r="191" spans="1:24" s="497" customFormat="1" ht="20.25" customHeight="1">
      <c r="A191" s="491" t="s">
        <v>255</v>
      </c>
      <c r="B191" s="498" t="s">
        <v>752</v>
      </c>
      <c r="C191" s="511"/>
      <c r="D191" s="494">
        <f>E191+P191</f>
        <v>4741.5200000000004</v>
      </c>
      <c r="E191" s="495">
        <f>F191+N191+O191</f>
        <v>4741.5200000000004</v>
      </c>
      <c r="F191" s="495">
        <f>H191+K191</f>
        <v>4741.5200000000004</v>
      </c>
      <c r="G191" s="495">
        <v>37</v>
      </c>
      <c r="H191" s="495">
        <v>4741.5200000000004</v>
      </c>
      <c r="I191" s="495"/>
      <c r="J191" s="495"/>
      <c r="K191" s="495">
        <f>L191+M191</f>
        <v>0</v>
      </c>
      <c r="L191" s="495"/>
      <c r="M191" s="495">
        <v>0</v>
      </c>
      <c r="N191" s="495"/>
      <c r="O191" s="495"/>
      <c r="P191" s="495">
        <v>0</v>
      </c>
      <c r="Q191" s="495"/>
      <c r="R191" s="495"/>
      <c r="S191" s="495"/>
      <c r="T191" s="495"/>
      <c r="U191" s="495"/>
      <c r="V191" s="495"/>
      <c r="W191" s="495">
        <f>D191-Q191-R191-S191-U191+(T191+V191)</f>
        <v>4741.5200000000004</v>
      </c>
      <c r="X191" s="496"/>
    </row>
    <row r="192" spans="1:24" s="497" customFormat="1" ht="17.25" customHeight="1">
      <c r="A192" s="491" t="s">
        <v>255</v>
      </c>
      <c r="B192" s="498" t="s">
        <v>499</v>
      </c>
      <c r="C192" s="493"/>
      <c r="D192" s="494">
        <f t="shared" ref="D192:W192" si="119">SUM(D193:D194)</f>
        <v>300.38400000000001</v>
      </c>
      <c r="E192" s="495">
        <f t="shared" si="119"/>
        <v>300.38400000000001</v>
      </c>
      <c r="F192" s="495">
        <f t="shared" si="119"/>
        <v>300.38400000000001</v>
      </c>
      <c r="G192" s="495">
        <f t="shared" si="119"/>
        <v>0</v>
      </c>
      <c r="H192" s="495">
        <f t="shared" si="119"/>
        <v>300.38400000000001</v>
      </c>
      <c r="I192" s="495"/>
      <c r="J192" s="495">
        <f t="shared" si="119"/>
        <v>0</v>
      </c>
      <c r="K192" s="495">
        <f t="shared" si="119"/>
        <v>0</v>
      </c>
      <c r="L192" s="495">
        <f t="shared" si="119"/>
        <v>0</v>
      </c>
      <c r="M192" s="495">
        <f t="shared" si="119"/>
        <v>0</v>
      </c>
      <c r="N192" s="495">
        <f t="shared" si="119"/>
        <v>0</v>
      </c>
      <c r="O192" s="495">
        <f t="shared" si="119"/>
        <v>0</v>
      </c>
      <c r="P192" s="495">
        <f t="shared" si="119"/>
        <v>0</v>
      </c>
      <c r="Q192" s="495">
        <f t="shared" si="119"/>
        <v>0</v>
      </c>
      <c r="R192" s="495">
        <f t="shared" si="119"/>
        <v>0</v>
      </c>
      <c r="S192" s="495">
        <f t="shared" si="119"/>
        <v>0</v>
      </c>
      <c r="T192" s="495">
        <f t="shared" si="119"/>
        <v>0</v>
      </c>
      <c r="U192" s="495">
        <f t="shared" si="119"/>
        <v>0</v>
      </c>
      <c r="V192" s="495">
        <f t="shared" si="119"/>
        <v>0</v>
      </c>
      <c r="W192" s="495">
        <f t="shared" si="119"/>
        <v>300.38400000000001</v>
      </c>
      <c r="X192" s="496"/>
    </row>
    <row r="193" spans="1:24" s="497" customFormat="1" ht="25.5" customHeight="1">
      <c r="A193" s="491" t="s">
        <v>111</v>
      </c>
      <c r="B193" s="498" t="s">
        <v>675</v>
      </c>
      <c r="C193" s="512"/>
      <c r="D193" s="494">
        <f>E193+P193</f>
        <v>289.654</v>
      </c>
      <c r="E193" s="495">
        <f t="shared" ref="E193:E202" si="120">F193+N193+O193</f>
        <v>289.654</v>
      </c>
      <c r="F193" s="495">
        <f t="shared" ref="F193:F202" si="121">H193+K193</f>
        <v>289.654</v>
      </c>
      <c r="G193" s="495"/>
      <c r="H193" s="495">
        <v>289.654</v>
      </c>
      <c r="I193" s="495"/>
      <c r="J193" s="495"/>
      <c r="K193" s="495">
        <f>L193+M193</f>
        <v>0</v>
      </c>
      <c r="L193" s="495"/>
      <c r="M193" s="495">
        <v>0</v>
      </c>
      <c r="N193" s="495"/>
      <c r="O193" s="495"/>
      <c r="P193" s="495">
        <v>0</v>
      </c>
      <c r="Q193" s="495"/>
      <c r="R193" s="495"/>
      <c r="S193" s="495"/>
      <c r="T193" s="495"/>
      <c r="U193" s="495"/>
      <c r="V193" s="495"/>
      <c r="W193" s="495">
        <f t="shared" ref="W193:W202" si="122">D193-Q193-R193-S193-U193+(T193+V193)</f>
        <v>289.654</v>
      </c>
      <c r="X193" s="496"/>
    </row>
    <row r="194" spans="1:24" s="497" customFormat="1" ht="17.25" customHeight="1">
      <c r="A194" s="491" t="s">
        <v>111</v>
      </c>
      <c r="B194" s="498" t="s">
        <v>371</v>
      </c>
      <c r="C194" s="493"/>
      <c r="D194" s="494">
        <f>E194+P194</f>
        <v>10.73</v>
      </c>
      <c r="E194" s="495">
        <f t="shared" si="120"/>
        <v>10.73</v>
      </c>
      <c r="F194" s="495">
        <f t="shared" si="121"/>
        <v>10.73</v>
      </c>
      <c r="G194" s="495"/>
      <c r="H194" s="495">
        <v>10.73</v>
      </c>
      <c r="I194" s="495"/>
      <c r="J194" s="495"/>
      <c r="K194" s="495">
        <f>L194+M194</f>
        <v>0</v>
      </c>
      <c r="L194" s="495"/>
      <c r="M194" s="495">
        <v>0</v>
      </c>
      <c r="N194" s="495"/>
      <c r="O194" s="495"/>
      <c r="P194" s="495">
        <v>0</v>
      </c>
      <c r="Q194" s="495"/>
      <c r="R194" s="495"/>
      <c r="S194" s="495"/>
      <c r="T194" s="495"/>
      <c r="U194" s="495"/>
      <c r="V194" s="495"/>
      <c r="W194" s="495">
        <f t="shared" si="122"/>
        <v>10.73</v>
      </c>
      <c r="X194" s="496"/>
    </row>
    <row r="195" spans="1:24" s="497" customFormat="1" ht="30" customHeight="1">
      <c r="A195" s="491" t="s">
        <v>255</v>
      </c>
      <c r="B195" s="498" t="s">
        <v>287</v>
      </c>
      <c r="C195" s="493"/>
      <c r="D195" s="494">
        <f>E195</f>
        <v>61.71</v>
      </c>
      <c r="E195" s="495">
        <f t="shared" si="120"/>
        <v>61.71</v>
      </c>
      <c r="F195" s="495">
        <f t="shared" si="121"/>
        <v>61.71</v>
      </c>
      <c r="G195" s="495"/>
      <c r="H195" s="495">
        <f t="shared" si="97"/>
        <v>0</v>
      </c>
      <c r="I195" s="495"/>
      <c r="J195" s="495"/>
      <c r="K195" s="495">
        <f>L195+M195</f>
        <v>61.71</v>
      </c>
      <c r="L195" s="495">
        <v>61.71</v>
      </c>
      <c r="M195" s="495">
        <v>0</v>
      </c>
      <c r="N195" s="495"/>
      <c r="O195" s="495"/>
      <c r="P195" s="495">
        <v>0</v>
      </c>
      <c r="Q195" s="495"/>
      <c r="R195" s="495"/>
      <c r="S195" s="495"/>
      <c r="T195" s="495"/>
      <c r="U195" s="495"/>
      <c r="V195" s="495"/>
      <c r="W195" s="495">
        <f t="shared" si="122"/>
        <v>61.71</v>
      </c>
      <c r="X195" s="496"/>
    </row>
    <row r="196" spans="1:24" s="497" customFormat="1" ht="17.25" customHeight="1">
      <c r="A196" s="491" t="s">
        <v>255</v>
      </c>
      <c r="B196" s="498" t="s">
        <v>621</v>
      </c>
      <c r="C196" s="493"/>
      <c r="D196" s="494">
        <f>E196+P196</f>
        <v>22.17</v>
      </c>
      <c r="E196" s="495">
        <f t="shared" si="120"/>
        <v>22.17</v>
      </c>
      <c r="F196" s="495">
        <f t="shared" si="121"/>
        <v>22.17</v>
      </c>
      <c r="G196" s="495"/>
      <c r="H196" s="495">
        <v>22.17</v>
      </c>
      <c r="I196" s="495"/>
      <c r="J196" s="495"/>
      <c r="K196" s="495">
        <f t="shared" ref="K196:K289" si="123">L196+M196</f>
        <v>0</v>
      </c>
      <c r="L196" s="495"/>
      <c r="M196" s="495">
        <v>0</v>
      </c>
      <c r="N196" s="495"/>
      <c r="O196" s="495"/>
      <c r="P196" s="495"/>
      <c r="Q196" s="495"/>
      <c r="R196" s="495"/>
      <c r="S196" s="495"/>
      <c r="T196" s="495"/>
      <c r="U196" s="495"/>
      <c r="V196" s="495"/>
      <c r="W196" s="495">
        <f t="shared" si="122"/>
        <v>22.17</v>
      </c>
      <c r="X196" s="496"/>
    </row>
    <row r="197" spans="1:24" s="497" customFormat="1" ht="17.25" customHeight="1">
      <c r="A197" s="491" t="s">
        <v>255</v>
      </c>
      <c r="B197" s="498" t="s">
        <v>676</v>
      </c>
      <c r="C197" s="493"/>
      <c r="D197" s="494">
        <f>E197+P197</f>
        <v>64.367999999999995</v>
      </c>
      <c r="E197" s="495">
        <f t="shared" si="120"/>
        <v>64.367999999999995</v>
      </c>
      <c r="F197" s="495">
        <f t="shared" si="121"/>
        <v>64.367999999999995</v>
      </c>
      <c r="G197" s="495"/>
      <c r="H197" s="495">
        <v>64.367999999999995</v>
      </c>
      <c r="I197" s="495"/>
      <c r="J197" s="495"/>
      <c r="K197" s="495">
        <f t="shared" si="123"/>
        <v>0</v>
      </c>
      <c r="L197" s="495"/>
      <c r="M197" s="495">
        <v>0</v>
      </c>
      <c r="N197" s="495"/>
      <c r="O197" s="495"/>
      <c r="P197" s="495"/>
      <c r="Q197" s="495"/>
      <c r="R197" s="495"/>
      <c r="S197" s="495"/>
      <c r="T197" s="495"/>
      <c r="U197" s="495"/>
      <c r="V197" s="495"/>
      <c r="W197" s="495">
        <f t="shared" si="122"/>
        <v>64.367999999999995</v>
      </c>
      <c r="X197" s="496"/>
    </row>
    <row r="198" spans="1:24" s="497" customFormat="1" ht="25.5" customHeight="1">
      <c r="A198" s="491" t="s">
        <v>255</v>
      </c>
      <c r="B198" s="498" t="s">
        <v>753</v>
      </c>
      <c r="C198" s="493"/>
      <c r="D198" s="494">
        <f>F198</f>
        <v>950.4</v>
      </c>
      <c r="E198" s="495">
        <f>F198+N198+O198</f>
        <v>950.4</v>
      </c>
      <c r="F198" s="495">
        <f>H198+K198</f>
        <v>950.4</v>
      </c>
      <c r="G198" s="495"/>
      <c r="H198" s="495">
        <f>I198+J198</f>
        <v>0</v>
      </c>
      <c r="I198" s="495"/>
      <c r="J198" s="495"/>
      <c r="K198" s="495">
        <f>L198+M198</f>
        <v>950.4</v>
      </c>
      <c r="L198" s="495">
        <f>33*16*1.8</f>
        <v>950.4</v>
      </c>
      <c r="M198" s="495">
        <v>0</v>
      </c>
      <c r="N198" s="495">
        <v>0</v>
      </c>
      <c r="O198" s="495">
        <v>0</v>
      </c>
      <c r="P198" s="495">
        <v>0</v>
      </c>
      <c r="Q198" s="495"/>
      <c r="R198" s="495">
        <v>95</v>
      </c>
      <c r="S198" s="495"/>
      <c r="T198" s="495"/>
      <c r="U198" s="495"/>
      <c r="V198" s="495"/>
      <c r="W198" s="495">
        <f t="shared" si="122"/>
        <v>855.4</v>
      </c>
      <c r="X198" s="496"/>
    </row>
    <row r="199" spans="1:24" s="497" customFormat="1" ht="17.25" customHeight="1">
      <c r="A199" s="491" t="s">
        <v>255</v>
      </c>
      <c r="B199" s="498" t="s">
        <v>677</v>
      </c>
      <c r="C199" s="493"/>
      <c r="D199" s="494">
        <f>F199</f>
        <v>100</v>
      </c>
      <c r="E199" s="495">
        <f>F199+N199+O199</f>
        <v>100</v>
      </c>
      <c r="F199" s="495">
        <f>H199+K199</f>
        <v>100</v>
      </c>
      <c r="G199" s="495"/>
      <c r="H199" s="495">
        <f>I199+J199</f>
        <v>0</v>
      </c>
      <c r="I199" s="495"/>
      <c r="J199" s="495"/>
      <c r="K199" s="495">
        <f>L199+M199</f>
        <v>100</v>
      </c>
      <c r="L199" s="495"/>
      <c r="M199" s="495">
        <v>100</v>
      </c>
      <c r="N199" s="495">
        <v>0</v>
      </c>
      <c r="O199" s="495">
        <v>0</v>
      </c>
      <c r="P199" s="495">
        <v>0</v>
      </c>
      <c r="Q199" s="495"/>
      <c r="R199" s="495"/>
      <c r="S199" s="495"/>
      <c r="T199" s="495"/>
      <c r="U199" s="495"/>
      <c r="V199" s="495"/>
      <c r="W199" s="495">
        <f t="shared" si="122"/>
        <v>100</v>
      </c>
      <c r="X199" s="496"/>
    </row>
    <row r="200" spans="1:24" s="497" customFormat="1" ht="17.25" customHeight="1">
      <c r="A200" s="491" t="s">
        <v>255</v>
      </c>
      <c r="B200" s="498" t="s">
        <v>372</v>
      </c>
      <c r="C200" s="493"/>
      <c r="D200" s="494">
        <f>F200</f>
        <v>0</v>
      </c>
      <c r="E200" s="495">
        <f t="shared" ref="E200:E201" si="124">F200+N200+O200</f>
        <v>0</v>
      </c>
      <c r="F200" s="495">
        <f t="shared" ref="F200:F201" si="125">H200+K200</f>
        <v>0</v>
      </c>
      <c r="G200" s="495"/>
      <c r="H200" s="495">
        <f t="shared" ref="H200:H262" si="126">I200+J200</f>
        <v>0</v>
      </c>
      <c r="I200" s="495"/>
      <c r="J200" s="495"/>
      <c r="K200" s="495">
        <f t="shared" ref="K200:K201" si="127">L200+M200</f>
        <v>0</v>
      </c>
      <c r="L200" s="495"/>
      <c r="M200" s="495"/>
      <c r="N200" s="495">
        <v>0</v>
      </c>
      <c r="O200" s="495">
        <v>0</v>
      </c>
      <c r="P200" s="495">
        <v>0</v>
      </c>
      <c r="Q200" s="495"/>
      <c r="R200" s="495"/>
      <c r="S200" s="495"/>
      <c r="T200" s="495"/>
      <c r="U200" s="495"/>
      <c r="V200" s="495"/>
      <c r="W200" s="495">
        <f t="shared" si="122"/>
        <v>0</v>
      </c>
      <c r="X200" s="496"/>
    </row>
    <row r="201" spans="1:24" s="497" customFormat="1" ht="17.25" customHeight="1">
      <c r="A201" s="491" t="s">
        <v>255</v>
      </c>
      <c r="B201" s="290" t="s">
        <v>754</v>
      </c>
      <c r="C201" s="493"/>
      <c r="D201" s="494">
        <f>F201</f>
        <v>0</v>
      </c>
      <c r="E201" s="495">
        <f t="shared" si="124"/>
        <v>0</v>
      </c>
      <c r="F201" s="495">
        <f t="shared" si="125"/>
        <v>0</v>
      </c>
      <c r="G201" s="495"/>
      <c r="H201" s="495">
        <f t="shared" si="126"/>
        <v>0</v>
      </c>
      <c r="I201" s="495"/>
      <c r="J201" s="495"/>
      <c r="K201" s="495">
        <f t="shared" si="127"/>
        <v>0</v>
      </c>
      <c r="L201" s="495"/>
      <c r="M201" s="495"/>
      <c r="N201" s="495">
        <v>0</v>
      </c>
      <c r="O201" s="495">
        <v>0</v>
      </c>
      <c r="P201" s="495">
        <v>0</v>
      </c>
      <c r="Q201" s="495"/>
      <c r="R201" s="495"/>
      <c r="S201" s="495"/>
      <c r="T201" s="495">
        <v>6</v>
      </c>
      <c r="U201" s="495"/>
      <c r="V201" s="495"/>
      <c r="W201" s="495">
        <f t="shared" si="122"/>
        <v>6</v>
      </c>
      <c r="X201" s="496"/>
    </row>
    <row r="202" spans="1:24" s="497" customFormat="1" ht="17.25" customHeight="1">
      <c r="A202" s="491" t="s">
        <v>255</v>
      </c>
      <c r="B202" s="290" t="s">
        <v>755</v>
      </c>
      <c r="C202" s="493"/>
      <c r="D202" s="494">
        <f>F202</f>
        <v>0</v>
      </c>
      <c r="E202" s="495">
        <f t="shared" si="120"/>
        <v>0</v>
      </c>
      <c r="F202" s="495">
        <f t="shared" si="121"/>
        <v>0</v>
      </c>
      <c r="G202" s="495"/>
      <c r="H202" s="495">
        <f t="shared" si="126"/>
        <v>0</v>
      </c>
      <c r="I202" s="495"/>
      <c r="J202" s="495"/>
      <c r="K202" s="495">
        <f t="shared" si="123"/>
        <v>0</v>
      </c>
      <c r="L202" s="495"/>
      <c r="M202" s="495"/>
      <c r="N202" s="495">
        <v>0</v>
      </c>
      <c r="O202" s="495">
        <v>0</v>
      </c>
      <c r="P202" s="495">
        <v>0</v>
      </c>
      <c r="Q202" s="495"/>
      <c r="R202" s="495"/>
      <c r="S202" s="495"/>
      <c r="T202" s="495">
        <v>25</v>
      </c>
      <c r="U202" s="495"/>
      <c r="V202" s="495"/>
      <c r="W202" s="495">
        <f t="shared" si="122"/>
        <v>25</v>
      </c>
      <c r="X202" s="496"/>
    </row>
    <row r="203" spans="1:24" s="497" customFormat="1" ht="17.25" customHeight="1">
      <c r="A203" s="491" t="s">
        <v>373</v>
      </c>
      <c r="B203" s="498" t="s">
        <v>374</v>
      </c>
      <c r="C203" s="494">
        <f t="shared" ref="C203:W203" si="128">SUM(C204:C213)</f>
        <v>0</v>
      </c>
      <c r="D203" s="494">
        <f>SUM(D204:D213)</f>
        <v>1730</v>
      </c>
      <c r="E203" s="494">
        <f t="shared" si="128"/>
        <v>1730</v>
      </c>
      <c r="F203" s="494">
        <f t="shared" si="128"/>
        <v>1730</v>
      </c>
      <c r="G203" s="494">
        <f t="shared" si="128"/>
        <v>0</v>
      </c>
      <c r="H203" s="494">
        <f t="shared" si="128"/>
        <v>0</v>
      </c>
      <c r="I203" s="494">
        <f t="shared" si="128"/>
        <v>0</v>
      </c>
      <c r="J203" s="494">
        <f t="shared" si="128"/>
        <v>0</v>
      </c>
      <c r="K203" s="494">
        <f t="shared" si="128"/>
        <v>1730</v>
      </c>
      <c r="L203" s="494">
        <f t="shared" si="128"/>
        <v>0</v>
      </c>
      <c r="M203" s="494">
        <f>SUM(M204:M213)</f>
        <v>1730</v>
      </c>
      <c r="N203" s="494">
        <f t="shared" si="128"/>
        <v>0</v>
      </c>
      <c r="O203" s="494">
        <f t="shared" si="128"/>
        <v>0</v>
      </c>
      <c r="P203" s="494">
        <f t="shared" si="128"/>
        <v>0</v>
      </c>
      <c r="Q203" s="494">
        <f t="shared" si="128"/>
        <v>0</v>
      </c>
      <c r="R203" s="494">
        <f t="shared" si="128"/>
        <v>173</v>
      </c>
      <c r="S203" s="494">
        <f t="shared" si="128"/>
        <v>0</v>
      </c>
      <c r="T203" s="494">
        <f t="shared" si="128"/>
        <v>75</v>
      </c>
      <c r="U203" s="494">
        <f t="shared" si="128"/>
        <v>0</v>
      </c>
      <c r="V203" s="494">
        <f t="shared" si="128"/>
        <v>216</v>
      </c>
      <c r="W203" s="494">
        <f t="shared" si="128"/>
        <v>1848</v>
      </c>
      <c r="X203" s="496">
        <f>SUM(X204:X211)</f>
        <v>0</v>
      </c>
    </row>
    <row r="204" spans="1:24" s="497" customFormat="1" ht="32.25" customHeight="1">
      <c r="A204" s="491" t="s">
        <v>255</v>
      </c>
      <c r="B204" s="498" t="s">
        <v>790</v>
      </c>
      <c r="C204" s="493"/>
      <c r="D204" s="494">
        <f>E204</f>
        <v>250</v>
      </c>
      <c r="E204" s="495">
        <f t="shared" ref="E204:E213" si="129">F204+N204+O204</f>
        <v>250</v>
      </c>
      <c r="F204" s="495">
        <f t="shared" ref="F204:F213" si="130">H204+K204</f>
        <v>250</v>
      </c>
      <c r="G204" s="495"/>
      <c r="H204" s="495">
        <f t="shared" si="126"/>
        <v>0</v>
      </c>
      <c r="I204" s="495"/>
      <c r="J204" s="495"/>
      <c r="K204" s="495">
        <f t="shared" si="123"/>
        <v>250</v>
      </c>
      <c r="L204" s="495"/>
      <c r="M204" s="495">
        <v>250</v>
      </c>
      <c r="N204" s="495">
        <v>0</v>
      </c>
      <c r="O204" s="495"/>
      <c r="P204" s="495"/>
      <c r="Q204" s="495"/>
      <c r="R204" s="495">
        <f t="shared" ref="R204:R213" si="131">D204*0.1</f>
        <v>25</v>
      </c>
      <c r="S204" s="495"/>
      <c r="T204" s="494">
        <v>75</v>
      </c>
      <c r="U204" s="495"/>
      <c r="V204" s="495">
        <v>100</v>
      </c>
      <c r="W204" s="495">
        <f t="shared" ref="W204:W213" si="132">D204-Q204-R204-S204-U204+(T204+V204)</f>
        <v>400</v>
      </c>
      <c r="X204" s="496"/>
    </row>
    <row r="205" spans="1:24" s="497" customFormat="1" ht="26.25" customHeight="1">
      <c r="A205" s="491" t="s">
        <v>255</v>
      </c>
      <c r="B205" s="498" t="s">
        <v>375</v>
      </c>
      <c r="C205" s="493"/>
      <c r="D205" s="494">
        <f t="shared" ref="D205:D213" si="133">E205+P205</f>
        <v>600</v>
      </c>
      <c r="E205" s="495">
        <f t="shared" si="129"/>
        <v>600</v>
      </c>
      <c r="F205" s="495">
        <f t="shared" si="130"/>
        <v>600</v>
      </c>
      <c r="G205" s="495"/>
      <c r="H205" s="495">
        <f t="shared" si="126"/>
        <v>0</v>
      </c>
      <c r="I205" s="495"/>
      <c r="J205" s="495"/>
      <c r="K205" s="495">
        <f t="shared" si="123"/>
        <v>600</v>
      </c>
      <c r="L205" s="495"/>
      <c r="M205" s="495">
        <v>600</v>
      </c>
      <c r="N205" s="495">
        <v>0</v>
      </c>
      <c r="O205" s="495"/>
      <c r="P205" s="495"/>
      <c r="Q205" s="495"/>
      <c r="R205" s="495">
        <f t="shared" si="131"/>
        <v>60</v>
      </c>
      <c r="S205" s="495"/>
      <c r="T205" s="495"/>
      <c r="U205" s="495"/>
      <c r="V205" s="495"/>
      <c r="W205" s="495">
        <f t="shared" si="132"/>
        <v>540</v>
      </c>
      <c r="X205" s="496"/>
    </row>
    <row r="206" spans="1:24" s="497" customFormat="1" ht="66" customHeight="1">
      <c r="A206" s="491" t="s">
        <v>255</v>
      </c>
      <c r="B206" s="498" t="s">
        <v>690</v>
      </c>
      <c r="C206" s="493"/>
      <c r="D206" s="494">
        <f t="shared" si="133"/>
        <v>200</v>
      </c>
      <c r="E206" s="495">
        <f t="shared" si="129"/>
        <v>200</v>
      </c>
      <c r="F206" s="495">
        <f t="shared" si="130"/>
        <v>200</v>
      </c>
      <c r="G206" s="495"/>
      <c r="H206" s="495">
        <f t="shared" si="126"/>
        <v>0</v>
      </c>
      <c r="I206" s="495"/>
      <c r="J206" s="495"/>
      <c r="K206" s="495">
        <f t="shared" si="123"/>
        <v>200</v>
      </c>
      <c r="L206" s="495"/>
      <c r="M206" s="495">
        <v>200</v>
      </c>
      <c r="N206" s="495">
        <v>0</v>
      </c>
      <c r="O206" s="495"/>
      <c r="P206" s="495"/>
      <c r="Q206" s="495"/>
      <c r="R206" s="495">
        <f t="shared" si="131"/>
        <v>20</v>
      </c>
      <c r="S206" s="495"/>
      <c r="T206" s="495"/>
      <c r="U206" s="495"/>
      <c r="V206" s="495"/>
      <c r="W206" s="495">
        <f t="shared" si="132"/>
        <v>180</v>
      </c>
      <c r="X206" s="496"/>
    </row>
    <row r="207" spans="1:24" s="501" customFormat="1" ht="29.25" customHeight="1">
      <c r="A207" s="491" t="s">
        <v>255</v>
      </c>
      <c r="B207" s="498" t="s">
        <v>819</v>
      </c>
      <c r="C207" s="493"/>
      <c r="D207" s="494">
        <f t="shared" si="133"/>
        <v>0</v>
      </c>
      <c r="E207" s="495">
        <f t="shared" si="129"/>
        <v>0</v>
      </c>
      <c r="F207" s="495">
        <f t="shared" si="130"/>
        <v>0</v>
      </c>
      <c r="G207" s="495"/>
      <c r="H207" s="495">
        <f t="shared" si="126"/>
        <v>0</v>
      </c>
      <c r="I207" s="495"/>
      <c r="J207" s="495"/>
      <c r="K207" s="495">
        <f t="shared" si="123"/>
        <v>0</v>
      </c>
      <c r="L207" s="495"/>
      <c r="M207" s="495"/>
      <c r="N207" s="495">
        <v>0</v>
      </c>
      <c r="O207" s="495"/>
      <c r="P207" s="495"/>
      <c r="Q207" s="495"/>
      <c r="R207" s="495">
        <f t="shared" si="131"/>
        <v>0</v>
      </c>
      <c r="S207" s="495"/>
      <c r="T207" s="495"/>
      <c r="U207" s="495"/>
      <c r="V207" s="495">
        <v>116</v>
      </c>
      <c r="W207" s="495">
        <f t="shared" si="132"/>
        <v>116</v>
      </c>
      <c r="X207" s="496"/>
    </row>
    <row r="208" spans="1:24" s="497" customFormat="1" ht="33.75" customHeight="1">
      <c r="A208" s="491" t="s">
        <v>255</v>
      </c>
      <c r="B208" s="498" t="s">
        <v>821</v>
      </c>
      <c r="C208" s="493"/>
      <c r="D208" s="494">
        <f t="shared" si="133"/>
        <v>80</v>
      </c>
      <c r="E208" s="495">
        <f t="shared" si="129"/>
        <v>80</v>
      </c>
      <c r="F208" s="495">
        <f t="shared" si="130"/>
        <v>80</v>
      </c>
      <c r="G208" s="495"/>
      <c r="H208" s="495">
        <f t="shared" si="126"/>
        <v>0</v>
      </c>
      <c r="I208" s="495"/>
      <c r="J208" s="495"/>
      <c r="K208" s="495">
        <f>L208+M208</f>
        <v>80</v>
      </c>
      <c r="L208" s="495"/>
      <c r="M208" s="495">
        <v>80</v>
      </c>
      <c r="N208" s="495">
        <v>0</v>
      </c>
      <c r="O208" s="495"/>
      <c r="P208" s="495"/>
      <c r="Q208" s="495"/>
      <c r="R208" s="495">
        <f t="shared" si="131"/>
        <v>8</v>
      </c>
      <c r="S208" s="495"/>
      <c r="T208" s="495"/>
      <c r="U208" s="495"/>
      <c r="V208" s="495"/>
      <c r="W208" s="495">
        <f t="shared" si="132"/>
        <v>72</v>
      </c>
      <c r="X208" s="496"/>
    </row>
    <row r="209" spans="1:24" s="497" customFormat="1" ht="25.5" customHeight="1">
      <c r="A209" s="491" t="s">
        <v>255</v>
      </c>
      <c r="B209" s="498" t="s">
        <v>624</v>
      </c>
      <c r="C209" s="493"/>
      <c r="D209" s="494">
        <f t="shared" si="133"/>
        <v>170</v>
      </c>
      <c r="E209" s="495">
        <f t="shared" si="129"/>
        <v>170</v>
      </c>
      <c r="F209" s="495">
        <f t="shared" si="130"/>
        <v>170</v>
      </c>
      <c r="G209" s="495"/>
      <c r="H209" s="495">
        <f t="shared" si="126"/>
        <v>0</v>
      </c>
      <c r="I209" s="495"/>
      <c r="J209" s="495"/>
      <c r="K209" s="495">
        <f t="shared" si="123"/>
        <v>170</v>
      </c>
      <c r="L209" s="495"/>
      <c r="M209" s="495">
        <v>170</v>
      </c>
      <c r="N209" s="495">
        <v>0</v>
      </c>
      <c r="O209" s="495"/>
      <c r="P209" s="495"/>
      <c r="Q209" s="495"/>
      <c r="R209" s="495">
        <f t="shared" si="131"/>
        <v>17</v>
      </c>
      <c r="S209" s="495"/>
      <c r="T209" s="495"/>
      <c r="U209" s="495"/>
      <c r="V209" s="495"/>
      <c r="W209" s="495">
        <f t="shared" si="132"/>
        <v>153</v>
      </c>
      <c r="X209" s="496"/>
    </row>
    <row r="210" spans="1:24" s="497" customFormat="1" ht="17.25" customHeight="1">
      <c r="A210" s="491" t="s">
        <v>255</v>
      </c>
      <c r="B210" s="498" t="s">
        <v>376</v>
      </c>
      <c r="C210" s="493"/>
      <c r="D210" s="494">
        <f t="shared" si="133"/>
        <v>0</v>
      </c>
      <c r="E210" s="495">
        <f t="shared" si="129"/>
        <v>0</v>
      </c>
      <c r="F210" s="495">
        <f t="shared" si="130"/>
        <v>0</v>
      </c>
      <c r="G210" s="495"/>
      <c r="H210" s="495">
        <f t="shared" si="126"/>
        <v>0</v>
      </c>
      <c r="I210" s="495"/>
      <c r="J210" s="495"/>
      <c r="K210" s="495">
        <f t="shared" si="123"/>
        <v>0</v>
      </c>
      <c r="L210" s="495"/>
      <c r="M210" s="495"/>
      <c r="N210" s="495">
        <v>0</v>
      </c>
      <c r="O210" s="495"/>
      <c r="P210" s="495"/>
      <c r="Q210" s="495"/>
      <c r="R210" s="495">
        <f t="shared" si="131"/>
        <v>0</v>
      </c>
      <c r="S210" s="495"/>
      <c r="T210" s="495"/>
      <c r="U210" s="495"/>
      <c r="V210" s="495"/>
      <c r="W210" s="495">
        <f t="shared" si="132"/>
        <v>0</v>
      </c>
      <c r="X210" s="496"/>
    </row>
    <row r="211" spans="1:24" s="497" customFormat="1" ht="36.75" customHeight="1">
      <c r="A211" s="491" t="s">
        <v>255</v>
      </c>
      <c r="B211" s="498" t="s">
        <v>684</v>
      </c>
      <c r="C211" s="493"/>
      <c r="D211" s="494">
        <f t="shared" si="133"/>
        <v>150</v>
      </c>
      <c r="E211" s="495">
        <f t="shared" si="129"/>
        <v>150</v>
      </c>
      <c r="F211" s="495">
        <f t="shared" si="130"/>
        <v>150</v>
      </c>
      <c r="G211" s="495"/>
      <c r="H211" s="495">
        <f t="shared" si="126"/>
        <v>0</v>
      </c>
      <c r="I211" s="495"/>
      <c r="J211" s="495"/>
      <c r="K211" s="495">
        <f>L211+M211</f>
        <v>150</v>
      </c>
      <c r="L211" s="495"/>
      <c r="M211" s="495">
        <v>150</v>
      </c>
      <c r="N211" s="495">
        <v>0</v>
      </c>
      <c r="O211" s="495"/>
      <c r="P211" s="495"/>
      <c r="Q211" s="495"/>
      <c r="R211" s="495">
        <f t="shared" si="131"/>
        <v>15</v>
      </c>
      <c r="S211" s="495"/>
      <c r="T211" s="495"/>
      <c r="U211" s="495"/>
      <c r="V211" s="495"/>
      <c r="W211" s="495">
        <f t="shared" si="132"/>
        <v>135</v>
      </c>
      <c r="X211" s="496"/>
    </row>
    <row r="212" spans="1:24" s="497" customFormat="1" ht="30" customHeight="1">
      <c r="A212" s="491" t="s">
        <v>255</v>
      </c>
      <c r="B212" s="502" t="s">
        <v>822</v>
      </c>
      <c r="C212" s="493"/>
      <c r="D212" s="494">
        <f t="shared" si="133"/>
        <v>280</v>
      </c>
      <c r="E212" s="495">
        <f t="shared" si="129"/>
        <v>280</v>
      </c>
      <c r="F212" s="495">
        <f t="shared" si="130"/>
        <v>280</v>
      </c>
      <c r="G212" s="495"/>
      <c r="H212" s="495"/>
      <c r="I212" s="495"/>
      <c r="J212" s="495"/>
      <c r="K212" s="495">
        <f t="shared" ref="K212" si="134">L212+M212</f>
        <v>280</v>
      </c>
      <c r="L212" s="495"/>
      <c r="M212" s="495">
        <v>280</v>
      </c>
      <c r="N212" s="495"/>
      <c r="O212" s="495"/>
      <c r="P212" s="495"/>
      <c r="Q212" s="495"/>
      <c r="R212" s="495">
        <f t="shared" si="131"/>
        <v>28</v>
      </c>
      <c r="S212" s="495"/>
      <c r="T212" s="495"/>
      <c r="U212" s="495"/>
      <c r="V212" s="495"/>
      <c r="W212" s="495">
        <f t="shared" si="132"/>
        <v>252</v>
      </c>
      <c r="X212" s="496"/>
    </row>
    <row r="213" spans="1:24" s="501" customFormat="1" ht="44.25" hidden="1" customHeight="1">
      <c r="A213" s="491" t="s">
        <v>255</v>
      </c>
      <c r="B213" s="289" t="s">
        <v>756</v>
      </c>
      <c r="C213" s="493"/>
      <c r="D213" s="494">
        <f t="shared" si="133"/>
        <v>0</v>
      </c>
      <c r="E213" s="495">
        <f t="shared" si="129"/>
        <v>0</v>
      </c>
      <c r="F213" s="495">
        <f t="shared" si="130"/>
        <v>0</v>
      </c>
      <c r="G213" s="495"/>
      <c r="H213" s="495"/>
      <c r="I213" s="495"/>
      <c r="J213" s="495"/>
      <c r="K213" s="495">
        <f t="shared" si="123"/>
        <v>0</v>
      </c>
      <c r="L213" s="495"/>
      <c r="M213" s="495"/>
      <c r="N213" s="495"/>
      <c r="O213" s="495"/>
      <c r="P213" s="495"/>
      <c r="Q213" s="495"/>
      <c r="R213" s="495">
        <f t="shared" si="131"/>
        <v>0</v>
      </c>
      <c r="S213" s="495"/>
      <c r="T213" s="495"/>
      <c r="U213" s="495"/>
      <c r="V213" s="495"/>
      <c r="W213" s="495">
        <f t="shared" si="132"/>
        <v>0</v>
      </c>
      <c r="X213" s="496"/>
    </row>
    <row r="214" spans="1:24" s="497" customFormat="1" ht="28.5" customHeight="1">
      <c r="A214" s="491" t="s">
        <v>377</v>
      </c>
      <c r="B214" s="498" t="s">
        <v>757</v>
      </c>
      <c r="C214" s="493"/>
      <c r="D214" s="494">
        <f t="shared" ref="D214:W214" si="135">SUM(D215:D216)</f>
        <v>1437.6120000000001</v>
      </c>
      <c r="E214" s="495">
        <f t="shared" si="135"/>
        <v>1437.6120000000001</v>
      </c>
      <c r="F214" s="495">
        <f t="shared" si="135"/>
        <v>1437.6120000000001</v>
      </c>
      <c r="G214" s="495">
        <f t="shared" si="135"/>
        <v>0</v>
      </c>
      <c r="H214" s="495">
        <f t="shared" si="135"/>
        <v>221.71200000000002</v>
      </c>
      <c r="I214" s="495">
        <f t="shared" si="135"/>
        <v>0</v>
      </c>
      <c r="J214" s="495">
        <f t="shared" si="135"/>
        <v>0</v>
      </c>
      <c r="K214" s="495">
        <f t="shared" si="135"/>
        <v>1215.9000000000001</v>
      </c>
      <c r="L214" s="495">
        <f t="shared" si="135"/>
        <v>0</v>
      </c>
      <c r="M214" s="495">
        <f t="shared" si="135"/>
        <v>1215.9000000000001</v>
      </c>
      <c r="N214" s="495">
        <f t="shared" si="135"/>
        <v>0</v>
      </c>
      <c r="O214" s="495">
        <f t="shared" si="135"/>
        <v>0</v>
      </c>
      <c r="P214" s="495">
        <f t="shared" si="135"/>
        <v>0</v>
      </c>
      <c r="Q214" s="495">
        <f t="shared" si="135"/>
        <v>0</v>
      </c>
      <c r="R214" s="495">
        <f t="shared" si="135"/>
        <v>122</v>
      </c>
      <c r="S214" s="495">
        <f t="shared" si="135"/>
        <v>0</v>
      </c>
      <c r="T214" s="495">
        <f t="shared" si="135"/>
        <v>0</v>
      </c>
      <c r="U214" s="495">
        <f t="shared" si="135"/>
        <v>0</v>
      </c>
      <c r="V214" s="495">
        <f t="shared" si="135"/>
        <v>0</v>
      </c>
      <c r="W214" s="495">
        <f t="shared" si="135"/>
        <v>1315.6120000000001</v>
      </c>
      <c r="X214" s="496" t="s">
        <v>328</v>
      </c>
    </row>
    <row r="215" spans="1:24" s="497" customFormat="1" ht="23.25" customHeight="1">
      <c r="A215" s="491" t="s">
        <v>255</v>
      </c>
      <c r="B215" s="498" t="s">
        <v>378</v>
      </c>
      <c r="C215" s="493"/>
      <c r="D215" s="494">
        <f>E215+P215</f>
        <v>221.71200000000002</v>
      </c>
      <c r="E215" s="495">
        <f>F215+N215+O215</f>
        <v>221.71200000000002</v>
      </c>
      <c r="F215" s="495">
        <f>H215+K215</f>
        <v>221.71200000000002</v>
      </c>
      <c r="G215" s="495"/>
      <c r="H215" s="495">
        <f>31*12*0.4*1.49</f>
        <v>221.71200000000002</v>
      </c>
      <c r="I215" s="495"/>
      <c r="J215" s="495"/>
      <c r="K215" s="495">
        <f t="shared" si="123"/>
        <v>0</v>
      </c>
      <c r="L215" s="495"/>
      <c r="M215" s="495"/>
      <c r="N215" s="495"/>
      <c r="O215" s="495"/>
      <c r="P215" s="495"/>
      <c r="Q215" s="495"/>
      <c r="R215" s="495"/>
      <c r="S215" s="495"/>
      <c r="T215" s="495"/>
      <c r="U215" s="495"/>
      <c r="V215" s="495"/>
      <c r="W215" s="495">
        <f>D215-Q215-R215-S215-U215+(T215+V215)</f>
        <v>221.71200000000002</v>
      </c>
      <c r="X215" s="496"/>
    </row>
    <row r="216" spans="1:24" s="497" customFormat="1" ht="31.5" customHeight="1">
      <c r="A216" s="491" t="s">
        <v>255</v>
      </c>
      <c r="B216" s="498" t="s">
        <v>758</v>
      </c>
      <c r="C216" s="493"/>
      <c r="D216" s="494">
        <f>E216+P216</f>
        <v>1215.9000000000001</v>
      </c>
      <c r="E216" s="495">
        <f>F216+N216+O216</f>
        <v>1215.9000000000001</v>
      </c>
      <c r="F216" s="495">
        <f>H216+K216</f>
        <v>1215.9000000000001</v>
      </c>
      <c r="G216" s="495"/>
      <c r="H216" s="495">
        <f t="shared" si="126"/>
        <v>0</v>
      </c>
      <c r="I216" s="495"/>
      <c r="J216" s="495"/>
      <c r="K216" s="495">
        <f t="shared" si="123"/>
        <v>1215.9000000000001</v>
      </c>
      <c r="L216" s="495"/>
      <c r="M216" s="495">
        <f>(31*12*0.35+31*2.8+31*1.4+31*2.1+700+31*1.4)+150-3</f>
        <v>1215.9000000000001</v>
      </c>
      <c r="N216" s="495">
        <v>0</v>
      </c>
      <c r="O216" s="495"/>
      <c r="P216" s="495"/>
      <c r="Q216" s="495"/>
      <c r="R216" s="495">
        <v>122</v>
      </c>
      <c r="S216" s="495"/>
      <c r="T216" s="495"/>
      <c r="U216" s="495"/>
      <c r="V216" s="495"/>
      <c r="W216" s="495">
        <f>D216-Q216-R216-S216-U216+(T216+V216)</f>
        <v>1093.9000000000001</v>
      </c>
      <c r="X216" s="496"/>
    </row>
    <row r="217" spans="1:24" s="497" customFormat="1" ht="17.25" customHeight="1">
      <c r="A217" s="491" t="s">
        <v>379</v>
      </c>
      <c r="B217" s="498" t="s">
        <v>380</v>
      </c>
      <c r="C217" s="493"/>
      <c r="D217" s="494">
        <f>D218+D238+D248+D258+D269+D278</f>
        <v>2959.1079999999997</v>
      </c>
      <c r="E217" s="495">
        <f t="shared" ref="E217:W217" si="136">E218+E238+E248+E258+E269+E278</f>
        <v>2959.1079999999997</v>
      </c>
      <c r="F217" s="495">
        <f t="shared" si="136"/>
        <v>2959.1079999999997</v>
      </c>
      <c r="G217" s="495">
        <f t="shared" si="136"/>
        <v>15</v>
      </c>
      <c r="H217" s="495">
        <f t="shared" si="136"/>
        <v>1846.1879999999996</v>
      </c>
      <c r="I217" s="495">
        <f t="shared" si="136"/>
        <v>0</v>
      </c>
      <c r="J217" s="495">
        <f t="shared" si="136"/>
        <v>0</v>
      </c>
      <c r="K217" s="495">
        <f t="shared" si="136"/>
        <v>1112.9200000000003</v>
      </c>
      <c r="L217" s="495">
        <f t="shared" si="136"/>
        <v>394.2</v>
      </c>
      <c r="M217" s="495">
        <f t="shared" si="136"/>
        <v>718.72</v>
      </c>
      <c r="N217" s="495">
        <f t="shared" si="136"/>
        <v>0</v>
      </c>
      <c r="O217" s="495">
        <f t="shared" si="136"/>
        <v>0</v>
      </c>
      <c r="P217" s="495">
        <f t="shared" si="136"/>
        <v>0</v>
      </c>
      <c r="Q217" s="495">
        <f t="shared" si="136"/>
        <v>0</v>
      </c>
      <c r="R217" s="495">
        <f t="shared" si="136"/>
        <v>104.3</v>
      </c>
      <c r="S217" s="495">
        <f t="shared" si="136"/>
        <v>45.05</v>
      </c>
      <c r="T217" s="495">
        <f t="shared" si="136"/>
        <v>137.42000000000002</v>
      </c>
      <c r="U217" s="495">
        <f t="shared" si="136"/>
        <v>90.79</v>
      </c>
      <c r="V217" s="495">
        <f t="shared" si="136"/>
        <v>85.161000000000001</v>
      </c>
      <c r="W217" s="495">
        <f t="shared" si="136"/>
        <v>2941.549</v>
      </c>
      <c r="X217" s="496"/>
    </row>
    <row r="218" spans="1:24" s="497" customFormat="1" ht="26.25" customHeight="1">
      <c r="A218" s="491" t="s">
        <v>204</v>
      </c>
      <c r="B218" s="498" t="s">
        <v>381</v>
      </c>
      <c r="C218" s="493"/>
      <c r="D218" s="494">
        <f>SUM(D219:D237)</f>
        <v>644.47400000000005</v>
      </c>
      <c r="E218" s="495">
        <f t="shared" ref="E218:V218" si="137">SUM(E219:E237)</f>
        <v>644.47400000000005</v>
      </c>
      <c r="F218" s="495">
        <f t="shared" si="137"/>
        <v>644.47400000000005</v>
      </c>
      <c r="G218" s="495">
        <f t="shared" si="137"/>
        <v>3</v>
      </c>
      <c r="H218" s="495">
        <f t="shared" si="137"/>
        <v>401.154</v>
      </c>
      <c r="I218" s="495">
        <f t="shared" si="137"/>
        <v>0</v>
      </c>
      <c r="J218" s="495">
        <f t="shared" si="137"/>
        <v>0</v>
      </c>
      <c r="K218" s="495">
        <f t="shared" si="137"/>
        <v>243.32000000000002</v>
      </c>
      <c r="L218" s="495">
        <f t="shared" si="137"/>
        <v>79.600000000000009</v>
      </c>
      <c r="M218" s="495">
        <f t="shared" si="137"/>
        <v>163.72</v>
      </c>
      <c r="N218" s="495">
        <f t="shared" si="137"/>
        <v>0</v>
      </c>
      <c r="O218" s="495">
        <f t="shared" si="137"/>
        <v>0</v>
      </c>
      <c r="P218" s="495">
        <f t="shared" si="137"/>
        <v>0</v>
      </c>
      <c r="Q218" s="495">
        <f t="shared" si="137"/>
        <v>0</v>
      </c>
      <c r="R218" s="495">
        <f t="shared" si="137"/>
        <v>21.5</v>
      </c>
      <c r="S218" s="495">
        <f t="shared" si="137"/>
        <v>0</v>
      </c>
      <c r="T218" s="495">
        <f t="shared" si="137"/>
        <v>54.93</v>
      </c>
      <c r="U218" s="495">
        <f t="shared" si="137"/>
        <v>34.53</v>
      </c>
      <c r="V218" s="495">
        <f t="shared" si="137"/>
        <v>56.72</v>
      </c>
      <c r="W218" s="513">
        <f>SUM(W219:W237)</f>
        <v>700.09400000000005</v>
      </c>
      <c r="X218" s="496" t="s">
        <v>382</v>
      </c>
    </row>
    <row r="219" spans="1:24" s="497" customFormat="1" ht="17.25" customHeight="1">
      <c r="A219" s="491" t="s">
        <v>255</v>
      </c>
      <c r="B219" s="498" t="s">
        <v>681</v>
      </c>
      <c r="C219" s="493"/>
      <c r="D219" s="494">
        <f t="shared" ref="D219:D237" si="138">E219+P219</f>
        <v>333.20400000000001</v>
      </c>
      <c r="E219" s="495">
        <f t="shared" ref="E219:E237" si="139">F219+N219+O219</f>
        <v>333.20400000000001</v>
      </c>
      <c r="F219" s="495">
        <f t="shared" ref="F219:F237" si="140">H219+K219</f>
        <v>333.20400000000001</v>
      </c>
      <c r="G219" s="495">
        <v>3</v>
      </c>
      <c r="H219" s="495">
        <v>333.20400000000001</v>
      </c>
      <c r="I219" s="495"/>
      <c r="J219" s="495"/>
      <c r="K219" s="495">
        <f t="shared" si="123"/>
        <v>0</v>
      </c>
      <c r="L219" s="495"/>
      <c r="M219" s="495"/>
      <c r="N219" s="495"/>
      <c r="O219" s="495"/>
      <c r="P219" s="495"/>
      <c r="Q219" s="495"/>
      <c r="R219" s="495"/>
      <c r="S219" s="495"/>
      <c r="T219" s="494">
        <v>15.63</v>
      </c>
      <c r="U219" s="495"/>
      <c r="V219" s="495"/>
      <c r="W219" s="495">
        <f t="shared" ref="W219:W237" si="141">D219-Q219-R219-S219-U219+(T219+V219)</f>
        <v>348.834</v>
      </c>
      <c r="X219" s="496"/>
    </row>
    <row r="220" spans="1:24" s="497" customFormat="1" ht="22.5" customHeight="1">
      <c r="A220" s="491" t="s">
        <v>255</v>
      </c>
      <c r="B220" s="498" t="s">
        <v>682</v>
      </c>
      <c r="C220" s="493"/>
      <c r="D220" s="494">
        <f t="shared" si="138"/>
        <v>70.2</v>
      </c>
      <c r="E220" s="495">
        <f t="shared" si="139"/>
        <v>70.2</v>
      </c>
      <c r="F220" s="495">
        <f t="shared" si="140"/>
        <v>70.2</v>
      </c>
      <c r="G220" s="495"/>
      <c r="H220" s="495">
        <f t="shared" si="126"/>
        <v>0</v>
      </c>
      <c r="I220" s="495"/>
      <c r="J220" s="495"/>
      <c r="K220" s="495">
        <f t="shared" si="123"/>
        <v>70.2</v>
      </c>
      <c r="L220" s="495">
        <f>3*18*1.3</f>
        <v>70.2</v>
      </c>
      <c r="M220" s="495"/>
      <c r="N220" s="495"/>
      <c r="O220" s="495">
        <v>0</v>
      </c>
      <c r="P220" s="495">
        <v>0</v>
      </c>
      <c r="Q220" s="495"/>
      <c r="R220" s="495">
        <v>7</v>
      </c>
      <c r="S220" s="495"/>
      <c r="T220" s="495"/>
      <c r="U220" s="495"/>
      <c r="V220" s="495"/>
      <c r="W220" s="495">
        <f t="shared" si="141"/>
        <v>63.2</v>
      </c>
      <c r="X220" s="496"/>
    </row>
    <row r="221" spans="1:24" s="497" customFormat="1" ht="26.25" customHeight="1">
      <c r="A221" s="491" t="s">
        <v>255</v>
      </c>
      <c r="B221" s="498" t="s">
        <v>383</v>
      </c>
      <c r="C221" s="493"/>
      <c r="D221" s="494">
        <f t="shared" si="138"/>
        <v>10.73</v>
      </c>
      <c r="E221" s="495">
        <f t="shared" si="139"/>
        <v>10.73</v>
      </c>
      <c r="F221" s="495">
        <f t="shared" si="140"/>
        <v>10.73</v>
      </c>
      <c r="G221" s="495"/>
      <c r="H221" s="495">
        <v>10.73</v>
      </c>
      <c r="I221" s="495"/>
      <c r="J221" s="495"/>
      <c r="K221" s="495">
        <f t="shared" si="123"/>
        <v>0</v>
      </c>
      <c r="L221" s="495"/>
      <c r="M221" s="495"/>
      <c r="N221" s="495"/>
      <c r="O221" s="495"/>
      <c r="P221" s="495"/>
      <c r="Q221" s="495"/>
      <c r="R221" s="495"/>
      <c r="S221" s="495"/>
      <c r="T221" s="495"/>
      <c r="U221" s="495">
        <v>10.73</v>
      </c>
      <c r="V221" s="495"/>
      <c r="W221" s="495">
        <f t="shared" si="141"/>
        <v>0</v>
      </c>
      <c r="X221" s="496"/>
    </row>
    <row r="222" spans="1:24" s="497" customFormat="1" ht="36.75" customHeight="1">
      <c r="A222" s="491" t="s">
        <v>255</v>
      </c>
      <c r="B222" s="498" t="s">
        <v>287</v>
      </c>
      <c r="C222" s="493"/>
      <c r="D222" s="494">
        <f t="shared" si="138"/>
        <v>9.4</v>
      </c>
      <c r="E222" s="495">
        <f t="shared" si="139"/>
        <v>9.4</v>
      </c>
      <c r="F222" s="495">
        <f t="shared" si="140"/>
        <v>9.4</v>
      </c>
      <c r="G222" s="495"/>
      <c r="H222" s="495">
        <f t="shared" si="126"/>
        <v>0</v>
      </c>
      <c r="I222" s="495"/>
      <c r="J222" s="495"/>
      <c r="K222" s="495">
        <f t="shared" si="123"/>
        <v>9.4</v>
      </c>
      <c r="L222" s="495">
        <v>9.4</v>
      </c>
      <c r="M222" s="495"/>
      <c r="N222" s="495"/>
      <c r="O222" s="495"/>
      <c r="P222" s="495"/>
      <c r="Q222" s="495"/>
      <c r="R222" s="495"/>
      <c r="S222" s="495"/>
      <c r="T222" s="495"/>
      <c r="U222" s="495"/>
      <c r="V222" s="495"/>
      <c r="W222" s="495">
        <f t="shared" si="141"/>
        <v>9.4</v>
      </c>
      <c r="X222" s="496"/>
    </row>
    <row r="223" spans="1:24" s="497" customFormat="1" ht="45" customHeight="1">
      <c r="A223" s="491" t="s">
        <v>255</v>
      </c>
      <c r="B223" s="498" t="s">
        <v>609</v>
      </c>
      <c r="C223" s="493"/>
      <c r="D223" s="494">
        <f t="shared" si="138"/>
        <v>77.22</v>
      </c>
      <c r="E223" s="495">
        <f t="shared" si="139"/>
        <v>77.22</v>
      </c>
      <c r="F223" s="495">
        <f t="shared" si="140"/>
        <v>77.22</v>
      </c>
      <c r="G223" s="495"/>
      <c r="H223" s="495">
        <v>57.22</v>
      </c>
      <c r="I223" s="495"/>
      <c r="J223" s="495"/>
      <c r="K223" s="495">
        <f t="shared" si="123"/>
        <v>20</v>
      </c>
      <c r="L223" s="495"/>
      <c r="M223" s="495">
        <v>20</v>
      </c>
      <c r="N223" s="495"/>
      <c r="O223" s="495"/>
      <c r="P223" s="495">
        <v>0</v>
      </c>
      <c r="Q223" s="495"/>
      <c r="R223" s="495">
        <v>2</v>
      </c>
      <c r="S223" s="495"/>
      <c r="T223" s="495"/>
      <c r="U223" s="495"/>
      <c r="V223" s="495">
        <v>6.72</v>
      </c>
      <c r="W223" s="495">
        <f t="shared" si="141"/>
        <v>81.94</v>
      </c>
      <c r="X223" s="496"/>
    </row>
    <row r="224" spans="1:24" s="497" customFormat="1" ht="46.5" customHeight="1">
      <c r="A224" s="491" t="s">
        <v>255</v>
      </c>
      <c r="B224" s="498" t="s">
        <v>1005</v>
      </c>
      <c r="C224" s="493"/>
      <c r="D224" s="494">
        <f t="shared" si="138"/>
        <v>50</v>
      </c>
      <c r="E224" s="495">
        <f t="shared" si="139"/>
        <v>50</v>
      </c>
      <c r="F224" s="495">
        <f t="shared" si="140"/>
        <v>50</v>
      </c>
      <c r="G224" s="495"/>
      <c r="H224" s="495">
        <f t="shared" si="126"/>
        <v>0</v>
      </c>
      <c r="I224" s="495"/>
      <c r="J224" s="495"/>
      <c r="K224" s="495">
        <f t="shared" si="123"/>
        <v>50</v>
      </c>
      <c r="L224" s="495"/>
      <c r="M224" s="495">
        <v>50</v>
      </c>
      <c r="N224" s="495"/>
      <c r="O224" s="495"/>
      <c r="P224" s="495"/>
      <c r="Q224" s="495"/>
      <c r="R224" s="495">
        <f>D224*0.1</f>
        <v>5</v>
      </c>
      <c r="S224" s="495"/>
      <c r="T224" s="495"/>
      <c r="U224" s="495"/>
      <c r="V224" s="495"/>
      <c r="W224" s="495">
        <f t="shared" si="141"/>
        <v>45</v>
      </c>
      <c r="X224" s="496"/>
    </row>
    <row r="225" spans="1:24" s="497" customFormat="1" ht="28.5" customHeight="1">
      <c r="A225" s="491" t="s">
        <v>255</v>
      </c>
      <c r="B225" s="498" t="s">
        <v>384</v>
      </c>
      <c r="C225" s="493"/>
      <c r="D225" s="494">
        <f t="shared" si="138"/>
        <v>18.72</v>
      </c>
      <c r="E225" s="495">
        <f t="shared" si="139"/>
        <v>18.72</v>
      </c>
      <c r="F225" s="495">
        <f t="shared" si="140"/>
        <v>18.72</v>
      </c>
      <c r="G225" s="495"/>
      <c r="H225" s="495">
        <f t="shared" si="126"/>
        <v>0</v>
      </c>
      <c r="I225" s="495"/>
      <c r="J225" s="495"/>
      <c r="K225" s="495">
        <f t="shared" si="123"/>
        <v>18.72</v>
      </c>
      <c r="L225" s="495"/>
      <c r="M225" s="495">
        <v>18.72</v>
      </c>
      <c r="N225" s="495"/>
      <c r="O225" s="495"/>
      <c r="P225" s="495"/>
      <c r="Q225" s="495"/>
      <c r="R225" s="495"/>
      <c r="S225" s="495"/>
      <c r="T225" s="495"/>
      <c r="U225" s="495"/>
      <c r="V225" s="495"/>
      <c r="W225" s="495">
        <f t="shared" si="141"/>
        <v>18.72</v>
      </c>
      <c r="X225" s="496"/>
    </row>
    <row r="226" spans="1:24" s="497" customFormat="1" ht="43.5" customHeight="1">
      <c r="A226" s="491" t="s">
        <v>255</v>
      </c>
      <c r="B226" s="498" t="s">
        <v>385</v>
      </c>
      <c r="C226" s="493"/>
      <c r="D226" s="494">
        <f t="shared" si="138"/>
        <v>20</v>
      </c>
      <c r="E226" s="495">
        <f t="shared" si="139"/>
        <v>20</v>
      </c>
      <c r="F226" s="495">
        <f t="shared" si="140"/>
        <v>20</v>
      </c>
      <c r="G226" s="495"/>
      <c r="H226" s="495">
        <f t="shared" si="126"/>
        <v>0</v>
      </c>
      <c r="I226" s="495"/>
      <c r="J226" s="495"/>
      <c r="K226" s="495">
        <f t="shared" si="123"/>
        <v>20</v>
      </c>
      <c r="L226" s="495"/>
      <c r="M226" s="495">
        <v>20</v>
      </c>
      <c r="N226" s="495"/>
      <c r="O226" s="495"/>
      <c r="P226" s="495"/>
      <c r="Q226" s="495"/>
      <c r="R226" s="495">
        <f t="shared" ref="R226:R233" si="142">D226*0.1</f>
        <v>2</v>
      </c>
      <c r="S226" s="495"/>
      <c r="T226" s="495"/>
      <c r="U226" s="495"/>
      <c r="V226" s="495"/>
      <c r="W226" s="495">
        <f t="shared" si="141"/>
        <v>18</v>
      </c>
      <c r="X226" s="496"/>
    </row>
    <row r="227" spans="1:24" s="501" customFormat="1" ht="57" customHeight="1">
      <c r="A227" s="491" t="s">
        <v>255</v>
      </c>
      <c r="B227" s="498" t="s">
        <v>1006</v>
      </c>
      <c r="C227" s="493"/>
      <c r="D227" s="494">
        <f t="shared" si="138"/>
        <v>15</v>
      </c>
      <c r="E227" s="495">
        <f t="shared" si="139"/>
        <v>15</v>
      </c>
      <c r="F227" s="495">
        <f t="shared" si="140"/>
        <v>15</v>
      </c>
      <c r="G227" s="495"/>
      <c r="H227" s="495">
        <f t="shared" si="126"/>
        <v>0</v>
      </c>
      <c r="I227" s="495"/>
      <c r="J227" s="495"/>
      <c r="K227" s="495">
        <f t="shared" si="123"/>
        <v>15</v>
      </c>
      <c r="L227" s="495"/>
      <c r="M227" s="495">
        <v>15</v>
      </c>
      <c r="N227" s="495"/>
      <c r="O227" s="495"/>
      <c r="P227" s="495"/>
      <c r="Q227" s="495"/>
      <c r="R227" s="495">
        <f t="shared" si="142"/>
        <v>1.5</v>
      </c>
      <c r="S227" s="495"/>
      <c r="T227" s="495"/>
      <c r="U227" s="495"/>
      <c r="V227" s="495"/>
      <c r="W227" s="495">
        <f t="shared" si="141"/>
        <v>13.5</v>
      </c>
      <c r="X227" s="496"/>
    </row>
    <row r="228" spans="1:24" s="497" customFormat="1" ht="27" customHeight="1">
      <c r="A228" s="491" t="s">
        <v>255</v>
      </c>
      <c r="B228" s="498" t="s">
        <v>386</v>
      </c>
      <c r="C228" s="493"/>
      <c r="D228" s="494">
        <f t="shared" si="138"/>
        <v>20</v>
      </c>
      <c r="E228" s="495">
        <f t="shared" si="139"/>
        <v>20</v>
      </c>
      <c r="F228" s="495">
        <f t="shared" si="140"/>
        <v>20</v>
      </c>
      <c r="G228" s="495"/>
      <c r="H228" s="495">
        <f t="shared" si="126"/>
        <v>0</v>
      </c>
      <c r="I228" s="495"/>
      <c r="J228" s="495"/>
      <c r="K228" s="495">
        <f t="shared" si="123"/>
        <v>20</v>
      </c>
      <c r="L228" s="495">
        <v>0</v>
      </c>
      <c r="M228" s="495">
        <v>20</v>
      </c>
      <c r="N228" s="495"/>
      <c r="O228" s="495"/>
      <c r="P228" s="495"/>
      <c r="Q228" s="495"/>
      <c r="R228" s="495">
        <f t="shared" si="142"/>
        <v>2</v>
      </c>
      <c r="S228" s="495"/>
      <c r="T228" s="495"/>
      <c r="U228" s="495"/>
      <c r="V228" s="495"/>
      <c r="W228" s="495">
        <f t="shared" si="141"/>
        <v>18</v>
      </c>
      <c r="X228" s="496"/>
    </row>
    <row r="229" spans="1:24" s="497" customFormat="1" ht="27" customHeight="1">
      <c r="A229" s="491" t="s">
        <v>255</v>
      </c>
      <c r="B229" s="498" t="s">
        <v>387</v>
      </c>
      <c r="C229" s="493"/>
      <c r="D229" s="494">
        <f t="shared" si="138"/>
        <v>0</v>
      </c>
      <c r="E229" s="495">
        <f t="shared" si="139"/>
        <v>0</v>
      </c>
      <c r="F229" s="495">
        <f t="shared" si="140"/>
        <v>0</v>
      </c>
      <c r="G229" s="495"/>
      <c r="H229" s="495">
        <f t="shared" si="126"/>
        <v>0</v>
      </c>
      <c r="I229" s="495"/>
      <c r="J229" s="495"/>
      <c r="K229" s="495">
        <f t="shared" si="123"/>
        <v>0</v>
      </c>
      <c r="L229" s="495"/>
      <c r="M229" s="495"/>
      <c r="N229" s="495"/>
      <c r="O229" s="495"/>
      <c r="P229" s="495"/>
      <c r="Q229" s="495"/>
      <c r="R229" s="495">
        <f t="shared" si="142"/>
        <v>0</v>
      </c>
      <c r="S229" s="495"/>
      <c r="T229" s="495"/>
      <c r="U229" s="495"/>
      <c r="V229" s="495"/>
      <c r="W229" s="495">
        <f t="shared" si="141"/>
        <v>0</v>
      </c>
      <c r="X229" s="496"/>
    </row>
    <row r="230" spans="1:24" s="501" customFormat="1" ht="36" customHeight="1">
      <c r="A230" s="491" t="s">
        <v>255</v>
      </c>
      <c r="B230" s="498" t="s">
        <v>1007</v>
      </c>
      <c r="C230" s="493"/>
      <c r="D230" s="494">
        <f t="shared" si="138"/>
        <v>10</v>
      </c>
      <c r="E230" s="495">
        <f t="shared" si="139"/>
        <v>10</v>
      </c>
      <c r="F230" s="495">
        <f t="shared" si="140"/>
        <v>10</v>
      </c>
      <c r="G230" s="495"/>
      <c r="H230" s="495">
        <f t="shared" si="126"/>
        <v>0</v>
      </c>
      <c r="I230" s="495"/>
      <c r="J230" s="495"/>
      <c r="K230" s="495">
        <f t="shared" si="123"/>
        <v>10</v>
      </c>
      <c r="L230" s="495"/>
      <c r="M230" s="495">
        <v>10</v>
      </c>
      <c r="N230" s="495"/>
      <c r="O230" s="495"/>
      <c r="P230" s="495"/>
      <c r="Q230" s="495"/>
      <c r="R230" s="495">
        <f t="shared" si="142"/>
        <v>1</v>
      </c>
      <c r="S230" s="495"/>
      <c r="T230" s="495"/>
      <c r="U230" s="495"/>
      <c r="V230" s="495"/>
      <c r="W230" s="495">
        <f t="shared" si="141"/>
        <v>9</v>
      </c>
      <c r="X230" s="496"/>
    </row>
    <row r="231" spans="1:24" s="497" customFormat="1" ht="27" customHeight="1">
      <c r="A231" s="491" t="s">
        <v>255</v>
      </c>
      <c r="B231" s="498" t="s">
        <v>388</v>
      </c>
      <c r="C231" s="493"/>
      <c r="D231" s="494">
        <f t="shared" si="138"/>
        <v>10</v>
      </c>
      <c r="E231" s="495">
        <f t="shared" si="139"/>
        <v>10</v>
      </c>
      <c r="F231" s="495">
        <f t="shared" si="140"/>
        <v>10</v>
      </c>
      <c r="G231" s="495"/>
      <c r="H231" s="495">
        <f t="shared" si="126"/>
        <v>0</v>
      </c>
      <c r="I231" s="495"/>
      <c r="J231" s="495"/>
      <c r="K231" s="495">
        <f>L231+M231</f>
        <v>10</v>
      </c>
      <c r="L231" s="495"/>
      <c r="M231" s="495">
        <v>10</v>
      </c>
      <c r="N231" s="495"/>
      <c r="O231" s="495"/>
      <c r="P231" s="495"/>
      <c r="Q231" s="495"/>
      <c r="R231" s="495">
        <f t="shared" si="142"/>
        <v>1</v>
      </c>
      <c r="S231" s="495"/>
      <c r="T231" s="495"/>
      <c r="U231" s="495"/>
      <c r="V231" s="495"/>
      <c r="W231" s="495">
        <f t="shared" si="141"/>
        <v>9</v>
      </c>
      <c r="X231" s="496"/>
    </row>
    <row r="232" spans="1:24" s="497" customFormat="1" ht="20.25" customHeight="1">
      <c r="A232" s="491" t="s">
        <v>255</v>
      </c>
      <c r="B232" s="498" t="s">
        <v>524</v>
      </c>
      <c r="C232" s="493"/>
      <c r="D232" s="494">
        <f t="shared" si="138"/>
        <v>0</v>
      </c>
      <c r="E232" s="495">
        <f t="shared" si="139"/>
        <v>0</v>
      </c>
      <c r="F232" s="495">
        <f t="shared" si="140"/>
        <v>0</v>
      </c>
      <c r="G232" s="495"/>
      <c r="H232" s="495">
        <f>I232+J232</f>
        <v>0</v>
      </c>
      <c r="I232" s="495"/>
      <c r="J232" s="495"/>
      <c r="K232" s="495">
        <f>L232+M232</f>
        <v>0</v>
      </c>
      <c r="L232" s="495"/>
      <c r="M232" s="495"/>
      <c r="N232" s="495"/>
      <c r="O232" s="495"/>
      <c r="P232" s="495"/>
      <c r="Q232" s="495"/>
      <c r="R232" s="495">
        <f t="shared" si="142"/>
        <v>0</v>
      </c>
      <c r="S232" s="495"/>
      <c r="T232" s="495"/>
      <c r="U232" s="495"/>
      <c r="V232" s="495"/>
      <c r="W232" s="495">
        <f t="shared" si="141"/>
        <v>0</v>
      </c>
      <c r="X232" s="496"/>
    </row>
    <row r="233" spans="1:24" s="497" customFormat="1" ht="17.25" customHeight="1">
      <c r="A233" s="491" t="s">
        <v>255</v>
      </c>
      <c r="B233" s="498" t="s">
        <v>667</v>
      </c>
      <c r="C233" s="493"/>
      <c r="D233" s="494">
        <f t="shared" si="138"/>
        <v>0</v>
      </c>
      <c r="E233" s="495">
        <f t="shared" si="139"/>
        <v>0</v>
      </c>
      <c r="F233" s="495">
        <f t="shared" si="140"/>
        <v>0</v>
      </c>
      <c r="G233" s="495"/>
      <c r="H233" s="495">
        <f t="shared" ref="H233:H236" si="143">I233+J233</f>
        <v>0</v>
      </c>
      <c r="I233" s="495"/>
      <c r="J233" s="495"/>
      <c r="K233" s="495">
        <f t="shared" ref="K233:K236" si="144">L233+M233</f>
        <v>0</v>
      </c>
      <c r="L233" s="495"/>
      <c r="M233" s="495"/>
      <c r="N233" s="495"/>
      <c r="O233" s="495"/>
      <c r="P233" s="495"/>
      <c r="Q233" s="495"/>
      <c r="R233" s="495">
        <f t="shared" si="142"/>
        <v>0</v>
      </c>
      <c r="S233" s="495"/>
      <c r="T233" s="495"/>
      <c r="U233" s="495"/>
      <c r="V233" s="495"/>
      <c r="W233" s="495">
        <f t="shared" si="141"/>
        <v>0</v>
      </c>
      <c r="X233" s="496"/>
    </row>
    <row r="234" spans="1:24" s="497" customFormat="1" ht="57" customHeight="1">
      <c r="A234" s="491" t="s">
        <v>255</v>
      </c>
      <c r="B234" s="289" t="s">
        <v>759</v>
      </c>
      <c r="C234" s="493"/>
      <c r="D234" s="494">
        <f t="shared" si="138"/>
        <v>0</v>
      </c>
      <c r="E234" s="495">
        <f t="shared" si="139"/>
        <v>0</v>
      </c>
      <c r="F234" s="495">
        <f t="shared" si="140"/>
        <v>0</v>
      </c>
      <c r="G234" s="495"/>
      <c r="H234" s="495">
        <f t="shared" si="143"/>
        <v>0</v>
      </c>
      <c r="I234" s="495"/>
      <c r="J234" s="495"/>
      <c r="K234" s="495">
        <f t="shared" si="144"/>
        <v>0</v>
      </c>
      <c r="L234" s="495"/>
      <c r="M234" s="495"/>
      <c r="N234" s="495"/>
      <c r="O234" s="495"/>
      <c r="P234" s="495"/>
      <c r="Q234" s="495"/>
      <c r="R234" s="495"/>
      <c r="S234" s="495"/>
      <c r="T234" s="495">
        <v>23.8</v>
      </c>
      <c r="U234" s="495">
        <v>23.8</v>
      </c>
      <c r="V234" s="495"/>
      <c r="W234" s="495">
        <f t="shared" si="141"/>
        <v>0</v>
      </c>
      <c r="X234" s="496"/>
    </row>
    <row r="235" spans="1:24" s="497" customFormat="1" ht="31.5" customHeight="1">
      <c r="A235" s="491" t="s">
        <v>255</v>
      </c>
      <c r="B235" s="289" t="s">
        <v>973</v>
      </c>
      <c r="C235" s="493"/>
      <c r="D235" s="494">
        <f t="shared" si="138"/>
        <v>0</v>
      </c>
      <c r="E235" s="495">
        <f t="shared" si="139"/>
        <v>0</v>
      </c>
      <c r="F235" s="495">
        <f t="shared" si="140"/>
        <v>0</v>
      </c>
      <c r="G235" s="495"/>
      <c r="H235" s="495">
        <f t="shared" si="143"/>
        <v>0</v>
      </c>
      <c r="I235" s="495"/>
      <c r="J235" s="495"/>
      <c r="K235" s="495">
        <f t="shared" si="144"/>
        <v>0</v>
      </c>
      <c r="L235" s="495"/>
      <c r="M235" s="495"/>
      <c r="N235" s="495"/>
      <c r="O235" s="495"/>
      <c r="P235" s="495"/>
      <c r="Q235" s="495"/>
      <c r="R235" s="495"/>
      <c r="S235" s="495"/>
      <c r="T235" s="495"/>
      <c r="U235" s="495"/>
      <c r="V235" s="495">
        <v>50</v>
      </c>
      <c r="W235" s="495">
        <f t="shared" si="141"/>
        <v>50</v>
      </c>
      <c r="X235" s="496"/>
    </row>
    <row r="236" spans="1:24" s="497" customFormat="1" ht="44.25" customHeight="1">
      <c r="A236" s="491" t="s">
        <v>255</v>
      </c>
      <c r="B236" s="289" t="s">
        <v>760</v>
      </c>
      <c r="C236" s="493"/>
      <c r="D236" s="494">
        <f t="shared" si="138"/>
        <v>0</v>
      </c>
      <c r="E236" s="495">
        <f t="shared" si="139"/>
        <v>0</v>
      </c>
      <c r="F236" s="495">
        <f t="shared" si="140"/>
        <v>0</v>
      </c>
      <c r="G236" s="495"/>
      <c r="H236" s="495">
        <f t="shared" si="143"/>
        <v>0</v>
      </c>
      <c r="I236" s="495"/>
      <c r="J236" s="495"/>
      <c r="K236" s="495">
        <f t="shared" si="144"/>
        <v>0</v>
      </c>
      <c r="L236" s="495"/>
      <c r="M236" s="495"/>
      <c r="N236" s="495"/>
      <c r="O236" s="495"/>
      <c r="P236" s="495"/>
      <c r="Q236" s="495"/>
      <c r="R236" s="495"/>
      <c r="S236" s="495"/>
      <c r="T236" s="495">
        <v>10</v>
      </c>
      <c r="U236" s="495"/>
      <c r="V236" s="495"/>
      <c r="W236" s="495">
        <f t="shared" si="141"/>
        <v>10</v>
      </c>
      <c r="X236" s="496"/>
    </row>
    <row r="237" spans="1:24" s="497" customFormat="1" ht="26.25" customHeight="1">
      <c r="A237" s="491" t="s">
        <v>255</v>
      </c>
      <c r="B237" s="289" t="s">
        <v>761</v>
      </c>
      <c r="C237" s="493"/>
      <c r="D237" s="494">
        <f t="shared" si="138"/>
        <v>0</v>
      </c>
      <c r="E237" s="495">
        <f t="shared" si="139"/>
        <v>0</v>
      </c>
      <c r="F237" s="495">
        <f t="shared" si="140"/>
        <v>0</v>
      </c>
      <c r="G237" s="495"/>
      <c r="H237" s="495">
        <f t="shared" si="126"/>
        <v>0</v>
      </c>
      <c r="I237" s="495"/>
      <c r="J237" s="495"/>
      <c r="K237" s="495">
        <f t="shared" si="123"/>
        <v>0</v>
      </c>
      <c r="L237" s="495"/>
      <c r="M237" s="495"/>
      <c r="N237" s="495"/>
      <c r="O237" s="495"/>
      <c r="P237" s="495"/>
      <c r="Q237" s="495"/>
      <c r="R237" s="495"/>
      <c r="S237" s="495"/>
      <c r="T237" s="495">
        <v>5.5</v>
      </c>
      <c r="U237" s="495"/>
      <c r="V237" s="495"/>
      <c r="W237" s="495">
        <f t="shared" si="141"/>
        <v>5.5</v>
      </c>
      <c r="X237" s="496"/>
    </row>
    <row r="238" spans="1:24" s="497" customFormat="1" ht="17.25" customHeight="1">
      <c r="A238" s="491" t="s">
        <v>206</v>
      </c>
      <c r="B238" s="498" t="s">
        <v>389</v>
      </c>
      <c r="C238" s="494">
        <f t="shared" ref="C238:W238" si="145">SUM(C239:C247)</f>
        <v>0</v>
      </c>
      <c r="D238" s="494">
        <f t="shared" si="145"/>
        <v>592.98799999999994</v>
      </c>
      <c r="E238" s="494">
        <f t="shared" si="145"/>
        <v>592.98799999999994</v>
      </c>
      <c r="F238" s="494">
        <f t="shared" si="145"/>
        <v>592.98799999999994</v>
      </c>
      <c r="G238" s="494">
        <f t="shared" si="145"/>
        <v>3</v>
      </c>
      <c r="H238" s="494">
        <f t="shared" si="145"/>
        <v>373.38799999999998</v>
      </c>
      <c r="I238" s="494">
        <f t="shared" si="145"/>
        <v>0</v>
      </c>
      <c r="J238" s="494">
        <f t="shared" si="145"/>
        <v>0</v>
      </c>
      <c r="K238" s="494">
        <f t="shared" si="145"/>
        <v>219.60000000000002</v>
      </c>
      <c r="L238" s="494">
        <f t="shared" si="145"/>
        <v>79.600000000000009</v>
      </c>
      <c r="M238" s="494">
        <f t="shared" si="145"/>
        <v>140</v>
      </c>
      <c r="N238" s="494">
        <f t="shared" si="145"/>
        <v>0</v>
      </c>
      <c r="O238" s="494">
        <f t="shared" si="145"/>
        <v>0</v>
      </c>
      <c r="P238" s="494">
        <f t="shared" si="145"/>
        <v>0</v>
      </c>
      <c r="Q238" s="494">
        <f t="shared" si="145"/>
        <v>0</v>
      </c>
      <c r="R238" s="494">
        <f t="shared" si="145"/>
        <v>21</v>
      </c>
      <c r="S238" s="494">
        <f t="shared" si="145"/>
        <v>0</v>
      </c>
      <c r="T238" s="494">
        <f t="shared" si="145"/>
        <v>27.05</v>
      </c>
      <c r="U238" s="494">
        <f t="shared" si="145"/>
        <v>0</v>
      </c>
      <c r="V238" s="494">
        <f t="shared" si="145"/>
        <v>0</v>
      </c>
      <c r="W238" s="494">
        <f t="shared" si="145"/>
        <v>599.03800000000001</v>
      </c>
      <c r="X238" s="496" t="s">
        <v>389</v>
      </c>
    </row>
    <row r="239" spans="1:24" s="497" customFormat="1" ht="17.25" customHeight="1">
      <c r="A239" s="491" t="s">
        <v>255</v>
      </c>
      <c r="B239" s="498" t="s">
        <v>390</v>
      </c>
      <c r="C239" s="493"/>
      <c r="D239" s="494">
        <f t="shared" ref="D239:D247" si="146">E239+P239</f>
        <v>373.38799999999998</v>
      </c>
      <c r="E239" s="495">
        <f t="shared" ref="E239:E247" si="147">F239+N239+O239</f>
        <v>373.38799999999998</v>
      </c>
      <c r="F239" s="495">
        <f t="shared" ref="F239:F247" si="148">H239+K239</f>
        <v>373.38799999999998</v>
      </c>
      <c r="G239" s="495">
        <v>3</v>
      </c>
      <c r="H239" s="495">
        <v>373.38799999999998</v>
      </c>
      <c r="I239" s="495"/>
      <c r="J239" s="495"/>
      <c r="K239" s="495">
        <f t="shared" si="123"/>
        <v>0</v>
      </c>
      <c r="L239" s="495"/>
      <c r="M239" s="495">
        <v>0</v>
      </c>
      <c r="N239" s="495"/>
      <c r="O239" s="495"/>
      <c r="P239" s="495"/>
      <c r="Q239" s="495"/>
      <c r="R239" s="495"/>
      <c r="S239" s="495"/>
      <c r="T239" s="494">
        <v>5.05</v>
      </c>
      <c r="U239" s="495"/>
      <c r="V239" s="495"/>
      <c r="W239" s="495">
        <f t="shared" ref="W239:W247" si="149">D239-Q239-R239-S239-U239+(T239+V239)</f>
        <v>378.43799999999999</v>
      </c>
      <c r="X239" s="496"/>
    </row>
    <row r="240" spans="1:24" s="497" customFormat="1" ht="23.25" customHeight="1">
      <c r="A240" s="491" t="s">
        <v>255</v>
      </c>
      <c r="B240" s="498" t="s">
        <v>581</v>
      </c>
      <c r="C240" s="493"/>
      <c r="D240" s="494">
        <f t="shared" si="146"/>
        <v>70.2</v>
      </c>
      <c r="E240" s="495">
        <f t="shared" si="147"/>
        <v>70.2</v>
      </c>
      <c r="F240" s="495">
        <f t="shared" si="148"/>
        <v>70.2</v>
      </c>
      <c r="G240" s="495"/>
      <c r="H240" s="495">
        <f t="shared" si="126"/>
        <v>0</v>
      </c>
      <c r="I240" s="495"/>
      <c r="J240" s="495"/>
      <c r="K240" s="495">
        <f t="shared" si="123"/>
        <v>70.2</v>
      </c>
      <c r="L240" s="495">
        <f>3*18*1.3</f>
        <v>70.2</v>
      </c>
      <c r="M240" s="495">
        <v>0</v>
      </c>
      <c r="N240" s="495">
        <v>0</v>
      </c>
      <c r="O240" s="495">
        <v>0</v>
      </c>
      <c r="P240" s="495">
        <v>0</v>
      </c>
      <c r="Q240" s="495"/>
      <c r="R240" s="495">
        <v>7</v>
      </c>
      <c r="S240" s="495"/>
      <c r="T240" s="495"/>
      <c r="U240" s="495"/>
      <c r="V240" s="495"/>
      <c r="W240" s="495">
        <f t="shared" si="149"/>
        <v>63.2</v>
      </c>
      <c r="X240" s="496"/>
    </row>
    <row r="241" spans="1:24" s="497" customFormat="1" ht="28.5" customHeight="1">
      <c r="A241" s="491" t="s">
        <v>255</v>
      </c>
      <c r="B241" s="498" t="s">
        <v>287</v>
      </c>
      <c r="C241" s="493"/>
      <c r="D241" s="494">
        <f t="shared" si="146"/>
        <v>9.4</v>
      </c>
      <c r="E241" s="495">
        <f t="shared" si="147"/>
        <v>9.4</v>
      </c>
      <c r="F241" s="495">
        <f t="shared" si="148"/>
        <v>9.4</v>
      </c>
      <c r="G241" s="495"/>
      <c r="H241" s="495">
        <f t="shared" si="126"/>
        <v>0</v>
      </c>
      <c r="I241" s="495"/>
      <c r="J241" s="495"/>
      <c r="K241" s="495">
        <f t="shared" si="123"/>
        <v>9.4</v>
      </c>
      <c r="L241" s="495">
        <v>9.4</v>
      </c>
      <c r="M241" s="495">
        <v>0</v>
      </c>
      <c r="N241" s="495"/>
      <c r="O241" s="495"/>
      <c r="P241" s="495"/>
      <c r="Q241" s="495"/>
      <c r="R241" s="495"/>
      <c r="S241" s="495"/>
      <c r="T241" s="495"/>
      <c r="U241" s="495"/>
      <c r="V241" s="495"/>
      <c r="W241" s="495">
        <f t="shared" si="149"/>
        <v>9.4</v>
      </c>
      <c r="X241" s="496"/>
    </row>
    <row r="242" spans="1:24" s="497" customFormat="1" ht="37.5" customHeight="1">
      <c r="A242" s="491" t="s">
        <v>255</v>
      </c>
      <c r="B242" s="498" t="s">
        <v>1008</v>
      </c>
      <c r="C242" s="493"/>
      <c r="D242" s="494">
        <f t="shared" si="146"/>
        <v>10</v>
      </c>
      <c r="E242" s="495">
        <f t="shared" si="147"/>
        <v>10</v>
      </c>
      <c r="F242" s="495">
        <f t="shared" si="148"/>
        <v>10</v>
      </c>
      <c r="G242" s="495"/>
      <c r="H242" s="495">
        <f t="shared" si="126"/>
        <v>0</v>
      </c>
      <c r="I242" s="495"/>
      <c r="J242" s="495"/>
      <c r="K242" s="495">
        <f t="shared" si="123"/>
        <v>10</v>
      </c>
      <c r="L242" s="495"/>
      <c r="M242" s="495">
        <v>10</v>
      </c>
      <c r="N242" s="495"/>
      <c r="O242" s="495"/>
      <c r="P242" s="495"/>
      <c r="Q242" s="495"/>
      <c r="R242" s="495">
        <f t="shared" ref="R242:R247" si="150">D242*0.1</f>
        <v>1</v>
      </c>
      <c r="S242" s="495"/>
      <c r="T242" s="495"/>
      <c r="U242" s="495"/>
      <c r="V242" s="495"/>
      <c r="W242" s="495">
        <f t="shared" si="149"/>
        <v>9</v>
      </c>
      <c r="X242" s="496"/>
    </row>
    <row r="243" spans="1:24" s="497" customFormat="1" ht="23.25" customHeight="1">
      <c r="A243" s="491" t="s">
        <v>255</v>
      </c>
      <c r="B243" s="498" t="s">
        <v>762</v>
      </c>
      <c r="C243" s="493"/>
      <c r="D243" s="494">
        <f t="shared" si="146"/>
        <v>80</v>
      </c>
      <c r="E243" s="495">
        <f t="shared" si="147"/>
        <v>80</v>
      </c>
      <c r="F243" s="495">
        <f t="shared" si="148"/>
        <v>80</v>
      </c>
      <c r="G243" s="495"/>
      <c r="H243" s="495">
        <f t="shared" si="126"/>
        <v>0</v>
      </c>
      <c r="I243" s="495"/>
      <c r="J243" s="495"/>
      <c r="K243" s="495">
        <f t="shared" si="123"/>
        <v>80</v>
      </c>
      <c r="L243" s="495"/>
      <c r="M243" s="495">
        <v>80</v>
      </c>
      <c r="N243" s="495"/>
      <c r="O243" s="495"/>
      <c r="P243" s="495"/>
      <c r="Q243" s="495"/>
      <c r="R243" s="495">
        <f t="shared" si="150"/>
        <v>8</v>
      </c>
      <c r="S243" s="495"/>
      <c r="T243" s="495"/>
      <c r="U243" s="495"/>
      <c r="V243" s="495"/>
      <c r="W243" s="495">
        <f t="shared" si="149"/>
        <v>72</v>
      </c>
      <c r="X243" s="496"/>
    </row>
    <row r="244" spans="1:24" s="497" customFormat="1" ht="69.75" customHeight="1">
      <c r="A244" s="491" t="s">
        <v>255</v>
      </c>
      <c r="B244" s="498" t="s">
        <v>1009</v>
      </c>
      <c r="C244" s="493"/>
      <c r="D244" s="494">
        <f t="shared" si="146"/>
        <v>50</v>
      </c>
      <c r="E244" s="495">
        <f t="shared" si="147"/>
        <v>50</v>
      </c>
      <c r="F244" s="495">
        <f t="shared" si="148"/>
        <v>50</v>
      </c>
      <c r="G244" s="495"/>
      <c r="H244" s="495">
        <f>I244+J244</f>
        <v>0</v>
      </c>
      <c r="I244" s="495"/>
      <c r="J244" s="495"/>
      <c r="K244" s="495">
        <f t="shared" si="123"/>
        <v>50</v>
      </c>
      <c r="L244" s="495"/>
      <c r="M244" s="495">
        <v>50</v>
      </c>
      <c r="N244" s="495"/>
      <c r="O244" s="495"/>
      <c r="P244" s="495"/>
      <c r="Q244" s="495"/>
      <c r="R244" s="495">
        <f t="shared" si="150"/>
        <v>5</v>
      </c>
      <c r="S244" s="495"/>
      <c r="T244" s="495"/>
      <c r="U244" s="495"/>
      <c r="V244" s="495"/>
      <c r="W244" s="495">
        <f t="shared" si="149"/>
        <v>45</v>
      </c>
      <c r="X244" s="496"/>
    </row>
    <row r="245" spans="1:24" s="497" customFormat="1" ht="22.5" customHeight="1">
      <c r="A245" s="491" t="s">
        <v>255</v>
      </c>
      <c r="B245" s="498" t="s">
        <v>668</v>
      </c>
      <c r="C245" s="493"/>
      <c r="D245" s="494">
        <f t="shared" si="146"/>
        <v>0</v>
      </c>
      <c r="E245" s="495">
        <f t="shared" si="147"/>
        <v>0</v>
      </c>
      <c r="F245" s="495">
        <f t="shared" si="148"/>
        <v>0</v>
      </c>
      <c r="G245" s="495"/>
      <c r="H245" s="495"/>
      <c r="I245" s="495"/>
      <c r="J245" s="495"/>
      <c r="K245" s="495">
        <f t="shared" si="123"/>
        <v>0</v>
      </c>
      <c r="L245" s="495"/>
      <c r="M245" s="495"/>
      <c r="N245" s="495"/>
      <c r="O245" s="495"/>
      <c r="P245" s="495"/>
      <c r="Q245" s="495"/>
      <c r="R245" s="495">
        <f t="shared" si="150"/>
        <v>0</v>
      </c>
      <c r="S245" s="495"/>
      <c r="T245" s="495"/>
      <c r="U245" s="495"/>
      <c r="V245" s="495"/>
      <c r="W245" s="495">
        <f t="shared" si="149"/>
        <v>0</v>
      </c>
      <c r="X245" s="496"/>
    </row>
    <row r="246" spans="1:24" s="497" customFormat="1" ht="21" customHeight="1">
      <c r="A246" s="491" t="s">
        <v>255</v>
      </c>
      <c r="B246" s="290" t="s">
        <v>763</v>
      </c>
      <c r="C246" s="493"/>
      <c r="D246" s="494">
        <f t="shared" si="146"/>
        <v>0</v>
      </c>
      <c r="E246" s="495">
        <f t="shared" si="147"/>
        <v>0</v>
      </c>
      <c r="F246" s="495">
        <f t="shared" si="148"/>
        <v>0</v>
      </c>
      <c r="G246" s="495"/>
      <c r="H246" s="495"/>
      <c r="I246" s="495"/>
      <c r="J246" s="495"/>
      <c r="K246" s="495">
        <f t="shared" si="123"/>
        <v>0</v>
      </c>
      <c r="L246" s="495"/>
      <c r="M246" s="495">
        <v>0</v>
      </c>
      <c r="N246" s="495"/>
      <c r="O246" s="495"/>
      <c r="P246" s="495"/>
      <c r="Q246" s="495"/>
      <c r="R246" s="495">
        <f t="shared" si="150"/>
        <v>0</v>
      </c>
      <c r="S246" s="495"/>
      <c r="T246" s="495">
        <v>22</v>
      </c>
      <c r="U246" s="495"/>
      <c r="V246" s="495"/>
      <c r="W246" s="495">
        <f t="shared" si="149"/>
        <v>22</v>
      </c>
      <c r="X246" s="496"/>
    </row>
    <row r="247" spans="1:24" s="497" customFormat="1" ht="36" customHeight="1">
      <c r="A247" s="491" t="s">
        <v>255</v>
      </c>
      <c r="B247" s="498" t="s">
        <v>764</v>
      </c>
      <c r="C247" s="493"/>
      <c r="D247" s="494">
        <f t="shared" si="146"/>
        <v>0</v>
      </c>
      <c r="E247" s="495">
        <f t="shared" si="147"/>
        <v>0</v>
      </c>
      <c r="F247" s="495">
        <f t="shared" si="148"/>
        <v>0</v>
      </c>
      <c r="G247" s="495"/>
      <c r="H247" s="495"/>
      <c r="I247" s="495"/>
      <c r="J247" s="495"/>
      <c r="K247" s="495">
        <f t="shared" si="123"/>
        <v>0</v>
      </c>
      <c r="L247" s="495"/>
      <c r="M247" s="495">
        <v>0</v>
      </c>
      <c r="N247" s="495"/>
      <c r="O247" s="495"/>
      <c r="P247" s="495"/>
      <c r="Q247" s="495"/>
      <c r="R247" s="495">
        <f t="shared" si="150"/>
        <v>0</v>
      </c>
      <c r="S247" s="495"/>
      <c r="T247" s="495"/>
      <c r="U247" s="495"/>
      <c r="V247" s="495"/>
      <c r="W247" s="495">
        <f t="shared" si="149"/>
        <v>0</v>
      </c>
      <c r="X247" s="496"/>
    </row>
    <row r="248" spans="1:24" s="497" customFormat="1" ht="17.25" customHeight="1">
      <c r="A248" s="491" t="s">
        <v>208</v>
      </c>
      <c r="B248" s="498" t="s">
        <v>392</v>
      </c>
      <c r="C248" s="493"/>
      <c r="D248" s="494">
        <f>SUM(D249:D257)</f>
        <v>699.55899999999997</v>
      </c>
      <c r="E248" s="495">
        <f t="shared" ref="E248:W248" si="151">SUM(E249:E257)</f>
        <v>699.55899999999997</v>
      </c>
      <c r="F248" s="495">
        <f t="shared" si="151"/>
        <v>699.55899999999997</v>
      </c>
      <c r="G248" s="495">
        <f t="shared" si="151"/>
        <v>3</v>
      </c>
      <c r="H248" s="495">
        <f t="shared" si="151"/>
        <v>369.95899999999995</v>
      </c>
      <c r="I248" s="495">
        <f t="shared" si="151"/>
        <v>0</v>
      </c>
      <c r="J248" s="495">
        <f t="shared" si="151"/>
        <v>0</v>
      </c>
      <c r="K248" s="495">
        <f t="shared" si="151"/>
        <v>329.6</v>
      </c>
      <c r="L248" s="495">
        <f t="shared" si="151"/>
        <v>79.600000000000009</v>
      </c>
      <c r="M248" s="495">
        <f t="shared" si="151"/>
        <v>250</v>
      </c>
      <c r="N248" s="495">
        <f t="shared" si="151"/>
        <v>0</v>
      </c>
      <c r="O248" s="495">
        <f t="shared" si="151"/>
        <v>0</v>
      </c>
      <c r="P248" s="495">
        <f t="shared" si="151"/>
        <v>0</v>
      </c>
      <c r="Q248" s="495">
        <f t="shared" si="151"/>
        <v>0</v>
      </c>
      <c r="R248" s="495">
        <f t="shared" si="151"/>
        <v>32</v>
      </c>
      <c r="S248" s="495">
        <f t="shared" si="151"/>
        <v>31.8</v>
      </c>
      <c r="T248" s="495">
        <f t="shared" si="151"/>
        <v>15.68</v>
      </c>
      <c r="U248" s="495">
        <f t="shared" si="151"/>
        <v>50.9</v>
      </c>
      <c r="V248" s="495">
        <f t="shared" si="151"/>
        <v>0</v>
      </c>
      <c r="W248" s="495">
        <f t="shared" si="151"/>
        <v>600.53899999999987</v>
      </c>
      <c r="X248" s="496" t="s">
        <v>392</v>
      </c>
    </row>
    <row r="249" spans="1:24" s="497" customFormat="1" ht="17.25" customHeight="1">
      <c r="A249" s="491" t="s">
        <v>255</v>
      </c>
      <c r="B249" s="498" t="s">
        <v>432</v>
      </c>
      <c r="C249" s="493"/>
      <c r="D249" s="494">
        <f t="shared" ref="D249:D257" si="152">E249+P249</f>
        <v>312.73899999999998</v>
      </c>
      <c r="E249" s="495">
        <f t="shared" ref="E249:E257" si="153">F249+N249+O249</f>
        <v>312.73899999999998</v>
      </c>
      <c r="F249" s="495">
        <f t="shared" ref="F249:F257" si="154">H249+K249</f>
        <v>312.73899999999998</v>
      </c>
      <c r="G249" s="495">
        <v>3</v>
      </c>
      <c r="H249" s="495">
        <v>312.73899999999998</v>
      </c>
      <c r="I249" s="495"/>
      <c r="J249" s="495"/>
      <c r="K249" s="495">
        <f t="shared" si="123"/>
        <v>0</v>
      </c>
      <c r="L249" s="495"/>
      <c r="M249" s="495">
        <v>0</v>
      </c>
      <c r="N249" s="495"/>
      <c r="O249" s="495"/>
      <c r="P249" s="495"/>
      <c r="Q249" s="495"/>
      <c r="R249" s="495"/>
      <c r="S249" s="494">
        <v>31.8</v>
      </c>
      <c r="T249" s="495"/>
      <c r="U249" s="495">
        <v>18.5</v>
      </c>
      <c r="V249" s="495"/>
      <c r="W249" s="495">
        <f t="shared" ref="W249:W257" si="155">D249-Q249-R249-S249-U249+(T249+V249)</f>
        <v>262.43899999999996</v>
      </c>
      <c r="X249" s="496"/>
    </row>
    <row r="250" spans="1:24" s="497" customFormat="1" ht="26.25" customHeight="1">
      <c r="A250" s="491" t="s">
        <v>255</v>
      </c>
      <c r="B250" s="498" t="s">
        <v>581</v>
      </c>
      <c r="C250" s="493"/>
      <c r="D250" s="494">
        <f t="shared" si="152"/>
        <v>70.2</v>
      </c>
      <c r="E250" s="495">
        <f t="shared" si="153"/>
        <v>70.2</v>
      </c>
      <c r="F250" s="495">
        <f t="shared" si="154"/>
        <v>70.2</v>
      </c>
      <c r="G250" s="495"/>
      <c r="H250" s="495"/>
      <c r="I250" s="495"/>
      <c r="J250" s="495"/>
      <c r="K250" s="495">
        <f t="shared" si="123"/>
        <v>70.2</v>
      </c>
      <c r="L250" s="495">
        <f>3*18*1.3</f>
        <v>70.2</v>
      </c>
      <c r="M250" s="495">
        <v>0</v>
      </c>
      <c r="N250" s="495">
        <v>0</v>
      </c>
      <c r="O250" s="495">
        <v>0</v>
      </c>
      <c r="P250" s="495">
        <v>0</v>
      </c>
      <c r="Q250" s="495"/>
      <c r="R250" s="495">
        <v>7</v>
      </c>
      <c r="S250" s="495"/>
      <c r="T250" s="495"/>
      <c r="U250" s="495">
        <v>23</v>
      </c>
      <c r="V250" s="495"/>
      <c r="W250" s="495">
        <f t="shared" si="155"/>
        <v>40.200000000000003</v>
      </c>
      <c r="X250" s="496"/>
    </row>
    <row r="251" spans="1:24" s="497" customFormat="1" ht="33" customHeight="1">
      <c r="A251" s="491" t="s">
        <v>255</v>
      </c>
      <c r="B251" s="498" t="s">
        <v>287</v>
      </c>
      <c r="C251" s="493"/>
      <c r="D251" s="494">
        <f t="shared" si="152"/>
        <v>9.4</v>
      </c>
      <c r="E251" s="495">
        <f t="shared" si="153"/>
        <v>9.4</v>
      </c>
      <c r="F251" s="495">
        <f t="shared" si="154"/>
        <v>9.4</v>
      </c>
      <c r="G251" s="495"/>
      <c r="H251" s="495"/>
      <c r="I251" s="495"/>
      <c r="J251" s="495"/>
      <c r="K251" s="495">
        <f t="shared" si="123"/>
        <v>9.4</v>
      </c>
      <c r="L251" s="495">
        <v>9.4</v>
      </c>
      <c r="M251" s="495">
        <v>0</v>
      </c>
      <c r="N251" s="495"/>
      <c r="O251" s="495"/>
      <c r="P251" s="495"/>
      <c r="Q251" s="495"/>
      <c r="R251" s="495"/>
      <c r="S251" s="495"/>
      <c r="T251" s="495"/>
      <c r="U251" s="495">
        <v>9.4</v>
      </c>
      <c r="V251" s="495"/>
      <c r="W251" s="495">
        <f t="shared" si="155"/>
        <v>0</v>
      </c>
      <c r="X251" s="496"/>
    </row>
    <row r="252" spans="1:24" s="497" customFormat="1" ht="21" customHeight="1">
      <c r="A252" s="491" t="s">
        <v>255</v>
      </c>
      <c r="B252" s="498" t="s">
        <v>669</v>
      </c>
      <c r="C252" s="493"/>
      <c r="D252" s="494">
        <f t="shared" si="152"/>
        <v>0</v>
      </c>
      <c r="E252" s="495">
        <f t="shared" si="153"/>
        <v>0</v>
      </c>
      <c r="F252" s="495">
        <f t="shared" si="154"/>
        <v>0</v>
      </c>
      <c r="G252" s="495"/>
      <c r="H252" s="495">
        <f t="shared" si="126"/>
        <v>0</v>
      </c>
      <c r="I252" s="495"/>
      <c r="J252" s="495"/>
      <c r="K252" s="495">
        <f>L252+M252</f>
        <v>0</v>
      </c>
      <c r="L252" s="495"/>
      <c r="M252" s="495">
        <v>0</v>
      </c>
      <c r="N252" s="495"/>
      <c r="O252" s="495"/>
      <c r="P252" s="495"/>
      <c r="Q252" s="495"/>
      <c r="R252" s="495">
        <f>D252*0.1</f>
        <v>0</v>
      </c>
      <c r="S252" s="495"/>
      <c r="T252" s="495"/>
      <c r="U252" s="495"/>
      <c r="V252" s="495"/>
      <c r="W252" s="495">
        <f t="shared" si="155"/>
        <v>0</v>
      </c>
      <c r="X252" s="496"/>
    </row>
    <row r="253" spans="1:24" s="497" customFormat="1" ht="19.5" customHeight="1">
      <c r="A253" s="491" t="s">
        <v>255</v>
      </c>
      <c r="B253" s="502" t="s">
        <v>523</v>
      </c>
      <c r="C253" s="493"/>
      <c r="D253" s="494">
        <f t="shared" si="152"/>
        <v>80</v>
      </c>
      <c r="E253" s="495">
        <f t="shared" si="153"/>
        <v>80</v>
      </c>
      <c r="F253" s="495">
        <f t="shared" si="154"/>
        <v>80</v>
      </c>
      <c r="G253" s="495"/>
      <c r="H253" s="495"/>
      <c r="I253" s="495"/>
      <c r="J253" s="495"/>
      <c r="K253" s="495">
        <f t="shared" si="123"/>
        <v>80</v>
      </c>
      <c r="L253" s="495"/>
      <c r="M253" s="495">
        <v>80</v>
      </c>
      <c r="N253" s="495"/>
      <c r="O253" s="495"/>
      <c r="P253" s="495"/>
      <c r="Q253" s="495"/>
      <c r="R253" s="495">
        <f>D253*0.1</f>
        <v>8</v>
      </c>
      <c r="S253" s="495"/>
      <c r="T253" s="495"/>
      <c r="U253" s="495"/>
      <c r="V253" s="495"/>
      <c r="W253" s="495">
        <f t="shared" si="155"/>
        <v>72</v>
      </c>
      <c r="X253" s="496"/>
    </row>
    <row r="254" spans="1:24" s="497" customFormat="1" ht="44.25" customHeight="1">
      <c r="A254" s="491" t="s">
        <v>255</v>
      </c>
      <c r="B254" s="498" t="s">
        <v>1010</v>
      </c>
      <c r="C254" s="493"/>
      <c r="D254" s="494">
        <f t="shared" si="152"/>
        <v>10</v>
      </c>
      <c r="E254" s="495">
        <f t="shared" si="153"/>
        <v>10</v>
      </c>
      <c r="F254" s="495">
        <f t="shared" si="154"/>
        <v>10</v>
      </c>
      <c r="G254" s="495"/>
      <c r="H254" s="495"/>
      <c r="I254" s="495"/>
      <c r="J254" s="495"/>
      <c r="K254" s="495">
        <f>L254+M254</f>
        <v>10</v>
      </c>
      <c r="L254" s="495"/>
      <c r="M254" s="495">
        <v>10</v>
      </c>
      <c r="N254" s="495"/>
      <c r="O254" s="495"/>
      <c r="P254" s="495"/>
      <c r="Q254" s="495"/>
      <c r="R254" s="495">
        <f>D254*0.1</f>
        <v>1</v>
      </c>
      <c r="S254" s="495"/>
      <c r="T254" s="495"/>
      <c r="U254" s="495"/>
      <c r="V254" s="495"/>
      <c r="W254" s="495">
        <f t="shared" si="155"/>
        <v>9</v>
      </c>
      <c r="X254" s="496"/>
    </row>
    <row r="255" spans="1:24" s="497" customFormat="1" ht="45.75" customHeight="1">
      <c r="A255" s="491" t="s">
        <v>255</v>
      </c>
      <c r="B255" s="498" t="s">
        <v>610</v>
      </c>
      <c r="C255" s="493"/>
      <c r="D255" s="494">
        <f t="shared" si="152"/>
        <v>67.22</v>
      </c>
      <c r="E255" s="495">
        <f t="shared" si="153"/>
        <v>67.22</v>
      </c>
      <c r="F255" s="495">
        <f t="shared" si="154"/>
        <v>67.22</v>
      </c>
      <c r="G255" s="495"/>
      <c r="H255" s="495">
        <v>57.22</v>
      </c>
      <c r="I255" s="495"/>
      <c r="J255" s="495"/>
      <c r="K255" s="495">
        <f>L255+M255</f>
        <v>10</v>
      </c>
      <c r="L255" s="495"/>
      <c r="M255" s="495">
        <v>10</v>
      </c>
      <c r="N255" s="495"/>
      <c r="O255" s="495"/>
      <c r="P255" s="495">
        <v>0</v>
      </c>
      <c r="Q255" s="495"/>
      <c r="R255" s="495">
        <v>1</v>
      </c>
      <c r="S255" s="495"/>
      <c r="T255" s="495"/>
      <c r="U255" s="495"/>
      <c r="V255" s="495"/>
      <c r="W255" s="495">
        <f t="shared" si="155"/>
        <v>66.22</v>
      </c>
      <c r="X255" s="496"/>
    </row>
    <row r="256" spans="1:24" s="497" customFormat="1" ht="26.25" customHeight="1">
      <c r="A256" s="491"/>
      <c r="B256" s="498" t="s">
        <v>501</v>
      </c>
      <c r="C256" s="493"/>
      <c r="D256" s="494">
        <f t="shared" si="152"/>
        <v>150</v>
      </c>
      <c r="E256" s="495">
        <f t="shared" si="153"/>
        <v>150</v>
      </c>
      <c r="F256" s="495">
        <f t="shared" si="154"/>
        <v>150</v>
      </c>
      <c r="G256" s="495"/>
      <c r="H256" s="495"/>
      <c r="I256" s="495"/>
      <c r="J256" s="495"/>
      <c r="K256" s="495">
        <f>L256+M256</f>
        <v>150</v>
      </c>
      <c r="L256" s="495"/>
      <c r="M256" s="495">
        <v>150</v>
      </c>
      <c r="N256" s="495"/>
      <c r="O256" s="495"/>
      <c r="P256" s="495"/>
      <c r="Q256" s="495"/>
      <c r="R256" s="495">
        <f>D256*0.1</f>
        <v>15</v>
      </c>
      <c r="S256" s="495"/>
      <c r="T256" s="495"/>
      <c r="U256" s="495"/>
      <c r="V256" s="495"/>
      <c r="W256" s="495">
        <f t="shared" si="155"/>
        <v>135</v>
      </c>
      <c r="X256" s="496"/>
    </row>
    <row r="257" spans="1:24" s="497" customFormat="1" ht="33" customHeight="1">
      <c r="A257" s="491"/>
      <c r="B257" s="289" t="s">
        <v>765</v>
      </c>
      <c r="C257" s="493"/>
      <c r="D257" s="494">
        <f t="shared" si="152"/>
        <v>0</v>
      </c>
      <c r="E257" s="495">
        <f t="shared" si="153"/>
        <v>0</v>
      </c>
      <c r="F257" s="495">
        <f t="shared" si="154"/>
        <v>0</v>
      </c>
      <c r="G257" s="495"/>
      <c r="H257" s="495"/>
      <c r="I257" s="495"/>
      <c r="J257" s="495"/>
      <c r="K257" s="495">
        <f>L257+M257</f>
        <v>0</v>
      </c>
      <c r="L257" s="495"/>
      <c r="M257" s="495"/>
      <c r="N257" s="495"/>
      <c r="O257" s="495"/>
      <c r="P257" s="495"/>
      <c r="Q257" s="495"/>
      <c r="R257" s="495">
        <f>D257*0.1</f>
        <v>0</v>
      </c>
      <c r="S257" s="495"/>
      <c r="T257" s="495">
        <v>15.68</v>
      </c>
      <c r="U257" s="495"/>
      <c r="V257" s="495"/>
      <c r="W257" s="495">
        <f t="shared" si="155"/>
        <v>15.68</v>
      </c>
      <c r="X257" s="496"/>
    </row>
    <row r="258" spans="1:24" s="497" customFormat="1" ht="17.25" customHeight="1">
      <c r="A258" s="491" t="s">
        <v>209</v>
      </c>
      <c r="B258" s="498" t="s">
        <v>393</v>
      </c>
      <c r="C258" s="493"/>
      <c r="D258" s="494">
        <f>SUM(D259:D268)</f>
        <v>465.2</v>
      </c>
      <c r="E258" s="494">
        <f t="shared" ref="E258:W258" si="156">SUM(E259:E268)</f>
        <v>465.2</v>
      </c>
      <c r="F258" s="494">
        <f t="shared" si="156"/>
        <v>465.2</v>
      </c>
      <c r="G258" s="494">
        <f t="shared" si="156"/>
        <v>3</v>
      </c>
      <c r="H258" s="494">
        <f t="shared" si="156"/>
        <v>370</v>
      </c>
      <c r="I258" s="494">
        <f t="shared" si="156"/>
        <v>0</v>
      </c>
      <c r="J258" s="494">
        <f t="shared" si="156"/>
        <v>0</v>
      </c>
      <c r="K258" s="494">
        <f t="shared" si="156"/>
        <v>95.2</v>
      </c>
      <c r="L258" s="494">
        <f t="shared" si="156"/>
        <v>85.2</v>
      </c>
      <c r="M258" s="494">
        <f t="shared" si="156"/>
        <v>10</v>
      </c>
      <c r="N258" s="495">
        <f t="shared" si="156"/>
        <v>0</v>
      </c>
      <c r="O258" s="495">
        <f t="shared" si="156"/>
        <v>0</v>
      </c>
      <c r="P258" s="495">
        <f t="shared" si="156"/>
        <v>0</v>
      </c>
      <c r="Q258" s="495">
        <f t="shared" si="156"/>
        <v>0</v>
      </c>
      <c r="R258" s="495">
        <f t="shared" si="156"/>
        <v>8</v>
      </c>
      <c r="S258" s="495">
        <f t="shared" si="156"/>
        <v>13.25</v>
      </c>
      <c r="T258" s="495">
        <f t="shared" si="156"/>
        <v>39.760000000000005</v>
      </c>
      <c r="U258" s="495">
        <f t="shared" si="156"/>
        <v>5.36</v>
      </c>
      <c r="V258" s="495">
        <f t="shared" si="156"/>
        <v>0</v>
      </c>
      <c r="W258" s="495">
        <f t="shared" si="156"/>
        <v>478.34999999999997</v>
      </c>
      <c r="X258" s="496" t="s">
        <v>393</v>
      </c>
    </row>
    <row r="259" spans="1:24" s="497" customFormat="1" ht="17.25" customHeight="1">
      <c r="A259" s="499" t="s">
        <v>255</v>
      </c>
      <c r="B259" s="498" t="s">
        <v>394</v>
      </c>
      <c r="C259" s="493"/>
      <c r="D259" s="494">
        <f>E259+P259</f>
        <v>370</v>
      </c>
      <c r="E259" s="495">
        <f t="shared" ref="E259:E268" si="157">F259+N259+O259</f>
        <v>370</v>
      </c>
      <c r="F259" s="495">
        <f t="shared" ref="F259:F268" si="158">H259+K259</f>
        <v>370</v>
      </c>
      <c r="G259" s="495">
        <v>3</v>
      </c>
      <c r="H259" s="495">
        <v>370</v>
      </c>
      <c r="I259" s="495"/>
      <c r="J259" s="495"/>
      <c r="K259" s="495">
        <f t="shared" si="123"/>
        <v>0</v>
      </c>
      <c r="L259" s="495"/>
      <c r="M259" s="495">
        <v>0</v>
      </c>
      <c r="N259" s="495"/>
      <c r="O259" s="495"/>
      <c r="P259" s="495"/>
      <c r="Q259" s="495"/>
      <c r="R259" s="495"/>
      <c r="S259" s="494">
        <v>13.25</v>
      </c>
      <c r="T259" s="495"/>
      <c r="U259" s="495"/>
      <c r="V259" s="495"/>
      <c r="W259" s="495">
        <f t="shared" ref="W259:W268" si="159">D259-Q259-R259-S259-U259+(T259+V259)</f>
        <v>356.75</v>
      </c>
      <c r="X259" s="496"/>
    </row>
    <row r="260" spans="1:24" s="497" customFormat="1" ht="30" customHeight="1">
      <c r="A260" s="499" t="s">
        <v>255</v>
      </c>
      <c r="B260" s="498" t="s">
        <v>582</v>
      </c>
      <c r="C260" s="493"/>
      <c r="D260" s="494">
        <f>E260</f>
        <v>70.2</v>
      </c>
      <c r="E260" s="495">
        <f t="shared" si="157"/>
        <v>70.2</v>
      </c>
      <c r="F260" s="495">
        <f t="shared" si="158"/>
        <v>70.2</v>
      </c>
      <c r="G260" s="495"/>
      <c r="H260" s="495">
        <f t="shared" si="126"/>
        <v>0</v>
      </c>
      <c r="I260" s="495"/>
      <c r="J260" s="495"/>
      <c r="K260" s="495">
        <f t="shared" si="123"/>
        <v>70.2</v>
      </c>
      <c r="L260" s="495">
        <f>3*18*1.3</f>
        <v>70.2</v>
      </c>
      <c r="M260" s="495">
        <v>0</v>
      </c>
      <c r="N260" s="495">
        <v>0</v>
      </c>
      <c r="O260" s="495">
        <v>0</v>
      </c>
      <c r="P260" s="495">
        <v>0</v>
      </c>
      <c r="Q260" s="495"/>
      <c r="R260" s="495">
        <v>7</v>
      </c>
      <c r="S260" s="495"/>
      <c r="T260" s="495"/>
      <c r="U260" s="495"/>
      <c r="V260" s="495"/>
      <c r="W260" s="495">
        <f t="shared" si="159"/>
        <v>63.2</v>
      </c>
      <c r="X260" s="496"/>
    </row>
    <row r="261" spans="1:24" s="497" customFormat="1" ht="17.25" customHeight="1">
      <c r="A261" s="499" t="s">
        <v>255</v>
      </c>
      <c r="B261" s="498" t="s">
        <v>395</v>
      </c>
      <c r="C261" s="493"/>
      <c r="D261" s="494">
        <f t="shared" ref="D261:D268" si="160">E261+P261</f>
        <v>0</v>
      </c>
      <c r="E261" s="495">
        <f t="shared" si="157"/>
        <v>0</v>
      </c>
      <c r="F261" s="495">
        <f t="shared" si="158"/>
        <v>0</v>
      </c>
      <c r="G261" s="495"/>
      <c r="H261" s="495"/>
      <c r="I261" s="495"/>
      <c r="J261" s="495"/>
      <c r="K261" s="495">
        <f t="shared" si="123"/>
        <v>0</v>
      </c>
      <c r="L261" s="495"/>
      <c r="M261" s="495">
        <v>0</v>
      </c>
      <c r="N261" s="495"/>
      <c r="O261" s="495"/>
      <c r="P261" s="495"/>
      <c r="Q261" s="495"/>
      <c r="R261" s="495"/>
      <c r="S261" s="495"/>
      <c r="T261" s="495">
        <v>5.36</v>
      </c>
      <c r="U261" s="495">
        <v>5.36</v>
      </c>
      <c r="V261" s="495"/>
      <c r="W261" s="495">
        <f t="shared" si="159"/>
        <v>0</v>
      </c>
      <c r="X261" s="496"/>
    </row>
    <row r="262" spans="1:24" s="497" customFormat="1" ht="28.5" customHeight="1">
      <c r="A262" s="491" t="s">
        <v>255</v>
      </c>
      <c r="B262" s="498" t="s">
        <v>287</v>
      </c>
      <c r="C262" s="493"/>
      <c r="D262" s="494">
        <f t="shared" si="160"/>
        <v>0</v>
      </c>
      <c r="E262" s="495">
        <f t="shared" si="157"/>
        <v>0</v>
      </c>
      <c r="F262" s="495">
        <f t="shared" si="158"/>
        <v>0</v>
      </c>
      <c r="G262" s="495"/>
      <c r="H262" s="495">
        <f t="shared" si="126"/>
        <v>0</v>
      </c>
      <c r="I262" s="495"/>
      <c r="J262" s="495"/>
      <c r="K262" s="495">
        <f t="shared" si="123"/>
        <v>0</v>
      </c>
      <c r="L262" s="495"/>
      <c r="M262" s="495">
        <v>0</v>
      </c>
      <c r="N262" s="495"/>
      <c r="O262" s="495"/>
      <c r="P262" s="495"/>
      <c r="Q262" s="495"/>
      <c r="R262" s="495"/>
      <c r="S262" s="495"/>
      <c r="T262" s="495">
        <v>9.4</v>
      </c>
      <c r="U262" s="495"/>
      <c r="V262" s="495"/>
      <c r="W262" s="495">
        <f t="shared" si="159"/>
        <v>9.4</v>
      </c>
      <c r="X262" s="496"/>
    </row>
    <row r="263" spans="1:24" s="501" customFormat="1" ht="39" customHeight="1">
      <c r="A263" s="499" t="s">
        <v>255</v>
      </c>
      <c r="B263" s="498" t="s">
        <v>1011</v>
      </c>
      <c r="C263" s="493"/>
      <c r="D263" s="494">
        <f t="shared" si="160"/>
        <v>10</v>
      </c>
      <c r="E263" s="495">
        <f t="shared" si="157"/>
        <v>10</v>
      </c>
      <c r="F263" s="495">
        <f t="shared" si="158"/>
        <v>10</v>
      </c>
      <c r="G263" s="495"/>
      <c r="H263" s="495">
        <f>I263+J263</f>
        <v>0</v>
      </c>
      <c r="I263" s="495"/>
      <c r="J263" s="495"/>
      <c r="K263" s="495">
        <f>L263+M263</f>
        <v>10</v>
      </c>
      <c r="L263" s="495"/>
      <c r="M263" s="495">
        <v>10</v>
      </c>
      <c r="N263" s="495"/>
      <c r="O263" s="495"/>
      <c r="P263" s="495"/>
      <c r="Q263" s="495"/>
      <c r="R263" s="495">
        <f>D263*0.1</f>
        <v>1</v>
      </c>
      <c r="S263" s="495"/>
      <c r="T263" s="495"/>
      <c r="U263" s="495"/>
      <c r="V263" s="495"/>
      <c r="W263" s="495">
        <f t="shared" si="159"/>
        <v>9</v>
      </c>
      <c r="X263" s="496"/>
    </row>
    <row r="264" spans="1:24" s="497" customFormat="1" ht="45.75" hidden="1" customHeight="1">
      <c r="A264" s="499"/>
      <c r="B264" s="502" t="s">
        <v>612</v>
      </c>
      <c r="C264" s="493"/>
      <c r="D264" s="494">
        <f t="shared" si="160"/>
        <v>0</v>
      </c>
      <c r="E264" s="495">
        <f t="shared" si="157"/>
        <v>0</v>
      </c>
      <c r="F264" s="495">
        <f t="shared" si="158"/>
        <v>0</v>
      </c>
      <c r="G264" s="495"/>
      <c r="H264" s="495"/>
      <c r="I264" s="495"/>
      <c r="J264" s="495"/>
      <c r="K264" s="495">
        <f>L264+M264</f>
        <v>0</v>
      </c>
      <c r="L264" s="495"/>
      <c r="M264" s="495"/>
      <c r="N264" s="495"/>
      <c r="O264" s="495"/>
      <c r="P264" s="495"/>
      <c r="Q264" s="495"/>
      <c r="R264" s="495"/>
      <c r="S264" s="495"/>
      <c r="T264" s="495"/>
      <c r="U264" s="495"/>
      <c r="V264" s="495"/>
      <c r="W264" s="495">
        <f t="shared" si="159"/>
        <v>0</v>
      </c>
      <c r="X264" s="496"/>
    </row>
    <row r="265" spans="1:24" s="497" customFormat="1" ht="34.5" hidden="1" customHeight="1">
      <c r="A265" s="499"/>
      <c r="B265" s="502" t="s">
        <v>613</v>
      </c>
      <c r="C265" s="493"/>
      <c r="D265" s="494">
        <f t="shared" si="160"/>
        <v>0</v>
      </c>
      <c r="E265" s="495">
        <f t="shared" si="157"/>
        <v>0</v>
      </c>
      <c r="F265" s="495">
        <f t="shared" si="158"/>
        <v>0</v>
      </c>
      <c r="G265" s="495"/>
      <c r="H265" s="495"/>
      <c r="I265" s="495"/>
      <c r="J265" s="495"/>
      <c r="K265" s="495">
        <f>L265+M265</f>
        <v>0</v>
      </c>
      <c r="L265" s="495"/>
      <c r="M265" s="495"/>
      <c r="N265" s="495"/>
      <c r="O265" s="495"/>
      <c r="P265" s="495"/>
      <c r="Q265" s="495"/>
      <c r="R265" s="495"/>
      <c r="S265" s="495"/>
      <c r="T265" s="495"/>
      <c r="U265" s="495"/>
      <c r="V265" s="495"/>
      <c r="W265" s="495">
        <f t="shared" si="159"/>
        <v>0</v>
      </c>
      <c r="X265" s="496"/>
    </row>
    <row r="266" spans="1:24" s="497" customFormat="1" ht="43.5" hidden="1" customHeight="1">
      <c r="A266" s="491" t="s">
        <v>255</v>
      </c>
      <c r="B266" s="502" t="s">
        <v>614</v>
      </c>
      <c r="C266" s="493"/>
      <c r="D266" s="494">
        <f t="shared" si="160"/>
        <v>0</v>
      </c>
      <c r="E266" s="495">
        <f t="shared" si="157"/>
        <v>0</v>
      </c>
      <c r="F266" s="495">
        <f t="shared" si="158"/>
        <v>0</v>
      </c>
      <c r="G266" s="495"/>
      <c r="H266" s="495">
        <f t="shared" ref="H266" si="161">I266+J266</f>
        <v>0</v>
      </c>
      <c r="I266" s="495"/>
      <c r="J266" s="495"/>
      <c r="K266" s="495">
        <f>L266+M266</f>
        <v>0</v>
      </c>
      <c r="L266" s="495"/>
      <c r="M266" s="495"/>
      <c r="N266" s="495"/>
      <c r="O266" s="495"/>
      <c r="P266" s="495"/>
      <c r="Q266" s="495"/>
      <c r="R266" s="495"/>
      <c r="S266" s="495"/>
      <c r="T266" s="495"/>
      <c r="U266" s="495"/>
      <c r="V266" s="495"/>
      <c r="W266" s="495">
        <f t="shared" si="159"/>
        <v>0</v>
      </c>
      <c r="X266" s="496"/>
    </row>
    <row r="267" spans="1:24" s="497" customFormat="1" ht="19.5" customHeight="1">
      <c r="A267" s="499" t="s">
        <v>255</v>
      </c>
      <c r="B267" s="498" t="s">
        <v>766</v>
      </c>
      <c r="C267" s="493"/>
      <c r="D267" s="494">
        <f t="shared" si="160"/>
        <v>15</v>
      </c>
      <c r="E267" s="495">
        <f t="shared" si="157"/>
        <v>15</v>
      </c>
      <c r="F267" s="495">
        <f t="shared" si="158"/>
        <v>15</v>
      </c>
      <c r="G267" s="495"/>
      <c r="H267" s="495">
        <f>I267+J267</f>
        <v>0</v>
      </c>
      <c r="I267" s="495"/>
      <c r="J267" s="495"/>
      <c r="K267" s="495">
        <f t="shared" si="123"/>
        <v>15</v>
      </c>
      <c r="L267" s="495">
        <v>15</v>
      </c>
      <c r="M267" s="495"/>
      <c r="N267" s="495"/>
      <c r="O267" s="495"/>
      <c r="P267" s="495"/>
      <c r="Q267" s="495"/>
      <c r="R267" s="495"/>
      <c r="S267" s="495"/>
      <c r="T267" s="495"/>
      <c r="U267" s="495"/>
      <c r="V267" s="495"/>
      <c r="W267" s="495">
        <f t="shared" si="159"/>
        <v>15</v>
      </c>
      <c r="X267" s="496"/>
    </row>
    <row r="268" spans="1:24" s="497" customFormat="1" ht="32.25" customHeight="1">
      <c r="A268" s="499" t="s">
        <v>255</v>
      </c>
      <c r="B268" s="290" t="s">
        <v>791</v>
      </c>
      <c r="C268" s="493"/>
      <c r="D268" s="494">
        <f t="shared" si="160"/>
        <v>0</v>
      </c>
      <c r="E268" s="495">
        <f t="shared" si="157"/>
        <v>0</v>
      </c>
      <c r="F268" s="495">
        <f t="shared" si="158"/>
        <v>0</v>
      </c>
      <c r="G268" s="495"/>
      <c r="H268" s="495">
        <f>I268+J268</f>
        <v>0</v>
      </c>
      <c r="I268" s="495"/>
      <c r="J268" s="495"/>
      <c r="K268" s="495">
        <f t="shared" si="123"/>
        <v>0</v>
      </c>
      <c r="L268" s="495"/>
      <c r="M268" s="495"/>
      <c r="N268" s="495"/>
      <c r="O268" s="495"/>
      <c r="P268" s="495"/>
      <c r="Q268" s="495"/>
      <c r="R268" s="495"/>
      <c r="S268" s="495"/>
      <c r="T268" s="495">
        <v>25</v>
      </c>
      <c r="U268" s="495"/>
      <c r="V268" s="495"/>
      <c r="W268" s="495">
        <f t="shared" si="159"/>
        <v>25</v>
      </c>
      <c r="X268" s="496"/>
    </row>
    <row r="269" spans="1:24" s="497" customFormat="1" ht="17.25" customHeight="1">
      <c r="A269" s="491" t="s">
        <v>216</v>
      </c>
      <c r="B269" s="498" t="s">
        <v>396</v>
      </c>
      <c r="C269" s="493"/>
      <c r="D269" s="494">
        <f>SUM(D270:D277)</f>
        <v>436.18700000000001</v>
      </c>
      <c r="E269" s="495">
        <f t="shared" ref="E269:W269" si="162">SUM(E270:E277)</f>
        <v>436.18700000000001</v>
      </c>
      <c r="F269" s="495">
        <f t="shared" si="162"/>
        <v>436.18700000000001</v>
      </c>
      <c r="G269" s="495">
        <f t="shared" si="162"/>
        <v>2</v>
      </c>
      <c r="H269" s="495">
        <f t="shared" si="162"/>
        <v>264.387</v>
      </c>
      <c r="I269" s="495">
        <f t="shared" si="162"/>
        <v>0</v>
      </c>
      <c r="J269" s="495">
        <f t="shared" si="162"/>
        <v>0</v>
      </c>
      <c r="K269" s="495">
        <f t="shared" si="162"/>
        <v>171.8</v>
      </c>
      <c r="L269" s="495">
        <f t="shared" si="162"/>
        <v>46.800000000000004</v>
      </c>
      <c r="M269" s="495">
        <f t="shared" si="162"/>
        <v>125</v>
      </c>
      <c r="N269" s="495">
        <f t="shared" si="162"/>
        <v>0</v>
      </c>
      <c r="O269" s="495">
        <f t="shared" si="162"/>
        <v>0</v>
      </c>
      <c r="P269" s="495">
        <f t="shared" si="162"/>
        <v>0</v>
      </c>
      <c r="Q269" s="495">
        <f t="shared" si="162"/>
        <v>0</v>
      </c>
      <c r="R269" s="495">
        <f t="shared" si="162"/>
        <v>16.5</v>
      </c>
      <c r="S269" s="495">
        <f t="shared" si="162"/>
        <v>0</v>
      </c>
      <c r="T269" s="495">
        <f t="shared" si="162"/>
        <v>0</v>
      </c>
      <c r="U269" s="495">
        <f t="shared" si="162"/>
        <v>0</v>
      </c>
      <c r="V269" s="495">
        <f t="shared" si="162"/>
        <v>25.440999999999999</v>
      </c>
      <c r="W269" s="495">
        <f t="shared" si="162"/>
        <v>445.12800000000004</v>
      </c>
      <c r="X269" s="496" t="s">
        <v>396</v>
      </c>
    </row>
    <row r="270" spans="1:24" s="497" customFormat="1" ht="17.25" customHeight="1">
      <c r="A270" s="499" t="s">
        <v>255</v>
      </c>
      <c r="B270" s="498" t="s">
        <v>397</v>
      </c>
      <c r="C270" s="493"/>
      <c r="D270" s="494">
        <f t="shared" ref="D270:D277" si="163">E270+P270</f>
        <v>207.167</v>
      </c>
      <c r="E270" s="495">
        <f t="shared" ref="E270:E277" si="164">F270+N270+O270</f>
        <v>207.167</v>
      </c>
      <c r="F270" s="495">
        <f t="shared" ref="F270:F277" si="165">H270+K270</f>
        <v>207.167</v>
      </c>
      <c r="G270" s="495">
        <v>2</v>
      </c>
      <c r="H270" s="495">
        <v>207.167</v>
      </c>
      <c r="I270" s="495"/>
      <c r="J270" s="495"/>
      <c r="K270" s="495">
        <f t="shared" si="123"/>
        <v>0</v>
      </c>
      <c r="L270" s="495"/>
      <c r="M270" s="495">
        <v>0</v>
      </c>
      <c r="N270" s="495"/>
      <c r="O270" s="495"/>
      <c r="P270" s="495"/>
      <c r="Q270" s="495"/>
      <c r="R270" s="495"/>
      <c r="S270" s="495"/>
      <c r="T270" s="495"/>
      <c r="U270" s="495"/>
      <c r="V270" s="495"/>
      <c r="W270" s="495">
        <f t="shared" ref="W270:W277" si="166">D270-Q270-R270-S270-U270+(T270+V270)</f>
        <v>207.167</v>
      </c>
      <c r="X270" s="496"/>
    </row>
    <row r="271" spans="1:24" s="497" customFormat="1" ht="27" customHeight="1">
      <c r="A271" s="499" t="s">
        <v>255</v>
      </c>
      <c r="B271" s="498" t="s">
        <v>583</v>
      </c>
      <c r="C271" s="493"/>
      <c r="D271" s="494">
        <f t="shared" si="163"/>
        <v>46.800000000000004</v>
      </c>
      <c r="E271" s="495">
        <f t="shared" si="164"/>
        <v>46.800000000000004</v>
      </c>
      <c r="F271" s="495">
        <f t="shared" si="165"/>
        <v>46.800000000000004</v>
      </c>
      <c r="G271" s="495"/>
      <c r="H271" s="495">
        <f t="shared" ref="H271:H327" si="167">I271+J271</f>
        <v>0</v>
      </c>
      <c r="I271" s="495"/>
      <c r="J271" s="495"/>
      <c r="K271" s="495">
        <f t="shared" si="123"/>
        <v>46.800000000000004</v>
      </c>
      <c r="L271" s="495">
        <f>2*18*1.3</f>
        <v>46.800000000000004</v>
      </c>
      <c r="M271" s="495">
        <v>0</v>
      </c>
      <c r="N271" s="495">
        <v>0</v>
      </c>
      <c r="O271" s="495">
        <v>0</v>
      </c>
      <c r="P271" s="495">
        <v>0</v>
      </c>
      <c r="Q271" s="495"/>
      <c r="R271" s="495">
        <v>4.5</v>
      </c>
      <c r="S271" s="495"/>
      <c r="T271" s="495"/>
      <c r="U271" s="495"/>
      <c r="V271" s="495"/>
      <c r="W271" s="495">
        <f t="shared" si="166"/>
        <v>42.300000000000004</v>
      </c>
      <c r="X271" s="496"/>
    </row>
    <row r="272" spans="1:24" s="497" customFormat="1" ht="32.25" customHeight="1">
      <c r="A272" s="499" t="s">
        <v>255</v>
      </c>
      <c r="B272" s="498" t="s">
        <v>767</v>
      </c>
      <c r="C272" s="493"/>
      <c r="D272" s="494">
        <f t="shared" si="163"/>
        <v>0</v>
      </c>
      <c r="E272" s="495">
        <f t="shared" si="164"/>
        <v>0</v>
      </c>
      <c r="F272" s="495">
        <f t="shared" si="165"/>
        <v>0</v>
      </c>
      <c r="G272" s="495"/>
      <c r="H272" s="495">
        <f t="shared" si="167"/>
        <v>0</v>
      </c>
      <c r="I272" s="495"/>
      <c r="J272" s="495"/>
      <c r="K272" s="495">
        <f t="shared" si="123"/>
        <v>0</v>
      </c>
      <c r="L272" s="495"/>
      <c r="M272" s="495">
        <v>0</v>
      </c>
      <c r="N272" s="495"/>
      <c r="O272" s="495"/>
      <c r="P272" s="495"/>
      <c r="Q272" s="495"/>
      <c r="R272" s="495">
        <f>D272*0.1</f>
        <v>0</v>
      </c>
      <c r="S272" s="495"/>
      <c r="T272" s="495"/>
      <c r="U272" s="495"/>
      <c r="V272" s="495">
        <v>25.440999999999999</v>
      </c>
      <c r="W272" s="495">
        <f t="shared" si="166"/>
        <v>25.440999999999999</v>
      </c>
      <c r="X272" s="496"/>
    </row>
    <row r="273" spans="1:24" s="497" customFormat="1" ht="27.75" hidden="1" customHeight="1">
      <c r="A273" s="499" t="s">
        <v>255</v>
      </c>
      <c r="B273" s="498" t="s">
        <v>398</v>
      </c>
      <c r="C273" s="493"/>
      <c r="D273" s="494">
        <f t="shared" si="163"/>
        <v>0</v>
      </c>
      <c r="E273" s="495">
        <f t="shared" si="164"/>
        <v>0</v>
      </c>
      <c r="F273" s="495">
        <f t="shared" si="165"/>
        <v>0</v>
      </c>
      <c r="G273" s="495"/>
      <c r="H273" s="495">
        <f t="shared" si="167"/>
        <v>0</v>
      </c>
      <c r="I273" s="495"/>
      <c r="J273" s="495"/>
      <c r="K273" s="495">
        <f t="shared" si="123"/>
        <v>0</v>
      </c>
      <c r="L273" s="495"/>
      <c r="M273" s="495">
        <v>0</v>
      </c>
      <c r="N273" s="495"/>
      <c r="O273" s="495"/>
      <c r="P273" s="495"/>
      <c r="Q273" s="495"/>
      <c r="R273" s="495">
        <f>D273*0.1</f>
        <v>0</v>
      </c>
      <c r="S273" s="495"/>
      <c r="T273" s="495"/>
      <c r="U273" s="495"/>
      <c r="V273" s="495"/>
      <c r="W273" s="495">
        <f t="shared" si="166"/>
        <v>0</v>
      </c>
      <c r="X273" s="496"/>
    </row>
    <row r="274" spans="1:24" s="497" customFormat="1" ht="31.5" hidden="1" customHeight="1">
      <c r="A274" s="491" t="s">
        <v>255</v>
      </c>
      <c r="B274" s="498" t="s">
        <v>670</v>
      </c>
      <c r="C274" s="493"/>
      <c r="D274" s="494">
        <f t="shared" si="163"/>
        <v>0</v>
      </c>
      <c r="E274" s="495">
        <f t="shared" si="164"/>
        <v>0</v>
      </c>
      <c r="F274" s="495">
        <f t="shared" si="165"/>
        <v>0</v>
      </c>
      <c r="G274" s="495"/>
      <c r="H274" s="495">
        <f t="shared" si="167"/>
        <v>0</v>
      </c>
      <c r="I274" s="495"/>
      <c r="J274" s="495"/>
      <c r="K274" s="495">
        <f>L274+M274</f>
        <v>0</v>
      </c>
      <c r="L274" s="495"/>
      <c r="M274" s="495">
        <v>0</v>
      </c>
      <c r="N274" s="495"/>
      <c r="O274" s="495"/>
      <c r="P274" s="495"/>
      <c r="Q274" s="495"/>
      <c r="R274" s="495">
        <f>D274*0.1</f>
        <v>0</v>
      </c>
      <c r="S274" s="495"/>
      <c r="T274" s="495"/>
      <c r="U274" s="495"/>
      <c r="V274" s="495"/>
      <c r="W274" s="495">
        <f t="shared" si="166"/>
        <v>0</v>
      </c>
      <c r="X274" s="496"/>
    </row>
    <row r="275" spans="1:24" s="497" customFormat="1" ht="42" customHeight="1">
      <c r="A275" s="499" t="s">
        <v>255</v>
      </c>
      <c r="B275" s="498" t="s">
        <v>611</v>
      </c>
      <c r="C275" s="493"/>
      <c r="D275" s="494">
        <f t="shared" si="163"/>
        <v>77.22</v>
      </c>
      <c r="E275" s="495">
        <f t="shared" si="164"/>
        <v>77.22</v>
      </c>
      <c r="F275" s="495">
        <f t="shared" si="165"/>
        <v>77.22</v>
      </c>
      <c r="G275" s="495"/>
      <c r="H275" s="495">
        <f>57.22</f>
        <v>57.22</v>
      </c>
      <c r="I275" s="495"/>
      <c r="J275" s="495"/>
      <c r="K275" s="495">
        <f>L275+M275</f>
        <v>20</v>
      </c>
      <c r="L275" s="495"/>
      <c r="M275" s="495">
        <v>20</v>
      </c>
      <c r="N275" s="495"/>
      <c r="O275" s="495"/>
      <c r="P275" s="495">
        <v>0</v>
      </c>
      <c r="Q275" s="495"/>
      <c r="R275" s="495">
        <v>2</v>
      </c>
      <c r="S275" s="495"/>
      <c r="T275" s="495"/>
      <c r="U275" s="495"/>
      <c r="V275" s="495"/>
      <c r="W275" s="495">
        <f t="shared" si="166"/>
        <v>75.22</v>
      </c>
      <c r="X275" s="496"/>
    </row>
    <row r="276" spans="1:24" s="497" customFormat="1" ht="29.25" customHeight="1">
      <c r="A276" s="499" t="s">
        <v>255</v>
      </c>
      <c r="B276" s="498" t="s">
        <v>391</v>
      </c>
      <c r="C276" s="493"/>
      <c r="D276" s="494">
        <f t="shared" si="163"/>
        <v>5</v>
      </c>
      <c r="E276" s="495">
        <f t="shared" si="164"/>
        <v>5</v>
      </c>
      <c r="F276" s="495">
        <f t="shared" si="165"/>
        <v>5</v>
      </c>
      <c r="G276" s="495"/>
      <c r="H276" s="495">
        <f t="shared" si="167"/>
        <v>0</v>
      </c>
      <c r="I276" s="495"/>
      <c r="J276" s="495"/>
      <c r="K276" s="495">
        <f>L276+M276</f>
        <v>5</v>
      </c>
      <c r="L276" s="495"/>
      <c r="M276" s="495">
        <v>5</v>
      </c>
      <c r="N276" s="495"/>
      <c r="O276" s="495"/>
      <c r="P276" s="495"/>
      <c r="Q276" s="495"/>
      <c r="R276" s="495"/>
      <c r="S276" s="495"/>
      <c r="T276" s="495"/>
      <c r="U276" s="495"/>
      <c r="V276" s="495"/>
      <c r="W276" s="495">
        <f t="shared" si="166"/>
        <v>5</v>
      </c>
      <c r="X276" s="496"/>
    </row>
    <row r="277" spans="1:24" s="497" customFormat="1" ht="30" customHeight="1">
      <c r="A277" s="499" t="s">
        <v>255</v>
      </c>
      <c r="B277" s="498" t="s">
        <v>615</v>
      </c>
      <c r="C277" s="493"/>
      <c r="D277" s="494">
        <f t="shared" si="163"/>
        <v>100</v>
      </c>
      <c r="E277" s="495">
        <f t="shared" si="164"/>
        <v>100</v>
      </c>
      <c r="F277" s="495">
        <f t="shared" si="165"/>
        <v>100</v>
      </c>
      <c r="G277" s="495"/>
      <c r="H277" s="495"/>
      <c r="I277" s="495"/>
      <c r="J277" s="495"/>
      <c r="K277" s="495">
        <f>L277+M277</f>
        <v>100</v>
      </c>
      <c r="L277" s="495"/>
      <c r="M277" s="495">
        <v>100</v>
      </c>
      <c r="N277" s="495"/>
      <c r="O277" s="495"/>
      <c r="P277" s="495"/>
      <c r="Q277" s="495"/>
      <c r="R277" s="495">
        <v>10</v>
      </c>
      <c r="S277" s="495"/>
      <c r="T277" s="495"/>
      <c r="U277" s="495"/>
      <c r="V277" s="495"/>
      <c r="W277" s="495">
        <f t="shared" si="166"/>
        <v>90</v>
      </c>
      <c r="X277" s="496"/>
    </row>
    <row r="278" spans="1:24" s="497" customFormat="1" ht="17.25" customHeight="1">
      <c r="A278" s="491" t="s">
        <v>217</v>
      </c>
      <c r="B278" s="498" t="s">
        <v>399</v>
      </c>
      <c r="C278" s="493"/>
      <c r="D278" s="494">
        <f>SUM(D279:D282)</f>
        <v>120.7</v>
      </c>
      <c r="E278" s="495">
        <f t="shared" ref="E278:W278" si="168">SUM(E279:E282)</f>
        <v>120.7</v>
      </c>
      <c r="F278" s="495">
        <f t="shared" si="168"/>
        <v>120.7</v>
      </c>
      <c r="G278" s="495">
        <f t="shared" si="168"/>
        <v>1</v>
      </c>
      <c r="H278" s="495">
        <f t="shared" si="168"/>
        <v>67.3</v>
      </c>
      <c r="I278" s="495">
        <f t="shared" si="168"/>
        <v>0</v>
      </c>
      <c r="J278" s="495">
        <f t="shared" si="168"/>
        <v>0</v>
      </c>
      <c r="K278" s="495">
        <f t="shared" si="168"/>
        <v>53.400000000000006</v>
      </c>
      <c r="L278" s="495">
        <f t="shared" si="168"/>
        <v>23.400000000000002</v>
      </c>
      <c r="M278" s="495">
        <f t="shared" si="168"/>
        <v>30</v>
      </c>
      <c r="N278" s="495">
        <f t="shared" si="168"/>
        <v>0</v>
      </c>
      <c r="O278" s="495">
        <f t="shared" si="168"/>
        <v>0</v>
      </c>
      <c r="P278" s="495">
        <f t="shared" si="168"/>
        <v>0</v>
      </c>
      <c r="Q278" s="495">
        <f t="shared" si="168"/>
        <v>0</v>
      </c>
      <c r="R278" s="495">
        <f>SUM(R279:R282)</f>
        <v>5.3</v>
      </c>
      <c r="S278" s="495">
        <f t="shared" si="168"/>
        <v>0</v>
      </c>
      <c r="T278" s="495">
        <f t="shared" si="168"/>
        <v>0</v>
      </c>
      <c r="U278" s="495">
        <f t="shared" si="168"/>
        <v>0</v>
      </c>
      <c r="V278" s="495">
        <f t="shared" si="168"/>
        <v>3</v>
      </c>
      <c r="W278" s="495">
        <f t="shared" si="168"/>
        <v>118.4</v>
      </c>
      <c r="X278" s="496" t="s">
        <v>400</v>
      </c>
    </row>
    <row r="279" spans="1:24" s="497" customFormat="1" ht="29.25" customHeight="1">
      <c r="A279" s="499" t="s">
        <v>255</v>
      </c>
      <c r="B279" s="498" t="s">
        <v>401</v>
      </c>
      <c r="C279" s="493"/>
      <c r="D279" s="494">
        <f>E279+P279</f>
        <v>67.3</v>
      </c>
      <c r="E279" s="495">
        <f>F279+N279+O279</f>
        <v>67.3</v>
      </c>
      <c r="F279" s="495">
        <f>H279+K279</f>
        <v>67.3</v>
      </c>
      <c r="G279" s="495">
        <v>1</v>
      </c>
      <c r="H279" s="495">
        <f>58.8+8.5</f>
        <v>67.3</v>
      </c>
      <c r="I279" s="495"/>
      <c r="J279" s="495"/>
      <c r="K279" s="495">
        <f t="shared" si="123"/>
        <v>0</v>
      </c>
      <c r="L279" s="495"/>
      <c r="M279" s="495">
        <v>0</v>
      </c>
      <c r="N279" s="495"/>
      <c r="O279" s="495"/>
      <c r="P279" s="495"/>
      <c r="Q279" s="495"/>
      <c r="R279" s="495"/>
      <c r="S279" s="495"/>
      <c r="T279" s="495"/>
      <c r="U279" s="495"/>
      <c r="V279" s="495">
        <v>3</v>
      </c>
      <c r="W279" s="495">
        <f>D279-Q279-R279-S279-U279+(T279+V279)</f>
        <v>70.3</v>
      </c>
      <c r="X279" s="496"/>
    </row>
    <row r="280" spans="1:24" s="497" customFormat="1" ht="24.75" customHeight="1">
      <c r="A280" s="499" t="s">
        <v>255</v>
      </c>
      <c r="B280" s="498" t="s">
        <v>584</v>
      </c>
      <c r="C280" s="493"/>
      <c r="D280" s="494">
        <f>E280+P280</f>
        <v>23.400000000000002</v>
      </c>
      <c r="E280" s="495">
        <f>F280+N280+O280</f>
        <v>23.400000000000002</v>
      </c>
      <c r="F280" s="495">
        <f>H280+K280</f>
        <v>23.400000000000002</v>
      </c>
      <c r="G280" s="495"/>
      <c r="H280" s="495">
        <f t="shared" si="167"/>
        <v>0</v>
      </c>
      <c r="I280" s="495"/>
      <c r="J280" s="495"/>
      <c r="K280" s="495">
        <f t="shared" si="123"/>
        <v>23.400000000000002</v>
      </c>
      <c r="L280" s="495">
        <f>18*1.3</f>
        <v>23.400000000000002</v>
      </c>
      <c r="M280" s="495">
        <v>0</v>
      </c>
      <c r="N280" s="495">
        <v>0</v>
      </c>
      <c r="O280" s="495"/>
      <c r="P280" s="495">
        <v>0</v>
      </c>
      <c r="Q280" s="495"/>
      <c r="R280" s="495">
        <v>2.2999999999999998</v>
      </c>
      <c r="S280" s="495"/>
      <c r="T280" s="495"/>
      <c r="U280" s="495"/>
      <c r="V280" s="495"/>
      <c r="W280" s="495">
        <f>D280-Q280-R280-S280-U280+(T280+V280)</f>
        <v>21.1</v>
      </c>
      <c r="X280" s="496"/>
    </row>
    <row r="281" spans="1:24" s="497" customFormat="1" ht="17.25" customHeight="1">
      <c r="A281" s="499" t="s">
        <v>255</v>
      </c>
      <c r="B281" s="498" t="s">
        <v>616</v>
      </c>
      <c r="C281" s="493"/>
      <c r="D281" s="494">
        <f>E281+P281</f>
        <v>30</v>
      </c>
      <c r="E281" s="495">
        <f>F281+N281+O281</f>
        <v>30</v>
      </c>
      <c r="F281" s="495">
        <f>H281+K281</f>
        <v>30</v>
      </c>
      <c r="G281" s="495"/>
      <c r="H281" s="495">
        <f>I281+J281</f>
        <v>0</v>
      </c>
      <c r="I281" s="495"/>
      <c r="J281" s="495"/>
      <c r="K281" s="495">
        <f>L281+M281</f>
        <v>30</v>
      </c>
      <c r="L281" s="495"/>
      <c r="M281" s="495">
        <v>30</v>
      </c>
      <c r="N281" s="495"/>
      <c r="O281" s="495"/>
      <c r="P281" s="495"/>
      <c r="Q281" s="495"/>
      <c r="R281" s="495">
        <f>D281*0.1</f>
        <v>3</v>
      </c>
      <c r="S281" s="495"/>
      <c r="T281" s="495"/>
      <c r="U281" s="495"/>
      <c r="V281" s="495"/>
      <c r="W281" s="495">
        <f>D281-Q281-R281-S281-U281+(T281+V281)</f>
        <v>27</v>
      </c>
      <c r="X281" s="496"/>
    </row>
    <row r="282" spans="1:24" s="497" customFormat="1" ht="17.25" customHeight="1">
      <c r="A282" s="499" t="s">
        <v>255</v>
      </c>
      <c r="B282" s="498" t="s">
        <v>668</v>
      </c>
      <c r="C282" s="493"/>
      <c r="D282" s="494"/>
      <c r="E282" s="495"/>
      <c r="F282" s="495"/>
      <c r="G282" s="495"/>
      <c r="H282" s="495"/>
      <c r="I282" s="495"/>
      <c r="J282" s="495"/>
      <c r="K282" s="495"/>
      <c r="L282" s="495"/>
      <c r="M282" s="495"/>
      <c r="N282" s="495"/>
      <c r="O282" s="495"/>
      <c r="P282" s="495"/>
      <c r="Q282" s="495"/>
      <c r="R282" s="495"/>
      <c r="S282" s="495"/>
      <c r="T282" s="495"/>
      <c r="U282" s="495"/>
      <c r="V282" s="495"/>
      <c r="W282" s="495">
        <f>D282-Q282-R282-S282-U282+(T282+V282)</f>
        <v>0</v>
      </c>
      <c r="X282" s="496"/>
    </row>
    <row r="283" spans="1:24" s="497" customFormat="1" ht="17.25" customHeight="1">
      <c r="A283" s="491" t="s">
        <v>402</v>
      </c>
      <c r="B283" s="498" t="s">
        <v>403</v>
      </c>
      <c r="C283" s="493">
        <f>C284+C307+C316+C322+C333+C345+C355+C369+C379+C386+C395+C402+C410+C418+C419</f>
        <v>0</v>
      </c>
      <c r="D283" s="494">
        <f>D284+D307+D316+D322+D333+D345+D355+D369+D379+D386+D395+D402+D410+D418+D419</f>
        <v>15093.73302</v>
      </c>
      <c r="E283" s="495">
        <f t="shared" ref="E283:W283" si="169">E284+E307+E316+E322+E333+E345+E355+E369+E379+E386+E395+E402+E410+E418+E419</f>
        <v>15093.73302</v>
      </c>
      <c r="F283" s="495">
        <f t="shared" si="169"/>
        <v>15093.73302</v>
      </c>
      <c r="G283" s="495">
        <f t="shared" si="169"/>
        <v>83</v>
      </c>
      <c r="H283" s="495">
        <f t="shared" si="169"/>
        <v>9399.5330200000008</v>
      </c>
      <c r="I283" s="495">
        <f t="shared" si="169"/>
        <v>0</v>
      </c>
      <c r="J283" s="495">
        <f t="shared" si="169"/>
        <v>0</v>
      </c>
      <c r="K283" s="495">
        <f t="shared" si="169"/>
        <v>5694.2</v>
      </c>
      <c r="L283" s="495">
        <f t="shared" si="169"/>
        <v>2569.1999999999998</v>
      </c>
      <c r="M283" s="495">
        <f t="shared" si="169"/>
        <v>3125</v>
      </c>
      <c r="N283" s="495">
        <f t="shared" si="169"/>
        <v>0</v>
      </c>
      <c r="O283" s="495">
        <f t="shared" si="169"/>
        <v>0</v>
      </c>
      <c r="P283" s="495">
        <f t="shared" si="169"/>
        <v>0</v>
      </c>
      <c r="Q283" s="495">
        <f t="shared" si="169"/>
        <v>0</v>
      </c>
      <c r="R283" s="495">
        <f t="shared" si="169"/>
        <v>523.4</v>
      </c>
      <c r="S283" s="495">
        <f t="shared" si="169"/>
        <v>419.63</v>
      </c>
      <c r="T283" s="495">
        <f t="shared" si="169"/>
        <v>58.78</v>
      </c>
      <c r="U283" s="495">
        <f t="shared" si="169"/>
        <v>319.08</v>
      </c>
      <c r="V283" s="495">
        <f t="shared" si="169"/>
        <v>392.26</v>
      </c>
      <c r="W283" s="495">
        <f t="shared" si="169"/>
        <v>14282.66302</v>
      </c>
      <c r="X283" s="496"/>
    </row>
    <row r="284" spans="1:24" s="497" customFormat="1" ht="27.75" customHeight="1">
      <c r="A284" s="491" t="s">
        <v>204</v>
      </c>
      <c r="B284" s="498" t="s">
        <v>404</v>
      </c>
      <c r="C284" s="493"/>
      <c r="D284" s="494">
        <f>D285+D293+D303</f>
        <v>4794.07</v>
      </c>
      <c r="E284" s="495">
        <f t="shared" ref="E284:W284" si="170">E285+E293+E303</f>
        <v>4794.07</v>
      </c>
      <c r="F284" s="495">
        <f t="shared" si="170"/>
        <v>4794.07</v>
      </c>
      <c r="G284" s="495">
        <f t="shared" si="170"/>
        <v>23</v>
      </c>
      <c r="H284" s="495">
        <f t="shared" si="170"/>
        <v>2419.67</v>
      </c>
      <c r="I284" s="495">
        <f t="shared" si="170"/>
        <v>0</v>
      </c>
      <c r="J284" s="495">
        <f t="shared" si="170"/>
        <v>0</v>
      </c>
      <c r="K284" s="495">
        <f t="shared" si="170"/>
        <v>2374.4</v>
      </c>
      <c r="L284" s="495">
        <f t="shared" si="170"/>
        <v>924.4</v>
      </c>
      <c r="M284" s="495">
        <f t="shared" si="170"/>
        <v>1450</v>
      </c>
      <c r="N284" s="495">
        <f t="shared" si="170"/>
        <v>0</v>
      </c>
      <c r="O284" s="495">
        <f t="shared" si="170"/>
        <v>0</v>
      </c>
      <c r="P284" s="495">
        <f t="shared" si="170"/>
        <v>0</v>
      </c>
      <c r="Q284" s="495">
        <f t="shared" si="170"/>
        <v>0</v>
      </c>
      <c r="R284" s="495">
        <f>R285+R293+R303</f>
        <v>236.2</v>
      </c>
      <c r="S284" s="495">
        <f t="shared" si="170"/>
        <v>160.36000000000001</v>
      </c>
      <c r="T284" s="495">
        <f t="shared" si="170"/>
        <v>45</v>
      </c>
      <c r="U284" s="495">
        <f t="shared" si="170"/>
        <v>0</v>
      </c>
      <c r="V284" s="495">
        <f t="shared" si="170"/>
        <v>203.5</v>
      </c>
      <c r="W284" s="495">
        <f t="shared" si="170"/>
        <v>4646.01</v>
      </c>
      <c r="X284" s="496" t="s">
        <v>404</v>
      </c>
    </row>
    <row r="285" spans="1:24" s="506" customFormat="1" ht="17.25" customHeight="1">
      <c r="A285" s="491" t="s">
        <v>266</v>
      </c>
      <c r="B285" s="498" t="s">
        <v>405</v>
      </c>
      <c r="C285" s="493"/>
      <c r="D285" s="494">
        <f>SUM(D286:D292)</f>
        <v>3344.07</v>
      </c>
      <c r="E285" s="495">
        <f>SUM(E286:E292)</f>
        <v>3344.07</v>
      </c>
      <c r="F285" s="495">
        <f>SUM(F286:F292)</f>
        <v>3344.07</v>
      </c>
      <c r="G285" s="495">
        <v>23</v>
      </c>
      <c r="H285" s="495">
        <f t="shared" ref="H285:W285" si="171">SUM(H286:H292)</f>
        <v>2419.67</v>
      </c>
      <c r="I285" s="495">
        <f t="shared" si="171"/>
        <v>0</v>
      </c>
      <c r="J285" s="495">
        <f t="shared" si="171"/>
        <v>0</v>
      </c>
      <c r="K285" s="495">
        <f t="shared" si="171"/>
        <v>924.4</v>
      </c>
      <c r="L285" s="495">
        <f t="shared" si="171"/>
        <v>924.4</v>
      </c>
      <c r="M285" s="495">
        <f t="shared" si="171"/>
        <v>0</v>
      </c>
      <c r="N285" s="495">
        <f t="shared" si="171"/>
        <v>0</v>
      </c>
      <c r="O285" s="495">
        <f t="shared" si="171"/>
        <v>0</v>
      </c>
      <c r="P285" s="495">
        <f t="shared" si="171"/>
        <v>0</v>
      </c>
      <c r="Q285" s="495">
        <f t="shared" si="171"/>
        <v>0</v>
      </c>
      <c r="R285" s="495">
        <f t="shared" si="171"/>
        <v>91.2</v>
      </c>
      <c r="S285" s="495">
        <f t="shared" si="171"/>
        <v>160.36000000000001</v>
      </c>
      <c r="T285" s="495">
        <f t="shared" si="171"/>
        <v>0</v>
      </c>
      <c r="U285" s="495">
        <f t="shared" si="171"/>
        <v>0</v>
      </c>
      <c r="V285" s="495">
        <f t="shared" si="171"/>
        <v>0</v>
      </c>
      <c r="W285" s="495">
        <f t="shared" si="171"/>
        <v>3092.5099999999998</v>
      </c>
      <c r="X285" s="496"/>
    </row>
    <row r="286" spans="1:24" s="497" customFormat="1" ht="19.5" customHeight="1">
      <c r="A286" s="491" t="s">
        <v>255</v>
      </c>
      <c r="B286" s="498" t="s">
        <v>500</v>
      </c>
      <c r="C286" s="493"/>
      <c r="D286" s="494">
        <f t="shared" ref="D286:D292" si="172">E286+P286</f>
        <v>2400.71</v>
      </c>
      <c r="E286" s="495">
        <f t="shared" ref="E286:E292" si="173">F286+N286+O286</f>
        <v>2400.71</v>
      </c>
      <c r="F286" s="495">
        <f t="shared" ref="F286:F292" si="174">H286+K286</f>
        <v>2400.71</v>
      </c>
      <c r="G286" s="495">
        <v>23</v>
      </c>
      <c r="H286" s="495">
        <f>2224.25+176.46</f>
        <v>2400.71</v>
      </c>
      <c r="I286" s="495"/>
      <c r="J286" s="495"/>
      <c r="K286" s="495">
        <f t="shared" si="123"/>
        <v>0</v>
      </c>
      <c r="L286" s="495"/>
      <c r="M286" s="495"/>
      <c r="N286" s="495"/>
      <c r="O286" s="495"/>
      <c r="P286" s="495"/>
      <c r="Q286" s="495"/>
      <c r="R286" s="495"/>
      <c r="S286" s="494">
        <f>166.56-6.2</f>
        <v>160.36000000000001</v>
      </c>
      <c r="T286" s="495"/>
      <c r="U286" s="495"/>
      <c r="V286" s="495"/>
      <c r="W286" s="495">
        <f t="shared" ref="W286:W292" si="175">D286-Q286-R286-S286-U286+(T286+V286)</f>
        <v>2240.35</v>
      </c>
      <c r="X286" s="496"/>
    </row>
    <row r="287" spans="1:24" s="497" customFormat="1" ht="28.5" customHeight="1">
      <c r="A287" s="491" t="s">
        <v>255</v>
      </c>
      <c r="B287" s="498" t="s">
        <v>699</v>
      </c>
      <c r="C287" s="493"/>
      <c r="D287" s="494">
        <f t="shared" si="172"/>
        <v>662.4</v>
      </c>
      <c r="E287" s="495">
        <f t="shared" si="173"/>
        <v>662.4</v>
      </c>
      <c r="F287" s="495">
        <f t="shared" si="174"/>
        <v>662.4</v>
      </c>
      <c r="G287" s="495"/>
      <c r="H287" s="495">
        <f t="shared" si="167"/>
        <v>0</v>
      </c>
      <c r="I287" s="495"/>
      <c r="J287" s="495"/>
      <c r="K287" s="495">
        <f>L287+M287</f>
        <v>662.4</v>
      </c>
      <c r="L287" s="495">
        <f>23*16*1.8</f>
        <v>662.4</v>
      </c>
      <c r="M287" s="495">
        <v>0</v>
      </c>
      <c r="N287" s="495">
        <v>0</v>
      </c>
      <c r="O287" s="495">
        <v>0</v>
      </c>
      <c r="P287" s="495">
        <v>0</v>
      </c>
      <c r="Q287" s="495"/>
      <c r="R287" s="495">
        <v>66.2</v>
      </c>
      <c r="S287" s="495"/>
      <c r="T287" s="495"/>
      <c r="U287" s="495"/>
      <c r="V287" s="495"/>
      <c r="W287" s="495">
        <f t="shared" si="175"/>
        <v>596.19999999999993</v>
      </c>
      <c r="X287" s="496">
        <f>W287-108.49</f>
        <v>487.70999999999992</v>
      </c>
    </row>
    <row r="288" spans="1:24" s="497" customFormat="1" ht="22.5" customHeight="1">
      <c r="A288" s="491" t="s">
        <v>255</v>
      </c>
      <c r="B288" s="498" t="s">
        <v>310</v>
      </c>
      <c r="C288" s="493"/>
      <c r="D288" s="494">
        <f t="shared" si="172"/>
        <v>10.73</v>
      </c>
      <c r="E288" s="495">
        <f t="shared" si="173"/>
        <v>10.73</v>
      </c>
      <c r="F288" s="495">
        <f t="shared" si="174"/>
        <v>10.73</v>
      </c>
      <c r="G288" s="495"/>
      <c r="H288" s="495">
        <v>10.73</v>
      </c>
      <c r="I288" s="495"/>
      <c r="J288" s="495"/>
      <c r="K288" s="495">
        <f t="shared" si="123"/>
        <v>0</v>
      </c>
      <c r="L288" s="495"/>
      <c r="M288" s="495">
        <v>0</v>
      </c>
      <c r="N288" s="495"/>
      <c r="O288" s="495"/>
      <c r="P288" s="495"/>
      <c r="Q288" s="495"/>
      <c r="R288" s="495"/>
      <c r="S288" s="495"/>
      <c r="T288" s="495"/>
      <c r="U288" s="495"/>
      <c r="V288" s="495"/>
      <c r="W288" s="495">
        <f t="shared" si="175"/>
        <v>10.73</v>
      </c>
      <c r="X288" s="496"/>
    </row>
    <row r="289" spans="1:24" s="497" customFormat="1" ht="31.5" customHeight="1">
      <c r="A289" s="491" t="s">
        <v>255</v>
      </c>
      <c r="B289" s="498" t="s">
        <v>287</v>
      </c>
      <c r="C289" s="493"/>
      <c r="D289" s="494">
        <f t="shared" si="172"/>
        <v>12</v>
      </c>
      <c r="E289" s="495">
        <f t="shared" si="173"/>
        <v>12</v>
      </c>
      <c r="F289" s="495">
        <f t="shared" si="174"/>
        <v>12</v>
      </c>
      <c r="G289" s="495"/>
      <c r="H289" s="495">
        <f t="shared" si="167"/>
        <v>0</v>
      </c>
      <c r="I289" s="495"/>
      <c r="J289" s="495"/>
      <c r="K289" s="495">
        <f t="shared" si="123"/>
        <v>12</v>
      </c>
      <c r="L289" s="495">
        <v>12</v>
      </c>
      <c r="M289" s="495">
        <v>0</v>
      </c>
      <c r="N289" s="495"/>
      <c r="O289" s="495"/>
      <c r="P289" s="495"/>
      <c r="Q289" s="495"/>
      <c r="R289" s="495"/>
      <c r="S289" s="495"/>
      <c r="T289" s="495"/>
      <c r="U289" s="495"/>
      <c r="V289" s="495"/>
      <c r="W289" s="495">
        <f t="shared" si="175"/>
        <v>12</v>
      </c>
      <c r="X289" s="496"/>
    </row>
    <row r="290" spans="1:24" s="497" customFormat="1" ht="17.25" customHeight="1">
      <c r="A290" s="491" t="s">
        <v>255</v>
      </c>
      <c r="B290" s="498" t="s">
        <v>621</v>
      </c>
      <c r="C290" s="493"/>
      <c r="D290" s="494">
        <f t="shared" si="172"/>
        <v>8.23</v>
      </c>
      <c r="E290" s="495">
        <f t="shared" si="173"/>
        <v>8.23</v>
      </c>
      <c r="F290" s="495">
        <f t="shared" si="174"/>
        <v>8.23</v>
      </c>
      <c r="G290" s="495"/>
      <c r="H290" s="495">
        <v>8.23</v>
      </c>
      <c r="I290" s="495"/>
      <c r="J290" s="495"/>
      <c r="K290" s="495">
        <f t="shared" ref="K290:K362" si="176">L290+M290</f>
        <v>0</v>
      </c>
      <c r="L290" s="495"/>
      <c r="M290" s="495">
        <v>0</v>
      </c>
      <c r="N290" s="495"/>
      <c r="O290" s="495"/>
      <c r="P290" s="495"/>
      <c r="Q290" s="495"/>
      <c r="R290" s="495"/>
      <c r="S290" s="495"/>
      <c r="T290" s="495"/>
      <c r="U290" s="495"/>
      <c r="V290" s="495"/>
      <c r="W290" s="495">
        <f t="shared" si="175"/>
        <v>8.23</v>
      </c>
      <c r="X290" s="496"/>
    </row>
    <row r="291" spans="1:24" s="497" customFormat="1" ht="24.75" customHeight="1">
      <c r="A291" s="491" t="s">
        <v>255</v>
      </c>
      <c r="B291" s="498" t="s">
        <v>617</v>
      </c>
      <c r="C291" s="493"/>
      <c r="D291" s="494">
        <f t="shared" si="172"/>
        <v>250</v>
      </c>
      <c r="E291" s="495">
        <f t="shared" si="173"/>
        <v>250</v>
      </c>
      <c r="F291" s="495">
        <f t="shared" si="174"/>
        <v>250</v>
      </c>
      <c r="G291" s="495"/>
      <c r="H291" s="495">
        <f>I291+J291</f>
        <v>0</v>
      </c>
      <c r="I291" s="495"/>
      <c r="J291" s="495"/>
      <c r="K291" s="495">
        <f t="shared" si="176"/>
        <v>250</v>
      </c>
      <c r="L291" s="495">
        <v>250</v>
      </c>
      <c r="M291" s="495">
        <v>0</v>
      </c>
      <c r="N291" s="495"/>
      <c r="O291" s="495"/>
      <c r="P291" s="495"/>
      <c r="Q291" s="495"/>
      <c r="R291" s="495">
        <f>D291*0.1</f>
        <v>25</v>
      </c>
      <c r="S291" s="495"/>
      <c r="T291" s="495"/>
      <c r="U291" s="495"/>
      <c r="V291" s="495"/>
      <c r="W291" s="495">
        <f t="shared" si="175"/>
        <v>225</v>
      </c>
      <c r="X291" s="496"/>
    </row>
    <row r="292" spans="1:24" s="497" customFormat="1" ht="17.25" customHeight="1">
      <c r="A292" s="491" t="s">
        <v>255</v>
      </c>
      <c r="B292" s="498" t="s">
        <v>406</v>
      </c>
      <c r="C292" s="493"/>
      <c r="D292" s="494">
        <f t="shared" si="172"/>
        <v>0</v>
      </c>
      <c r="E292" s="495">
        <f t="shared" si="173"/>
        <v>0</v>
      </c>
      <c r="F292" s="495">
        <f t="shared" si="174"/>
        <v>0</v>
      </c>
      <c r="G292" s="495"/>
      <c r="H292" s="495">
        <f t="shared" si="167"/>
        <v>0</v>
      </c>
      <c r="I292" s="495"/>
      <c r="J292" s="495"/>
      <c r="K292" s="495">
        <f t="shared" si="176"/>
        <v>0</v>
      </c>
      <c r="L292" s="495"/>
      <c r="M292" s="495"/>
      <c r="N292" s="495"/>
      <c r="O292" s="495"/>
      <c r="P292" s="495"/>
      <c r="Q292" s="495"/>
      <c r="R292" s="495"/>
      <c r="S292" s="495"/>
      <c r="T292" s="495"/>
      <c r="U292" s="495"/>
      <c r="V292" s="495"/>
      <c r="W292" s="495">
        <f t="shared" si="175"/>
        <v>0</v>
      </c>
      <c r="X292" s="496"/>
    </row>
    <row r="293" spans="1:24" s="506" customFormat="1" ht="17.25" customHeight="1">
      <c r="A293" s="491" t="s">
        <v>270</v>
      </c>
      <c r="B293" s="498" t="s">
        <v>407</v>
      </c>
      <c r="C293" s="493"/>
      <c r="D293" s="494">
        <f t="shared" ref="D293:I293" si="177">SUM(D294:D302)</f>
        <v>1220</v>
      </c>
      <c r="E293" s="495">
        <f t="shared" si="177"/>
        <v>1220</v>
      </c>
      <c r="F293" s="495">
        <f t="shared" si="177"/>
        <v>1220</v>
      </c>
      <c r="G293" s="495">
        <f t="shared" si="177"/>
        <v>0</v>
      </c>
      <c r="H293" s="495">
        <f t="shared" si="177"/>
        <v>0</v>
      </c>
      <c r="I293" s="495">
        <f t="shared" si="177"/>
        <v>0</v>
      </c>
      <c r="J293" s="495"/>
      <c r="K293" s="495">
        <f t="shared" ref="K293:W293" si="178">SUM(K294:K302)</f>
        <v>1220</v>
      </c>
      <c r="L293" s="495">
        <f t="shared" si="178"/>
        <v>0</v>
      </c>
      <c r="M293" s="495">
        <f t="shared" si="178"/>
        <v>1220</v>
      </c>
      <c r="N293" s="495">
        <f t="shared" si="178"/>
        <v>0</v>
      </c>
      <c r="O293" s="495">
        <f t="shared" si="178"/>
        <v>0</v>
      </c>
      <c r="P293" s="495">
        <f t="shared" si="178"/>
        <v>0</v>
      </c>
      <c r="Q293" s="495">
        <f t="shared" si="178"/>
        <v>0</v>
      </c>
      <c r="R293" s="495">
        <f t="shared" si="178"/>
        <v>122</v>
      </c>
      <c r="S293" s="495">
        <f t="shared" si="178"/>
        <v>0</v>
      </c>
      <c r="T293" s="495">
        <f t="shared" si="178"/>
        <v>45</v>
      </c>
      <c r="U293" s="495">
        <f t="shared" si="178"/>
        <v>0</v>
      </c>
      <c r="V293" s="495">
        <f t="shared" si="178"/>
        <v>203.5</v>
      </c>
      <c r="W293" s="495">
        <f t="shared" si="178"/>
        <v>1346.5</v>
      </c>
      <c r="X293" s="496"/>
    </row>
    <row r="294" spans="1:24" s="497" customFormat="1" ht="34.5" customHeight="1">
      <c r="A294" s="491" t="s">
        <v>255</v>
      </c>
      <c r="B294" s="498" t="s">
        <v>408</v>
      </c>
      <c r="C294" s="493"/>
      <c r="D294" s="494">
        <f t="shared" ref="D294:D302" si="179">E294+P294</f>
        <v>250</v>
      </c>
      <c r="E294" s="495">
        <f t="shared" ref="E294:E302" si="180">F294+N294+O294</f>
        <v>250</v>
      </c>
      <c r="F294" s="495">
        <f t="shared" ref="F294:F302" si="181">H294+K294</f>
        <v>250</v>
      </c>
      <c r="G294" s="495"/>
      <c r="H294" s="495">
        <f t="shared" si="167"/>
        <v>0</v>
      </c>
      <c r="I294" s="495"/>
      <c r="J294" s="495"/>
      <c r="K294" s="495">
        <f t="shared" si="176"/>
        <v>250</v>
      </c>
      <c r="L294" s="495"/>
      <c r="M294" s="495">
        <v>250</v>
      </c>
      <c r="N294" s="495"/>
      <c r="O294" s="495"/>
      <c r="P294" s="495"/>
      <c r="Q294" s="495"/>
      <c r="R294" s="495">
        <f t="shared" ref="R294:R299" si="182">D294*0.1</f>
        <v>25</v>
      </c>
      <c r="S294" s="495"/>
      <c r="T294" s="495"/>
      <c r="U294" s="495"/>
      <c r="V294" s="495">
        <v>50</v>
      </c>
      <c r="W294" s="495">
        <f t="shared" ref="W294:W302" si="183">D294-Q294-R294-S294-U294+(T294+V294)</f>
        <v>275</v>
      </c>
      <c r="X294" s="496"/>
    </row>
    <row r="295" spans="1:24" s="497" customFormat="1" ht="33" customHeight="1">
      <c r="A295" s="491" t="s">
        <v>255</v>
      </c>
      <c r="B295" s="498" t="s">
        <v>768</v>
      </c>
      <c r="C295" s="493"/>
      <c r="D295" s="494">
        <f t="shared" si="179"/>
        <v>500</v>
      </c>
      <c r="E295" s="495">
        <f t="shared" si="180"/>
        <v>500</v>
      </c>
      <c r="F295" s="495">
        <f t="shared" si="181"/>
        <v>500</v>
      </c>
      <c r="G295" s="495"/>
      <c r="H295" s="495">
        <f t="shared" si="167"/>
        <v>0</v>
      </c>
      <c r="I295" s="495"/>
      <c r="J295" s="495"/>
      <c r="K295" s="495">
        <f t="shared" si="176"/>
        <v>500</v>
      </c>
      <c r="L295" s="495"/>
      <c r="M295" s="495">
        <v>500</v>
      </c>
      <c r="N295" s="495"/>
      <c r="O295" s="495"/>
      <c r="P295" s="495"/>
      <c r="Q295" s="495"/>
      <c r="R295" s="495">
        <f t="shared" si="182"/>
        <v>50</v>
      </c>
      <c r="S295" s="495"/>
      <c r="T295" s="495"/>
      <c r="U295" s="495"/>
      <c r="V295" s="495">
        <v>100</v>
      </c>
      <c r="W295" s="495">
        <f t="shared" si="183"/>
        <v>550</v>
      </c>
      <c r="X295" s="496"/>
    </row>
    <row r="296" spans="1:24" s="497" customFormat="1" ht="44.25" customHeight="1">
      <c r="A296" s="491" t="s">
        <v>255</v>
      </c>
      <c r="B296" s="498" t="s">
        <v>618</v>
      </c>
      <c r="C296" s="493"/>
      <c r="D296" s="494">
        <f t="shared" si="179"/>
        <v>350</v>
      </c>
      <c r="E296" s="495">
        <f t="shared" si="180"/>
        <v>350</v>
      </c>
      <c r="F296" s="495">
        <f t="shared" si="181"/>
        <v>350</v>
      </c>
      <c r="G296" s="495"/>
      <c r="H296" s="495">
        <f t="shared" si="167"/>
        <v>0</v>
      </c>
      <c r="I296" s="495"/>
      <c r="J296" s="495"/>
      <c r="K296" s="495">
        <f t="shared" si="176"/>
        <v>350</v>
      </c>
      <c r="L296" s="495"/>
      <c r="M296" s="495">
        <v>350</v>
      </c>
      <c r="N296" s="495"/>
      <c r="O296" s="495"/>
      <c r="P296" s="495"/>
      <c r="Q296" s="495"/>
      <c r="R296" s="495">
        <f t="shared" si="182"/>
        <v>35</v>
      </c>
      <c r="S296" s="495"/>
      <c r="T296" s="495"/>
      <c r="U296" s="495"/>
      <c r="V296" s="495"/>
      <c r="W296" s="495">
        <f t="shared" si="183"/>
        <v>315</v>
      </c>
      <c r="X296" s="496"/>
    </row>
    <row r="297" spans="1:24" s="497" customFormat="1" ht="17.25" customHeight="1">
      <c r="A297" s="491" t="s">
        <v>255</v>
      </c>
      <c r="B297" s="498" t="s">
        <v>409</v>
      </c>
      <c r="C297" s="493"/>
      <c r="D297" s="494">
        <f t="shared" si="179"/>
        <v>50</v>
      </c>
      <c r="E297" s="495">
        <f t="shared" si="180"/>
        <v>50</v>
      </c>
      <c r="F297" s="495">
        <f t="shared" si="181"/>
        <v>50</v>
      </c>
      <c r="G297" s="495"/>
      <c r="H297" s="495">
        <f t="shared" si="167"/>
        <v>0</v>
      </c>
      <c r="I297" s="495"/>
      <c r="J297" s="495"/>
      <c r="K297" s="495">
        <f>L297+M297</f>
        <v>50</v>
      </c>
      <c r="L297" s="495"/>
      <c r="M297" s="495">
        <v>50</v>
      </c>
      <c r="N297" s="495"/>
      <c r="O297" s="495"/>
      <c r="P297" s="495"/>
      <c r="Q297" s="495"/>
      <c r="R297" s="495">
        <f t="shared" si="182"/>
        <v>5</v>
      </c>
      <c r="S297" s="495"/>
      <c r="T297" s="495"/>
      <c r="U297" s="495"/>
      <c r="V297" s="495"/>
      <c r="W297" s="495">
        <f t="shared" si="183"/>
        <v>45</v>
      </c>
      <c r="X297" s="496"/>
    </row>
    <row r="298" spans="1:24" s="497" customFormat="1" ht="48.75" customHeight="1">
      <c r="A298" s="491" t="s">
        <v>255</v>
      </c>
      <c r="B298" s="502" t="s">
        <v>410</v>
      </c>
      <c r="C298" s="493"/>
      <c r="D298" s="494">
        <f t="shared" si="179"/>
        <v>20</v>
      </c>
      <c r="E298" s="495">
        <f t="shared" si="180"/>
        <v>20</v>
      </c>
      <c r="F298" s="495">
        <f t="shared" si="181"/>
        <v>20</v>
      </c>
      <c r="G298" s="495"/>
      <c r="H298" s="495">
        <f t="shared" si="167"/>
        <v>0</v>
      </c>
      <c r="I298" s="495"/>
      <c r="J298" s="495"/>
      <c r="K298" s="495">
        <f t="shared" si="176"/>
        <v>20</v>
      </c>
      <c r="L298" s="495"/>
      <c r="M298" s="495">
        <v>20</v>
      </c>
      <c r="N298" s="495"/>
      <c r="O298" s="495"/>
      <c r="P298" s="495"/>
      <c r="Q298" s="495"/>
      <c r="R298" s="495">
        <f t="shared" si="182"/>
        <v>2</v>
      </c>
      <c r="S298" s="495"/>
      <c r="T298" s="495"/>
      <c r="U298" s="495"/>
      <c r="V298" s="495"/>
      <c r="W298" s="495">
        <f t="shared" si="183"/>
        <v>18</v>
      </c>
      <c r="X298" s="496"/>
    </row>
    <row r="299" spans="1:24" s="497" customFormat="1" ht="17.25" customHeight="1">
      <c r="A299" s="491" t="s">
        <v>255</v>
      </c>
      <c r="B299" s="498" t="s">
        <v>411</v>
      </c>
      <c r="C299" s="493"/>
      <c r="D299" s="494">
        <f t="shared" si="179"/>
        <v>50</v>
      </c>
      <c r="E299" s="495">
        <f t="shared" si="180"/>
        <v>50</v>
      </c>
      <c r="F299" s="495">
        <f t="shared" si="181"/>
        <v>50</v>
      </c>
      <c r="G299" s="495"/>
      <c r="H299" s="495">
        <f t="shared" si="167"/>
        <v>0</v>
      </c>
      <c r="I299" s="495"/>
      <c r="J299" s="495"/>
      <c r="K299" s="495">
        <f t="shared" si="176"/>
        <v>50</v>
      </c>
      <c r="L299" s="495"/>
      <c r="M299" s="495">
        <v>50</v>
      </c>
      <c r="N299" s="495"/>
      <c r="O299" s="495"/>
      <c r="P299" s="495"/>
      <c r="Q299" s="495"/>
      <c r="R299" s="495">
        <f t="shared" si="182"/>
        <v>5</v>
      </c>
      <c r="S299" s="495"/>
      <c r="T299" s="495"/>
      <c r="U299" s="495"/>
      <c r="V299" s="495"/>
      <c r="W299" s="495">
        <f t="shared" si="183"/>
        <v>45</v>
      </c>
      <c r="X299" s="496"/>
    </row>
    <row r="300" spans="1:24" s="497" customFormat="1" ht="24.75" customHeight="1">
      <c r="A300" s="491" t="s">
        <v>255</v>
      </c>
      <c r="B300" s="502" t="s">
        <v>818</v>
      </c>
      <c r="C300" s="493"/>
      <c r="D300" s="494">
        <f t="shared" si="179"/>
        <v>0</v>
      </c>
      <c r="E300" s="495">
        <f t="shared" si="180"/>
        <v>0</v>
      </c>
      <c r="F300" s="495">
        <f t="shared" si="181"/>
        <v>0</v>
      </c>
      <c r="G300" s="495"/>
      <c r="H300" s="495">
        <f t="shared" si="167"/>
        <v>0</v>
      </c>
      <c r="I300" s="495"/>
      <c r="J300" s="495"/>
      <c r="K300" s="495">
        <f t="shared" si="176"/>
        <v>0</v>
      </c>
      <c r="L300" s="495"/>
      <c r="M300" s="495"/>
      <c r="N300" s="495"/>
      <c r="O300" s="495"/>
      <c r="P300" s="495"/>
      <c r="Q300" s="495"/>
      <c r="R300" s="495"/>
      <c r="S300" s="495"/>
      <c r="T300" s="495"/>
      <c r="U300" s="495"/>
      <c r="V300" s="495">
        <v>53.5</v>
      </c>
      <c r="W300" s="495">
        <f t="shared" si="183"/>
        <v>53.5</v>
      </c>
      <c r="X300" s="496"/>
    </row>
    <row r="301" spans="1:24" s="497" customFormat="1" ht="21">
      <c r="A301" s="491" t="s">
        <v>255</v>
      </c>
      <c r="B301" s="502" t="s">
        <v>769</v>
      </c>
      <c r="C301" s="493"/>
      <c r="D301" s="494">
        <f t="shared" si="179"/>
        <v>0</v>
      </c>
      <c r="E301" s="495">
        <f t="shared" si="180"/>
        <v>0</v>
      </c>
      <c r="F301" s="495">
        <f t="shared" si="181"/>
        <v>0</v>
      </c>
      <c r="G301" s="495"/>
      <c r="H301" s="495">
        <f t="shared" si="167"/>
        <v>0</v>
      </c>
      <c r="I301" s="495"/>
      <c r="J301" s="495"/>
      <c r="K301" s="495">
        <f t="shared" si="176"/>
        <v>0</v>
      </c>
      <c r="L301" s="495"/>
      <c r="M301" s="495"/>
      <c r="N301" s="495"/>
      <c r="O301" s="495"/>
      <c r="P301" s="495"/>
      <c r="Q301" s="495"/>
      <c r="R301" s="495"/>
      <c r="S301" s="495"/>
      <c r="T301" s="495">
        <v>15</v>
      </c>
      <c r="U301" s="495"/>
      <c r="V301" s="495"/>
      <c r="W301" s="495">
        <f t="shared" si="183"/>
        <v>15</v>
      </c>
      <c r="X301" s="496"/>
    </row>
    <row r="302" spans="1:24" s="497" customFormat="1" ht="42" customHeight="1">
      <c r="A302" s="491" t="s">
        <v>255</v>
      </c>
      <c r="B302" s="296" t="s">
        <v>770</v>
      </c>
      <c r="C302" s="493"/>
      <c r="D302" s="494">
        <f t="shared" si="179"/>
        <v>0</v>
      </c>
      <c r="E302" s="495">
        <f t="shared" si="180"/>
        <v>0</v>
      </c>
      <c r="F302" s="495">
        <f t="shared" si="181"/>
        <v>0</v>
      </c>
      <c r="G302" s="495"/>
      <c r="H302" s="495">
        <f t="shared" si="167"/>
        <v>0</v>
      </c>
      <c r="I302" s="495"/>
      <c r="J302" s="495"/>
      <c r="K302" s="495">
        <f t="shared" si="176"/>
        <v>0</v>
      </c>
      <c r="L302" s="495"/>
      <c r="M302" s="495"/>
      <c r="N302" s="495"/>
      <c r="O302" s="495"/>
      <c r="P302" s="495"/>
      <c r="Q302" s="495"/>
      <c r="R302" s="495"/>
      <c r="S302" s="495"/>
      <c r="T302" s="495">
        <v>30</v>
      </c>
      <c r="U302" s="495"/>
      <c r="V302" s="495"/>
      <c r="W302" s="495">
        <f t="shared" si="183"/>
        <v>30</v>
      </c>
      <c r="X302" s="496"/>
    </row>
    <row r="303" spans="1:24" s="497" customFormat="1" ht="17.25" customHeight="1">
      <c r="A303" s="491" t="s">
        <v>412</v>
      </c>
      <c r="B303" s="498" t="s">
        <v>413</v>
      </c>
      <c r="C303" s="493"/>
      <c r="D303" s="494">
        <f>SUM(D304:D306)</f>
        <v>230</v>
      </c>
      <c r="E303" s="495">
        <f t="shared" ref="E303:I303" si="184">SUM(E304:E306)</f>
        <v>230</v>
      </c>
      <c r="F303" s="495">
        <f t="shared" si="184"/>
        <v>230</v>
      </c>
      <c r="G303" s="495">
        <f t="shared" si="184"/>
        <v>0</v>
      </c>
      <c r="H303" s="495">
        <f t="shared" si="184"/>
        <v>0</v>
      </c>
      <c r="I303" s="495">
        <f t="shared" si="184"/>
        <v>0</v>
      </c>
      <c r="J303" s="495"/>
      <c r="K303" s="495">
        <f t="shared" ref="K303:W303" si="185">SUM(K304:K306)</f>
        <v>230</v>
      </c>
      <c r="L303" s="495">
        <f t="shared" si="185"/>
        <v>0</v>
      </c>
      <c r="M303" s="495">
        <f t="shared" si="185"/>
        <v>230</v>
      </c>
      <c r="N303" s="495">
        <f t="shared" si="185"/>
        <v>0</v>
      </c>
      <c r="O303" s="495">
        <f t="shared" si="185"/>
        <v>0</v>
      </c>
      <c r="P303" s="495">
        <f t="shared" si="185"/>
        <v>0</v>
      </c>
      <c r="Q303" s="495">
        <f t="shared" si="185"/>
        <v>0</v>
      </c>
      <c r="R303" s="495">
        <f t="shared" si="185"/>
        <v>23</v>
      </c>
      <c r="S303" s="495">
        <f t="shared" si="185"/>
        <v>0</v>
      </c>
      <c r="T303" s="495">
        <f t="shared" si="185"/>
        <v>0</v>
      </c>
      <c r="U303" s="495">
        <f t="shared" si="185"/>
        <v>0</v>
      </c>
      <c r="V303" s="495">
        <f t="shared" si="185"/>
        <v>0</v>
      </c>
      <c r="W303" s="495">
        <f t="shared" si="185"/>
        <v>207</v>
      </c>
      <c r="X303" s="496"/>
    </row>
    <row r="304" spans="1:24" s="497" customFormat="1" ht="19.5" customHeight="1">
      <c r="A304" s="491" t="s">
        <v>255</v>
      </c>
      <c r="B304" s="498" t="s">
        <v>414</v>
      </c>
      <c r="C304" s="493"/>
      <c r="D304" s="494">
        <f>E304+P304</f>
        <v>0</v>
      </c>
      <c r="E304" s="495">
        <f>F304+N304+O304</f>
        <v>0</v>
      </c>
      <c r="F304" s="495">
        <f>H304+K304</f>
        <v>0</v>
      </c>
      <c r="G304" s="495"/>
      <c r="H304" s="495">
        <f t="shared" si="167"/>
        <v>0</v>
      </c>
      <c r="I304" s="495"/>
      <c r="J304" s="495"/>
      <c r="K304" s="495">
        <f t="shared" si="176"/>
        <v>0</v>
      </c>
      <c r="L304" s="495"/>
      <c r="M304" s="495"/>
      <c r="N304" s="495"/>
      <c r="O304" s="495"/>
      <c r="P304" s="495"/>
      <c r="Q304" s="495"/>
      <c r="R304" s="495"/>
      <c r="S304" s="495"/>
      <c r="T304" s="495"/>
      <c r="U304" s="495"/>
      <c r="V304" s="495"/>
      <c r="W304" s="495">
        <f>D304-Q304-R304-S304-U304+(T304+V304)</f>
        <v>0</v>
      </c>
      <c r="X304" s="496"/>
    </row>
    <row r="305" spans="1:24" s="497" customFormat="1" ht="19.5" customHeight="1">
      <c r="A305" s="499" t="s">
        <v>255</v>
      </c>
      <c r="B305" s="498" t="s">
        <v>771</v>
      </c>
      <c r="C305" s="493"/>
      <c r="D305" s="494">
        <f>E305+P305</f>
        <v>50</v>
      </c>
      <c r="E305" s="495">
        <f>F305+N305+O305</f>
        <v>50</v>
      </c>
      <c r="F305" s="495">
        <f>H305+K305</f>
        <v>50</v>
      </c>
      <c r="G305" s="495"/>
      <c r="H305" s="495"/>
      <c r="I305" s="495"/>
      <c r="J305" s="495"/>
      <c r="K305" s="495">
        <f t="shared" si="176"/>
        <v>50</v>
      </c>
      <c r="L305" s="495"/>
      <c r="M305" s="495">
        <v>50</v>
      </c>
      <c r="N305" s="495"/>
      <c r="O305" s="495"/>
      <c r="P305" s="495"/>
      <c r="Q305" s="495"/>
      <c r="R305" s="495">
        <f>D305*0.1</f>
        <v>5</v>
      </c>
      <c r="S305" s="495"/>
      <c r="T305" s="495"/>
      <c r="U305" s="495"/>
      <c r="V305" s="495"/>
      <c r="W305" s="495">
        <f>D305-Q305-R305-S305-U305+(T305+V305)</f>
        <v>45</v>
      </c>
      <c r="X305" s="496"/>
    </row>
    <row r="306" spans="1:24" s="497" customFormat="1" ht="36" customHeight="1">
      <c r="A306" s="491" t="s">
        <v>255</v>
      </c>
      <c r="B306" s="498" t="s">
        <v>772</v>
      </c>
      <c r="C306" s="493"/>
      <c r="D306" s="494">
        <f>E306+P306</f>
        <v>180</v>
      </c>
      <c r="E306" s="495">
        <f>F306+N306+O306</f>
        <v>180</v>
      </c>
      <c r="F306" s="495">
        <f>H306+K306</f>
        <v>180</v>
      </c>
      <c r="G306" s="495"/>
      <c r="H306" s="495">
        <f t="shared" si="167"/>
        <v>0</v>
      </c>
      <c r="I306" s="495"/>
      <c r="J306" s="495"/>
      <c r="K306" s="495">
        <f t="shared" si="176"/>
        <v>180</v>
      </c>
      <c r="L306" s="495"/>
      <c r="M306" s="495">
        <v>180</v>
      </c>
      <c r="N306" s="495"/>
      <c r="O306" s="495"/>
      <c r="P306" s="495"/>
      <c r="Q306" s="495"/>
      <c r="R306" s="495">
        <f>D306*0.1</f>
        <v>18</v>
      </c>
      <c r="S306" s="495"/>
      <c r="T306" s="495"/>
      <c r="U306" s="495"/>
      <c r="V306" s="495"/>
      <c r="W306" s="495">
        <f>D306-Q306-R306-S306-U306+(T306+V306)</f>
        <v>162</v>
      </c>
      <c r="X306" s="496"/>
    </row>
    <row r="307" spans="1:24" s="497" customFormat="1" ht="27.75" customHeight="1">
      <c r="A307" s="491" t="s">
        <v>206</v>
      </c>
      <c r="B307" s="498" t="s">
        <v>415</v>
      </c>
      <c r="C307" s="493"/>
      <c r="D307" s="494">
        <f>SUM(D308:D315)</f>
        <v>962.8069999999999</v>
      </c>
      <c r="E307" s="495">
        <f t="shared" ref="E307:W307" si="186">SUM(E308:E315)</f>
        <v>962.8069999999999</v>
      </c>
      <c r="F307" s="495">
        <f t="shared" si="186"/>
        <v>962.8069999999999</v>
      </c>
      <c r="G307" s="495">
        <f t="shared" si="186"/>
        <v>6</v>
      </c>
      <c r="H307" s="495">
        <f t="shared" si="186"/>
        <v>769.60699999999997</v>
      </c>
      <c r="I307" s="495">
        <f t="shared" si="186"/>
        <v>0</v>
      </c>
      <c r="J307" s="495">
        <f t="shared" si="186"/>
        <v>0</v>
      </c>
      <c r="K307" s="495">
        <f t="shared" si="186"/>
        <v>193.20000000000002</v>
      </c>
      <c r="L307" s="495">
        <f t="shared" si="186"/>
        <v>173.20000000000002</v>
      </c>
      <c r="M307" s="495">
        <f t="shared" si="186"/>
        <v>20</v>
      </c>
      <c r="N307" s="495">
        <f t="shared" si="186"/>
        <v>0</v>
      </c>
      <c r="O307" s="495">
        <f t="shared" si="186"/>
        <v>0</v>
      </c>
      <c r="P307" s="495">
        <f t="shared" si="186"/>
        <v>0</v>
      </c>
      <c r="Q307" s="495">
        <f t="shared" si="186"/>
        <v>0</v>
      </c>
      <c r="R307" s="495">
        <f t="shared" si="186"/>
        <v>18.399999999999999</v>
      </c>
      <c r="S307" s="495">
        <f t="shared" si="186"/>
        <v>0</v>
      </c>
      <c r="T307" s="495">
        <f t="shared" si="186"/>
        <v>0</v>
      </c>
      <c r="U307" s="495">
        <f t="shared" si="186"/>
        <v>92</v>
      </c>
      <c r="V307" s="495">
        <f>SUM(V308:V315)</f>
        <v>140</v>
      </c>
      <c r="W307" s="495">
        <f t="shared" si="186"/>
        <v>992.40699999999993</v>
      </c>
      <c r="X307" s="496" t="s">
        <v>416</v>
      </c>
    </row>
    <row r="308" spans="1:24" s="497" customFormat="1" ht="17.25" customHeight="1">
      <c r="A308" s="491" t="s">
        <v>255</v>
      </c>
      <c r="B308" s="498" t="s">
        <v>773</v>
      </c>
      <c r="C308" s="493"/>
      <c r="D308" s="494">
        <f t="shared" ref="D308:D315" si="187">E308+P308</f>
        <v>769.60699999999997</v>
      </c>
      <c r="E308" s="495">
        <f t="shared" ref="E308:E315" si="188">F308+N308+O308</f>
        <v>769.60699999999997</v>
      </c>
      <c r="F308" s="495">
        <f t="shared" ref="F308:F315" si="189">H308+K308</f>
        <v>769.60699999999997</v>
      </c>
      <c r="G308" s="495">
        <v>6</v>
      </c>
      <c r="H308" s="495">
        <f>769.607</f>
        <v>769.60699999999997</v>
      </c>
      <c r="I308" s="495"/>
      <c r="J308" s="495"/>
      <c r="K308" s="495">
        <f t="shared" si="176"/>
        <v>0</v>
      </c>
      <c r="L308" s="495"/>
      <c r="M308" s="495">
        <v>0</v>
      </c>
      <c r="N308" s="495"/>
      <c r="O308" s="495"/>
      <c r="P308" s="495"/>
      <c r="Q308" s="495"/>
      <c r="R308" s="495"/>
      <c r="S308" s="495"/>
      <c r="T308" s="495"/>
      <c r="U308" s="495">
        <v>69</v>
      </c>
      <c r="V308" s="495"/>
      <c r="W308" s="495">
        <f t="shared" ref="W308:W315" si="190">D308-Q308-R308-S308-U308+(T308+V308)</f>
        <v>700.60699999999997</v>
      </c>
      <c r="X308" s="496"/>
    </row>
    <row r="309" spans="1:24" s="497" customFormat="1" ht="33" customHeight="1">
      <c r="A309" s="491" t="s">
        <v>255</v>
      </c>
      <c r="B309" s="498" t="s">
        <v>774</v>
      </c>
      <c r="C309" s="493"/>
      <c r="D309" s="494">
        <f t="shared" si="187"/>
        <v>163.80000000000001</v>
      </c>
      <c r="E309" s="495">
        <f t="shared" si="188"/>
        <v>163.80000000000001</v>
      </c>
      <c r="F309" s="495">
        <f t="shared" si="189"/>
        <v>163.80000000000001</v>
      </c>
      <c r="G309" s="495"/>
      <c r="H309" s="495">
        <f t="shared" si="167"/>
        <v>0</v>
      </c>
      <c r="I309" s="495"/>
      <c r="J309" s="495"/>
      <c r="K309" s="495">
        <f t="shared" si="176"/>
        <v>163.80000000000001</v>
      </c>
      <c r="L309" s="495">
        <f>7*18*1.3</f>
        <v>163.80000000000001</v>
      </c>
      <c r="M309" s="495">
        <v>0</v>
      </c>
      <c r="N309" s="495">
        <v>0</v>
      </c>
      <c r="O309" s="495">
        <v>0</v>
      </c>
      <c r="P309" s="495"/>
      <c r="Q309" s="495"/>
      <c r="R309" s="495">
        <v>16.399999999999999</v>
      </c>
      <c r="S309" s="495"/>
      <c r="T309" s="495"/>
      <c r="U309" s="495">
        <v>23</v>
      </c>
      <c r="V309" s="495"/>
      <c r="W309" s="495">
        <f t="shared" si="190"/>
        <v>124.4</v>
      </c>
      <c r="X309" s="496"/>
    </row>
    <row r="310" spans="1:24" s="497" customFormat="1" ht="29.25" customHeight="1">
      <c r="A310" s="491" t="s">
        <v>255</v>
      </c>
      <c r="B310" s="498" t="s">
        <v>287</v>
      </c>
      <c r="C310" s="493"/>
      <c r="D310" s="494">
        <f t="shared" si="187"/>
        <v>9.4</v>
      </c>
      <c r="E310" s="495">
        <f t="shared" si="188"/>
        <v>9.4</v>
      </c>
      <c r="F310" s="495">
        <f t="shared" si="189"/>
        <v>9.4</v>
      </c>
      <c r="G310" s="495"/>
      <c r="H310" s="495">
        <f t="shared" si="167"/>
        <v>0</v>
      </c>
      <c r="I310" s="495"/>
      <c r="J310" s="495"/>
      <c r="K310" s="495">
        <f t="shared" si="176"/>
        <v>9.4</v>
      </c>
      <c r="L310" s="495">
        <f>9.4</f>
        <v>9.4</v>
      </c>
      <c r="M310" s="495">
        <v>0</v>
      </c>
      <c r="N310" s="495"/>
      <c r="O310" s="495"/>
      <c r="P310" s="495"/>
      <c r="Q310" s="495"/>
      <c r="R310" s="495"/>
      <c r="S310" s="495"/>
      <c r="T310" s="495"/>
      <c r="U310" s="495"/>
      <c r="V310" s="495"/>
      <c r="W310" s="495">
        <f t="shared" si="190"/>
        <v>9.4</v>
      </c>
      <c r="X310" s="496"/>
    </row>
    <row r="311" spans="1:24" s="497" customFormat="1" ht="24.75" customHeight="1">
      <c r="A311" s="491" t="s">
        <v>255</v>
      </c>
      <c r="B311" s="498" t="s">
        <v>417</v>
      </c>
      <c r="C311" s="493"/>
      <c r="D311" s="494">
        <f t="shared" si="187"/>
        <v>20</v>
      </c>
      <c r="E311" s="495">
        <f t="shared" si="188"/>
        <v>20</v>
      </c>
      <c r="F311" s="495">
        <f t="shared" si="189"/>
        <v>20</v>
      </c>
      <c r="G311" s="495"/>
      <c r="H311" s="495">
        <f t="shared" si="167"/>
        <v>0</v>
      </c>
      <c r="I311" s="495"/>
      <c r="J311" s="495"/>
      <c r="K311" s="495">
        <f>L311+M311</f>
        <v>20</v>
      </c>
      <c r="L311" s="495"/>
      <c r="M311" s="495">
        <v>20</v>
      </c>
      <c r="N311" s="495"/>
      <c r="O311" s="495"/>
      <c r="P311" s="495"/>
      <c r="Q311" s="495"/>
      <c r="R311" s="495">
        <f>D311*0.1</f>
        <v>2</v>
      </c>
      <c r="S311" s="495"/>
      <c r="T311" s="495"/>
      <c r="U311" s="495"/>
      <c r="V311" s="495"/>
      <c r="W311" s="495">
        <f t="shared" si="190"/>
        <v>18</v>
      </c>
      <c r="X311" s="496"/>
    </row>
    <row r="312" spans="1:24" s="497" customFormat="1" ht="17.25" hidden="1" customHeight="1">
      <c r="A312" s="491" t="s">
        <v>255</v>
      </c>
      <c r="B312" s="498" t="s">
        <v>418</v>
      </c>
      <c r="C312" s="493"/>
      <c r="D312" s="494">
        <f t="shared" si="187"/>
        <v>0</v>
      </c>
      <c r="E312" s="495">
        <f t="shared" si="188"/>
        <v>0</v>
      </c>
      <c r="F312" s="495">
        <f t="shared" si="189"/>
        <v>0</v>
      </c>
      <c r="G312" s="495"/>
      <c r="H312" s="495">
        <f>I312+J312</f>
        <v>0</v>
      </c>
      <c r="I312" s="495"/>
      <c r="J312" s="495"/>
      <c r="K312" s="495">
        <f>L312+M312</f>
        <v>0</v>
      </c>
      <c r="L312" s="495"/>
      <c r="M312" s="495"/>
      <c r="N312" s="495"/>
      <c r="O312" s="495"/>
      <c r="P312" s="495"/>
      <c r="Q312" s="495"/>
      <c r="R312" s="495">
        <f>D312*0.1</f>
        <v>0</v>
      </c>
      <c r="S312" s="495"/>
      <c r="T312" s="495"/>
      <c r="U312" s="495"/>
      <c r="V312" s="495"/>
      <c r="W312" s="495">
        <f t="shared" si="190"/>
        <v>0</v>
      </c>
      <c r="X312" s="496"/>
    </row>
    <row r="313" spans="1:24" s="501" customFormat="1" ht="51" customHeight="1">
      <c r="A313" s="491" t="s">
        <v>255</v>
      </c>
      <c r="B313" s="289" t="s">
        <v>1012</v>
      </c>
      <c r="C313" s="493"/>
      <c r="D313" s="494">
        <f t="shared" si="187"/>
        <v>0</v>
      </c>
      <c r="E313" s="495">
        <f t="shared" si="188"/>
        <v>0</v>
      </c>
      <c r="F313" s="495">
        <f t="shared" si="189"/>
        <v>0</v>
      </c>
      <c r="G313" s="495"/>
      <c r="H313" s="495">
        <f t="shared" ref="H313:H314" si="191">I313+J313</f>
        <v>0</v>
      </c>
      <c r="I313" s="495"/>
      <c r="J313" s="495"/>
      <c r="K313" s="495">
        <f t="shared" ref="K313:K314" si="192">L313+M313</f>
        <v>0</v>
      </c>
      <c r="L313" s="495"/>
      <c r="M313" s="495"/>
      <c r="N313" s="495"/>
      <c r="O313" s="495"/>
      <c r="P313" s="495"/>
      <c r="Q313" s="495"/>
      <c r="R313" s="495">
        <f>D313*0.1</f>
        <v>0</v>
      </c>
      <c r="S313" s="495"/>
      <c r="T313" s="495"/>
      <c r="U313" s="495"/>
      <c r="V313" s="495">
        <v>60</v>
      </c>
      <c r="W313" s="495">
        <f t="shared" si="190"/>
        <v>60</v>
      </c>
      <c r="X313" s="496"/>
    </row>
    <row r="314" spans="1:24" s="501" customFormat="1" ht="31.5" customHeight="1">
      <c r="A314" s="491" t="s">
        <v>255</v>
      </c>
      <c r="B314" s="289" t="s">
        <v>1013</v>
      </c>
      <c r="C314" s="493"/>
      <c r="D314" s="494">
        <f t="shared" si="187"/>
        <v>0</v>
      </c>
      <c r="E314" s="495">
        <f t="shared" si="188"/>
        <v>0</v>
      </c>
      <c r="F314" s="495">
        <f t="shared" si="189"/>
        <v>0</v>
      </c>
      <c r="G314" s="495"/>
      <c r="H314" s="495">
        <f t="shared" si="191"/>
        <v>0</v>
      </c>
      <c r="I314" s="495"/>
      <c r="J314" s="495"/>
      <c r="K314" s="495">
        <f t="shared" si="192"/>
        <v>0</v>
      </c>
      <c r="L314" s="495"/>
      <c r="M314" s="495"/>
      <c r="N314" s="495"/>
      <c r="O314" s="495"/>
      <c r="P314" s="495"/>
      <c r="Q314" s="495"/>
      <c r="R314" s="495">
        <f>D314*0.1</f>
        <v>0</v>
      </c>
      <c r="S314" s="495"/>
      <c r="T314" s="495"/>
      <c r="U314" s="495"/>
      <c r="V314" s="495">
        <v>50</v>
      </c>
      <c r="W314" s="495">
        <f t="shared" si="190"/>
        <v>50</v>
      </c>
      <c r="X314" s="496"/>
    </row>
    <row r="315" spans="1:24" s="501" customFormat="1" ht="39" customHeight="1">
      <c r="A315" s="491" t="s">
        <v>255</v>
      </c>
      <c r="B315" s="289" t="s">
        <v>1014</v>
      </c>
      <c r="C315" s="493"/>
      <c r="D315" s="494">
        <f t="shared" si="187"/>
        <v>0</v>
      </c>
      <c r="E315" s="495">
        <f t="shared" si="188"/>
        <v>0</v>
      </c>
      <c r="F315" s="495">
        <f t="shared" si="189"/>
        <v>0</v>
      </c>
      <c r="G315" s="495"/>
      <c r="H315" s="495">
        <f t="shared" si="167"/>
        <v>0</v>
      </c>
      <c r="I315" s="495"/>
      <c r="J315" s="495"/>
      <c r="K315" s="495">
        <f t="shared" si="176"/>
        <v>0</v>
      </c>
      <c r="L315" s="495"/>
      <c r="M315" s="495"/>
      <c r="N315" s="495"/>
      <c r="O315" s="495"/>
      <c r="P315" s="495"/>
      <c r="Q315" s="495"/>
      <c r="R315" s="495">
        <f>D315*0.1</f>
        <v>0</v>
      </c>
      <c r="S315" s="495"/>
      <c r="T315" s="495"/>
      <c r="U315" s="495"/>
      <c r="V315" s="495">
        <v>30</v>
      </c>
      <c r="W315" s="495">
        <f t="shared" si="190"/>
        <v>30</v>
      </c>
      <c r="X315" s="496"/>
    </row>
    <row r="316" spans="1:24" s="497" customFormat="1" ht="29.25" customHeight="1">
      <c r="A316" s="491" t="s">
        <v>208</v>
      </c>
      <c r="B316" s="498" t="s">
        <v>420</v>
      </c>
      <c r="C316" s="493"/>
      <c r="D316" s="494">
        <f>SUM(D317:D321)</f>
        <v>951.72799999999995</v>
      </c>
      <c r="E316" s="495">
        <f t="shared" ref="E316:V316" si="193">SUM(E317:E321)</f>
        <v>951.72799999999995</v>
      </c>
      <c r="F316" s="495">
        <f t="shared" si="193"/>
        <v>951.72799999999995</v>
      </c>
      <c r="G316" s="495">
        <f t="shared" si="193"/>
        <v>6</v>
      </c>
      <c r="H316" s="495">
        <f t="shared" si="193"/>
        <v>799.82799999999997</v>
      </c>
      <c r="I316" s="495">
        <f t="shared" si="193"/>
        <v>0</v>
      </c>
      <c r="J316" s="495">
        <f t="shared" si="193"/>
        <v>0</v>
      </c>
      <c r="K316" s="495">
        <f t="shared" si="193"/>
        <v>151.9</v>
      </c>
      <c r="L316" s="495">
        <f t="shared" si="193"/>
        <v>151.9</v>
      </c>
      <c r="M316" s="495">
        <f t="shared" si="193"/>
        <v>0</v>
      </c>
      <c r="N316" s="495">
        <f t="shared" si="193"/>
        <v>0</v>
      </c>
      <c r="O316" s="495">
        <f t="shared" si="193"/>
        <v>0</v>
      </c>
      <c r="P316" s="495">
        <f t="shared" si="193"/>
        <v>0</v>
      </c>
      <c r="Q316" s="495">
        <f t="shared" si="193"/>
        <v>0</v>
      </c>
      <c r="R316" s="495">
        <f t="shared" si="193"/>
        <v>14</v>
      </c>
      <c r="S316" s="495">
        <f t="shared" si="193"/>
        <v>225.8</v>
      </c>
      <c r="T316" s="495">
        <f t="shared" si="193"/>
        <v>0</v>
      </c>
      <c r="U316" s="495">
        <f t="shared" si="193"/>
        <v>0</v>
      </c>
      <c r="V316" s="495">
        <f t="shared" si="193"/>
        <v>15.33</v>
      </c>
      <c r="W316" s="495">
        <f>SUM(W317:W321)</f>
        <v>727.25799999999992</v>
      </c>
      <c r="X316" s="496" t="s">
        <v>420</v>
      </c>
    </row>
    <row r="317" spans="1:24" s="497" customFormat="1" ht="17.25" customHeight="1">
      <c r="A317" s="491" t="s">
        <v>255</v>
      </c>
      <c r="B317" s="498" t="s">
        <v>421</v>
      </c>
      <c r="C317" s="493"/>
      <c r="D317" s="494">
        <f>E317+P317</f>
        <v>789.1</v>
      </c>
      <c r="E317" s="495">
        <f t="shared" ref="E317:E321" si="194">F317+N317+O317</f>
        <v>789.1</v>
      </c>
      <c r="F317" s="495">
        <f t="shared" ref="F317:F321" si="195">H317+K317</f>
        <v>789.1</v>
      </c>
      <c r="G317" s="495">
        <v>6</v>
      </c>
      <c r="H317" s="495">
        <v>789.1</v>
      </c>
      <c r="I317" s="495"/>
      <c r="J317" s="495"/>
      <c r="K317" s="495">
        <f t="shared" si="176"/>
        <v>0</v>
      </c>
      <c r="L317" s="495"/>
      <c r="M317" s="495">
        <v>0</v>
      </c>
      <c r="N317" s="495"/>
      <c r="O317" s="495"/>
      <c r="P317" s="495"/>
      <c r="Q317" s="495"/>
      <c r="R317" s="495"/>
      <c r="S317" s="494">
        <v>225.8</v>
      </c>
      <c r="T317" s="495"/>
      <c r="U317" s="495"/>
      <c r="V317" s="495">
        <v>15.33</v>
      </c>
      <c r="W317" s="495">
        <f>D317-Q317-R317-S317-U317+(T317+V317)</f>
        <v>578.63</v>
      </c>
      <c r="X317" s="496"/>
    </row>
    <row r="318" spans="1:24" s="497" customFormat="1" ht="31.5" customHeight="1">
      <c r="A318" s="491" t="s">
        <v>255</v>
      </c>
      <c r="B318" s="498" t="s">
        <v>585</v>
      </c>
      <c r="C318" s="493"/>
      <c r="D318" s="494">
        <f>E318+P318</f>
        <v>140.4</v>
      </c>
      <c r="E318" s="495">
        <f t="shared" si="194"/>
        <v>140.4</v>
      </c>
      <c r="F318" s="495">
        <f t="shared" si="195"/>
        <v>140.4</v>
      </c>
      <c r="G318" s="495"/>
      <c r="H318" s="495">
        <f t="shared" si="167"/>
        <v>0</v>
      </c>
      <c r="I318" s="495"/>
      <c r="J318" s="495"/>
      <c r="K318" s="495">
        <f t="shared" si="176"/>
        <v>140.4</v>
      </c>
      <c r="L318" s="495">
        <f>6*18*1.3</f>
        <v>140.4</v>
      </c>
      <c r="M318" s="495">
        <v>0</v>
      </c>
      <c r="N318" s="495">
        <v>0</v>
      </c>
      <c r="O318" s="495">
        <v>0</v>
      </c>
      <c r="P318" s="495">
        <v>0</v>
      </c>
      <c r="Q318" s="495"/>
      <c r="R318" s="495">
        <v>14</v>
      </c>
      <c r="S318" s="495"/>
      <c r="T318" s="495"/>
      <c r="U318" s="495"/>
      <c r="V318" s="495"/>
      <c r="W318" s="495">
        <f>D318-Q318-R318-S318-U318+(T318+V318)</f>
        <v>126.4</v>
      </c>
      <c r="X318" s="496"/>
    </row>
    <row r="319" spans="1:24" s="497" customFormat="1" ht="27.75" customHeight="1">
      <c r="A319" s="491" t="s">
        <v>255</v>
      </c>
      <c r="B319" s="498" t="s">
        <v>425</v>
      </c>
      <c r="C319" s="493"/>
      <c r="D319" s="494">
        <f>E319+P319</f>
        <v>10.728</v>
      </c>
      <c r="E319" s="495">
        <f t="shared" si="194"/>
        <v>10.728</v>
      </c>
      <c r="F319" s="495">
        <f t="shared" si="195"/>
        <v>10.728</v>
      </c>
      <c r="G319" s="495"/>
      <c r="H319" s="495">
        <f>5.364+5.364</f>
        <v>10.728</v>
      </c>
      <c r="I319" s="495"/>
      <c r="J319" s="495"/>
      <c r="K319" s="495">
        <f t="shared" si="176"/>
        <v>0</v>
      </c>
      <c r="L319" s="495"/>
      <c r="M319" s="495">
        <v>0</v>
      </c>
      <c r="N319" s="495"/>
      <c r="O319" s="495"/>
      <c r="P319" s="495"/>
      <c r="Q319" s="495"/>
      <c r="R319" s="495"/>
      <c r="S319" s="495"/>
      <c r="T319" s="495"/>
      <c r="U319" s="495"/>
      <c r="V319" s="495"/>
      <c r="W319" s="495">
        <f>D319-Q319-R319-S319-U319+(T319+V319)</f>
        <v>10.728</v>
      </c>
      <c r="X319" s="496"/>
    </row>
    <row r="320" spans="1:24" s="497" customFormat="1" ht="33.75" customHeight="1">
      <c r="A320" s="491" t="s">
        <v>255</v>
      </c>
      <c r="B320" s="498" t="s">
        <v>287</v>
      </c>
      <c r="C320" s="493"/>
      <c r="D320" s="494">
        <f>E320+P320</f>
        <v>11.5</v>
      </c>
      <c r="E320" s="495">
        <f t="shared" si="194"/>
        <v>11.5</v>
      </c>
      <c r="F320" s="495">
        <f t="shared" si="195"/>
        <v>11.5</v>
      </c>
      <c r="G320" s="495"/>
      <c r="H320" s="495">
        <f t="shared" si="167"/>
        <v>0</v>
      </c>
      <c r="I320" s="495"/>
      <c r="J320" s="495"/>
      <c r="K320" s="495">
        <f t="shared" si="176"/>
        <v>11.5</v>
      </c>
      <c r="L320" s="495">
        <f>11.5</f>
        <v>11.5</v>
      </c>
      <c r="M320" s="495">
        <v>0</v>
      </c>
      <c r="N320" s="495"/>
      <c r="O320" s="495"/>
      <c r="P320" s="495"/>
      <c r="Q320" s="495"/>
      <c r="R320" s="495"/>
      <c r="S320" s="495"/>
      <c r="T320" s="495"/>
      <c r="U320" s="495"/>
      <c r="V320" s="495"/>
      <c r="W320" s="495">
        <f>D320-Q320-R320-S320-U320+(T320+V320)</f>
        <v>11.5</v>
      </c>
      <c r="X320" s="496"/>
    </row>
    <row r="321" spans="1:24" s="497" customFormat="1" ht="18.75" hidden="1" customHeight="1">
      <c r="A321" s="491" t="s">
        <v>255</v>
      </c>
      <c r="B321" s="498" t="s">
        <v>419</v>
      </c>
      <c r="C321" s="493"/>
      <c r="D321" s="494">
        <f>E321+P321</f>
        <v>0</v>
      </c>
      <c r="E321" s="495">
        <f t="shared" si="194"/>
        <v>0</v>
      </c>
      <c r="F321" s="495">
        <f t="shared" si="195"/>
        <v>0</v>
      </c>
      <c r="G321" s="495"/>
      <c r="H321" s="495">
        <f t="shared" si="167"/>
        <v>0</v>
      </c>
      <c r="I321" s="495"/>
      <c r="J321" s="495"/>
      <c r="K321" s="495">
        <f>L321+M321</f>
        <v>0</v>
      </c>
      <c r="L321" s="495"/>
      <c r="M321" s="495">
        <v>0</v>
      </c>
      <c r="N321" s="495"/>
      <c r="O321" s="495"/>
      <c r="P321" s="495"/>
      <c r="Q321" s="495"/>
      <c r="R321" s="495"/>
      <c r="S321" s="495"/>
      <c r="T321" s="495"/>
      <c r="U321" s="495"/>
      <c r="V321" s="495"/>
      <c r="W321" s="495">
        <f>D321-Q321-R321-S321-U321+(T321+V321)</f>
        <v>0</v>
      </c>
      <c r="X321" s="496"/>
    </row>
    <row r="322" spans="1:24" s="497" customFormat="1" ht="17.25" customHeight="1">
      <c r="A322" s="491" t="s">
        <v>209</v>
      </c>
      <c r="B322" s="498" t="s">
        <v>422</v>
      </c>
      <c r="C322" s="493"/>
      <c r="D322" s="494">
        <f>D323+D328</f>
        <v>889.27</v>
      </c>
      <c r="E322" s="495">
        <f t="shared" ref="E322:W322" si="196">E323+E328</f>
        <v>889.27</v>
      </c>
      <c r="F322" s="495">
        <f t="shared" si="196"/>
        <v>889.27</v>
      </c>
      <c r="G322" s="495">
        <f t="shared" si="196"/>
        <v>4</v>
      </c>
      <c r="H322" s="495">
        <f t="shared" si="196"/>
        <v>648.27</v>
      </c>
      <c r="I322" s="495">
        <f t="shared" si="196"/>
        <v>0</v>
      </c>
      <c r="J322" s="495">
        <f t="shared" si="196"/>
        <v>0</v>
      </c>
      <c r="K322" s="495">
        <f t="shared" si="196"/>
        <v>241</v>
      </c>
      <c r="L322" s="495">
        <f t="shared" si="196"/>
        <v>151</v>
      </c>
      <c r="M322" s="495">
        <f t="shared" si="196"/>
        <v>90</v>
      </c>
      <c r="N322" s="495">
        <f t="shared" si="196"/>
        <v>0</v>
      </c>
      <c r="O322" s="495">
        <f t="shared" si="196"/>
        <v>0</v>
      </c>
      <c r="P322" s="495">
        <f t="shared" si="196"/>
        <v>0</v>
      </c>
      <c r="Q322" s="495">
        <f t="shared" si="196"/>
        <v>0</v>
      </c>
      <c r="R322" s="495">
        <f t="shared" si="196"/>
        <v>21</v>
      </c>
      <c r="S322" s="495">
        <f t="shared" si="196"/>
        <v>33.47</v>
      </c>
      <c r="T322" s="495">
        <f t="shared" si="196"/>
        <v>0</v>
      </c>
      <c r="U322" s="495">
        <f t="shared" si="196"/>
        <v>50</v>
      </c>
      <c r="V322" s="495">
        <f t="shared" si="196"/>
        <v>0</v>
      </c>
      <c r="W322" s="495">
        <f t="shared" si="196"/>
        <v>784.8</v>
      </c>
      <c r="X322" s="496" t="s">
        <v>422</v>
      </c>
    </row>
    <row r="323" spans="1:24" s="506" customFormat="1" ht="17.25" customHeight="1">
      <c r="A323" s="491" t="s">
        <v>423</v>
      </c>
      <c r="B323" s="498" t="s">
        <v>424</v>
      </c>
      <c r="C323" s="493"/>
      <c r="D323" s="494">
        <f>SUM(D324:D327)</f>
        <v>774.27</v>
      </c>
      <c r="E323" s="495">
        <f t="shared" ref="E323:W323" si="197">SUM(E324:E327)</f>
        <v>774.27</v>
      </c>
      <c r="F323" s="495">
        <f t="shared" si="197"/>
        <v>774.27</v>
      </c>
      <c r="G323" s="495">
        <f t="shared" si="197"/>
        <v>4</v>
      </c>
      <c r="H323" s="495">
        <f t="shared" si="197"/>
        <v>648.27</v>
      </c>
      <c r="I323" s="495">
        <f t="shared" si="197"/>
        <v>0</v>
      </c>
      <c r="J323" s="495">
        <f t="shared" si="197"/>
        <v>0</v>
      </c>
      <c r="K323" s="495">
        <f t="shared" si="197"/>
        <v>126</v>
      </c>
      <c r="L323" s="495">
        <f t="shared" si="197"/>
        <v>126</v>
      </c>
      <c r="M323" s="495">
        <f t="shared" si="197"/>
        <v>0</v>
      </c>
      <c r="N323" s="495">
        <f t="shared" si="197"/>
        <v>0</v>
      </c>
      <c r="O323" s="495">
        <f t="shared" si="197"/>
        <v>0</v>
      </c>
      <c r="P323" s="495">
        <f t="shared" si="197"/>
        <v>0</v>
      </c>
      <c r="Q323" s="495">
        <f t="shared" si="197"/>
        <v>0</v>
      </c>
      <c r="R323" s="495">
        <f t="shared" si="197"/>
        <v>12</v>
      </c>
      <c r="S323" s="495">
        <f t="shared" si="197"/>
        <v>33.47</v>
      </c>
      <c r="T323" s="495">
        <f t="shared" si="197"/>
        <v>0</v>
      </c>
      <c r="U323" s="495">
        <f t="shared" si="197"/>
        <v>50</v>
      </c>
      <c r="V323" s="495">
        <f t="shared" si="197"/>
        <v>0</v>
      </c>
      <c r="W323" s="495">
        <f t="shared" si="197"/>
        <v>678.8</v>
      </c>
      <c r="X323" s="496"/>
    </row>
    <row r="324" spans="1:24" s="497" customFormat="1" ht="17.25" customHeight="1">
      <c r="A324" s="491" t="s">
        <v>255</v>
      </c>
      <c r="B324" s="498" t="s">
        <v>503</v>
      </c>
      <c r="C324" s="493"/>
      <c r="D324" s="494">
        <f>E324+P324</f>
        <v>637.54</v>
      </c>
      <c r="E324" s="495">
        <f t="shared" ref="E324:E327" si="198">F324+N324+O324</f>
        <v>637.54</v>
      </c>
      <c r="F324" s="495">
        <f t="shared" ref="F324:F327" si="199">H324+K324</f>
        <v>637.54</v>
      </c>
      <c r="G324" s="495">
        <v>4</v>
      </c>
      <c r="H324" s="495">
        <v>637.54</v>
      </c>
      <c r="I324" s="495"/>
      <c r="J324" s="495"/>
      <c r="K324" s="495">
        <f t="shared" si="176"/>
        <v>0</v>
      </c>
      <c r="L324" s="495"/>
      <c r="M324" s="495">
        <v>0</v>
      </c>
      <c r="N324" s="495"/>
      <c r="O324" s="495">
        <v>0</v>
      </c>
      <c r="P324" s="495"/>
      <c r="Q324" s="495"/>
      <c r="R324" s="495"/>
      <c r="S324" s="494">
        <f>37.6-9.5</f>
        <v>28.1</v>
      </c>
      <c r="T324" s="495"/>
      <c r="U324" s="495">
        <v>27</v>
      </c>
      <c r="V324" s="495"/>
      <c r="W324" s="495">
        <f>D324-Q324-R324-S324-U324+(T324+V324)</f>
        <v>582.43999999999994</v>
      </c>
      <c r="X324" s="496"/>
    </row>
    <row r="325" spans="1:24" s="497" customFormat="1" ht="28.5" customHeight="1">
      <c r="A325" s="491" t="s">
        <v>255</v>
      </c>
      <c r="B325" s="498" t="s">
        <v>586</v>
      </c>
      <c r="C325" s="493"/>
      <c r="D325" s="494">
        <f>E325+P325</f>
        <v>117</v>
      </c>
      <c r="E325" s="495">
        <f t="shared" si="198"/>
        <v>117</v>
      </c>
      <c r="F325" s="495">
        <f t="shared" si="199"/>
        <v>117</v>
      </c>
      <c r="G325" s="495"/>
      <c r="H325" s="495">
        <f t="shared" si="167"/>
        <v>0</v>
      </c>
      <c r="I325" s="495"/>
      <c r="J325" s="495"/>
      <c r="K325" s="495">
        <f t="shared" si="176"/>
        <v>117</v>
      </c>
      <c r="L325" s="495">
        <f>5*18*1.3</f>
        <v>117</v>
      </c>
      <c r="M325" s="495">
        <v>0</v>
      </c>
      <c r="N325" s="495">
        <v>0</v>
      </c>
      <c r="O325" s="495">
        <v>0</v>
      </c>
      <c r="P325" s="495">
        <v>0</v>
      </c>
      <c r="Q325" s="495"/>
      <c r="R325" s="495">
        <v>12</v>
      </c>
      <c r="S325" s="495"/>
      <c r="T325" s="495"/>
      <c r="U325" s="495">
        <v>23</v>
      </c>
      <c r="V325" s="495"/>
      <c r="W325" s="495">
        <f>D325-Q325-R325-S325-U325+(T325+V325)</f>
        <v>82</v>
      </c>
      <c r="X325" s="496"/>
    </row>
    <row r="326" spans="1:24" s="497" customFormat="1" ht="28.5" customHeight="1">
      <c r="A326" s="491" t="s">
        <v>255</v>
      </c>
      <c r="B326" s="498" t="s">
        <v>425</v>
      </c>
      <c r="C326" s="493"/>
      <c r="D326" s="494">
        <f>E326+P326</f>
        <v>10.73</v>
      </c>
      <c r="E326" s="495">
        <f t="shared" si="198"/>
        <v>10.73</v>
      </c>
      <c r="F326" s="495">
        <f t="shared" si="199"/>
        <v>10.73</v>
      </c>
      <c r="G326" s="495"/>
      <c r="H326" s="495">
        <v>10.73</v>
      </c>
      <c r="I326" s="495"/>
      <c r="J326" s="495"/>
      <c r="K326" s="495">
        <f>L326+M326</f>
        <v>0</v>
      </c>
      <c r="L326" s="495">
        <v>0</v>
      </c>
      <c r="M326" s="495">
        <v>0</v>
      </c>
      <c r="N326" s="495"/>
      <c r="O326" s="495"/>
      <c r="P326" s="495"/>
      <c r="Q326" s="495"/>
      <c r="R326" s="495"/>
      <c r="S326" s="494">
        <v>5.37</v>
      </c>
      <c r="T326" s="495"/>
      <c r="U326" s="495"/>
      <c r="V326" s="495"/>
      <c r="W326" s="495">
        <f>D326-Q326-R326-S326-U326+(T326+V326)</f>
        <v>5.36</v>
      </c>
      <c r="X326" s="496"/>
    </row>
    <row r="327" spans="1:24" s="497" customFormat="1" ht="24.75" customHeight="1">
      <c r="A327" s="491" t="s">
        <v>255</v>
      </c>
      <c r="B327" s="498" t="s">
        <v>287</v>
      </c>
      <c r="C327" s="493"/>
      <c r="D327" s="494">
        <f>E327+P327</f>
        <v>9</v>
      </c>
      <c r="E327" s="495">
        <f t="shared" si="198"/>
        <v>9</v>
      </c>
      <c r="F327" s="495">
        <f t="shared" si="199"/>
        <v>9</v>
      </c>
      <c r="G327" s="495"/>
      <c r="H327" s="495">
        <f t="shared" si="167"/>
        <v>0</v>
      </c>
      <c r="I327" s="495"/>
      <c r="J327" s="495"/>
      <c r="K327" s="495">
        <f t="shared" si="176"/>
        <v>9</v>
      </c>
      <c r="L327" s="495">
        <v>9</v>
      </c>
      <c r="M327" s="495">
        <v>0</v>
      </c>
      <c r="N327" s="495"/>
      <c r="O327" s="495"/>
      <c r="P327" s="495"/>
      <c r="Q327" s="495"/>
      <c r="R327" s="495"/>
      <c r="S327" s="495"/>
      <c r="T327" s="495"/>
      <c r="U327" s="495"/>
      <c r="V327" s="495"/>
      <c r="W327" s="495">
        <f>D327-Q327-R327-S327-U327+(T327+V327)</f>
        <v>9</v>
      </c>
      <c r="X327" s="496"/>
    </row>
    <row r="328" spans="1:24" s="506" customFormat="1" ht="17.25" customHeight="1">
      <c r="A328" s="491" t="s">
        <v>426</v>
      </c>
      <c r="B328" s="498" t="s">
        <v>427</v>
      </c>
      <c r="C328" s="493"/>
      <c r="D328" s="494">
        <f>SUM(D329:D332)</f>
        <v>115</v>
      </c>
      <c r="E328" s="495">
        <f t="shared" ref="E328:I328" si="200">SUM(E329:E332)</f>
        <v>115</v>
      </c>
      <c r="F328" s="495">
        <f t="shared" si="200"/>
        <v>115</v>
      </c>
      <c r="G328" s="495">
        <f t="shared" si="200"/>
        <v>0</v>
      </c>
      <c r="H328" s="495">
        <f t="shared" si="200"/>
        <v>0</v>
      </c>
      <c r="I328" s="495">
        <f t="shared" si="200"/>
        <v>0</v>
      </c>
      <c r="J328" s="495"/>
      <c r="K328" s="495">
        <f t="shared" ref="K328:W328" si="201">SUM(K329:K332)</f>
        <v>115</v>
      </c>
      <c r="L328" s="495">
        <f t="shared" si="201"/>
        <v>25</v>
      </c>
      <c r="M328" s="495">
        <f t="shared" si="201"/>
        <v>90</v>
      </c>
      <c r="N328" s="495">
        <f t="shared" si="201"/>
        <v>0</v>
      </c>
      <c r="O328" s="495">
        <f t="shared" si="201"/>
        <v>0</v>
      </c>
      <c r="P328" s="495">
        <f t="shared" si="201"/>
        <v>0</v>
      </c>
      <c r="Q328" s="495">
        <f t="shared" si="201"/>
        <v>0</v>
      </c>
      <c r="R328" s="495">
        <f t="shared" si="201"/>
        <v>9</v>
      </c>
      <c r="S328" s="495">
        <f t="shared" si="201"/>
        <v>0</v>
      </c>
      <c r="T328" s="495">
        <f t="shared" si="201"/>
        <v>0</v>
      </c>
      <c r="U328" s="495">
        <f t="shared" si="201"/>
        <v>0</v>
      </c>
      <c r="V328" s="495">
        <f t="shared" si="201"/>
        <v>0</v>
      </c>
      <c r="W328" s="495">
        <f t="shared" si="201"/>
        <v>106</v>
      </c>
      <c r="X328" s="496"/>
    </row>
    <row r="329" spans="1:24" s="497" customFormat="1" ht="17.25" customHeight="1">
      <c r="A329" s="491" t="s">
        <v>255</v>
      </c>
      <c r="B329" s="498" t="s">
        <v>775</v>
      </c>
      <c r="C329" s="493"/>
      <c r="D329" s="494">
        <f>E329+P329</f>
        <v>25</v>
      </c>
      <c r="E329" s="495">
        <f>F329+N329+O329</f>
        <v>25</v>
      </c>
      <c r="F329" s="495">
        <f>H329+K329</f>
        <v>25</v>
      </c>
      <c r="G329" s="495"/>
      <c r="H329" s="495">
        <f>I329+J329</f>
        <v>0</v>
      </c>
      <c r="I329" s="495"/>
      <c r="J329" s="495"/>
      <c r="K329" s="495">
        <f>L329+M329</f>
        <v>25</v>
      </c>
      <c r="L329" s="495">
        <v>25</v>
      </c>
      <c r="M329" s="495"/>
      <c r="N329" s="495"/>
      <c r="O329" s="495"/>
      <c r="P329" s="495"/>
      <c r="Q329" s="495"/>
      <c r="R329" s="495"/>
      <c r="S329" s="495"/>
      <c r="T329" s="495"/>
      <c r="U329" s="495"/>
      <c r="V329" s="495"/>
      <c r="W329" s="495">
        <f>D329-Q329-R329-S329-U329+(T329+V329)</f>
        <v>25</v>
      </c>
      <c r="X329" s="496"/>
    </row>
    <row r="330" spans="1:24" s="497" customFormat="1" ht="42.75" customHeight="1">
      <c r="A330" s="491" t="s">
        <v>255</v>
      </c>
      <c r="B330" s="498" t="s">
        <v>428</v>
      </c>
      <c r="C330" s="493"/>
      <c r="D330" s="494">
        <f>E330+P330</f>
        <v>60</v>
      </c>
      <c r="E330" s="495">
        <f>F330+N330+O330</f>
        <v>60</v>
      </c>
      <c r="F330" s="495">
        <f>H330+K330</f>
        <v>60</v>
      </c>
      <c r="G330" s="495"/>
      <c r="H330" s="495">
        <f>I330+J330</f>
        <v>0</v>
      </c>
      <c r="I330" s="495"/>
      <c r="J330" s="495"/>
      <c r="K330" s="495">
        <f t="shared" si="176"/>
        <v>60</v>
      </c>
      <c r="L330" s="495">
        <v>0</v>
      </c>
      <c r="M330" s="495">
        <v>60</v>
      </c>
      <c r="N330" s="495"/>
      <c r="O330" s="495"/>
      <c r="P330" s="495"/>
      <c r="Q330" s="495"/>
      <c r="R330" s="495">
        <f>D330*0.1</f>
        <v>6</v>
      </c>
      <c r="S330" s="495"/>
      <c r="T330" s="495"/>
      <c r="U330" s="495"/>
      <c r="V330" s="495"/>
      <c r="W330" s="495">
        <f>D330-Q330-R330-S330-U330+(T330+V330)</f>
        <v>54</v>
      </c>
      <c r="X330" s="496"/>
    </row>
    <row r="331" spans="1:24" s="497" customFormat="1" ht="33.75" customHeight="1">
      <c r="A331" s="491" t="s">
        <v>255</v>
      </c>
      <c r="B331" s="498" t="s">
        <v>776</v>
      </c>
      <c r="C331" s="493"/>
      <c r="D331" s="494">
        <f>E331+P331</f>
        <v>30</v>
      </c>
      <c r="E331" s="495">
        <f>F331+N331+O331</f>
        <v>30</v>
      </c>
      <c r="F331" s="495">
        <f>H331+K331</f>
        <v>30</v>
      </c>
      <c r="G331" s="495"/>
      <c r="H331" s="495">
        <f>I331+J331</f>
        <v>0</v>
      </c>
      <c r="I331" s="495"/>
      <c r="J331" s="495"/>
      <c r="K331" s="495">
        <f t="shared" si="176"/>
        <v>30</v>
      </c>
      <c r="L331" s="495">
        <v>0</v>
      </c>
      <c r="M331" s="495">
        <v>30</v>
      </c>
      <c r="N331" s="495"/>
      <c r="O331" s="495"/>
      <c r="P331" s="495"/>
      <c r="Q331" s="495"/>
      <c r="R331" s="495">
        <f>D331*0.1</f>
        <v>3</v>
      </c>
      <c r="S331" s="495"/>
      <c r="T331" s="495"/>
      <c r="U331" s="495"/>
      <c r="V331" s="495"/>
      <c r="W331" s="495">
        <f>D331-Q331-R331-S331-U331+(T331+V331)</f>
        <v>27</v>
      </c>
      <c r="X331" s="496"/>
    </row>
    <row r="332" spans="1:24" s="497" customFormat="1" ht="33.75" customHeight="1">
      <c r="A332" s="491" t="s">
        <v>255</v>
      </c>
      <c r="B332" s="498" t="s">
        <v>429</v>
      </c>
      <c r="C332" s="493"/>
      <c r="D332" s="494">
        <f>E332+P332</f>
        <v>0</v>
      </c>
      <c r="E332" s="495">
        <f>F332+N332+O332</f>
        <v>0</v>
      </c>
      <c r="F332" s="495">
        <f>H332+K332</f>
        <v>0</v>
      </c>
      <c r="G332" s="495"/>
      <c r="H332" s="495">
        <f>I332+J332</f>
        <v>0</v>
      </c>
      <c r="I332" s="495"/>
      <c r="J332" s="495"/>
      <c r="K332" s="495">
        <f>L332+M332</f>
        <v>0</v>
      </c>
      <c r="L332" s="495"/>
      <c r="M332" s="495"/>
      <c r="N332" s="495"/>
      <c r="O332" s="495"/>
      <c r="P332" s="495"/>
      <c r="Q332" s="495"/>
      <c r="R332" s="495"/>
      <c r="S332" s="495"/>
      <c r="T332" s="495"/>
      <c r="U332" s="495"/>
      <c r="V332" s="495"/>
      <c r="W332" s="495">
        <f>D332-Q332-R332-S332-U332+(T332+V332)</f>
        <v>0</v>
      </c>
      <c r="X332" s="496"/>
    </row>
    <row r="333" spans="1:24" s="497" customFormat="1" ht="17.25" customHeight="1">
      <c r="A333" s="491" t="s">
        <v>216</v>
      </c>
      <c r="B333" s="498" t="s">
        <v>430</v>
      </c>
      <c r="C333" s="493"/>
      <c r="D333" s="494">
        <f t="shared" ref="D333:W333" si="202">D334+D340</f>
        <v>912.13</v>
      </c>
      <c r="E333" s="495">
        <f t="shared" si="202"/>
        <v>912.13</v>
      </c>
      <c r="F333" s="495">
        <f t="shared" si="202"/>
        <v>912.13</v>
      </c>
      <c r="G333" s="495">
        <f t="shared" si="202"/>
        <v>3</v>
      </c>
      <c r="H333" s="495">
        <f t="shared" si="202"/>
        <v>321.93</v>
      </c>
      <c r="I333" s="495">
        <f t="shared" si="202"/>
        <v>0</v>
      </c>
      <c r="J333" s="495">
        <f t="shared" si="202"/>
        <v>0</v>
      </c>
      <c r="K333" s="495">
        <f t="shared" si="202"/>
        <v>590.20000000000005</v>
      </c>
      <c r="L333" s="495">
        <f t="shared" si="202"/>
        <v>70.2</v>
      </c>
      <c r="M333" s="495">
        <f t="shared" si="202"/>
        <v>520</v>
      </c>
      <c r="N333" s="495">
        <f t="shared" si="202"/>
        <v>0</v>
      </c>
      <c r="O333" s="495">
        <f t="shared" si="202"/>
        <v>0</v>
      </c>
      <c r="P333" s="495">
        <f t="shared" si="202"/>
        <v>0</v>
      </c>
      <c r="Q333" s="495">
        <f t="shared" si="202"/>
        <v>0</v>
      </c>
      <c r="R333" s="495">
        <f t="shared" si="202"/>
        <v>29</v>
      </c>
      <c r="S333" s="495">
        <f t="shared" si="202"/>
        <v>0</v>
      </c>
      <c r="T333" s="495">
        <f t="shared" si="202"/>
        <v>0</v>
      </c>
      <c r="U333" s="495">
        <f t="shared" si="202"/>
        <v>0</v>
      </c>
      <c r="V333" s="495">
        <f t="shared" si="202"/>
        <v>0</v>
      </c>
      <c r="W333" s="495">
        <f t="shared" si="202"/>
        <v>883.13</v>
      </c>
      <c r="X333" s="496" t="s">
        <v>430</v>
      </c>
    </row>
    <row r="334" spans="1:24" s="497" customFormat="1" ht="17.25" customHeight="1">
      <c r="A334" s="491" t="s">
        <v>431</v>
      </c>
      <c r="B334" s="498" t="s">
        <v>424</v>
      </c>
      <c r="C334" s="493"/>
      <c r="D334" s="494">
        <f>SUM(D335:D339)</f>
        <v>392.13</v>
      </c>
      <c r="E334" s="495">
        <f t="shared" ref="E334:W334" si="203">SUM(E335:E339)</f>
        <v>392.13</v>
      </c>
      <c r="F334" s="495">
        <f t="shared" si="203"/>
        <v>392.13</v>
      </c>
      <c r="G334" s="495">
        <f t="shared" si="203"/>
        <v>3</v>
      </c>
      <c r="H334" s="495">
        <f>SUM(H335:H339)</f>
        <v>321.93</v>
      </c>
      <c r="I334" s="495">
        <f t="shared" si="203"/>
        <v>0</v>
      </c>
      <c r="J334" s="495">
        <f t="shared" si="203"/>
        <v>0</v>
      </c>
      <c r="K334" s="495">
        <f t="shared" si="203"/>
        <v>70.2</v>
      </c>
      <c r="L334" s="495">
        <f t="shared" si="203"/>
        <v>70.2</v>
      </c>
      <c r="M334" s="495">
        <f t="shared" si="203"/>
        <v>0</v>
      </c>
      <c r="N334" s="495">
        <f t="shared" si="203"/>
        <v>0</v>
      </c>
      <c r="O334" s="495">
        <f t="shared" si="203"/>
        <v>0</v>
      </c>
      <c r="P334" s="495">
        <f t="shared" si="203"/>
        <v>0</v>
      </c>
      <c r="Q334" s="495">
        <f t="shared" si="203"/>
        <v>0</v>
      </c>
      <c r="R334" s="495">
        <f t="shared" si="203"/>
        <v>7</v>
      </c>
      <c r="S334" s="495">
        <f t="shared" si="203"/>
        <v>0</v>
      </c>
      <c r="T334" s="495">
        <f t="shared" si="203"/>
        <v>0</v>
      </c>
      <c r="U334" s="495">
        <f t="shared" si="203"/>
        <v>0</v>
      </c>
      <c r="V334" s="495">
        <f t="shared" si="203"/>
        <v>0</v>
      </c>
      <c r="W334" s="495">
        <f t="shared" si="203"/>
        <v>385.13</v>
      </c>
      <c r="X334" s="496"/>
    </row>
    <row r="335" spans="1:24" s="497" customFormat="1" ht="17.25" customHeight="1">
      <c r="A335" s="491" t="s">
        <v>255</v>
      </c>
      <c r="B335" s="498" t="s">
        <v>432</v>
      </c>
      <c r="C335" s="493"/>
      <c r="D335" s="494">
        <f>E335+P335</f>
        <v>316.57</v>
      </c>
      <c r="E335" s="495">
        <f>F335+N335+O335</f>
        <v>316.57</v>
      </c>
      <c r="F335" s="495">
        <f>H335+K335</f>
        <v>316.57</v>
      </c>
      <c r="G335" s="495">
        <v>3</v>
      </c>
      <c r="H335" s="495">
        <v>316.57</v>
      </c>
      <c r="I335" s="495"/>
      <c r="J335" s="495"/>
      <c r="K335" s="495">
        <f t="shared" si="176"/>
        <v>0</v>
      </c>
      <c r="L335" s="495"/>
      <c r="M335" s="495">
        <v>0</v>
      </c>
      <c r="N335" s="495"/>
      <c r="O335" s="495"/>
      <c r="P335" s="495"/>
      <c r="Q335" s="495"/>
      <c r="R335" s="495"/>
      <c r="S335" s="495"/>
      <c r="T335" s="495"/>
      <c r="U335" s="495"/>
      <c r="V335" s="495"/>
      <c r="W335" s="495">
        <f>D335-Q335-R335-S335-U335+(T335+V335)</f>
        <v>316.57</v>
      </c>
      <c r="X335" s="496"/>
    </row>
    <row r="336" spans="1:24" s="497" customFormat="1" ht="29.25" customHeight="1">
      <c r="A336" s="491" t="s">
        <v>255</v>
      </c>
      <c r="B336" s="498" t="s">
        <v>587</v>
      </c>
      <c r="C336" s="493"/>
      <c r="D336" s="494">
        <f>E336+P336</f>
        <v>70.2</v>
      </c>
      <c r="E336" s="495">
        <f>F336+N336+O336</f>
        <v>70.2</v>
      </c>
      <c r="F336" s="495">
        <f>H336+K336</f>
        <v>70.2</v>
      </c>
      <c r="G336" s="495"/>
      <c r="H336" s="495">
        <f>I336+J336</f>
        <v>0</v>
      </c>
      <c r="I336" s="495"/>
      <c r="J336" s="495"/>
      <c r="K336" s="495">
        <f t="shared" si="176"/>
        <v>70.2</v>
      </c>
      <c r="L336" s="495">
        <f>3*18*1.3</f>
        <v>70.2</v>
      </c>
      <c r="M336" s="495">
        <v>0</v>
      </c>
      <c r="N336" s="495">
        <v>0</v>
      </c>
      <c r="O336" s="495">
        <v>0</v>
      </c>
      <c r="P336" s="495">
        <v>0</v>
      </c>
      <c r="Q336" s="495"/>
      <c r="R336" s="495">
        <v>7</v>
      </c>
      <c r="S336" s="495"/>
      <c r="T336" s="495"/>
      <c r="U336" s="495"/>
      <c r="V336" s="495"/>
      <c r="W336" s="495">
        <f>D336-Q336-R336-S336-U336+(T336+V336)</f>
        <v>63.2</v>
      </c>
      <c r="X336" s="496"/>
    </row>
    <row r="337" spans="1:24" s="497" customFormat="1" ht="26.25" customHeight="1">
      <c r="A337" s="491" t="s">
        <v>255</v>
      </c>
      <c r="B337" s="498" t="s">
        <v>433</v>
      </c>
      <c r="C337" s="493"/>
      <c r="D337" s="494">
        <f>E337+P337</f>
        <v>5.36</v>
      </c>
      <c r="E337" s="495">
        <f>F337+N337+O337</f>
        <v>5.36</v>
      </c>
      <c r="F337" s="495">
        <f>H337+K337</f>
        <v>5.36</v>
      </c>
      <c r="G337" s="495"/>
      <c r="H337" s="495">
        <v>5.36</v>
      </c>
      <c r="I337" s="495"/>
      <c r="J337" s="495"/>
      <c r="K337" s="495">
        <f t="shared" si="176"/>
        <v>0</v>
      </c>
      <c r="L337" s="495"/>
      <c r="M337" s="495">
        <v>0</v>
      </c>
      <c r="N337" s="495"/>
      <c r="O337" s="495"/>
      <c r="P337" s="495"/>
      <c r="Q337" s="495"/>
      <c r="R337" s="495"/>
      <c r="S337" s="495"/>
      <c r="T337" s="495"/>
      <c r="U337" s="495"/>
      <c r="V337" s="495"/>
      <c r="W337" s="495">
        <f>D337-Q337-R337-S337-U337+(T337+V337)</f>
        <v>5.36</v>
      </c>
      <c r="X337" s="496"/>
    </row>
    <row r="338" spans="1:24" s="497" customFormat="1" ht="30" customHeight="1">
      <c r="A338" s="491" t="s">
        <v>255</v>
      </c>
      <c r="B338" s="498" t="s">
        <v>287</v>
      </c>
      <c r="C338" s="493"/>
      <c r="D338" s="494">
        <f>E338+P338</f>
        <v>0</v>
      </c>
      <c r="E338" s="495">
        <f>F338+N338+O338</f>
        <v>0</v>
      </c>
      <c r="F338" s="495">
        <f>H338+K338</f>
        <v>0</v>
      </c>
      <c r="G338" s="495"/>
      <c r="H338" s="495">
        <f>I338+J338</f>
        <v>0</v>
      </c>
      <c r="I338" s="495"/>
      <c r="J338" s="495"/>
      <c r="K338" s="495">
        <f t="shared" si="176"/>
        <v>0</v>
      </c>
      <c r="L338" s="495"/>
      <c r="M338" s="495">
        <v>0</v>
      </c>
      <c r="N338" s="495"/>
      <c r="O338" s="495"/>
      <c r="P338" s="495"/>
      <c r="Q338" s="495"/>
      <c r="R338" s="495"/>
      <c r="S338" s="495"/>
      <c r="T338" s="495"/>
      <c r="U338" s="495"/>
      <c r="V338" s="495"/>
      <c r="W338" s="495">
        <f>D338-Q338-R338-S338-U338+(T338+V338)</f>
        <v>0</v>
      </c>
      <c r="X338" s="496"/>
    </row>
    <row r="339" spans="1:24" s="497" customFormat="1" ht="21" customHeight="1">
      <c r="A339" s="491" t="s">
        <v>255</v>
      </c>
      <c r="B339" s="498" t="s">
        <v>311</v>
      </c>
      <c r="C339" s="493"/>
      <c r="D339" s="494">
        <f>E339+P339</f>
        <v>0</v>
      </c>
      <c r="E339" s="495">
        <f>F339+N339+O339</f>
        <v>0</v>
      </c>
      <c r="F339" s="495">
        <f>H339+K339</f>
        <v>0</v>
      </c>
      <c r="G339" s="495"/>
      <c r="H339" s="495">
        <f>I339+J339</f>
        <v>0</v>
      </c>
      <c r="I339" s="495"/>
      <c r="J339" s="495"/>
      <c r="K339" s="495">
        <f>L339+M339</f>
        <v>0</v>
      </c>
      <c r="L339" s="495"/>
      <c r="M339" s="495">
        <v>0</v>
      </c>
      <c r="N339" s="495"/>
      <c r="O339" s="495"/>
      <c r="P339" s="495"/>
      <c r="Q339" s="495"/>
      <c r="R339" s="495"/>
      <c r="S339" s="495"/>
      <c r="T339" s="495"/>
      <c r="U339" s="495"/>
      <c r="V339" s="495"/>
      <c r="W339" s="495">
        <f>D339-Q339-R339-S339-U339+(T339+V339)</f>
        <v>0</v>
      </c>
      <c r="X339" s="496"/>
    </row>
    <row r="340" spans="1:24" s="497" customFormat="1" ht="17.25" customHeight="1">
      <c r="A340" s="491" t="s">
        <v>434</v>
      </c>
      <c r="B340" s="498" t="s">
        <v>427</v>
      </c>
      <c r="C340" s="493"/>
      <c r="D340" s="494">
        <f>SUM(D341:D344)</f>
        <v>520</v>
      </c>
      <c r="E340" s="495">
        <f t="shared" ref="E340:I340" si="204">SUM(E341:E344)</f>
        <v>520</v>
      </c>
      <c r="F340" s="495">
        <f t="shared" si="204"/>
        <v>520</v>
      </c>
      <c r="G340" s="495">
        <f t="shared" si="204"/>
        <v>0</v>
      </c>
      <c r="H340" s="495">
        <f t="shared" si="204"/>
        <v>0</v>
      </c>
      <c r="I340" s="495">
        <f t="shared" si="204"/>
        <v>0</v>
      </c>
      <c r="J340" s="495"/>
      <c r="K340" s="495">
        <f t="shared" ref="K340:W340" si="205">SUM(K341:K344)</f>
        <v>520</v>
      </c>
      <c r="L340" s="495">
        <f t="shared" si="205"/>
        <v>0</v>
      </c>
      <c r="M340" s="495">
        <f t="shared" si="205"/>
        <v>520</v>
      </c>
      <c r="N340" s="495">
        <f t="shared" si="205"/>
        <v>0</v>
      </c>
      <c r="O340" s="495">
        <f t="shared" si="205"/>
        <v>0</v>
      </c>
      <c r="P340" s="495">
        <f t="shared" si="205"/>
        <v>0</v>
      </c>
      <c r="Q340" s="495">
        <f t="shared" si="205"/>
        <v>0</v>
      </c>
      <c r="R340" s="495">
        <f t="shared" si="205"/>
        <v>22</v>
      </c>
      <c r="S340" s="495">
        <f t="shared" si="205"/>
        <v>0</v>
      </c>
      <c r="T340" s="495">
        <f t="shared" si="205"/>
        <v>0</v>
      </c>
      <c r="U340" s="495">
        <f t="shared" si="205"/>
        <v>0</v>
      </c>
      <c r="V340" s="495">
        <f t="shared" si="205"/>
        <v>0</v>
      </c>
      <c r="W340" s="495">
        <f t="shared" si="205"/>
        <v>498</v>
      </c>
      <c r="X340" s="496"/>
    </row>
    <row r="341" spans="1:24" s="501" customFormat="1" ht="60" customHeight="1">
      <c r="A341" s="491" t="s">
        <v>255</v>
      </c>
      <c r="B341" s="498" t="s">
        <v>1015</v>
      </c>
      <c r="C341" s="493"/>
      <c r="D341" s="494">
        <f>E341+P341</f>
        <v>200</v>
      </c>
      <c r="E341" s="495">
        <f>F341+N341+O341</f>
        <v>200</v>
      </c>
      <c r="F341" s="495">
        <f>H341+K341</f>
        <v>200</v>
      </c>
      <c r="G341" s="495"/>
      <c r="H341" s="495">
        <f>I341+J341</f>
        <v>0</v>
      </c>
      <c r="I341" s="495"/>
      <c r="J341" s="495"/>
      <c r="K341" s="495">
        <f t="shared" si="176"/>
        <v>200</v>
      </c>
      <c r="L341" s="495"/>
      <c r="M341" s="495">
        <v>200</v>
      </c>
      <c r="N341" s="495"/>
      <c r="O341" s="495"/>
      <c r="P341" s="495"/>
      <c r="Q341" s="495"/>
      <c r="R341" s="495">
        <f>D341*0.1</f>
        <v>20</v>
      </c>
      <c r="S341" s="495"/>
      <c r="T341" s="495"/>
      <c r="U341" s="495"/>
      <c r="V341" s="495"/>
      <c r="W341" s="495">
        <f>D341-Q341-R341-S341-U341+(T341+V341)</f>
        <v>180</v>
      </c>
      <c r="X341" s="496"/>
    </row>
    <row r="342" spans="1:24" s="497" customFormat="1" ht="17.25" customHeight="1">
      <c r="A342" s="491" t="s">
        <v>255</v>
      </c>
      <c r="B342" s="498" t="s">
        <v>435</v>
      </c>
      <c r="C342" s="493"/>
      <c r="D342" s="494">
        <f>E342+P342</f>
        <v>20</v>
      </c>
      <c r="E342" s="495">
        <f>F342+N342+O342</f>
        <v>20</v>
      </c>
      <c r="F342" s="495">
        <f>H342+K342</f>
        <v>20</v>
      </c>
      <c r="G342" s="495"/>
      <c r="H342" s="495">
        <f>I342+J342</f>
        <v>0</v>
      </c>
      <c r="I342" s="495"/>
      <c r="J342" s="495"/>
      <c r="K342" s="495">
        <f t="shared" si="176"/>
        <v>20</v>
      </c>
      <c r="L342" s="495"/>
      <c r="M342" s="495">
        <v>20</v>
      </c>
      <c r="N342" s="495"/>
      <c r="O342" s="495"/>
      <c r="P342" s="495"/>
      <c r="Q342" s="495"/>
      <c r="R342" s="495">
        <f>D342*0.1</f>
        <v>2</v>
      </c>
      <c r="S342" s="495"/>
      <c r="T342" s="495"/>
      <c r="U342" s="495"/>
      <c r="V342" s="495"/>
      <c r="W342" s="495">
        <f>D342-Q342-R342-S342-U342+(T342+V342)</f>
        <v>18</v>
      </c>
      <c r="X342" s="496"/>
    </row>
    <row r="343" spans="1:24" s="497" customFormat="1" ht="48" customHeight="1">
      <c r="A343" s="491" t="s">
        <v>255</v>
      </c>
      <c r="B343" s="498" t="s">
        <v>436</v>
      </c>
      <c r="C343" s="493"/>
      <c r="D343" s="494">
        <f>E343+P343</f>
        <v>300</v>
      </c>
      <c r="E343" s="495">
        <f>F343+N343+O343</f>
        <v>300</v>
      </c>
      <c r="F343" s="495">
        <f>H343+K343</f>
        <v>300</v>
      </c>
      <c r="G343" s="495"/>
      <c r="H343" s="495">
        <f>I343+J343</f>
        <v>0</v>
      </c>
      <c r="I343" s="495"/>
      <c r="J343" s="495"/>
      <c r="K343" s="495">
        <f>L343+M343</f>
        <v>300</v>
      </c>
      <c r="L343" s="495"/>
      <c r="M343" s="495">
        <v>300</v>
      </c>
      <c r="N343" s="495"/>
      <c r="O343" s="495"/>
      <c r="P343" s="495"/>
      <c r="Q343" s="495"/>
      <c r="R343" s="495"/>
      <c r="S343" s="495"/>
      <c r="T343" s="495"/>
      <c r="U343" s="495"/>
      <c r="V343" s="495"/>
      <c r="W343" s="495">
        <f>D343-Q343-R343-S343-U343+(T343+V343)</f>
        <v>300</v>
      </c>
      <c r="X343" s="496"/>
    </row>
    <row r="344" spans="1:24" s="497" customFormat="1" ht="24" customHeight="1">
      <c r="A344" s="491"/>
      <c r="B344" s="498" t="s">
        <v>453</v>
      </c>
      <c r="C344" s="493"/>
      <c r="D344" s="494">
        <f>E344+P344</f>
        <v>0</v>
      </c>
      <c r="E344" s="495">
        <f>F344+N344+O344</f>
        <v>0</v>
      </c>
      <c r="F344" s="495">
        <f>H344+K344</f>
        <v>0</v>
      </c>
      <c r="G344" s="495"/>
      <c r="H344" s="495"/>
      <c r="I344" s="495"/>
      <c r="J344" s="495"/>
      <c r="K344" s="495">
        <f>L344+M344</f>
        <v>0</v>
      </c>
      <c r="L344" s="495"/>
      <c r="M344" s="495">
        <v>0</v>
      </c>
      <c r="N344" s="495"/>
      <c r="O344" s="495"/>
      <c r="P344" s="495"/>
      <c r="Q344" s="495"/>
      <c r="R344" s="495"/>
      <c r="S344" s="495"/>
      <c r="T344" s="495"/>
      <c r="U344" s="495"/>
      <c r="V344" s="495"/>
      <c r="W344" s="495">
        <f>D344-Q344-R344-S344-U344+(T344+V344)</f>
        <v>0</v>
      </c>
      <c r="X344" s="496"/>
    </row>
    <row r="345" spans="1:24" s="497" customFormat="1" ht="29.25" customHeight="1">
      <c r="A345" s="491" t="s">
        <v>217</v>
      </c>
      <c r="B345" s="498" t="s">
        <v>437</v>
      </c>
      <c r="C345" s="494">
        <f>SUM(C346:C354)</f>
        <v>0</v>
      </c>
      <c r="D345" s="494">
        <f>SUM(D346:D354)</f>
        <v>508.34</v>
      </c>
      <c r="E345" s="494">
        <f t="shared" ref="E345:V345" si="206">SUM(E346:E354)</f>
        <v>508.34</v>
      </c>
      <c r="F345" s="494">
        <f t="shared" si="206"/>
        <v>508.34</v>
      </c>
      <c r="G345" s="494">
        <f t="shared" si="206"/>
        <v>3</v>
      </c>
      <c r="H345" s="494">
        <f t="shared" si="206"/>
        <v>312.64</v>
      </c>
      <c r="I345" s="494">
        <f t="shared" si="206"/>
        <v>0</v>
      </c>
      <c r="J345" s="494">
        <f t="shared" si="206"/>
        <v>0</v>
      </c>
      <c r="K345" s="494">
        <f t="shared" si="206"/>
        <v>195.7</v>
      </c>
      <c r="L345" s="494">
        <f t="shared" si="206"/>
        <v>95.7</v>
      </c>
      <c r="M345" s="494">
        <f t="shared" si="206"/>
        <v>100</v>
      </c>
      <c r="N345" s="494">
        <f t="shared" si="206"/>
        <v>0</v>
      </c>
      <c r="O345" s="494">
        <f t="shared" si="206"/>
        <v>0</v>
      </c>
      <c r="P345" s="494">
        <f t="shared" si="206"/>
        <v>0</v>
      </c>
      <c r="Q345" s="494">
        <f t="shared" si="206"/>
        <v>0</v>
      </c>
      <c r="R345" s="494">
        <f t="shared" si="206"/>
        <v>17</v>
      </c>
      <c r="S345" s="494">
        <f t="shared" si="206"/>
        <v>0</v>
      </c>
      <c r="T345" s="494">
        <f t="shared" si="206"/>
        <v>0</v>
      </c>
      <c r="U345" s="494">
        <f t="shared" si="206"/>
        <v>0</v>
      </c>
      <c r="V345" s="494">
        <f t="shared" si="206"/>
        <v>3.3</v>
      </c>
      <c r="W345" s="494">
        <f>SUM(W346:W354)</f>
        <v>494.64</v>
      </c>
      <c r="X345" s="496" t="s">
        <v>437</v>
      </c>
    </row>
    <row r="346" spans="1:24" s="497" customFormat="1" ht="27.75" customHeight="1">
      <c r="A346" s="491" t="s">
        <v>255</v>
      </c>
      <c r="B346" s="498" t="s">
        <v>438</v>
      </c>
      <c r="C346" s="493"/>
      <c r="D346" s="494">
        <f t="shared" ref="D346:D354" si="207">E346+P346</f>
        <v>307.27999999999997</v>
      </c>
      <c r="E346" s="495">
        <f t="shared" ref="E346:E354" si="208">F346+N346+O346</f>
        <v>307.27999999999997</v>
      </c>
      <c r="F346" s="495">
        <f t="shared" ref="F346:F354" si="209">H346+K346</f>
        <v>307.27999999999997</v>
      </c>
      <c r="G346" s="495">
        <v>3</v>
      </c>
      <c r="H346" s="495">
        <v>307.27999999999997</v>
      </c>
      <c r="I346" s="495"/>
      <c r="J346" s="495"/>
      <c r="K346" s="495">
        <f t="shared" si="176"/>
        <v>0</v>
      </c>
      <c r="L346" s="495"/>
      <c r="M346" s="495">
        <v>0</v>
      </c>
      <c r="N346" s="495"/>
      <c r="O346" s="495"/>
      <c r="P346" s="495"/>
      <c r="Q346" s="495"/>
      <c r="R346" s="495"/>
      <c r="S346" s="495"/>
      <c r="T346" s="495"/>
      <c r="U346" s="495"/>
      <c r="V346" s="495"/>
      <c r="W346" s="495">
        <f t="shared" ref="W346:W354" si="210">D346-Q346-R346-S346-U346+(T346+V346)</f>
        <v>307.27999999999997</v>
      </c>
      <c r="X346" s="496"/>
    </row>
    <row r="347" spans="1:24" s="497" customFormat="1" ht="32.25" customHeight="1">
      <c r="A347" s="491" t="s">
        <v>255</v>
      </c>
      <c r="B347" s="498" t="s">
        <v>587</v>
      </c>
      <c r="C347" s="493"/>
      <c r="D347" s="494">
        <f t="shared" si="207"/>
        <v>70.2</v>
      </c>
      <c r="E347" s="495">
        <f t="shared" si="208"/>
        <v>70.2</v>
      </c>
      <c r="F347" s="495">
        <f t="shared" si="209"/>
        <v>70.2</v>
      </c>
      <c r="G347" s="495"/>
      <c r="H347" s="495">
        <f t="shared" ref="H347:H354" si="211">I347+J347</f>
        <v>0</v>
      </c>
      <c r="I347" s="495"/>
      <c r="J347" s="495"/>
      <c r="K347" s="495">
        <f t="shared" si="176"/>
        <v>70.2</v>
      </c>
      <c r="L347" s="495">
        <f>3*18*1.3</f>
        <v>70.2</v>
      </c>
      <c r="M347" s="495">
        <v>0</v>
      </c>
      <c r="N347" s="495">
        <v>0</v>
      </c>
      <c r="O347" s="495">
        <v>0</v>
      </c>
      <c r="P347" s="495">
        <v>0</v>
      </c>
      <c r="Q347" s="495"/>
      <c r="R347" s="495">
        <v>7</v>
      </c>
      <c r="S347" s="495"/>
      <c r="T347" s="495"/>
      <c r="U347" s="495"/>
      <c r="V347" s="495"/>
      <c r="W347" s="495">
        <f t="shared" si="210"/>
        <v>63.2</v>
      </c>
      <c r="X347" s="496"/>
    </row>
    <row r="348" spans="1:24" s="497" customFormat="1" ht="21">
      <c r="A348" s="491" t="s">
        <v>255</v>
      </c>
      <c r="B348" s="498" t="s">
        <v>425</v>
      </c>
      <c r="C348" s="493"/>
      <c r="D348" s="494">
        <f t="shared" si="207"/>
        <v>5.36</v>
      </c>
      <c r="E348" s="495">
        <f t="shared" si="208"/>
        <v>5.36</v>
      </c>
      <c r="F348" s="495">
        <f t="shared" si="209"/>
        <v>5.36</v>
      </c>
      <c r="G348" s="495"/>
      <c r="H348" s="495">
        <v>5.36</v>
      </c>
      <c r="I348" s="495"/>
      <c r="J348" s="495"/>
      <c r="K348" s="495">
        <f t="shared" si="176"/>
        <v>0</v>
      </c>
      <c r="L348" s="495"/>
      <c r="M348" s="495">
        <v>0</v>
      </c>
      <c r="N348" s="495"/>
      <c r="O348" s="495"/>
      <c r="P348" s="495"/>
      <c r="Q348" s="495"/>
      <c r="R348" s="495"/>
      <c r="S348" s="495"/>
      <c r="T348" s="495"/>
      <c r="U348" s="495"/>
      <c r="V348" s="495"/>
      <c r="W348" s="495">
        <f t="shared" si="210"/>
        <v>5.36</v>
      </c>
      <c r="X348" s="496"/>
    </row>
    <row r="349" spans="1:24" s="497" customFormat="1" ht="28.5" customHeight="1">
      <c r="A349" s="491" t="s">
        <v>255</v>
      </c>
      <c r="B349" s="498" t="s">
        <v>287</v>
      </c>
      <c r="C349" s="493"/>
      <c r="D349" s="494">
        <f t="shared" si="207"/>
        <v>10.5</v>
      </c>
      <c r="E349" s="495">
        <f t="shared" si="208"/>
        <v>10.5</v>
      </c>
      <c r="F349" s="495">
        <f t="shared" si="209"/>
        <v>10.5</v>
      </c>
      <c r="G349" s="495"/>
      <c r="H349" s="495">
        <f t="shared" si="211"/>
        <v>0</v>
      </c>
      <c r="I349" s="495"/>
      <c r="J349" s="495"/>
      <c r="K349" s="495">
        <f>L349+M349</f>
        <v>10.5</v>
      </c>
      <c r="L349" s="495">
        <v>10.5</v>
      </c>
      <c r="M349" s="495">
        <v>0</v>
      </c>
      <c r="N349" s="495"/>
      <c r="O349" s="495"/>
      <c r="P349" s="495"/>
      <c r="Q349" s="495"/>
      <c r="R349" s="495"/>
      <c r="S349" s="495"/>
      <c r="T349" s="495"/>
      <c r="U349" s="495"/>
      <c r="V349" s="495"/>
      <c r="W349" s="495">
        <f t="shared" si="210"/>
        <v>10.5</v>
      </c>
      <c r="X349" s="496"/>
    </row>
    <row r="350" spans="1:24" s="497" customFormat="1" ht="21">
      <c r="A350" s="491" t="s">
        <v>255</v>
      </c>
      <c r="B350" s="498" t="s">
        <v>439</v>
      </c>
      <c r="C350" s="493"/>
      <c r="D350" s="494">
        <f t="shared" si="207"/>
        <v>55</v>
      </c>
      <c r="E350" s="495">
        <f t="shared" si="208"/>
        <v>55</v>
      </c>
      <c r="F350" s="495">
        <f t="shared" si="209"/>
        <v>55</v>
      </c>
      <c r="G350" s="495"/>
      <c r="H350" s="495">
        <f t="shared" si="211"/>
        <v>0</v>
      </c>
      <c r="I350" s="495"/>
      <c r="J350" s="495"/>
      <c r="K350" s="495">
        <f>L350+M350</f>
        <v>55</v>
      </c>
      <c r="L350" s="495"/>
      <c r="M350" s="495">
        <v>55</v>
      </c>
      <c r="N350" s="495"/>
      <c r="O350" s="495"/>
      <c r="P350" s="495"/>
      <c r="Q350" s="495"/>
      <c r="R350" s="495">
        <f>D350*0.1</f>
        <v>5.5</v>
      </c>
      <c r="S350" s="495"/>
      <c r="T350" s="495"/>
      <c r="U350" s="495"/>
      <c r="V350" s="495"/>
      <c r="W350" s="495">
        <f t="shared" si="210"/>
        <v>49.5</v>
      </c>
      <c r="X350" s="496"/>
    </row>
    <row r="351" spans="1:24" s="503" customFormat="1" ht="21" customHeight="1">
      <c r="A351" s="499" t="s">
        <v>255</v>
      </c>
      <c r="B351" s="502" t="s">
        <v>619</v>
      </c>
      <c r="C351" s="493"/>
      <c r="D351" s="494">
        <f t="shared" si="207"/>
        <v>15</v>
      </c>
      <c r="E351" s="495">
        <f>F351+N351+O351</f>
        <v>15</v>
      </c>
      <c r="F351" s="495">
        <f>H351+K351</f>
        <v>15</v>
      </c>
      <c r="G351" s="495"/>
      <c r="H351" s="495">
        <f t="shared" si="211"/>
        <v>0</v>
      </c>
      <c r="I351" s="495"/>
      <c r="J351" s="495"/>
      <c r="K351" s="495">
        <f>L351+M351</f>
        <v>15</v>
      </c>
      <c r="L351" s="495">
        <v>15</v>
      </c>
      <c r="M351" s="495"/>
      <c r="N351" s="495"/>
      <c r="O351" s="495"/>
      <c r="P351" s="495"/>
      <c r="Q351" s="495"/>
      <c r="R351" s="495"/>
      <c r="S351" s="495"/>
      <c r="T351" s="495"/>
      <c r="U351" s="495"/>
      <c r="V351" s="495"/>
      <c r="W351" s="495">
        <f t="shared" si="210"/>
        <v>15</v>
      </c>
      <c r="X351" s="496"/>
    </row>
    <row r="352" spans="1:24" s="497" customFormat="1" ht="18" customHeight="1">
      <c r="A352" s="491" t="s">
        <v>255</v>
      </c>
      <c r="B352" s="498" t="s">
        <v>671</v>
      </c>
      <c r="C352" s="493"/>
      <c r="D352" s="494">
        <f t="shared" si="207"/>
        <v>0</v>
      </c>
      <c r="E352" s="495">
        <f t="shared" ref="E352:E353" si="212">F352+N352+O352</f>
        <v>0</v>
      </c>
      <c r="F352" s="495">
        <f t="shared" ref="F352:F353" si="213">H352+K352</f>
        <v>0</v>
      </c>
      <c r="G352" s="495"/>
      <c r="H352" s="495"/>
      <c r="I352" s="495"/>
      <c r="J352" s="495"/>
      <c r="K352" s="495">
        <f t="shared" ref="K352:K353" si="214">L352+M352</f>
        <v>0</v>
      </c>
      <c r="L352" s="495"/>
      <c r="M352" s="495"/>
      <c r="N352" s="495"/>
      <c r="O352" s="495"/>
      <c r="P352" s="495"/>
      <c r="Q352" s="495"/>
      <c r="R352" s="495"/>
      <c r="S352" s="495"/>
      <c r="T352" s="495"/>
      <c r="U352" s="495"/>
      <c r="V352" s="495"/>
      <c r="W352" s="495">
        <f t="shared" si="210"/>
        <v>0</v>
      </c>
      <c r="X352" s="496"/>
    </row>
    <row r="353" spans="1:24" s="501" customFormat="1" ht="43.5" customHeight="1">
      <c r="A353" s="491" t="s">
        <v>255</v>
      </c>
      <c r="B353" s="289" t="s">
        <v>1016</v>
      </c>
      <c r="C353" s="493"/>
      <c r="D353" s="494">
        <f t="shared" si="207"/>
        <v>0</v>
      </c>
      <c r="E353" s="495">
        <f t="shared" si="212"/>
        <v>0</v>
      </c>
      <c r="F353" s="495">
        <f t="shared" si="213"/>
        <v>0</v>
      </c>
      <c r="G353" s="495"/>
      <c r="H353" s="495"/>
      <c r="I353" s="495"/>
      <c r="J353" s="495"/>
      <c r="K353" s="495">
        <f t="shared" si="214"/>
        <v>0</v>
      </c>
      <c r="L353" s="495"/>
      <c r="M353" s="495"/>
      <c r="N353" s="495"/>
      <c r="O353" s="495"/>
      <c r="P353" s="495"/>
      <c r="Q353" s="495"/>
      <c r="R353" s="495"/>
      <c r="S353" s="495"/>
      <c r="T353" s="495"/>
      <c r="U353" s="495"/>
      <c r="V353" s="495">
        <v>3.3</v>
      </c>
      <c r="W353" s="495">
        <f t="shared" si="210"/>
        <v>3.3</v>
      </c>
      <c r="X353" s="496"/>
    </row>
    <row r="354" spans="1:24" s="501" customFormat="1" ht="69.75" customHeight="1">
      <c r="A354" s="491" t="s">
        <v>255</v>
      </c>
      <c r="B354" s="498" t="s">
        <v>1017</v>
      </c>
      <c r="C354" s="493"/>
      <c r="D354" s="494">
        <f t="shared" si="207"/>
        <v>45</v>
      </c>
      <c r="E354" s="495">
        <f t="shared" si="208"/>
        <v>45</v>
      </c>
      <c r="F354" s="495">
        <f t="shared" si="209"/>
        <v>45</v>
      </c>
      <c r="G354" s="495"/>
      <c r="H354" s="495">
        <f t="shared" si="211"/>
        <v>0</v>
      </c>
      <c r="I354" s="495"/>
      <c r="J354" s="495"/>
      <c r="K354" s="495">
        <f t="shared" si="176"/>
        <v>45</v>
      </c>
      <c r="L354" s="495"/>
      <c r="M354" s="495">
        <v>45</v>
      </c>
      <c r="N354" s="495"/>
      <c r="O354" s="495"/>
      <c r="P354" s="495"/>
      <c r="Q354" s="495"/>
      <c r="R354" s="495">
        <f>D354*0.1</f>
        <v>4.5</v>
      </c>
      <c r="S354" s="495"/>
      <c r="T354" s="495"/>
      <c r="U354" s="495"/>
      <c r="V354" s="495"/>
      <c r="W354" s="495">
        <f t="shared" si="210"/>
        <v>40.5</v>
      </c>
      <c r="X354" s="496"/>
    </row>
    <row r="355" spans="1:24" s="497" customFormat="1" ht="21" customHeight="1">
      <c r="A355" s="491" t="s">
        <v>218</v>
      </c>
      <c r="B355" s="498" t="s">
        <v>986</v>
      </c>
      <c r="C355" s="493"/>
      <c r="D355" s="494">
        <f>D356+D361</f>
        <v>1060.8600000000001</v>
      </c>
      <c r="E355" s="495">
        <f t="shared" ref="E355:W355" si="215">E356+E361</f>
        <v>1060.8600000000001</v>
      </c>
      <c r="F355" s="495">
        <f t="shared" si="215"/>
        <v>1060.8600000000001</v>
      </c>
      <c r="G355" s="495">
        <f t="shared" si="215"/>
        <v>7</v>
      </c>
      <c r="H355" s="495">
        <f t="shared" si="215"/>
        <v>490.06</v>
      </c>
      <c r="I355" s="495">
        <f t="shared" si="215"/>
        <v>0</v>
      </c>
      <c r="J355" s="495">
        <f t="shared" si="215"/>
        <v>0</v>
      </c>
      <c r="K355" s="495">
        <f t="shared" si="215"/>
        <v>570.79999999999995</v>
      </c>
      <c r="L355" s="495">
        <f t="shared" si="215"/>
        <v>170.8</v>
      </c>
      <c r="M355" s="495">
        <f t="shared" si="215"/>
        <v>400</v>
      </c>
      <c r="N355" s="495">
        <f t="shared" si="215"/>
        <v>0</v>
      </c>
      <c r="O355" s="495">
        <f t="shared" si="215"/>
        <v>0</v>
      </c>
      <c r="P355" s="495">
        <f t="shared" si="215"/>
        <v>0</v>
      </c>
      <c r="Q355" s="495">
        <f t="shared" si="215"/>
        <v>0</v>
      </c>
      <c r="R355" s="495">
        <f t="shared" si="215"/>
        <v>56</v>
      </c>
      <c r="S355" s="495">
        <f t="shared" si="215"/>
        <v>0</v>
      </c>
      <c r="T355" s="495">
        <f t="shared" si="215"/>
        <v>0</v>
      </c>
      <c r="U355" s="495">
        <f t="shared" si="215"/>
        <v>0</v>
      </c>
      <c r="V355" s="495">
        <f t="shared" si="215"/>
        <v>0</v>
      </c>
      <c r="W355" s="495">
        <f t="shared" si="215"/>
        <v>1004.86</v>
      </c>
      <c r="X355" s="496" t="s">
        <v>440</v>
      </c>
    </row>
    <row r="356" spans="1:24" s="497" customFormat="1" ht="17.25" customHeight="1">
      <c r="A356" s="491" t="s">
        <v>441</v>
      </c>
      <c r="B356" s="498" t="s">
        <v>442</v>
      </c>
      <c r="C356" s="493"/>
      <c r="D356" s="494">
        <f>SUM(D357:D360)</f>
        <v>640.86</v>
      </c>
      <c r="E356" s="495">
        <f t="shared" ref="E356:W356" si="216">SUM(E357:E360)</f>
        <v>640.86</v>
      </c>
      <c r="F356" s="495">
        <f t="shared" si="216"/>
        <v>640.86</v>
      </c>
      <c r="G356" s="495">
        <f t="shared" si="216"/>
        <v>7</v>
      </c>
      <c r="H356" s="495">
        <f t="shared" si="216"/>
        <v>490.06</v>
      </c>
      <c r="I356" s="495">
        <f t="shared" si="216"/>
        <v>0</v>
      </c>
      <c r="J356" s="495">
        <f t="shared" si="216"/>
        <v>0</v>
      </c>
      <c r="K356" s="495">
        <f t="shared" si="216"/>
        <v>150.80000000000001</v>
      </c>
      <c r="L356" s="495">
        <f t="shared" si="216"/>
        <v>150.80000000000001</v>
      </c>
      <c r="M356" s="495">
        <f t="shared" si="216"/>
        <v>0</v>
      </c>
      <c r="N356" s="495">
        <f t="shared" si="216"/>
        <v>0</v>
      </c>
      <c r="O356" s="495">
        <f t="shared" si="216"/>
        <v>0</v>
      </c>
      <c r="P356" s="495">
        <f t="shared" si="216"/>
        <v>0</v>
      </c>
      <c r="Q356" s="495">
        <f t="shared" si="216"/>
        <v>0</v>
      </c>
      <c r="R356" s="495">
        <f t="shared" si="216"/>
        <v>14</v>
      </c>
      <c r="S356" s="495">
        <f t="shared" si="216"/>
        <v>0</v>
      </c>
      <c r="T356" s="495">
        <f t="shared" si="216"/>
        <v>0</v>
      </c>
      <c r="U356" s="495">
        <f t="shared" si="216"/>
        <v>0</v>
      </c>
      <c r="V356" s="495">
        <f t="shared" si="216"/>
        <v>0</v>
      </c>
      <c r="W356" s="495">
        <f t="shared" si="216"/>
        <v>626.86</v>
      </c>
      <c r="X356" s="496"/>
    </row>
    <row r="357" spans="1:24" s="497" customFormat="1" ht="17.25" customHeight="1">
      <c r="A357" s="491" t="s">
        <v>255</v>
      </c>
      <c r="B357" s="498" t="s">
        <v>987</v>
      </c>
      <c r="C357" s="493"/>
      <c r="D357" s="494">
        <f>E357+P357</f>
        <v>484.7</v>
      </c>
      <c r="E357" s="495">
        <f t="shared" ref="E357:E360" si="217">F357+N357+O357</f>
        <v>484.7</v>
      </c>
      <c r="F357" s="495">
        <f t="shared" ref="F357:F360" si="218">H357+K357</f>
        <v>484.7</v>
      </c>
      <c r="G357" s="495">
        <v>7</v>
      </c>
      <c r="H357" s="495">
        <f>471.7+13</f>
        <v>484.7</v>
      </c>
      <c r="I357" s="495"/>
      <c r="J357" s="495"/>
      <c r="K357" s="495">
        <f t="shared" si="176"/>
        <v>0</v>
      </c>
      <c r="L357" s="495"/>
      <c r="M357" s="495">
        <v>0</v>
      </c>
      <c r="N357" s="495"/>
      <c r="O357" s="495"/>
      <c r="P357" s="495"/>
      <c r="Q357" s="495"/>
      <c r="R357" s="495"/>
      <c r="S357" s="495"/>
      <c r="T357" s="495"/>
      <c r="U357" s="495"/>
      <c r="V357" s="495"/>
      <c r="W357" s="495">
        <f>D357-Q357-R357-S357-U357+(T357+V357)</f>
        <v>484.7</v>
      </c>
      <c r="X357" s="496"/>
    </row>
    <row r="358" spans="1:24" s="497" customFormat="1" ht="30" customHeight="1">
      <c r="A358" s="491" t="s">
        <v>255</v>
      </c>
      <c r="B358" s="498" t="s">
        <v>585</v>
      </c>
      <c r="C358" s="493"/>
      <c r="D358" s="494">
        <f>E358+P358</f>
        <v>140.4</v>
      </c>
      <c r="E358" s="495">
        <f t="shared" si="217"/>
        <v>140.4</v>
      </c>
      <c r="F358" s="495">
        <f t="shared" si="218"/>
        <v>140.4</v>
      </c>
      <c r="G358" s="495"/>
      <c r="H358" s="495">
        <f>I358+J358</f>
        <v>0</v>
      </c>
      <c r="I358" s="495"/>
      <c r="J358" s="495"/>
      <c r="K358" s="495">
        <f t="shared" si="176"/>
        <v>140.4</v>
      </c>
      <c r="L358" s="495">
        <f>6*18*1.3</f>
        <v>140.4</v>
      </c>
      <c r="M358" s="495">
        <v>0</v>
      </c>
      <c r="N358" s="495">
        <v>0</v>
      </c>
      <c r="O358" s="495">
        <v>0</v>
      </c>
      <c r="P358" s="495">
        <v>0</v>
      </c>
      <c r="Q358" s="495"/>
      <c r="R358" s="495">
        <v>14</v>
      </c>
      <c r="S358" s="495"/>
      <c r="T358" s="495"/>
      <c r="U358" s="495"/>
      <c r="V358" s="495"/>
      <c r="W358" s="495">
        <f>D358-Q358-R358-S358-U358+(T358+V358)</f>
        <v>126.4</v>
      </c>
      <c r="X358" s="496"/>
    </row>
    <row r="359" spans="1:24" s="497" customFormat="1" ht="21">
      <c r="A359" s="491" t="s">
        <v>255</v>
      </c>
      <c r="B359" s="498" t="s">
        <v>433</v>
      </c>
      <c r="C359" s="493"/>
      <c r="D359" s="494">
        <f>E359+P359</f>
        <v>5.36</v>
      </c>
      <c r="E359" s="495">
        <f t="shared" si="217"/>
        <v>5.36</v>
      </c>
      <c r="F359" s="495">
        <f t="shared" si="218"/>
        <v>5.36</v>
      </c>
      <c r="G359" s="495"/>
      <c r="H359" s="495">
        <v>5.36</v>
      </c>
      <c r="I359" s="495"/>
      <c r="J359" s="495"/>
      <c r="K359" s="495">
        <f t="shared" si="176"/>
        <v>0</v>
      </c>
      <c r="L359" s="495"/>
      <c r="M359" s="495">
        <v>0</v>
      </c>
      <c r="N359" s="495"/>
      <c r="O359" s="495"/>
      <c r="P359" s="495"/>
      <c r="Q359" s="495"/>
      <c r="R359" s="495"/>
      <c r="S359" s="495"/>
      <c r="T359" s="495"/>
      <c r="U359" s="495"/>
      <c r="V359" s="495"/>
      <c r="W359" s="495">
        <f>D359-Q359-R359-S359-U359+(T359+V359)</f>
        <v>5.36</v>
      </c>
      <c r="X359" s="496"/>
    </row>
    <row r="360" spans="1:24" s="497" customFormat="1" ht="28.5" customHeight="1">
      <c r="A360" s="491" t="s">
        <v>255</v>
      </c>
      <c r="B360" s="498" t="s">
        <v>287</v>
      </c>
      <c r="C360" s="493"/>
      <c r="D360" s="494">
        <f>E360+P360</f>
        <v>10.4</v>
      </c>
      <c r="E360" s="495">
        <f t="shared" si="217"/>
        <v>10.4</v>
      </c>
      <c r="F360" s="495">
        <f t="shared" si="218"/>
        <v>10.4</v>
      </c>
      <c r="G360" s="495"/>
      <c r="H360" s="495">
        <f>I360+J360</f>
        <v>0</v>
      </c>
      <c r="I360" s="495"/>
      <c r="J360" s="495"/>
      <c r="K360" s="495">
        <f t="shared" si="176"/>
        <v>10.4</v>
      </c>
      <c r="L360" s="495">
        <f>10.4</f>
        <v>10.4</v>
      </c>
      <c r="M360" s="495">
        <v>0</v>
      </c>
      <c r="N360" s="495"/>
      <c r="O360" s="495"/>
      <c r="P360" s="495"/>
      <c r="Q360" s="495"/>
      <c r="R360" s="495"/>
      <c r="S360" s="495"/>
      <c r="T360" s="495"/>
      <c r="U360" s="495"/>
      <c r="V360" s="495"/>
      <c r="W360" s="495">
        <f>D360-Q360-R360-S360-U360+(T360+V360)</f>
        <v>10.4</v>
      </c>
      <c r="X360" s="496"/>
    </row>
    <row r="361" spans="1:24" s="497" customFormat="1" ht="17.25" customHeight="1">
      <c r="A361" s="491" t="s">
        <v>443</v>
      </c>
      <c r="B361" s="498" t="s">
        <v>374</v>
      </c>
      <c r="C361" s="493"/>
      <c r="D361" s="494">
        <f t="shared" ref="D361:I361" si="219">SUM(D362:D368)</f>
        <v>420</v>
      </c>
      <c r="E361" s="495">
        <f t="shared" si="219"/>
        <v>420</v>
      </c>
      <c r="F361" s="495">
        <f t="shared" si="219"/>
        <v>420</v>
      </c>
      <c r="G361" s="495">
        <f t="shared" si="219"/>
        <v>0</v>
      </c>
      <c r="H361" s="495">
        <f t="shared" si="219"/>
        <v>0</v>
      </c>
      <c r="I361" s="495">
        <f t="shared" si="219"/>
        <v>0</v>
      </c>
      <c r="J361" s="495"/>
      <c r="K361" s="495">
        <f t="shared" ref="K361:W361" si="220">SUM(K362:K368)</f>
        <v>420</v>
      </c>
      <c r="L361" s="495">
        <f t="shared" si="220"/>
        <v>20</v>
      </c>
      <c r="M361" s="495">
        <f t="shared" si="220"/>
        <v>400</v>
      </c>
      <c r="N361" s="495">
        <f t="shared" si="220"/>
        <v>0</v>
      </c>
      <c r="O361" s="495">
        <f t="shared" si="220"/>
        <v>0</v>
      </c>
      <c r="P361" s="495">
        <f t="shared" si="220"/>
        <v>0</v>
      </c>
      <c r="Q361" s="495">
        <f t="shared" si="220"/>
        <v>0</v>
      </c>
      <c r="R361" s="495">
        <f t="shared" si="220"/>
        <v>42</v>
      </c>
      <c r="S361" s="495">
        <f t="shared" si="220"/>
        <v>0</v>
      </c>
      <c r="T361" s="495">
        <f t="shared" si="220"/>
        <v>0</v>
      </c>
      <c r="U361" s="495">
        <f t="shared" si="220"/>
        <v>0</v>
      </c>
      <c r="V361" s="495">
        <f t="shared" si="220"/>
        <v>0</v>
      </c>
      <c r="W361" s="495">
        <f t="shared" si="220"/>
        <v>378</v>
      </c>
      <c r="X361" s="496"/>
    </row>
    <row r="362" spans="1:24" s="497" customFormat="1" ht="29.25" customHeight="1">
      <c r="A362" s="491" t="s">
        <v>255</v>
      </c>
      <c r="B362" s="498" t="s">
        <v>777</v>
      </c>
      <c r="C362" s="493"/>
      <c r="D362" s="494">
        <f>E362+P362</f>
        <v>200</v>
      </c>
      <c r="E362" s="495">
        <f t="shared" ref="E362:E368" si="221">F362+N362+O362</f>
        <v>200</v>
      </c>
      <c r="F362" s="495">
        <f t="shared" ref="F362:F368" si="222">H362+K362</f>
        <v>200</v>
      </c>
      <c r="G362" s="495"/>
      <c r="H362" s="495">
        <f>I362+J362</f>
        <v>0</v>
      </c>
      <c r="I362" s="495"/>
      <c r="J362" s="495"/>
      <c r="K362" s="495">
        <f t="shared" si="176"/>
        <v>200</v>
      </c>
      <c r="L362" s="495"/>
      <c r="M362" s="495">
        <v>200</v>
      </c>
      <c r="N362" s="495"/>
      <c r="O362" s="495"/>
      <c r="P362" s="495"/>
      <c r="Q362" s="495"/>
      <c r="R362" s="495">
        <f t="shared" ref="R362:R368" si="223">D362*0.1</f>
        <v>20</v>
      </c>
      <c r="S362" s="495"/>
      <c r="T362" s="495"/>
      <c r="U362" s="495"/>
      <c r="V362" s="495"/>
      <c r="W362" s="495">
        <f t="shared" ref="W362:W368" si="224">D362-Q362-R362-S362-U362+(T362+V362)</f>
        <v>180</v>
      </c>
      <c r="X362" s="496"/>
    </row>
    <row r="363" spans="1:24" s="497" customFormat="1" ht="34.5" customHeight="1">
      <c r="A363" s="491" t="s">
        <v>255</v>
      </c>
      <c r="B363" s="498" t="s">
        <v>444</v>
      </c>
      <c r="C363" s="493"/>
      <c r="D363" s="494">
        <f>E363+P363</f>
        <v>200</v>
      </c>
      <c r="E363" s="495">
        <f>F363+N363+O363</f>
        <v>200</v>
      </c>
      <c r="F363" s="495">
        <f>H363+K363</f>
        <v>200</v>
      </c>
      <c r="G363" s="495"/>
      <c r="H363" s="495">
        <f>I363+J363</f>
        <v>0</v>
      </c>
      <c r="I363" s="495"/>
      <c r="J363" s="495"/>
      <c r="K363" s="495">
        <f>L363+M363</f>
        <v>200</v>
      </c>
      <c r="L363" s="495"/>
      <c r="M363" s="495">
        <v>200</v>
      </c>
      <c r="N363" s="495"/>
      <c r="O363" s="495"/>
      <c r="P363" s="495"/>
      <c r="Q363" s="495"/>
      <c r="R363" s="495">
        <f t="shared" si="223"/>
        <v>20</v>
      </c>
      <c r="S363" s="495"/>
      <c r="T363" s="495"/>
      <c r="U363" s="495"/>
      <c r="V363" s="495"/>
      <c r="W363" s="495">
        <f t="shared" si="224"/>
        <v>180</v>
      </c>
      <c r="X363" s="496"/>
    </row>
    <row r="364" spans="1:24" s="497" customFormat="1" ht="21" customHeight="1">
      <c r="A364" s="491" t="s">
        <v>255</v>
      </c>
      <c r="B364" s="498" t="s">
        <v>672</v>
      </c>
      <c r="C364" s="493"/>
      <c r="D364" s="494"/>
      <c r="E364" s="495"/>
      <c r="F364" s="495"/>
      <c r="G364" s="495"/>
      <c r="H364" s="495"/>
      <c r="I364" s="495"/>
      <c r="J364" s="495"/>
      <c r="K364" s="495"/>
      <c r="L364" s="495"/>
      <c r="M364" s="495"/>
      <c r="N364" s="495"/>
      <c r="O364" s="495"/>
      <c r="P364" s="495"/>
      <c r="Q364" s="495"/>
      <c r="R364" s="495">
        <f t="shared" si="223"/>
        <v>0</v>
      </c>
      <c r="S364" s="495"/>
      <c r="T364" s="495"/>
      <c r="U364" s="495"/>
      <c r="V364" s="495"/>
      <c r="W364" s="495">
        <f t="shared" si="224"/>
        <v>0</v>
      </c>
      <c r="X364" s="496"/>
    </row>
    <row r="365" spans="1:24" s="497" customFormat="1" ht="21" customHeight="1">
      <c r="A365" s="491" t="s">
        <v>255</v>
      </c>
      <c r="B365" s="498" t="s">
        <v>667</v>
      </c>
      <c r="C365" s="493"/>
      <c r="D365" s="494"/>
      <c r="E365" s="495"/>
      <c r="F365" s="495"/>
      <c r="G365" s="495"/>
      <c r="H365" s="495"/>
      <c r="I365" s="495"/>
      <c r="J365" s="495"/>
      <c r="K365" s="495"/>
      <c r="L365" s="495"/>
      <c r="M365" s="495"/>
      <c r="N365" s="495"/>
      <c r="O365" s="495"/>
      <c r="P365" s="495"/>
      <c r="Q365" s="495"/>
      <c r="R365" s="495">
        <f t="shared" si="223"/>
        <v>0</v>
      </c>
      <c r="S365" s="495"/>
      <c r="T365" s="495"/>
      <c r="U365" s="495"/>
      <c r="V365" s="495"/>
      <c r="W365" s="495">
        <f t="shared" si="224"/>
        <v>0</v>
      </c>
      <c r="X365" s="496"/>
    </row>
    <row r="366" spans="1:24" s="497" customFormat="1" ht="24" customHeight="1">
      <c r="A366" s="491" t="s">
        <v>255</v>
      </c>
      <c r="B366" s="498" t="s">
        <v>445</v>
      </c>
      <c r="C366" s="493"/>
      <c r="D366" s="494">
        <f>E366+P366</f>
        <v>0</v>
      </c>
      <c r="E366" s="495">
        <f t="shared" si="221"/>
        <v>0</v>
      </c>
      <c r="F366" s="495">
        <f t="shared" si="222"/>
        <v>0</v>
      </c>
      <c r="G366" s="495"/>
      <c r="H366" s="495">
        <f>I366+J366</f>
        <v>0</v>
      </c>
      <c r="I366" s="495"/>
      <c r="J366" s="495"/>
      <c r="K366" s="495">
        <f>L366+M366</f>
        <v>0</v>
      </c>
      <c r="L366" s="495"/>
      <c r="M366" s="495"/>
      <c r="N366" s="495"/>
      <c r="O366" s="495"/>
      <c r="P366" s="495"/>
      <c r="Q366" s="495"/>
      <c r="R366" s="495">
        <f t="shared" si="223"/>
        <v>0</v>
      </c>
      <c r="S366" s="495"/>
      <c r="T366" s="495"/>
      <c r="U366" s="495"/>
      <c r="V366" s="495"/>
      <c r="W366" s="495">
        <f t="shared" si="224"/>
        <v>0</v>
      </c>
      <c r="X366" s="496"/>
    </row>
    <row r="367" spans="1:24" s="497" customFormat="1" ht="24" customHeight="1">
      <c r="A367" s="491" t="s">
        <v>255</v>
      </c>
      <c r="B367" s="498" t="s">
        <v>778</v>
      </c>
      <c r="C367" s="493"/>
      <c r="D367" s="494">
        <f>E367+P367</f>
        <v>20</v>
      </c>
      <c r="E367" s="495">
        <f t="shared" si="221"/>
        <v>20</v>
      </c>
      <c r="F367" s="495">
        <f t="shared" si="222"/>
        <v>20</v>
      </c>
      <c r="G367" s="495"/>
      <c r="H367" s="495">
        <f>I367+J367</f>
        <v>0</v>
      </c>
      <c r="I367" s="495"/>
      <c r="J367" s="495"/>
      <c r="K367" s="495">
        <f>L367+M367</f>
        <v>20</v>
      </c>
      <c r="L367" s="495">
        <v>20</v>
      </c>
      <c r="M367" s="495"/>
      <c r="N367" s="495"/>
      <c r="O367" s="495"/>
      <c r="P367" s="495"/>
      <c r="Q367" s="495"/>
      <c r="R367" s="495">
        <f t="shared" si="223"/>
        <v>2</v>
      </c>
      <c r="S367" s="495"/>
      <c r="T367" s="495"/>
      <c r="U367" s="495"/>
      <c r="V367" s="495"/>
      <c r="W367" s="495">
        <f t="shared" si="224"/>
        <v>18</v>
      </c>
      <c r="X367" s="496"/>
    </row>
    <row r="368" spans="1:24" s="497" customFormat="1" ht="17.25" customHeight="1">
      <c r="A368" s="491" t="s">
        <v>255</v>
      </c>
      <c r="B368" s="289"/>
      <c r="C368" s="493"/>
      <c r="D368" s="494">
        <f>E368+P368</f>
        <v>0</v>
      </c>
      <c r="E368" s="495">
        <f t="shared" si="221"/>
        <v>0</v>
      </c>
      <c r="F368" s="495">
        <f t="shared" si="222"/>
        <v>0</v>
      </c>
      <c r="G368" s="495"/>
      <c r="H368" s="495">
        <f>I368+J368</f>
        <v>0</v>
      </c>
      <c r="I368" s="495"/>
      <c r="J368" s="495"/>
      <c r="K368" s="495">
        <f>L368+M368</f>
        <v>0</v>
      </c>
      <c r="L368" s="495"/>
      <c r="M368" s="495"/>
      <c r="N368" s="495"/>
      <c r="O368" s="495"/>
      <c r="P368" s="495"/>
      <c r="Q368" s="495"/>
      <c r="R368" s="495">
        <f t="shared" si="223"/>
        <v>0</v>
      </c>
      <c r="S368" s="495"/>
      <c r="T368" s="495"/>
      <c r="U368" s="495"/>
      <c r="V368" s="495"/>
      <c r="W368" s="495">
        <f t="shared" si="224"/>
        <v>0</v>
      </c>
      <c r="X368" s="496"/>
    </row>
    <row r="369" spans="1:24" s="497" customFormat="1" ht="30.75" customHeight="1">
      <c r="A369" s="491" t="s">
        <v>219</v>
      </c>
      <c r="B369" s="498" t="s">
        <v>446</v>
      </c>
      <c r="C369" s="493"/>
      <c r="D369" s="494">
        <f>D370+D376</f>
        <v>1203.2910000000002</v>
      </c>
      <c r="E369" s="495">
        <f t="shared" ref="E369:W369" si="225">E370+E376</f>
        <v>1203.2910000000002</v>
      </c>
      <c r="F369" s="495">
        <f t="shared" si="225"/>
        <v>1203.2910000000002</v>
      </c>
      <c r="G369" s="495">
        <f t="shared" si="225"/>
        <v>6</v>
      </c>
      <c r="H369" s="495">
        <f t="shared" si="225"/>
        <v>787.09100000000001</v>
      </c>
      <c r="I369" s="495">
        <f t="shared" si="225"/>
        <v>0</v>
      </c>
      <c r="J369" s="495">
        <f t="shared" si="225"/>
        <v>0</v>
      </c>
      <c r="K369" s="495">
        <f t="shared" si="225"/>
        <v>416.20000000000005</v>
      </c>
      <c r="L369" s="495">
        <f t="shared" si="225"/>
        <v>196.20000000000002</v>
      </c>
      <c r="M369" s="495">
        <f t="shared" si="225"/>
        <v>220</v>
      </c>
      <c r="N369" s="495">
        <f t="shared" si="225"/>
        <v>0</v>
      </c>
      <c r="O369" s="495">
        <f t="shared" si="225"/>
        <v>0</v>
      </c>
      <c r="P369" s="495">
        <f t="shared" si="225"/>
        <v>0</v>
      </c>
      <c r="Q369" s="495">
        <f t="shared" si="225"/>
        <v>0</v>
      </c>
      <c r="R369" s="495">
        <f t="shared" si="225"/>
        <v>40.700000000000003</v>
      </c>
      <c r="S369" s="495">
        <f t="shared" si="225"/>
        <v>0</v>
      </c>
      <c r="T369" s="495">
        <f t="shared" si="225"/>
        <v>0</v>
      </c>
      <c r="U369" s="495">
        <f t="shared" si="225"/>
        <v>23</v>
      </c>
      <c r="V369" s="495">
        <f t="shared" si="225"/>
        <v>0</v>
      </c>
      <c r="W369" s="495">
        <f t="shared" si="225"/>
        <v>1139.5909999999999</v>
      </c>
      <c r="X369" s="496" t="s">
        <v>446</v>
      </c>
    </row>
    <row r="370" spans="1:24" s="497" customFormat="1" ht="17.25" customHeight="1">
      <c r="A370" s="491" t="s">
        <v>447</v>
      </c>
      <c r="B370" s="498" t="s">
        <v>442</v>
      </c>
      <c r="C370" s="493"/>
      <c r="D370" s="494">
        <f>SUM(D371:D375)</f>
        <v>983.29100000000005</v>
      </c>
      <c r="E370" s="495">
        <f t="shared" ref="E370:W370" si="226">SUM(E371:E375)</f>
        <v>983.29100000000005</v>
      </c>
      <c r="F370" s="495">
        <f t="shared" si="226"/>
        <v>983.29100000000005</v>
      </c>
      <c r="G370" s="495">
        <f t="shared" si="226"/>
        <v>6</v>
      </c>
      <c r="H370" s="495">
        <f t="shared" si="226"/>
        <v>787.09100000000001</v>
      </c>
      <c r="I370" s="495">
        <f t="shared" si="226"/>
        <v>0</v>
      </c>
      <c r="J370" s="495">
        <f t="shared" si="226"/>
        <v>0</v>
      </c>
      <c r="K370" s="495">
        <f t="shared" si="226"/>
        <v>196.20000000000002</v>
      </c>
      <c r="L370" s="495">
        <f t="shared" si="226"/>
        <v>196.20000000000002</v>
      </c>
      <c r="M370" s="495">
        <f t="shared" si="226"/>
        <v>0</v>
      </c>
      <c r="N370" s="495">
        <f t="shared" si="226"/>
        <v>0</v>
      </c>
      <c r="O370" s="495">
        <f t="shared" si="226"/>
        <v>0</v>
      </c>
      <c r="P370" s="495">
        <f t="shared" si="226"/>
        <v>0</v>
      </c>
      <c r="Q370" s="495">
        <f t="shared" si="226"/>
        <v>0</v>
      </c>
      <c r="R370" s="495">
        <f t="shared" si="226"/>
        <v>18.7</v>
      </c>
      <c r="S370" s="495">
        <f t="shared" si="226"/>
        <v>0</v>
      </c>
      <c r="T370" s="495">
        <f t="shared" si="226"/>
        <v>0</v>
      </c>
      <c r="U370" s="495">
        <f t="shared" si="226"/>
        <v>23</v>
      </c>
      <c r="V370" s="495">
        <f t="shared" si="226"/>
        <v>0</v>
      </c>
      <c r="W370" s="495">
        <f t="shared" si="226"/>
        <v>941.59100000000001</v>
      </c>
      <c r="X370" s="496"/>
    </row>
    <row r="371" spans="1:24" s="497" customFormat="1" ht="17.25" customHeight="1">
      <c r="A371" s="491" t="s">
        <v>255</v>
      </c>
      <c r="B371" s="498" t="s">
        <v>504</v>
      </c>
      <c r="C371" s="493"/>
      <c r="D371" s="494">
        <f>E371+P371</f>
        <v>781.73099999999999</v>
      </c>
      <c r="E371" s="495">
        <f>F371+N371+O371</f>
        <v>781.73099999999999</v>
      </c>
      <c r="F371" s="495">
        <f>H371+K371</f>
        <v>781.73099999999999</v>
      </c>
      <c r="G371" s="495">
        <v>6</v>
      </c>
      <c r="H371" s="495">
        <v>781.73099999999999</v>
      </c>
      <c r="I371" s="495"/>
      <c r="J371" s="495"/>
      <c r="K371" s="495">
        <f t="shared" ref="K371:K440" si="227">L371+M371</f>
        <v>0</v>
      </c>
      <c r="L371" s="495"/>
      <c r="M371" s="495"/>
      <c r="N371" s="495"/>
      <c r="O371" s="495"/>
      <c r="P371" s="495"/>
      <c r="Q371" s="495"/>
      <c r="R371" s="495"/>
      <c r="S371" s="495"/>
      <c r="T371" s="495"/>
      <c r="U371" s="495"/>
      <c r="V371" s="495"/>
      <c r="W371" s="495">
        <f>D371-Q371-R371-S371-U371+(T371+V371)</f>
        <v>781.73099999999999</v>
      </c>
      <c r="X371" s="496"/>
    </row>
    <row r="372" spans="1:24" s="497" customFormat="1" ht="27" customHeight="1">
      <c r="A372" s="491" t="s">
        <v>255</v>
      </c>
      <c r="B372" s="498" t="s">
        <v>597</v>
      </c>
      <c r="C372" s="493"/>
      <c r="D372" s="494">
        <f>E372+P372</f>
        <v>187.20000000000002</v>
      </c>
      <c r="E372" s="495">
        <f>F372+N372+O372</f>
        <v>187.20000000000002</v>
      </c>
      <c r="F372" s="495">
        <f>H372+K372</f>
        <v>187.20000000000002</v>
      </c>
      <c r="G372" s="495"/>
      <c r="H372" s="495">
        <f>I372+J372</f>
        <v>0</v>
      </c>
      <c r="I372" s="495"/>
      <c r="J372" s="495"/>
      <c r="K372" s="495">
        <f t="shared" si="227"/>
        <v>187.20000000000002</v>
      </c>
      <c r="L372" s="495">
        <f>8*18*1.3</f>
        <v>187.20000000000002</v>
      </c>
      <c r="M372" s="495"/>
      <c r="N372" s="495">
        <v>0</v>
      </c>
      <c r="O372" s="495">
        <v>0</v>
      </c>
      <c r="P372" s="495">
        <v>0</v>
      </c>
      <c r="Q372" s="495"/>
      <c r="R372" s="495">
        <v>18.7</v>
      </c>
      <c r="S372" s="495"/>
      <c r="T372" s="495"/>
      <c r="U372" s="495">
        <v>23</v>
      </c>
      <c r="V372" s="495"/>
      <c r="W372" s="495">
        <f>D372-Q372-R372-S372-U372+(T372+V372)</f>
        <v>145.50000000000003</v>
      </c>
      <c r="X372" s="496"/>
    </row>
    <row r="373" spans="1:24" s="497" customFormat="1" ht="17.25" customHeight="1">
      <c r="A373" s="491" t="s">
        <v>255</v>
      </c>
      <c r="B373" s="498" t="s">
        <v>448</v>
      </c>
      <c r="C373" s="493"/>
      <c r="D373" s="494">
        <f>E373+P373</f>
        <v>5.36</v>
      </c>
      <c r="E373" s="495">
        <f>F373+N373+O373</f>
        <v>5.36</v>
      </c>
      <c r="F373" s="495">
        <f>H373+K373</f>
        <v>5.36</v>
      </c>
      <c r="G373" s="495"/>
      <c r="H373" s="495">
        <v>5.36</v>
      </c>
      <c r="I373" s="495"/>
      <c r="J373" s="495"/>
      <c r="K373" s="495">
        <f t="shared" si="227"/>
        <v>0</v>
      </c>
      <c r="L373" s="495"/>
      <c r="M373" s="495"/>
      <c r="N373" s="495"/>
      <c r="O373" s="495"/>
      <c r="P373" s="495"/>
      <c r="Q373" s="495"/>
      <c r="R373" s="495"/>
      <c r="S373" s="495"/>
      <c r="T373" s="495"/>
      <c r="U373" s="495"/>
      <c r="V373" s="495"/>
      <c r="W373" s="495">
        <f>D373-Q373-R373-S373-U373+(T373+V373)</f>
        <v>5.36</v>
      </c>
      <c r="X373" s="496"/>
    </row>
    <row r="374" spans="1:24" s="497" customFormat="1" ht="31.5" customHeight="1">
      <c r="A374" s="491" t="s">
        <v>255</v>
      </c>
      <c r="B374" s="498" t="s">
        <v>398</v>
      </c>
      <c r="C374" s="493"/>
      <c r="D374" s="494">
        <f>E374+P374</f>
        <v>9</v>
      </c>
      <c r="E374" s="495">
        <f>F374+N374+O374</f>
        <v>9</v>
      </c>
      <c r="F374" s="495">
        <f>H374+K374</f>
        <v>9</v>
      </c>
      <c r="G374" s="495"/>
      <c r="H374" s="495">
        <f>I374+J374</f>
        <v>0</v>
      </c>
      <c r="I374" s="495"/>
      <c r="J374" s="495"/>
      <c r="K374" s="495">
        <f t="shared" si="227"/>
        <v>9</v>
      </c>
      <c r="L374" s="495">
        <v>9</v>
      </c>
      <c r="M374" s="495"/>
      <c r="N374" s="495"/>
      <c r="O374" s="495"/>
      <c r="P374" s="495"/>
      <c r="Q374" s="495"/>
      <c r="R374" s="495"/>
      <c r="S374" s="495"/>
      <c r="T374" s="495"/>
      <c r="U374" s="495"/>
      <c r="V374" s="495"/>
      <c r="W374" s="495">
        <f>D374-Q374-R374-S374-U374+(T374+V374)</f>
        <v>9</v>
      </c>
      <c r="X374" s="496"/>
    </row>
    <row r="375" spans="1:24" s="497" customFormat="1" ht="24" customHeight="1">
      <c r="A375" s="491" t="s">
        <v>255</v>
      </c>
      <c r="B375" s="498" t="s">
        <v>988</v>
      </c>
      <c r="C375" s="493"/>
      <c r="D375" s="494"/>
      <c r="E375" s="495"/>
      <c r="F375" s="495"/>
      <c r="G375" s="495"/>
      <c r="H375" s="495"/>
      <c r="I375" s="495"/>
      <c r="J375" s="495"/>
      <c r="K375" s="495"/>
      <c r="L375" s="495"/>
      <c r="M375" s="495"/>
      <c r="N375" s="495"/>
      <c r="O375" s="495"/>
      <c r="P375" s="495"/>
      <c r="Q375" s="495"/>
      <c r="R375" s="495"/>
      <c r="S375" s="495"/>
      <c r="T375" s="495"/>
      <c r="U375" s="495"/>
      <c r="V375" s="495"/>
      <c r="W375" s="495">
        <f>D375-Q375-R375-S375-U375+(T375+V375)</f>
        <v>0</v>
      </c>
      <c r="X375" s="496"/>
    </row>
    <row r="376" spans="1:24" s="497" customFormat="1" ht="17.25" customHeight="1">
      <c r="A376" s="491" t="s">
        <v>449</v>
      </c>
      <c r="B376" s="498" t="s">
        <v>374</v>
      </c>
      <c r="C376" s="493"/>
      <c r="D376" s="494">
        <f t="shared" ref="D376:I376" si="228">SUM(D377:D378)</f>
        <v>220</v>
      </c>
      <c r="E376" s="495">
        <f t="shared" si="228"/>
        <v>220</v>
      </c>
      <c r="F376" s="495">
        <f t="shared" si="228"/>
        <v>220</v>
      </c>
      <c r="G376" s="495">
        <f t="shared" si="228"/>
        <v>0</v>
      </c>
      <c r="H376" s="495">
        <f t="shared" si="228"/>
        <v>0</v>
      </c>
      <c r="I376" s="495">
        <f t="shared" si="228"/>
        <v>0</v>
      </c>
      <c r="J376" s="495"/>
      <c r="K376" s="495">
        <f t="shared" ref="K376:W376" si="229">SUM(K377:K378)</f>
        <v>220</v>
      </c>
      <c r="L376" s="495">
        <f t="shared" si="229"/>
        <v>0</v>
      </c>
      <c r="M376" s="495">
        <f t="shared" si="229"/>
        <v>220</v>
      </c>
      <c r="N376" s="495">
        <f t="shared" si="229"/>
        <v>0</v>
      </c>
      <c r="O376" s="495">
        <f t="shared" si="229"/>
        <v>0</v>
      </c>
      <c r="P376" s="495">
        <f t="shared" si="229"/>
        <v>0</v>
      </c>
      <c r="Q376" s="495">
        <f t="shared" si="229"/>
        <v>0</v>
      </c>
      <c r="R376" s="495">
        <f t="shared" si="229"/>
        <v>22</v>
      </c>
      <c r="S376" s="495">
        <f t="shared" si="229"/>
        <v>0</v>
      </c>
      <c r="T376" s="495">
        <f t="shared" si="229"/>
        <v>0</v>
      </c>
      <c r="U376" s="495">
        <f t="shared" si="229"/>
        <v>0</v>
      </c>
      <c r="V376" s="495">
        <f t="shared" si="229"/>
        <v>0</v>
      </c>
      <c r="W376" s="495">
        <f t="shared" si="229"/>
        <v>198</v>
      </c>
      <c r="X376" s="496"/>
    </row>
    <row r="377" spans="1:24" s="497" customFormat="1" ht="36.75" customHeight="1">
      <c r="A377" s="499" t="s">
        <v>255</v>
      </c>
      <c r="B377" s="498" t="s">
        <v>608</v>
      </c>
      <c r="C377" s="493"/>
      <c r="D377" s="494">
        <f>E377+P377</f>
        <v>200</v>
      </c>
      <c r="E377" s="495">
        <f>F377+N377+O377</f>
        <v>200</v>
      </c>
      <c r="F377" s="495">
        <f>H377+K377</f>
        <v>200</v>
      </c>
      <c r="G377" s="495"/>
      <c r="H377" s="495">
        <f>I377+J377</f>
        <v>0</v>
      </c>
      <c r="I377" s="495"/>
      <c r="J377" s="495"/>
      <c r="K377" s="495">
        <f>L377+M377</f>
        <v>200</v>
      </c>
      <c r="L377" s="495"/>
      <c r="M377" s="495">
        <v>200</v>
      </c>
      <c r="N377" s="495"/>
      <c r="O377" s="495"/>
      <c r="P377" s="495"/>
      <c r="Q377" s="495"/>
      <c r="R377" s="495">
        <f>D377*0.1</f>
        <v>20</v>
      </c>
      <c r="S377" s="495"/>
      <c r="T377" s="495"/>
      <c r="U377" s="495"/>
      <c r="V377" s="495"/>
      <c r="W377" s="495">
        <f>D377-Q377-R377-S377-U377+(T377+V377)</f>
        <v>180</v>
      </c>
      <c r="X377" s="496"/>
    </row>
    <row r="378" spans="1:24" s="497" customFormat="1" ht="32.25" customHeight="1">
      <c r="A378" s="499" t="s">
        <v>255</v>
      </c>
      <c r="B378" s="498" t="s">
        <v>779</v>
      </c>
      <c r="C378" s="493"/>
      <c r="D378" s="494">
        <f>E378+P378</f>
        <v>20</v>
      </c>
      <c r="E378" s="495">
        <f>F378+N378+O378</f>
        <v>20</v>
      </c>
      <c r="F378" s="495">
        <f>H378+K378</f>
        <v>20</v>
      </c>
      <c r="G378" s="495"/>
      <c r="H378" s="495">
        <f>I378+J378</f>
        <v>0</v>
      </c>
      <c r="I378" s="495"/>
      <c r="J378" s="495"/>
      <c r="K378" s="495">
        <f>L378+M378</f>
        <v>20</v>
      </c>
      <c r="L378" s="495"/>
      <c r="M378" s="495">
        <v>20</v>
      </c>
      <c r="N378" s="495"/>
      <c r="O378" s="495"/>
      <c r="P378" s="495"/>
      <c r="Q378" s="495"/>
      <c r="R378" s="495">
        <f>D378*0.1</f>
        <v>2</v>
      </c>
      <c r="S378" s="495"/>
      <c r="T378" s="495"/>
      <c r="U378" s="495"/>
      <c r="V378" s="495"/>
      <c r="W378" s="495">
        <f>D378-Q378-R378-S378-U378+(T378+V378)</f>
        <v>18</v>
      </c>
      <c r="X378" s="496"/>
    </row>
    <row r="379" spans="1:24" s="497" customFormat="1" ht="32.25" customHeight="1">
      <c r="A379" s="491" t="s">
        <v>220</v>
      </c>
      <c r="B379" s="498" t="s">
        <v>450</v>
      </c>
      <c r="C379" s="493"/>
      <c r="D379" s="494">
        <f>SUM(D380:D385)</f>
        <v>933.72</v>
      </c>
      <c r="E379" s="495">
        <f t="shared" ref="E379:W379" si="230">SUM(E380:E385)</f>
        <v>933.72</v>
      </c>
      <c r="F379" s="495">
        <f t="shared" si="230"/>
        <v>933.72</v>
      </c>
      <c r="G379" s="495">
        <f t="shared" si="230"/>
        <v>5</v>
      </c>
      <c r="H379" s="495">
        <f t="shared" si="230"/>
        <v>672.72</v>
      </c>
      <c r="I379" s="495">
        <f t="shared" si="230"/>
        <v>0</v>
      </c>
      <c r="J379" s="495">
        <f t="shared" si="230"/>
        <v>0</v>
      </c>
      <c r="K379" s="495">
        <f t="shared" si="230"/>
        <v>261</v>
      </c>
      <c r="L379" s="495">
        <f t="shared" si="230"/>
        <v>126</v>
      </c>
      <c r="M379" s="495">
        <f t="shared" si="230"/>
        <v>135</v>
      </c>
      <c r="N379" s="495">
        <f t="shared" si="230"/>
        <v>0</v>
      </c>
      <c r="O379" s="495">
        <f t="shared" si="230"/>
        <v>0</v>
      </c>
      <c r="P379" s="495">
        <f t="shared" si="230"/>
        <v>0</v>
      </c>
      <c r="Q379" s="495">
        <f t="shared" si="230"/>
        <v>0</v>
      </c>
      <c r="R379" s="495">
        <f t="shared" si="230"/>
        <v>25.200000000000003</v>
      </c>
      <c r="S379" s="495">
        <f t="shared" si="230"/>
        <v>0</v>
      </c>
      <c r="T379" s="495">
        <f t="shared" si="230"/>
        <v>0</v>
      </c>
      <c r="U379" s="495">
        <f t="shared" si="230"/>
        <v>83.72</v>
      </c>
      <c r="V379" s="495">
        <f t="shared" si="230"/>
        <v>0</v>
      </c>
      <c r="W379" s="495">
        <f t="shared" si="230"/>
        <v>824.8</v>
      </c>
      <c r="X379" s="496" t="s">
        <v>450</v>
      </c>
    </row>
    <row r="380" spans="1:24" s="497" customFormat="1" ht="17.25" customHeight="1">
      <c r="A380" s="499" t="s">
        <v>255</v>
      </c>
      <c r="B380" s="498" t="s">
        <v>451</v>
      </c>
      <c r="C380" s="493"/>
      <c r="D380" s="494">
        <f t="shared" ref="D380:D385" si="231">E380+P380</f>
        <v>610.14</v>
      </c>
      <c r="E380" s="495">
        <f t="shared" ref="E380:E385" si="232">F380+N380+O380</f>
        <v>610.14</v>
      </c>
      <c r="F380" s="495">
        <f t="shared" ref="F380:F385" si="233">H380+K380</f>
        <v>610.14</v>
      </c>
      <c r="G380" s="495">
        <v>5</v>
      </c>
      <c r="H380" s="495">
        <v>610.14</v>
      </c>
      <c r="I380" s="495"/>
      <c r="J380" s="495"/>
      <c r="K380" s="495">
        <f t="shared" si="227"/>
        <v>0</v>
      </c>
      <c r="L380" s="495"/>
      <c r="M380" s="495">
        <v>0</v>
      </c>
      <c r="N380" s="495"/>
      <c r="O380" s="495"/>
      <c r="P380" s="495"/>
      <c r="Q380" s="495"/>
      <c r="R380" s="495"/>
      <c r="S380" s="495"/>
      <c r="T380" s="495"/>
      <c r="U380" s="495"/>
      <c r="V380" s="495"/>
      <c r="W380" s="495">
        <f t="shared" ref="W380:W385" si="234">D380-Q380-R380-S380-U380+(T380+V380)</f>
        <v>610.14</v>
      </c>
      <c r="X380" s="496"/>
    </row>
    <row r="381" spans="1:24" s="497" customFormat="1" ht="29.25" customHeight="1">
      <c r="A381" s="499" t="s">
        <v>255</v>
      </c>
      <c r="B381" s="498" t="s">
        <v>588</v>
      </c>
      <c r="C381" s="493"/>
      <c r="D381" s="494">
        <f t="shared" si="231"/>
        <v>117</v>
      </c>
      <c r="E381" s="495">
        <f t="shared" si="232"/>
        <v>117</v>
      </c>
      <c r="F381" s="495">
        <f t="shared" si="233"/>
        <v>117</v>
      </c>
      <c r="G381" s="495"/>
      <c r="H381" s="495">
        <f t="shared" ref="H381:H384" si="235">I381+J381</f>
        <v>0</v>
      </c>
      <c r="I381" s="495"/>
      <c r="J381" s="495"/>
      <c r="K381" s="495">
        <f t="shared" si="227"/>
        <v>117</v>
      </c>
      <c r="L381" s="495">
        <f>5*18*1.3</f>
        <v>117</v>
      </c>
      <c r="M381" s="495">
        <v>0</v>
      </c>
      <c r="N381" s="495">
        <v>0</v>
      </c>
      <c r="O381" s="495">
        <v>0</v>
      </c>
      <c r="P381" s="495">
        <v>0</v>
      </c>
      <c r="Q381" s="495"/>
      <c r="R381" s="495">
        <f>D381*0.1</f>
        <v>11.700000000000001</v>
      </c>
      <c r="S381" s="495"/>
      <c r="T381" s="495"/>
      <c r="U381" s="495"/>
      <c r="V381" s="495"/>
      <c r="W381" s="495">
        <f t="shared" si="234"/>
        <v>105.3</v>
      </c>
      <c r="X381" s="496"/>
    </row>
    <row r="382" spans="1:24" s="497" customFormat="1" ht="21">
      <c r="A382" s="499" t="s">
        <v>255</v>
      </c>
      <c r="B382" s="498" t="s">
        <v>452</v>
      </c>
      <c r="C382" s="493"/>
      <c r="D382" s="494">
        <f t="shared" si="231"/>
        <v>5.36</v>
      </c>
      <c r="E382" s="495">
        <f t="shared" si="232"/>
        <v>5.36</v>
      </c>
      <c r="F382" s="495">
        <f t="shared" si="233"/>
        <v>5.36</v>
      </c>
      <c r="G382" s="495"/>
      <c r="H382" s="495">
        <v>5.36</v>
      </c>
      <c r="I382" s="495"/>
      <c r="J382" s="495"/>
      <c r="K382" s="495">
        <f t="shared" si="227"/>
        <v>0</v>
      </c>
      <c r="L382" s="495"/>
      <c r="M382" s="495">
        <v>0</v>
      </c>
      <c r="N382" s="495"/>
      <c r="O382" s="495"/>
      <c r="P382" s="495"/>
      <c r="Q382" s="495"/>
      <c r="R382" s="495"/>
      <c r="S382" s="495"/>
      <c r="T382" s="495"/>
      <c r="U382" s="495"/>
      <c r="V382" s="495"/>
      <c r="W382" s="495">
        <f t="shared" si="234"/>
        <v>5.36</v>
      </c>
      <c r="X382" s="496"/>
    </row>
    <row r="383" spans="1:24" s="497" customFormat="1" ht="36" customHeight="1">
      <c r="A383" s="499" t="s">
        <v>255</v>
      </c>
      <c r="B383" s="498" t="s">
        <v>287</v>
      </c>
      <c r="C383" s="493"/>
      <c r="D383" s="494">
        <f t="shared" si="231"/>
        <v>9</v>
      </c>
      <c r="E383" s="495">
        <f t="shared" si="232"/>
        <v>9</v>
      </c>
      <c r="F383" s="495">
        <f t="shared" si="233"/>
        <v>9</v>
      </c>
      <c r="G383" s="495"/>
      <c r="H383" s="495">
        <f t="shared" si="235"/>
        <v>0</v>
      </c>
      <c r="I383" s="495"/>
      <c r="J383" s="495"/>
      <c r="K383" s="495">
        <f t="shared" si="227"/>
        <v>9</v>
      </c>
      <c r="L383" s="495">
        <v>9</v>
      </c>
      <c r="M383" s="495">
        <v>0</v>
      </c>
      <c r="N383" s="495"/>
      <c r="O383" s="495"/>
      <c r="P383" s="495"/>
      <c r="Q383" s="495"/>
      <c r="R383" s="495"/>
      <c r="S383" s="495"/>
      <c r="T383" s="495"/>
      <c r="U383" s="495"/>
      <c r="V383" s="495"/>
      <c r="W383" s="495">
        <f t="shared" si="234"/>
        <v>9</v>
      </c>
      <c r="X383" s="496"/>
    </row>
    <row r="384" spans="1:24" s="497" customFormat="1" ht="17.25" customHeight="1">
      <c r="A384" s="499" t="s">
        <v>255</v>
      </c>
      <c r="B384" s="498" t="s">
        <v>780</v>
      </c>
      <c r="C384" s="493"/>
      <c r="D384" s="494">
        <f t="shared" si="231"/>
        <v>50</v>
      </c>
      <c r="E384" s="495">
        <f t="shared" si="232"/>
        <v>50</v>
      </c>
      <c r="F384" s="495">
        <f t="shared" si="233"/>
        <v>50</v>
      </c>
      <c r="G384" s="495"/>
      <c r="H384" s="495">
        <f t="shared" si="235"/>
        <v>0</v>
      </c>
      <c r="I384" s="495"/>
      <c r="J384" s="495"/>
      <c r="K384" s="495">
        <f>L384+M384</f>
        <v>50</v>
      </c>
      <c r="L384" s="495"/>
      <c r="M384" s="495">
        <v>50</v>
      </c>
      <c r="N384" s="495"/>
      <c r="O384" s="495"/>
      <c r="P384" s="495"/>
      <c r="Q384" s="495"/>
      <c r="R384" s="495">
        <f>D384*0.1</f>
        <v>5</v>
      </c>
      <c r="S384" s="495"/>
      <c r="T384" s="495"/>
      <c r="U384" s="495"/>
      <c r="V384" s="495"/>
      <c r="W384" s="495">
        <f t="shared" si="234"/>
        <v>45</v>
      </c>
      <c r="X384" s="496"/>
    </row>
    <row r="385" spans="1:24" s="497" customFormat="1" ht="24.75" customHeight="1">
      <c r="A385" s="499" t="s">
        <v>255</v>
      </c>
      <c r="B385" s="498" t="s">
        <v>689</v>
      </c>
      <c r="C385" s="493"/>
      <c r="D385" s="494">
        <f t="shared" si="231"/>
        <v>142.22</v>
      </c>
      <c r="E385" s="495">
        <f t="shared" si="232"/>
        <v>142.22</v>
      </c>
      <c r="F385" s="495">
        <f t="shared" si="233"/>
        <v>142.22</v>
      </c>
      <c r="G385" s="495"/>
      <c r="H385" s="495">
        <v>57.22</v>
      </c>
      <c r="I385" s="495"/>
      <c r="J385" s="495"/>
      <c r="K385" s="495">
        <f>L385+M385</f>
        <v>85</v>
      </c>
      <c r="L385" s="495"/>
      <c r="M385" s="495">
        <v>85</v>
      </c>
      <c r="N385" s="495"/>
      <c r="O385" s="495"/>
      <c r="P385" s="495"/>
      <c r="Q385" s="495"/>
      <c r="R385" s="495">
        <v>8.5</v>
      </c>
      <c r="S385" s="495"/>
      <c r="T385" s="495"/>
      <c r="U385" s="495">
        <v>83.72</v>
      </c>
      <c r="V385" s="495"/>
      <c r="W385" s="495">
        <f t="shared" si="234"/>
        <v>50</v>
      </c>
      <c r="X385" s="498" t="s">
        <v>781</v>
      </c>
    </row>
    <row r="386" spans="1:24" s="497" customFormat="1" ht="27" customHeight="1">
      <c r="A386" s="491" t="s">
        <v>224</v>
      </c>
      <c r="B386" s="498" t="s">
        <v>454</v>
      </c>
      <c r="C386" s="493"/>
      <c r="D386" s="494">
        <f>SUM(D387:D394)</f>
        <v>966.92</v>
      </c>
      <c r="E386" s="495">
        <f t="shared" ref="E386:W386" si="236">SUM(E387:E394)</f>
        <v>966.92</v>
      </c>
      <c r="F386" s="495">
        <f t="shared" si="236"/>
        <v>966.92</v>
      </c>
      <c r="G386" s="495">
        <f t="shared" si="236"/>
        <v>6</v>
      </c>
      <c r="H386" s="495">
        <f t="shared" si="236"/>
        <v>747.52</v>
      </c>
      <c r="I386" s="495">
        <f t="shared" si="236"/>
        <v>0</v>
      </c>
      <c r="J386" s="495">
        <f t="shared" si="236"/>
        <v>0</v>
      </c>
      <c r="K386" s="495">
        <f t="shared" si="236"/>
        <v>219.4</v>
      </c>
      <c r="L386" s="495">
        <f t="shared" si="236"/>
        <v>189.4</v>
      </c>
      <c r="M386" s="495">
        <f t="shared" si="236"/>
        <v>30</v>
      </c>
      <c r="N386" s="495">
        <f t="shared" si="236"/>
        <v>0</v>
      </c>
      <c r="O386" s="495">
        <f t="shared" si="236"/>
        <v>0</v>
      </c>
      <c r="P386" s="495">
        <f t="shared" si="236"/>
        <v>0</v>
      </c>
      <c r="Q386" s="495">
        <f t="shared" si="236"/>
        <v>0</v>
      </c>
      <c r="R386" s="495">
        <f t="shared" si="236"/>
        <v>21</v>
      </c>
      <c r="S386" s="495">
        <f t="shared" si="236"/>
        <v>0</v>
      </c>
      <c r="T386" s="495">
        <f t="shared" si="236"/>
        <v>13.78</v>
      </c>
      <c r="U386" s="495">
        <f t="shared" si="236"/>
        <v>20.36</v>
      </c>
      <c r="V386" s="495">
        <f t="shared" si="236"/>
        <v>3.8</v>
      </c>
      <c r="W386" s="495">
        <f t="shared" si="236"/>
        <v>943.13999999999987</v>
      </c>
      <c r="X386" s="496" t="s">
        <v>455</v>
      </c>
    </row>
    <row r="387" spans="1:24" s="497" customFormat="1" ht="17.25" customHeight="1">
      <c r="A387" s="499" t="s">
        <v>255</v>
      </c>
      <c r="B387" s="498" t="s">
        <v>456</v>
      </c>
      <c r="C387" s="493"/>
      <c r="D387" s="494">
        <f>E387+P387</f>
        <v>742.16</v>
      </c>
      <c r="E387" s="495">
        <f t="shared" ref="E387:E394" si="237">F387+N387+O387</f>
        <v>742.16</v>
      </c>
      <c r="F387" s="495">
        <f t="shared" ref="F387:F394" si="238">H387+K387</f>
        <v>742.16</v>
      </c>
      <c r="G387" s="495">
        <v>6</v>
      </c>
      <c r="H387" s="495">
        <v>742.16</v>
      </c>
      <c r="I387" s="495"/>
      <c r="J387" s="495"/>
      <c r="K387" s="495">
        <f t="shared" si="227"/>
        <v>0</v>
      </c>
      <c r="L387" s="495"/>
      <c r="M387" s="495"/>
      <c r="N387" s="495"/>
      <c r="O387" s="495"/>
      <c r="P387" s="495"/>
      <c r="Q387" s="495"/>
      <c r="R387" s="495"/>
      <c r="S387" s="495"/>
      <c r="T387" s="494">
        <v>13.78</v>
      </c>
      <c r="U387" s="495">
        <v>15</v>
      </c>
      <c r="V387" s="495"/>
      <c r="W387" s="495">
        <f t="shared" ref="W387:W394" si="239">D387-Q387-R387-S387-U387+(T387+V387)</f>
        <v>740.93999999999994</v>
      </c>
      <c r="X387" s="496"/>
    </row>
    <row r="388" spans="1:24" s="497" customFormat="1" ht="27" customHeight="1">
      <c r="A388" s="499" t="s">
        <v>255</v>
      </c>
      <c r="B388" s="498" t="s">
        <v>598</v>
      </c>
      <c r="C388" s="493"/>
      <c r="D388" s="494">
        <f>E388</f>
        <v>140.4</v>
      </c>
      <c r="E388" s="495">
        <f t="shared" si="237"/>
        <v>140.4</v>
      </c>
      <c r="F388" s="495">
        <f t="shared" si="238"/>
        <v>140.4</v>
      </c>
      <c r="G388" s="495"/>
      <c r="H388" s="495">
        <f>I388+J388</f>
        <v>0</v>
      </c>
      <c r="I388" s="495"/>
      <c r="J388" s="495"/>
      <c r="K388" s="495">
        <f t="shared" si="227"/>
        <v>140.4</v>
      </c>
      <c r="L388" s="495">
        <f>6*18*1.3</f>
        <v>140.4</v>
      </c>
      <c r="M388" s="495"/>
      <c r="N388" s="495">
        <v>0</v>
      </c>
      <c r="O388" s="495">
        <v>0</v>
      </c>
      <c r="P388" s="495">
        <v>0</v>
      </c>
      <c r="Q388" s="495"/>
      <c r="R388" s="495">
        <v>14</v>
      </c>
      <c r="S388" s="495"/>
      <c r="T388" s="495"/>
      <c r="U388" s="495"/>
      <c r="V388" s="495"/>
      <c r="W388" s="495">
        <f t="shared" si="239"/>
        <v>126.4</v>
      </c>
      <c r="X388" s="496"/>
    </row>
    <row r="389" spans="1:24" s="497" customFormat="1" ht="21">
      <c r="A389" s="499" t="s">
        <v>255</v>
      </c>
      <c r="B389" s="498" t="s">
        <v>452</v>
      </c>
      <c r="C389" s="493"/>
      <c r="D389" s="494">
        <f t="shared" ref="D389:D394" si="240">E389+P389</f>
        <v>5.36</v>
      </c>
      <c r="E389" s="495">
        <f t="shared" si="237"/>
        <v>5.36</v>
      </c>
      <c r="F389" s="495">
        <f t="shared" si="238"/>
        <v>5.36</v>
      </c>
      <c r="G389" s="495"/>
      <c r="H389" s="495">
        <v>5.36</v>
      </c>
      <c r="I389" s="495"/>
      <c r="J389" s="495"/>
      <c r="K389" s="495">
        <f t="shared" si="227"/>
        <v>0</v>
      </c>
      <c r="L389" s="495"/>
      <c r="M389" s="495">
        <v>0</v>
      </c>
      <c r="N389" s="495"/>
      <c r="O389" s="495"/>
      <c r="P389" s="495"/>
      <c r="Q389" s="495"/>
      <c r="R389" s="495"/>
      <c r="S389" s="495"/>
      <c r="T389" s="495"/>
      <c r="U389" s="495">
        <v>5.36</v>
      </c>
      <c r="V389" s="495"/>
      <c r="W389" s="495">
        <f t="shared" si="239"/>
        <v>0</v>
      </c>
      <c r="X389" s="496"/>
    </row>
    <row r="390" spans="1:24" s="497" customFormat="1" ht="24.75" customHeight="1">
      <c r="A390" s="499" t="s">
        <v>255</v>
      </c>
      <c r="B390" s="498" t="s">
        <v>287</v>
      </c>
      <c r="C390" s="493"/>
      <c r="D390" s="494">
        <f t="shared" si="240"/>
        <v>9</v>
      </c>
      <c r="E390" s="495">
        <f t="shared" si="237"/>
        <v>9</v>
      </c>
      <c r="F390" s="495">
        <f t="shared" si="238"/>
        <v>9</v>
      </c>
      <c r="G390" s="495"/>
      <c r="H390" s="495">
        <f>I390+J390</f>
        <v>0</v>
      </c>
      <c r="I390" s="495"/>
      <c r="J390" s="495"/>
      <c r="K390" s="495">
        <f t="shared" si="227"/>
        <v>9</v>
      </c>
      <c r="L390" s="495">
        <v>9</v>
      </c>
      <c r="M390" s="495">
        <v>0</v>
      </c>
      <c r="N390" s="495"/>
      <c r="O390" s="495"/>
      <c r="P390" s="495"/>
      <c r="Q390" s="495"/>
      <c r="R390" s="495"/>
      <c r="S390" s="495"/>
      <c r="T390" s="495"/>
      <c r="U390" s="495"/>
      <c r="V390" s="495"/>
      <c r="W390" s="495">
        <f t="shared" si="239"/>
        <v>9</v>
      </c>
      <c r="X390" s="496"/>
    </row>
    <row r="391" spans="1:24" s="497" customFormat="1" ht="21.75" customHeight="1">
      <c r="A391" s="499" t="s">
        <v>255</v>
      </c>
      <c r="B391" s="498" t="s">
        <v>457</v>
      </c>
      <c r="C391" s="493"/>
      <c r="D391" s="494">
        <f t="shared" si="240"/>
        <v>20</v>
      </c>
      <c r="E391" s="495">
        <f t="shared" si="237"/>
        <v>20</v>
      </c>
      <c r="F391" s="495">
        <f t="shared" si="238"/>
        <v>20</v>
      </c>
      <c r="G391" s="495"/>
      <c r="H391" s="495">
        <f t="shared" ref="H391:H445" si="241">I391+J391</f>
        <v>0</v>
      </c>
      <c r="I391" s="495"/>
      <c r="J391" s="495"/>
      <c r="K391" s="495">
        <f t="shared" si="227"/>
        <v>20</v>
      </c>
      <c r="L391" s="495">
        <v>20</v>
      </c>
      <c r="M391" s="495">
        <v>0</v>
      </c>
      <c r="N391" s="495"/>
      <c r="O391" s="495"/>
      <c r="P391" s="495"/>
      <c r="Q391" s="495"/>
      <c r="R391" s="495">
        <f>D391*0.1</f>
        <v>2</v>
      </c>
      <c r="S391" s="495"/>
      <c r="T391" s="495"/>
      <c r="U391" s="495"/>
      <c r="V391" s="495"/>
      <c r="W391" s="495">
        <f t="shared" si="239"/>
        <v>18</v>
      </c>
      <c r="X391" s="496"/>
    </row>
    <row r="392" spans="1:24" s="501" customFormat="1" ht="42" customHeight="1">
      <c r="A392" s="499" t="s">
        <v>255</v>
      </c>
      <c r="B392" s="498" t="s">
        <v>1018</v>
      </c>
      <c r="C392" s="493"/>
      <c r="D392" s="494">
        <f t="shared" si="240"/>
        <v>20</v>
      </c>
      <c r="E392" s="495">
        <f t="shared" si="237"/>
        <v>20</v>
      </c>
      <c r="F392" s="495">
        <f t="shared" si="238"/>
        <v>20</v>
      </c>
      <c r="G392" s="495"/>
      <c r="H392" s="495">
        <f t="shared" si="241"/>
        <v>0</v>
      </c>
      <c r="I392" s="495"/>
      <c r="J392" s="495"/>
      <c r="K392" s="495">
        <f t="shared" si="227"/>
        <v>20</v>
      </c>
      <c r="L392" s="495">
        <v>20</v>
      </c>
      <c r="M392" s="495"/>
      <c r="N392" s="495"/>
      <c r="O392" s="495"/>
      <c r="P392" s="495"/>
      <c r="Q392" s="495"/>
      <c r="R392" s="495">
        <f>D392*0.1</f>
        <v>2</v>
      </c>
      <c r="S392" s="495"/>
      <c r="T392" s="495"/>
      <c r="U392" s="495"/>
      <c r="V392" s="495"/>
      <c r="W392" s="495">
        <f t="shared" si="239"/>
        <v>18</v>
      </c>
      <c r="X392" s="496"/>
    </row>
    <row r="393" spans="1:24" s="501" customFormat="1" ht="37.5" customHeight="1">
      <c r="A393" s="499" t="s">
        <v>255</v>
      </c>
      <c r="B393" s="289" t="s">
        <v>1019</v>
      </c>
      <c r="C393" s="493"/>
      <c r="D393" s="494">
        <f t="shared" si="240"/>
        <v>30</v>
      </c>
      <c r="E393" s="495">
        <f t="shared" si="237"/>
        <v>30</v>
      </c>
      <c r="F393" s="495">
        <f t="shared" si="238"/>
        <v>30</v>
      </c>
      <c r="G393" s="495"/>
      <c r="H393" s="495">
        <f t="shared" si="241"/>
        <v>0</v>
      </c>
      <c r="I393" s="495"/>
      <c r="J393" s="495"/>
      <c r="K393" s="495">
        <f>L393+M393</f>
        <v>30</v>
      </c>
      <c r="L393" s="495"/>
      <c r="M393" s="495">
        <v>30</v>
      </c>
      <c r="N393" s="495"/>
      <c r="O393" s="495"/>
      <c r="P393" s="495"/>
      <c r="Q393" s="495"/>
      <c r="R393" s="495">
        <f>D393*0.1</f>
        <v>3</v>
      </c>
      <c r="S393" s="495"/>
      <c r="T393" s="495"/>
      <c r="U393" s="495"/>
      <c r="V393" s="495"/>
      <c r="W393" s="495">
        <f t="shared" si="239"/>
        <v>27</v>
      </c>
      <c r="X393" s="496"/>
    </row>
    <row r="394" spans="1:24" s="501" customFormat="1" ht="38.25" customHeight="1">
      <c r="A394" s="499" t="s">
        <v>255</v>
      </c>
      <c r="B394" s="289" t="s">
        <v>1020</v>
      </c>
      <c r="C394" s="493"/>
      <c r="D394" s="494">
        <f t="shared" si="240"/>
        <v>0</v>
      </c>
      <c r="E394" s="495">
        <f t="shared" si="237"/>
        <v>0</v>
      </c>
      <c r="F394" s="495">
        <f t="shared" si="238"/>
        <v>0</v>
      </c>
      <c r="G394" s="495"/>
      <c r="H394" s="495">
        <f t="shared" si="241"/>
        <v>0</v>
      </c>
      <c r="I394" s="495"/>
      <c r="J394" s="495"/>
      <c r="K394" s="495">
        <f>L394+M394</f>
        <v>0</v>
      </c>
      <c r="L394" s="495"/>
      <c r="M394" s="495"/>
      <c r="N394" s="495"/>
      <c r="O394" s="495"/>
      <c r="P394" s="495"/>
      <c r="Q394" s="495"/>
      <c r="R394" s="495"/>
      <c r="S394" s="495"/>
      <c r="T394" s="495"/>
      <c r="U394" s="495"/>
      <c r="V394" s="495">
        <v>3.8</v>
      </c>
      <c r="W394" s="495">
        <f t="shared" si="239"/>
        <v>3.8</v>
      </c>
      <c r="X394" s="496"/>
    </row>
    <row r="395" spans="1:24" s="497" customFormat="1" ht="25.5" customHeight="1">
      <c r="A395" s="491" t="s">
        <v>226</v>
      </c>
      <c r="B395" s="498" t="s">
        <v>458</v>
      </c>
      <c r="C395" s="493"/>
      <c r="D395" s="494">
        <f>SUM(D396:D401)</f>
        <v>582.45802000000003</v>
      </c>
      <c r="E395" s="495">
        <f t="shared" ref="E395:W395" si="242">SUM(E396:E401)</f>
        <v>582.45802000000003</v>
      </c>
      <c r="F395" s="495">
        <f t="shared" si="242"/>
        <v>582.45802000000003</v>
      </c>
      <c r="G395" s="495">
        <f t="shared" si="242"/>
        <v>4</v>
      </c>
      <c r="H395" s="495">
        <f t="shared" si="242"/>
        <v>429.85802000000001</v>
      </c>
      <c r="I395" s="495">
        <f t="shared" si="242"/>
        <v>0</v>
      </c>
      <c r="J395" s="495">
        <f t="shared" si="242"/>
        <v>0</v>
      </c>
      <c r="K395" s="495">
        <f t="shared" si="242"/>
        <v>152.60000000000002</v>
      </c>
      <c r="L395" s="495">
        <f t="shared" si="242"/>
        <v>102.60000000000001</v>
      </c>
      <c r="M395" s="495">
        <f t="shared" si="242"/>
        <v>50</v>
      </c>
      <c r="N395" s="495">
        <f t="shared" si="242"/>
        <v>0</v>
      </c>
      <c r="O395" s="495">
        <f t="shared" si="242"/>
        <v>0</v>
      </c>
      <c r="P395" s="495">
        <f t="shared" si="242"/>
        <v>0</v>
      </c>
      <c r="Q395" s="495">
        <f t="shared" si="242"/>
        <v>0</v>
      </c>
      <c r="R395" s="495">
        <f t="shared" si="242"/>
        <v>14</v>
      </c>
      <c r="S395" s="495">
        <f t="shared" si="242"/>
        <v>0</v>
      </c>
      <c r="T395" s="495">
        <f t="shared" si="242"/>
        <v>0</v>
      </c>
      <c r="U395" s="495">
        <f t="shared" si="242"/>
        <v>50</v>
      </c>
      <c r="V395" s="495">
        <f t="shared" si="242"/>
        <v>0</v>
      </c>
      <c r="W395" s="495">
        <f t="shared" si="242"/>
        <v>518.45802000000003</v>
      </c>
      <c r="X395" s="496" t="s">
        <v>458</v>
      </c>
    </row>
    <row r="396" spans="1:24" s="497" customFormat="1" ht="16.5" customHeight="1">
      <c r="A396" s="499" t="s">
        <v>255</v>
      </c>
      <c r="B396" s="498" t="s">
        <v>607</v>
      </c>
      <c r="C396" s="493"/>
      <c r="D396" s="494">
        <f t="shared" ref="D396:D401" si="243">E396+P396</f>
        <v>424.49802</v>
      </c>
      <c r="E396" s="495">
        <f t="shared" ref="E396:E401" si="244">F396+N396+O396</f>
        <v>424.49802</v>
      </c>
      <c r="F396" s="495">
        <f t="shared" ref="F396:F401" si="245">H396+K396</f>
        <v>424.49802</v>
      </c>
      <c r="G396" s="495">
        <v>4</v>
      </c>
      <c r="H396" s="495">
        <f>429.86202-5.364</f>
        <v>424.49802</v>
      </c>
      <c r="I396" s="495"/>
      <c r="J396" s="495"/>
      <c r="K396" s="495">
        <f t="shared" si="227"/>
        <v>0</v>
      </c>
      <c r="L396" s="495"/>
      <c r="M396" s="495"/>
      <c r="N396" s="495"/>
      <c r="O396" s="495"/>
      <c r="P396" s="495"/>
      <c r="Q396" s="495"/>
      <c r="R396" s="495"/>
      <c r="S396" s="495"/>
      <c r="T396" s="495"/>
      <c r="U396" s="495">
        <v>27</v>
      </c>
      <c r="V396" s="495"/>
      <c r="W396" s="495">
        <f t="shared" ref="W396:W401" si="246">D396-Q396-R396-S396-U396+(T396+V396)</f>
        <v>397.49802</v>
      </c>
      <c r="X396" s="496"/>
    </row>
    <row r="397" spans="1:24" s="497" customFormat="1" ht="28.5" customHeight="1">
      <c r="A397" s="499" t="s">
        <v>255</v>
      </c>
      <c r="B397" s="498" t="s">
        <v>589</v>
      </c>
      <c r="C397" s="493"/>
      <c r="D397" s="494">
        <f t="shared" si="243"/>
        <v>93.600000000000009</v>
      </c>
      <c r="E397" s="495">
        <f t="shared" si="244"/>
        <v>93.600000000000009</v>
      </c>
      <c r="F397" s="495">
        <f t="shared" si="245"/>
        <v>93.600000000000009</v>
      </c>
      <c r="G397" s="495"/>
      <c r="H397" s="495">
        <f t="shared" si="241"/>
        <v>0</v>
      </c>
      <c r="I397" s="495"/>
      <c r="J397" s="495"/>
      <c r="K397" s="495">
        <f t="shared" si="227"/>
        <v>93.600000000000009</v>
      </c>
      <c r="L397" s="495">
        <f>4*18*1.3</f>
        <v>93.600000000000009</v>
      </c>
      <c r="M397" s="495"/>
      <c r="N397" s="495"/>
      <c r="O397" s="495"/>
      <c r="P397" s="495"/>
      <c r="Q397" s="495"/>
      <c r="R397" s="495">
        <v>9</v>
      </c>
      <c r="S397" s="495"/>
      <c r="T397" s="495"/>
      <c r="U397" s="495">
        <v>23</v>
      </c>
      <c r="V397" s="495"/>
      <c r="W397" s="495">
        <f t="shared" si="246"/>
        <v>61.600000000000009</v>
      </c>
      <c r="X397" s="496"/>
    </row>
    <row r="398" spans="1:24" s="497" customFormat="1" ht="21">
      <c r="A398" s="499" t="s">
        <v>255</v>
      </c>
      <c r="B398" s="289" t="s">
        <v>452</v>
      </c>
      <c r="C398" s="493"/>
      <c r="D398" s="494">
        <f t="shared" si="243"/>
        <v>5.36</v>
      </c>
      <c r="E398" s="495">
        <f t="shared" si="244"/>
        <v>5.36</v>
      </c>
      <c r="F398" s="495">
        <f t="shared" si="245"/>
        <v>5.36</v>
      </c>
      <c r="G398" s="495"/>
      <c r="H398" s="495">
        <v>5.36</v>
      </c>
      <c r="I398" s="495"/>
      <c r="J398" s="495"/>
      <c r="K398" s="495">
        <f t="shared" si="227"/>
        <v>0</v>
      </c>
      <c r="L398" s="495"/>
      <c r="M398" s="495"/>
      <c r="N398" s="495"/>
      <c r="O398" s="495"/>
      <c r="P398" s="495"/>
      <c r="Q398" s="495"/>
      <c r="R398" s="495"/>
      <c r="S398" s="495"/>
      <c r="T398" s="495"/>
      <c r="U398" s="495"/>
      <c r="V398" s="495"/>
      <c r="W398" s="495">
        <f t="shared" si="246"/>
        <v>5.36</v>
      </c>
      <c r="X398" s="496"/>
    </row>
    <row r="399" spans="1:24" s="497" customFormat="1" ht="32.25" customHeight="1">
      <c r="A399" s="499" t="s">
        <v>255</v>
      </c>
      <c r="B399" s="498" t="s">
        <v>398</v>
      </c>
      <c r="C399" s="493"/>
      <c r="D399" s="494">
        <f t="shared" si="243"/>
        <v>9</v>
      </c>
      <c r="E399" s="495">
        <f t="shared" si="244"/>
        <v>9</v>
      </c>
      <c r="F399" s="495">
        <f t="shared" si="245"/>
        <v>9</v>
      </c>
      <c r="G399" s="495"/>
      <c r="H399" s="495">
        <f t="shared" si="241"/>
        <v>0</v>
      </c>
      <c r="I399" s="495"/>
      <c r="J399" s="495"/>
      <c r="K399" s="495">
        <f>L399+M399</f>
        <v>9</v>
      </c>
      <c r="L399" s="495">
        <v>9</v>
      </c>
      <c r="M399" s="495"/>
      <c r="N399" s="495"/>
      <c r="O399" s="495"/>
      <c r="P399" s="495"/>
      <c r="Q399" s="495"/>
      <c r="R399" s="495"/>
      <c r="S399" s="495"/>
      <c r="T399" s="495"/>
      <c r="U399" s="495"/>
      <c r="V399" s="495"/>
      <c r="W399" s="495">
        <f t="shared" si="246"/>
        <v>9</v>
      </c>
      <c r="X399" s="496"/>
    </row>
    <row r="400" spans="1:24" s="497" customFormat="1" ht="30" customHeight="1">
      <c r="A400" s="499" t="s">
        <v>255</v>
      </c>
      <c r="B400" s="498" t="s">
        <v>651</v>
      </c>
      <c r="C400" s="493"/>
      <c r="D400" s="494">
        <f t="shared" si="243"/>
        <v>50</v>
      </c>
      <c r="E400" s="495">
        <f t="shared" si="244"/>
        <v>50</v>
      </c>
      <c r="F400" s="495">
        <f t="shared" si="245"/>
        <v>50</v>
      </c>
      <c r="G400" s="495"/>
      <c r="H400" s="495">
        <f t="shared" si="241"/>
        <v>0</v>
      </c>
      <c r="I400" s="495"/>
      <c r="J400" s="495"/>
      <c r="K400" s="495">
        <f>L400+M400</f>
        <v>50</v>
      </c>
      <c r="L400" s="495"/>
      <c r="M400" s="495">
        <v>50</v>
      </c>
      <c r="N400" s="495"/>
      <c r="O400" s="495"/>
      <c r="P400" s="495"/>
      <c r="Q400" s="495"/>
      <c r="R400" s="495">
        <f>D400*0.1</f>
        <v>5</v>
      </c>
      <c r="S400" s="495"/>
      <c r="T400" s="495"/>
      <c r="U400" s="495"/>
      <c r="V400" s="495"/>
      <c r="W400" s="495">
        <f t="shared" si="246"/>
        <v>45</v>
      </c>
      <c r="X400" s="496"/>
    </row>
    <row r="401" spans="1:24" s="497" customFormat="1" ht="16.5" customHeight="1">
      <c r="A401" s="499" t="s">
        <v>255</v>
      </c>
      <c r="B401" s="498" t="s">
        <v>505</v>
      </c>
      <c r="C401" s="493"/>
      <c r="D401" s="494">
        <f t="shared" si="243"/>
        <v>0</v>
      </c>
      <c r="E401" s="495">
        <f t="shared" si="244"/>
        <v>0</v>
      </c>
      <c r="F401" s="495">
        <f t="shared" si="245"/>
        <v>0</v>
      </c>
      <c r="G401" s="495"/>
      <c r="H401" s="495">
        <f>I401+J401</f>
        <v>0</v>
      </c>
      <c r="I401" s="495"/>
      <c r="J401" s="495"/>
      <c r="K401" s="495">
        <f>L401+M401</f>
        <v>0</v>
      </c>
      <c r="L401" s="495"/>
      <c r="M401" s="495"/>
      <c r="N401" s="495"/>
      <c r="O401" s="495"/>
      <c r="P401" s="495"/>
      <c r="Q401" s="495"/>
      <c r="R401" s="495"/>
      <c r="S401" s="495"/>
      <c r="T401" s="495"/>
      <c r="U401" s="495"/>
      <c r="V401" s="495"/>
      <c r="W401" s="495">
        <f t="shared" si="246"/>
        <v>0</v>
      </c>
      <c r="X401" s="496"/>
    </row>
    <row r="402" spans="1:24" s="497" customFormat="1" ht="17.25" customHeight="1">
      <c r="A402" s="491" t="s">
        <v>459</v>
      </c>
      <c r="B402" s="498" t="s">
        <v>460</v>
      </c>
      <c r="C402" s="494">
        <f t="shared" ref="C402:W402" si="247">SUM(C403:C409)</f>
        <v>0</v>
      </c>
      <c r="D402" s="494">
        <f>SUM(D403:D409)</f>
        <v>439.96800000000002</v>
      </c>
      <c r="E402" s="494">
        <f t="shared" si="247"/>
        <v>439.96800000000002</v>
      </c>
      <c r="F402" s="494">
        <f t="shared" si="247"/>
        <v>439.96800000000002</v>
      </c>
      <c r="G402" s="494">
        <f t="shared" si="247"/>
        <v>3</v>
      </c>
      <c r="H402" s="494">
        <f t="shared" si="247"/>
        <v>260.76799999999997</v>
      </c>
      <c r="I402" s="494">
        <f t="shared" si="247"/>
        <v>0</v>
      </c>
      <c r="J402" s="494">
        <f t="shared" si="247"/>
        <v>0</v>
      </c>
      <c r="K402" s="494">
        <f t="shared" si="247"/>
        <v>179.2</v>
      </c>
      <c r="L402" s="494">
        <f t="shared" si="247"/>
        <v>79.2</v>
      </c>
      <c r="M402" s="494">
        <f t="shared" si="247"/>
        <v>100</v>
      </c>
      <c r="N402" s="494">
        <f t="shared" si="247"/>
        <v>0</v>
      </c>
      <c r="O402" s="494">
        <f t="shared" si="247"/>
        <v>0</v>
      </c>
      <c r="P402" s="494">
        <f t="shared" si="247"/>
        <v>0</v>
      </c>
      <c r="Q402" s="494">
        <f t="shared" si="247"/>
        <v>0</v>
      </c>
      <c r="R402" s="494">
        <f t="shared" si="247"/>
        <v>17</v>
      </c>
      <c r="S402" s="494">
        <f t="shared" si="247"/>
        <v>0</v>
      </c>
      <c r="T402" s="494">
        <f t="shared" si="247"/>
        <v>0</v>
      </c>
      <c r="U402" s="494">
        <f t="shared" si="247"/>
        <v>0</v>
      </c>
      <c r="V402" s="494">
        <f t="shared" si="247"/>
        <v>0</v>
      </c>
      <c r="W402" s="494">
        <f t="shared" si="247"/>
        <v>422.96800000000002</v>
      </c>
      <c r="X402" s="496" t="s">
        <v>460</v>
      </c>
    </row>
    <row r="403" spans="1:24" s="497" customFormat="1" ht="16.5" customHeight="1">
      <c r="A403" s="499" t="s">
        <v>255</v>
      </c>
      <c r="B403" s="498" t="s">
        <v>461</v>
      </c>
      <c r="C403" s="493"/>
      <c r="D403" s="494">
        <f t="shared" ref="D403:D409" si="248">E403+P403</f>
        <v>255.40799999999999</v>
      </c>
      <c r="E403" s="495">
        <f t="shared" ref="E403:E409" si="249">F403+N403+O403</f>
        <v>255.40799999999999</v>
      </c>
      <c r="F403" s="495">
        <f t="shared" ref="F403:F409" si="250">H403+K403</f>
        <v>255.40799999999999</v>
      </c>
      <c r="G403" s="495">
        <v>3</v>
      </c>
      <c r="H403" s="495">
        <f>260.772-5.364</f>
        <v>255.40799999999999</v>
      </c>
      <c r="I403" s="495"/>
      <c r="J403" s="495"/>
      <c r="K403" s="495">
        <f t="shared" si="227"/>
        <v>0</v>
      </c>
      <c r="L403" s="495"/>
      <c r="M403" s="495"/>
      <c r="N403" s="495"/>
      <c r="O403" s="495"/>
      <c r="P403" s="495"/>
      <c r="Q403" s="495"/>
      <c r="R403" s="495"/>
      <c r="S403" s="495"/>
      <c r="T403" s="495"/>
      <c r="U403" s="495"/>
      <c r="V403" s="495"/>
      <c r="W403" s="495">
        <f t="shared" ref="W403:W409" si="251">D403-Q403-R403-S403-U403+(T403+V403)</f>
        <v>255.40799999999999</v>
      </c>
      <c r="X403" s="496"/>
    </row>
    <row r="404" spans="1:24" s="497" customFormat="1" ht="27" customHeight="1">
      <c r="A404" s="499" t="s">
        <v>255</v>
      </c>
      <c r="B404" s="498" t="s">
        <v>590</v>
      </c>
      <c r="C404" s="493"/>
      <c r="D404" s="494">
        <f t="shared" si="248"/>
        <v>70.2</v>
      </c>
      <c r="E404" s="495">
        <f t="shared" si="249"/>
        <v>70.2</v>
      </c>
      <c r="F404" s="495">
        <f t="shared" si="250"/>
        <v>70.2</v>
      </c>
      <c r="G404" s="495"/>
      <c r="H404" s="495">
        <f t="shared" si="241"/>
        <v>0</v>
      </c>
      <c r="I404" s="495"/>
      <c r="J404" s="495"/>
      <c r="K404" s="495">
        <f t="shared" si="227"/>
        <v>70.2</v>
      </c>
      <c r="L404" s="495">
        <f>3*18*1.3</f>
        <v>70.2</v>
      </c>
      <c r="M404" s="495"/>
      <c r="N404" s="495"/>
      <c r="O404" s="495"/>
      <c r="P404" s="495"/>
      <c r="Q404" s="495"/>
      <c r="R404" s="495">
        <v>7</v>
      </c>
      <c r="S404" s="495"/>
      <c r="T404" s="495"/>
      <c r="U404" s="495"/>
      <c r="V404" s="495"/>
      <c r="W404" s="495">
        <f t="shared" si="251"/>
        <v>63.2</v>
      </c>
      <c r="X404" s="496"/>
    </row>
    <row r="405" spans="1:24" s="497" customFormat="1" ht="21">
      <c r="A405" s="499" t="s">
        <v>255</v>
      </c>
      <c r="B405" s="498" t="s">
        <v>452</v>
      </c>
      <c r="C405" s="493"/>
      <c r="D405" s="494">
        <f t="shared" si="248"/>
        <v>5.36</v>
      </c>
      <c r="E405" s="495">
        <f t="shared" si="249"/>
        <v>5.36</v>
      </c>
      <c r="F405" s="495">
        <f t="shared" si="250"/>
        <v>5.36</v>
      </c>
      <c r="G405" s="495"/>
      <c r="H405" s="495">
        <v>5.36</v>
      </c>
      <c r="I405" s="495"/>
      <c r="J405" s="495"/>
      <c r="K405" s="495">
        <f t="shared" si="227"/>
        <v>0</v>
      </c>
      <c r="L405" s="495"/>
      <c r="M405" s="495"/>
      <c r="N405" s="495"/>
      <c r="O405" s="495"/>
      <c r="P405" s="495"/>
      <c r="Q405" s="495"/>
      <c r="R405" s="495"/>
      <c r="S405" s="495"/>
      <c r="T405" s="495"/>
      <c r="U405" s="495"/>
      <c r="V405" s="495"/>
      <c r="W405" s="495">
        <f t="shared" si="251"/>
        <v>5.36</v>
      </c>
      <c r="X405" s="496"/>
    </row>
    <row r="406" spans="1:24" s="497" customFormat="1" ht="30" customHeight="1">
      <c r="A406" s="499" t="s">
        <v>255</v>
      </c>
      <c r="B406" s="498" t="s">
        <v>287</v>
      </c>
      <c r="C406" s="493"/>
      <c r="D406" s="494">
        <f t="shared" si="248"/>
        <v>9</v>
      </c>
      <c r="E406" s="495">
        <f t="shared" si="249"/>
        <v>9</v>
      </c>
      <c r="F406" s="495">
        <f t="shared" si="250"/>
        <v>9</v>
      </c>
      <c r="G406" s="495"/>
      <c r="H406" s="495">
        <f t="shared" si="241"/>
        <v>0</v>
      </c>
      <c r="I406" s="495"/>
      <c r="J406" s="495"/>
      <c r="K406" s="495">
        <f t="shared" si="227"/>
        <v>9</v>
      </c>
      <c r="L406" s="495">
        <v>9</v>
      </c>
      <c r="M406" s="495"/>
      <c r="N406" s="495"/>
      <c r="O406" s="495"/>
      <c r="P406" s="495"/>
      <c r="Q406" s="495"/>
      <c r="R406" s="495"/>
      <c r="S406" s="495"/>
      <c r="T406" s="495"/>
      <c r="U406" s="495"/>
      <c r="V406" s="495"/>
      <c r="W406" s="495">
        <f t="shared" si="251"/>
        <v>9</v>
      </c>
      <c r="X406" s="496"/>
    </row>
    <row r="407" spans="1:24" s="497" customFormat="1" ht="29.25" customHeight="1">
      <c r="A407" s="499" t="s">
        <v>255</v>
      </c>
      <c r="B407" s="498" t="s">
        <v>462</v>
      </c>
      <c r="C407" s="493"/>
      <c r="D407" s="494">
        <f t="shared" si="248"/>
        <v>100</v>
      </c>
      <c r="E407" s="495">
        <f t="shared" si="249"/>
        <v>100</v>
      </c>
      <c r="F407" s="495">
        <f t="shared" si="250"/>
        <v>100</v>
      </c>
      <c r="G407" s="495"/>
      <c r="H407" s="495">
        <f t="shared" si="241"/>
        <v>0</v>
      </c>
      <c r="I407" s="495"/>
      <c r="J407" s="495"/>
      <c r="K407" s="495">
        <f t="shared" si="227"/>
        <v>100</v>
      </c>
      <c r="L407" s="495"/>
      <c r="M407" s="495">
        <v>100</v>
      </c>
      <c r="N407" s="495"/>
      <c r="O407" s="495"/>
      <c r="P407" s="495"/>
      <c r="Q407" s="495"/>
      <c r="R407" s="495">
        <f>D407*0.1</f>
        <v>10</v>
      </c>
      <c r="S407" s="495"/>
      <c r="T407" s="495"/>
      <c r="U407" s="495"/>
      <c r="V407" s="495"/>
      <c r="W407" s="495">
        <f t="shared" si="251"/>
        <v>90</v>
      </c>
      <c r="X407" s="496"/>
    </row>
    <row r="408" spans="1:24" s="497" customFormat="1" ht="18.75" customHeight="1">
      <c r="A408" s="499" t="s">
        <v>255</v>
      </c>
      <c r="B408" s="498" t="s">
        <v>782</v>
      </c>
      <c r="C408" s="493"/>
      <c r="D408" s="494">
        <f t="shared" si="248"/>
        <v>0</v>
      </c>
      <c r="E408" s="495">
        <f t="shared" si="249"/>
        <v>0</v>
      </c>
      <c r="F408" s="495">
        <f t="shared" si="250"/>
        <v>0</v>
      </c>
      <c r="G408" s="495"/>
      <c r="H408" s="495"/>
      <c r="I408" s="495"/>
      <c r="J408" s="495"/>
      <c r="K408" s="495">
        <f t="shared" si="227"/>
        <v>0</v>
      </c>
      <c r="L408" s="495"/>
      <c r="M408" s="495"/>
      <c r="N408" s="495"/>
      <c r="O408" s="495"/>
      <c r="P408" s="495"/>
      <c r="Q408" s="495"/>
      <c r="R408" s="495"/>
      <c r="S408" s="495"/>
      <c r="T408" s="495"/>
      <c r="U408" s="495"/>
      <c r="V408" s="495"/>
      <c r="W408" s="495">
        <f t="shared" si="251"/>
        <v>0</v>
      </c>
      <c r="X408" s="496"/>
    </row>
    <row r="409" spans="1:24" s="497" customFormat="1" ht="18.75" customHeight="1">
      <c r="A409" s="499" t="s">
        <v>255</v>
      </c>
      <c r="B409" s="498" t="s">
        <v>506</v>
      </c>
      <c r="C409" s="493"/>
      <c r="D409" s="494">
        <f t="shared" si="248"/>
        <v>0</v>
      </c>
      <c r="E409" s="495">
        <f t="shared" si="249"/>
        <v>0</v>
      </c>
      <c r="F409" s="495">
        <f t="shared" si="250"/>
        <v>0</v>
      </c>
      <c r="G409" s="495"/>
      <c r="H409" s="495"/>
      <c r="I409" s="495"/>
      <c r="J409" s="495"/>
      <c r="K409" s="495">
        <f t="shared" si="227"/>
        <v>0</v>
      </c>
      <c r="L409" s="495"/>
      <c r="M409" s="495"/>
      <c r="N409" s="495"/>
      <c r="O409" s="495"/>
      <c r="P409" s="495"/>
      <c r="Q409" s="495"/>
      <c r="R409" s="495"/>
      <c r="S409" s="495"/>
      <c r="T409" s="495"/>
      <c r="U409" s="495"/>
      <c r="V409" s="495"/>
      <c r="W409" s="495">
        <f t="shared" si="251"/>
        <v>0</v>
      </c>
      <c r="X409" s="496"/>
    </row>
    <row r="410" spans="1:24" s="497" customFormat="1" ht="17.25" customHeight="1">
      <c r="A410" s="491" t="s">
        <v>463</v>
      </c>
      <c r="B410" s="498" t="s">
        <v>360</v>
      </c>
      <c r="C410" s="493"/>
      <c r="D410" s="494">
        <f>SUM(D411:D417)</f>
        <v>543.19100000000003</v>
      </c>
      <c r="E410" s="494">
        <f t="shared" ref="E410:W410" si="252">SUM(E411:E417)</f>
        <v>543.19100000000003</v>
      </c>
      <c r="F410" s="494">
        <f t="shared" si="252"/>
        <v>543.19100000000003</v>
      </c>
      <c r="G410" s="494">
        <f t="shared" si="252"/>
        <v>4</v>
      </c>
      <c r="H410" s="494">
        <f t="shared" si="252"/>
        <v>430.59100000000007</v>
      </c>
      <c r="I410" s="494">
        <f t="shared" si="252"/>
        <v>0</v>
      </c>
      <c r="J410" s="494">
        <f t="shared" si="252"/>
        <v>0</v>
      </c>
      <c r="K410" s="494">
        <f t="shared" si="252"/>
        <v>112.60000000000001</v>
      </c>
      <c r="L410" s="494">
        <f t="shared" si="252"/>
        <v>102.60000000000001</v>
      </c>
      <c r="M410" s="494">
        <f t="shared" si="252"/>
        <v>10</v>
      </c>
      <c r="N410" s="494">
        <f t="shared" si="252"/>
        <v>0</v>
      </c>
      <c r="O410" s="494">
        <f t="shared" si="252"/>
        <v>0</v>
      </c>
      <c r="P410" s="494">
        <f t="shared" si="252"/>
        <v>0</v>
      </c>
      <c r="Q410" s="494">
        <f t="shared" si="252"/>
        <v>0</v>
      </c>
      <c r="R410" s="494">
        <f t="shared" si="252"/>
        <v>10.3</v>
      </c>
      <c r="S410" s="494">
        <f t="shared" si="252"/>
        <v>0</v>
      </c>
      <c r="T410" s="494">
        <f t="shared" si="252"/>
        <v>0</v>
      </c>
      <c r="U410" s="494">
        <f t="shared" si="252"/>
        <v>0</v>
      </c>
      <c r="V410" s="494">
        <f t="shared" si="252"/>
        <v>26.33</v>
      </c>
      <c r="W410" s="494">
        <f t="shared" si="252"/>
        <v>559.221</v>
      </c>
      <c r="X410" s="496" t="s">
        <v>360</v>
      </c>
    </row>
    <row r="411" spans="1:24" s="497" customFormat="1" ht="29.25" customHeight="1">
      <c r="A411" s="499" t="s">
        <v>255</v>
      </c>
      <c r="B411" s="498" t="s">
        <v>464</v>
      </c>
      <c r="C411" s="493"/>
      <c r="D411" s="494">
        <f t="shared" ref="D411:D420" si="253">E411+P411</f>
        <v>425.23100000000005</v>
      </c>
      <c r="E411" s="495">
        <f t="shared" ref="E411:E420" si="254">F411+N411+O411</f>
        <v>425.23100000000005</v>
      </c>
      <c r="F411" s="495">
        <f t="shared" ref="F411:F420" si="255">H411+K411</f>
        <v>425.23100000000005</v>
      </c>
      <c r="G411" s="495">
        <v>4</v>
      </c>
      <c r="H411" s="495">
        <f>430.595-5.364</f>
        <v>425.23100000000005</v>
      </c>
      <c r="I411" s="495"/>
      <c r="J411" s="495"/>
      <c r="K411" s="495">
        <f t="shared" si="227"/>
        <v>0</v>
      </c>
      <c r="L411" s="495"/>
      <c r="M411" s="495"/>
      <c r="N411" s="495"/>
      <c r="O411" s="495"/>
      <c r="P411" s="495"/>
      <c r="Q411" s="495"/>
      <c r="R411" s="495"/>
      <c r="S411" s="495"/>
      <c r="T411" s="495"/>
      <c r="U411" s="495"/>
      <c r="V411" s="495">
        <v>12.93</v>
      </c>
      <c r="W411" s="495">
        <f t="shared" ref="W411:W420" si="256">D411-Q411-R411-S411-U411+(T411+V411)</f>
        <v>438.16100000000006</v>
      </c>
      <c r="X411" s="496"/>
    </row>
    <row r="412" spans="1:24" s="497" customFormat="1" ht="21">
      <c r="A412" s="499" t="s">
        <v>255</v>
      </c>
      <c r="B412" s="498" t="s">
        <v>589</v>
      </c>
      <c r="C412" s="493"/>
      <c r="D412" s="494">
        <f t="shared" si="253"/>
        <v>93.600000000000009</v>
      </c>
      <c r="E412" s="495">
        <f t="shared" si="254"/>
        <v>93.600000000000009</v>
      </c>
      <c r="F412" s="495">
        <f t="shared" si="255"/>
        <v>93.600000000000009</v>
      </c>
      <c r="G412" s="495"/>
      <c r="H412" s="495">
        <f t="shared" si="241"/>
        <v>0</v>
      </c>
      <c r="I412" s="495"/>
      <c r="J412" s="495"/>
      <c r="K412" s="495">
        <f t="shared" si="227"/>
        <v>93.600000000000009</v>
      </c>
      <c r="L412" s="495">
        <f>4*18*1.3</f>
        <v>93.600000000000009</v>
      </c>
      <c r="M412" s="495"/>
      <c r="N412" s="495"/>
      <c r="O412" s="495"/>
      <c r="P412" s="495"/>
      <c r="Q412" s="495"/>
      <c r="R412" s="495">
        <v>9.3000000000000007</v>
      </c>
      <c r="S412" s="495"/>
      <c r="T412" s="495"/>
      <c r="U412" s="495"/>
      <c r="V412" s="495"/>
      <c r="W412" s="495">
        <f t="shared" si="256"/>
        <v>84.300000000000011</v>
      </c>
      <c r="X412" s="514"/>
    </row>
    <row r="413" spans="1:24" s="497" customFormat="1" ht="17.25" customHeight="1">
      <c r="A413" s="499" t="s">
        <v>255</v>
      </c>
      <c r="B413" s="498" t="s">
        <v>465</v>
      </c>
      <c r="C413" s="493"/>
      <c r="D413" s="494">
        <f t="shared" si="253"/>
        <v>5.36</v>
      </c>
      <c r="E413" s="495">
        <f t="shared" si="254"/>
        <v>5.36</v>
      </c>
      <c r="F413" s="495">
        <f t="shared" si="255"/>
        <v>5.36</v>
      </c>
      <c r="G413" s="495"/>
      <c r="H413" s="495">
        <v>5.36</v>
      </c>
      <c r="I413" s="495"/>
      <c r="J413" s="495"/>
      <c r="K413" s="495">
        <f t="shared" si="227"/>
        <v>0</v>
      </c>
      <c r="L413" s="495"/>
      <c r="M413" s="495"/>
      <c r="N413" s="495"/>
      <c r="O413" s="495"/>
      <c r="P413" s="495"/>
      <c r="Q413" s="495"/>
      <c r="R413" s="495"/>
      <c r="S413" s="495"/>
      <c r="T413" s="495"/>
      <c r="U413" s="495"/>
      <c r="V413" s="495"/>
      <c r="W413" s="495">
        <f t="shared" si="256"/>
        <v>5.36</v>
      </c>
      <c r="X413" s="496"/>
    </row>
    <row r="414" spans="1:24" s="497" customFormat="1" ht="27.75" customHeight="1">
      <c r="A414" s="499" t="s">
        <v>255</v>
      </c>
      <c r="B414" s="498" t="s">
        <v>287</v>
      </c>
      <c r="C414" s="493"/>
      <c r="D414" s="494">
        <f t="shared" si="253"/>
        <v>9</v>
      </c>
      <c r="E414" s="495">
        <f t="shared" si="254"/>
        <v>9</v>
      </c>
      <c r="F414" s="495">
        <f t="shared" si="255"/>
        <v>9</v>
      </c>
      <c r="G414" s="495"/>
      <c r="H414" s="495">
        <f t="shared" si="241"/>
        <v>0</v>
      </c>
      <c r="I414" s="495"/>
      <c r="J414" s="495"/>
      <c r="K414" s="495">
        <f t="shared" si="227"/>
        <v>9</v>
      </c>
      <c r="L414" s="495">
        <v>9</v>
      </c>
      <c r="M414" s="495">
        <v>0</v>
      </c>
      <c r="N414" s="495"/>
      <c r="O414" s="495"/>
      <c r="P414" s="495"/>
      <c r="Q414" s="495"/>
      <c r="R414" s="495"/>
      <c r="S414" s="495"/>
      <c r="T414" s="495"/>
      <c r="U414" s="495"/>
      <c r="V414" s="495"/>
      <c r="W414" s="495">
        <f t="shared" si="256"/>
        <v>9</v>
      </c>
      <c r="X414" s="496"/>
    </row>
    <row r="415" spans="1:24" s="501" customFormat="1" ht="69.75" customHeight="1">
      <c r="A415" s="491" t="s">
        <v>255</v>
      </c>
      <c r="B415" s="498" t="s">
        <v>1021</v>
      </c>
      <c r="C415" s="493"/>
      <c r="D415" s="494">
        <f t="shared" si="253"/>
        <v>10</v>
      </c>
      <c r="E415" s="495">
        <f>F415+N415+O415</f>
        <v>10</v>
      </c>
      <c r="F415" s="495">
        <f>H415+K415</f>
        <v>10</v>
      </c>
      <c r="G415" s="495"/>
      <c r="H415" s="495">
        <f>I415+J415</f>
        <v>0</v>
      </c>
      <c r="I415" s="495"/>
      <c r="J415" s="495"/>
      <c r="K415" s="495">
        <f t="shared" si="227"/>
        <v>10</v>
      </c>
      <c r="L415" s="495"/>
      <c r="M415" s="495">
        <v>10</v>
      </c>
      <c r="N415" s="495"/>
      <c r="O415" s="495"/>
      <c r="P415" s="495"/>
      <c r="Q415" s="495"/>
      <c r="R415" s="495">
        <f>D415*0.1</f>
        <v>1</v>
      </c>
      <c r="S415" s="495"/>
      <c r="T415" s="495"/>
      <c r="U415" s="495"/>
      <c r="V415" s="495"/>
      <c r="W415" s="495">
        <f t="shared" si="256"/>
        <v>9</v>
      </c>
      <c r="X415" s="496"/>
    </row>
    <row r="416" spans="1:24" s="501" customFormat="1" ht="33.75" customHeight="1">
      <c r="A416" s="491" t="s">
        <v>255</v>
      </c>
      <c r="B416" s="289" t="s">
        <v>1022</v>
      </c>
      <c r="C416" s="493"/>
      <c r="D416" s="494">
        <f t="shared" si="253"/>
        <v>0</v>
      </c>
      <c r="E416" s="495">
        <f>F416+N416+O416</f>
        <v>0</v>
      </c>
      <c r="F416" s="495">
        <f>H416+K416</f>
        <v>0</v>
      </c>
      <c r="G416" s="495"/>
      <c r="H416" s="495">
        <f>I416+J416</f>
        <v>0</v>
      </c>
      <c r="I416" s="495"/>
      <c r="J416" s="495"/>
      <c r="K416" s="495">
        <f t="shared" si="227"/>
        <v>0</v>
      </c>
      <c r="L416" s="495"/>
      <c r="M416" s="495"/>
      <c r="N416" s="495"/>
      <c r="O416" s="495"/>
      <c r="P416" s="495"/>
      <c r="Q416" s="495"/>
      <c r="R416" s="495">
        <f>D416*0.1</f>
        <v>0</v>
      </c>
      <c r="S416" s="495"/>
      <c r="T416" s="495"/>
      <c r="U416" s="495"/>
      <c r="V416" s="495">
        <v>12.5</v>
      </c>
      <c r="W416" s="495">
        <f t="shared" si="256"/>
        <v>12.5</v>
      </c>
      <c r="X416" s="496"/>
    </row>
    <row r="417" spans="1:24" s="501" customFormat="1" ht="54" customHeight="1">
      <c r="A417" s="491" t="s">
        <v>255</v>
      </c>
      <c r="B417" s="289" t="s">
        <v>1023</v>
      </c>
      <c r="C417" s="493"/>
      <c r="D417" s="494">
        <f t="shared" si="253"/>
        <v>0</v>
      </c>
      <c r="E417" s="495">
        <f>F417+N417+O417</f>
        <v>0</v>
      </c>
      <c r="F417" s="495">
        <f>H417+K417</f>
        <v>0</v>
      </c>
      <c r="G417" s="495"/>
      <c r="H417" s="495">
        <f>I417+J417</f>
        <v>0</v>
      </c>
      <c r="I417" s="495"/>
      <c r="J417" s="495"/>
      <c r="K417" s="495">
        <f t="shared" si="227"/>
        <v>0</v>
      </c>
      <c r="L417" s="495"/>
      <c r="M417" s="495"/>
      <c r="N417" s="495"/>
      <c r="O417" s="495"/>
      <c r="P417" s="495"/>
      <c r="Q417" s="495"/>
      <c r="R417" s="495">
        <f>D417*0.1</f>
        <v>0</v>
      </c>
      <c r="S417" s="495"/>
      <c r="T417" s="495"/>
      <c r="U417" s="495"/>
      <c r="V417" s="495">
        <v>0.9</v>
      </c>
      <c r="W417" s="495">
        <f t="shared" si="256"/>
        <v>0.9</v>
      </c>
      <c r="X417" s="496"/>
    </row>
    <row r="418" spans="1:24" s="497" customFormat="1" ht="33.75" customHeight="1">
      <c r="A418" s="491" t="s">
        <v>466</v>
      </c>
      <c r="B418" s="498" t="s">
        <v>1024</v>
      </c>
      <c r="C418" s="493"/>
      <c r="D418" s="494">
        <f t="shared" si="253"/>
        <v>344.98</v>
      </c>
      <c r="E418" s="495">
        <f t="shared" si="254"/>
        <v>344.98</v>
      </c>
      <c r="F418" s="495">
        <f t="shared" si="255"/>
        <v>344.98</v>
      </c>
      <c r="G418" s="495">
        <v>3</v>
      </c>
      <c r="H418" s="495">
        <v>308.98</v>
      </c>
      <c r="I418" s="495"/>
      <c r="J418" s="495"/>
      <c r="K418" s="495">
        <f t="shared" si="227"/>
        <v>36</v>
      </c>
      <c r="L418" s="495">
        <v>36</v>
      </c>
      <c r="M418" s="495">
        <v>0</v>
      </c>
      <c r="N418" s="495"/>
      <c r="O418" s="495"/>
      <c r="P418" s="495"/>
      <c r="Q418" s="495"/>
      <c r="R418" s="495">
        <v>3.6</v>
      </c>
      <c r="S418" s="495"/>
      <c r="T418" s="495"/>
      <c r="U418" s="495"/>
      <c r="V418" s="495"/>
      <c r="W418" s="495">
        <f t="shared" si="256"/>
        <v>341.38</v>
      </c>
      <c r="X418" s="496" t="s">
        <v>467</v>
      </c>
    </row>
    <row r="419" spans="1:24" s="497" customFormat="1" ht="10.5">
      <c r="A419" s="491"/>
      <c r="B419" s="498"/>
      <c r="C419" s="493"/>
      <c r="D419" s="494">
        <f t="shared" si="253"/>
        <v>0</v>
      </c>
      <c r="E419" s="495">
        <f t="shared" si="254"/>
        <v>0</v>
      </c>
      <c r="F419" s="495">
        <f t="shared" si="255"/>
        <v>0</v>
      </c>
      <c r="G419" s="495"/>
      <c r="H419" s="495">
        <f>I419+J419</f>
        <v>0</v>
      </c>
      <c r="I419" s="495"/>
      <c r="J419" s="495"/>
      <c r="K419" s="495">
        <f t="shared" si="227"/>
        <v>0</v>
      </c>
      <c r="L419" s="495"/>
      <c r="M419" s="495"/>
      <c r="N419" s="495"/>
      <c r="O419" s="495"/>
      <c r="P419" s="495"/>
      <c r="Q419" s="495"/>
      <c r="R419" s="495"/>
      <c r="S419" s="495"/>
      <c r="T419" s="495"/>
      <c r="U419" s="495"/>
      <c r="V419" s="495"/>
      <c r="W419" s="495">
        <f t="shared" si="256"/>
        <v>0</v>
      </c>
      <c r="X419" s="496"/>
    </row>
    <row r="420" spans="1:24" s="497" customFormat="1" ht="10.5">
      <c r="A420" s="491" t="s">
        <v>604</v>
      </c>
      <c r="B420" s="498"/>
      <c r="C420" s="493"/>
      <c r="D420" s="494">
        <f t="shared" si="253"/>
        <v>0</v>
      </c>
      <c r="E420" s="495">
        <f t="shared" si="254"/>
        <v>0</v>
      </c>
      <c r="F420" s="495">
        <f t="shared" si="255"/>
        <v>0</v>
      </c>
      <c r="G420" s="495"/>
      <c r="H420" s="495">
        <f t="shared" si="241"/>
        <v>0</v>
      </c>
      <c r="I420" s="495"/>
      <c r="J420" s="495"/>
      <c r="K420" s="495">
        <f t="shared" si="227"/>
        <v>0</v>
      </c>
      <c r="L420" s="495"/>
      <c r="M420" s="495"/>
      <c r="N420" s="495"/>
      <c r="O420" s="495"/>
      <c r="P420" s="495"/>
      <c r="Q420" s="495"/>
      <c r="R420" s="495"/>
      <c r="S420" s="495"/>
      <c r="T420" s="495"/>
      <c r="U420" s="495"/>
      <c r="V420" s="495"/>
      <c r="W420" s="495">
        <f t="shared" si="256"/>
        <v>0</v>
      </c>
      <c r="X420" s="496"/>
    </row>
    <row r="421" spans="1:24" s="497" customFormat="1" ht="15" customHeight="1">
      <c r="A421" s="491" t="s">
        <v>468</v>
      </c>
      <c r="B421" s="498" t="s">
        <v>469</v>
      </c>
      <c r="C421" s="493"/>
      <c r="D421" s="494">
        <f t="shared" ref="D421:I421" si="257">D422+D429</f>
        <v>4056.7730000000001</v>
      </c>
      <c r="E421" s="495">
        <f t="shared" si="257"/>
        <v>4056.7730000000001</v>
      </c>
      <c r="F421" s="495">
        <f t="shared" si="257"/>
        <v>4056.7730000000001</v>
      </c>
      <c r="G421" s="495">
        <f t="shared" si="257"/>
        <v>0</v>
      </c>
      <c r="H421" s="495">
        <f t="shared" si="257"/>
        <v>0</v>
      </c>
      <c r="I421" s="495">
        <f t="shared" si="257"/>
        <v>0</v>
      </c>
      <c r="J421" s="495"/>
      <c r="K421" s="495">
        <f t="shared" ref="K421:W421" si="258">K422+K429</f>
        <v>4056.7730000000001</v>
      </c>
      <c r="L421" s="495">
        <f t="shared" si="258"/>
        <v>0</v>
      </c>
      <c r="M421" s="495">
        <f t="shared" si="258"/>
        <v>4056.7730000000001</v>
      </c>
      <c r="N421" s="495">
        <f t="shared" si="258"/>
        <v>0</v>
      </c>
      <c r="O421" s="495">
        <f t="shared" si="258"/>
        <v>0</v>
      </c>
      <c r="P421" s="495">
        <f t="shared" si="258"/>
        <v>0</v>
      </c>
      <c r="Q421" s="495">
        <f t="shared" si="258"/>
        <v>0</v>
      </c>
      <c r="R421" s="495">
        <f t="shared" si="258"/>
        <v>55</v>
      </c>
      <c r="S421" s="495">
        <f t="shared" si="258"/>
        <v>0</v>
      </c>
      <c r="T421" s="495">
        <f t="shared" si="258"/>
        <v>6.12</v>
      </c>
      <c r="U421" s="495">
        <f t="shared" si="258"/>
        <v>225</v>
      </c>
      <c r="V421" s="495">
        <f t="shared" si="258"/>
        <v>225</v>
      </c>
      <c r="W421" s="495">
        <f t="shared" si="258"/>
        <v>4007.893</v>
      </c>
      <c r="X421" s="496"/>
    </row>
    <row r="422" spans="1:24" s="497" customFormat="1" ht="26.25" customHeight="1">
      <c r="A422" s="491" t="s">
        <v>204</v>
      </c>
      <c r="B422" s="498" t="s">
        <v>470</v>
      </c>
      <c r="C422" s="515" t="s">
        <v>471</v>
      </c>
      <c r="D422" s="494">
        <f t="shared" ref="D422:I422" si="259">SUM(D423:D428)</f>
        <v>2266.7730000000001</v>
      </c>
      <c r="E422" s="495">
        <f t="shared" si="259"/>
        <v>2266.7730000000001</v>
      </c>
      <c r="F422" s="495">
        <f t="shared" si="259"/>
        <v>2266.7730000000001</v>
      </c>
      <c r="G422" s="495">
        <f t="shared" si="259"/>
        <v>0</v>
      </c>
      <c r="H422" s="495">
        <f t="shared" si="259"/>
        <v>0</v>
      </c>
      <c r="I422" s="495">
        <f t="shared" si="259"/>
        <v>0</v>
      </c>
      <c r="J422" s="495"/>
      <c r="K422" s="495">
        <f t="shared" ref="K422:W422" si="260">SUM(K423:K428)</f>
        <v>2266.7730000000001</v>
      </c>
      <c r="L422" s="495">
        <f t="shared" si="260"/>
        <v>0</v>
      </c>
      <c r="M422" s="495">
        <f t="shared" si="260"/>
        <v>2266.7730000000001</v>
      </c>
      <c r="N422" s="495">
        <f t="shared" si="260"/>
        <v>0</v>
      </c>
      <c r="O422" s="495">
        <f t="shared" si="260"/>
        <v>0</v>
      </c>
      <c r="P422" s="495">
        <f t="shared" si="260"/>
        <v>0</v>
      </c>
      <c r="Q422" s="495">
        <f t="shared" si="260"/>
        <v>0</v>
      </c>
      <c r="R422" s="495">
        <f t="shared" si="260"/>
        <v>0</v>
      </c>
      <c r="S422" s="495">
        <f t="shared" si="260"/>
        <v>0</v>
      </c>
      <c r="T422" s="495">
        <f t="shared" si="260"/>
        <v>6.12</v>
      </c>
      <c r="U422" s="495">
        <f t="shared" si="260"/>
        <v>0</v>
      </c>
      <c r="V422" s="495">
        <f t="shared" si="260"/>
        <v>0</v>
      </c>
      <c r="W422" s="495">
        <f t="shared" si="260"/>
        <v>2272.893</v>
      </c>
      <c r="X422" s="496" t="s">
        <v>472</v>
      </c>
    </row>
    <row r="423" spans="1:24" s="497" customFormat="1" ht="25.5" customHeight="1">
      <c r="A423" s="499" t="s">
        <v>255</v>
      </c>
      <c r="B423" s="498" t="s">
        <v>473</v>
      </c>
      <c r="C423" s="493"/>
      <c r="D423" s="494">
        <f t="shared" ref="D423:D428" si="261">E423+P423</f>
        <v>464.267</v>
      </c>
      <c r="E423" s="495">
        <f t="shared" ref="E423:E428" si="262">F423+N423+O423</f>
        <v>464.267</v>
      </c>
      <c r="F423" s="495">
        <f t="shared" ref="F423:F428" si="263">H423+K423</f>
        <v>464.267</v>
      </c>
      <c r="G423" s="495"/>
      <c r="H423" s="495">
        <f t="shared" si="241"/>
        <v>0</v>
      </c>
      <c r="I423" s="495"/>
      <c r="J423" s="495"/>
      <c r="K423" s="495">
        <f t="shared" si="227"/>
        <v>464.267</v>
      </c>
      <c r="L423" s="495"/>
      <c r="M423" s="495">
        <f>393.204+71.063</f>
        <v>464.267</v>
      </c>
      <c r="N423" s="495"/>
      <c r="O423" s="495"/>
      <c r="P423" s="495"/>
      <c r="Q423" s="495"/>
      <c r="R423" s="495"/>
      <c r="S423" s="495"/>
      <c r="T423" s="495"/>
      <c r="U423" s="495"/>
      <c r="V423" s="495"/>
      <c r="W423" s="495">
        <f t="shared" ref="W423:W428" si="264">D423-Q423-R423-S423-U423+(T423+V423)</f>
        <v>464.267</v>
      </c>
      <c r="X423" s="496"/>
    </row>
    <row r="424" spans="1:24" s="497" customFormat="1" ht="24.75" customHeight="1">
      <c r="A424" s="499" t="s">
        <v>255</v>
      </c>
      <c r="B424" s="498" t="s">
        <v>652</v>
      </c>
      <c r="C424" s="493"/>
      <c r="D424" s="494">
        <f t="shared" si="261"/>
        <v>1251.8848</v>
      </c>
      <c r="E424" s="495">
        <f t="shared" si="262"/>
        <v>1251.8848</v>
      </c>
      <c r="F424" s="495">
        <f t="shared" si="263"/>
        <v>1251.8848</v>
      </c>
      <c r="G424" s="495"/>
      <c r="H424" s="495">
        <f t="shared" si="241"/>
        <v>0</v>
      </c>
      <c r="I424" s="495"/>
      <c r="J424" s="495"/>
      <c r="K424" s="495">
        <f t="shared" si="227"/>
        <v>1251.8848</v>
      </c>
      <c r="L424" s="495"/>
      <c r="M424" s="495">
        <f>1211.8848+40</f>
        <v>1251.8848</v>
      </c>
      <c r="N424" s="495"/>
      <c r="O424" s="495"/>
      <c r="P424" s="495"/>
      <c r="Q424" s="495"/>
      <c r="R424" s="495"/>
      <c r="S424" s="495"/>
      <c r="T424" s="495"/>
      <c r="U424" s="495"/>
      <c r="V424" s="495"/>
      <c r="W424" s="495">
        <f t="shared" si="264"/>
        <v>1251.8848</v>
      </c>
      <c r="X424" s="496"/>
    </row>
    <row r="425" spans="1:24" s="497" customFormat="1" ht="26.25" customHeight="1">
      <c r="A425" s="499" t="s">
        <v>255</v>
      </c>
      <c r="B425" s="498" t="s">
        <v>474</v>
      </c>
      <c r="C425" s="493"/>
      <c r="D425" s="494">
        <f t="shared" si="261"/>
        <v>96.373199999999997</v>
      </c>
      <c r="E425" s="495">
        <f t="shared" si="262"/>
        <v>96.373199999999997</v>
      </c>
      <c r="F425" s="495">
        <f t="shared" si="263"/>
        <v>96.373199999999997</v>
      </c>
      <c r="G425" s="495"/>
      <c r="H425" s="495">
        <f t="shared" si="241"/>
        <v>0</v>
      </c>
      <c r="I425" s="495"/>
      <c r="J425" s="495"/>
      <c r="K425" s="495">
        <f t="shared" si="227"/>
        <v>96.373199999999997</v>
      </c>
      <c r="L425" s="495"/>
      <c r="M425" s="495">
        <v>96.373199999999997</v>
      </c>
      <c r="N425" s="495"/>
      <c r="O425" s="495"/>
      <c r="P425" s="495"/>
      <c r="Q425" s="495"/>
      <c r="R425" s="495"/>
      <c r="S425" s="495"/>
      <c r="T425" s="495"/>
      <c r="U425" s="495"/>
      <c r="V425" s="495"/>
      <c r="W425" s="495">
        <f t="shared" si="264"/>
        <v>96.373199999999997</v>
      </c>
      <c r="X425" s="496"/>
    </row>
    <row r="426" spans="1:24" s="497" customFormat="1" ht="48" customHeight="1">
      <c r="A426" s="499" t="s">
        <v>255</v>
      </c>
      <c r="B426" s="498" t="s">
        <v>620</v>
      </c>
      <c r="C426" s="493"/>
      <c r="D426" s="494">
        <f t="shared" si="261"/>
        <v>454.24799999999999</v>
      </c>
      <c r="E426" s="495">
        <f t="shared" si="262"/>
        <v>454.24799999999999</v>
      </c>
      <c r="F426" s="495">
        <f t="shared" si="263"/>
        <v>454.24799999999999</v>
      </c>
      <c r="G426" s="495"/>
      <c r="H426" s="495">
        <f>I426+J426</f>
        <v>0</v>
      </c>
      <c r="I426" s="495"/>
      <c r="J426" s="495"/>
      <c r="K426" s="495">
        <f>L426+M426</f>
        <v>454.24799999999999</v>
      </c>
      <c r="L426" s="495"/>
      <c r="M426" s="495">
        <v>454.24799999999999</v>
      </c>
      <c r="N426" s="495"/>
      <c r="O426" s="495"/>
      <c r="P426" s="495"/>
      <c r="Q426" s="495"/>
      <c r="R426" s="495"/>
      <c r="S426" s="495"/>
      <c r="T426" s="495"/>
      <c r="U426" s="495"/>
      <c r="V426" s="495"/>
      <c r="W426" s="495">
        <f t="shared" si="264"/>
        <v>454.24799999999999</v>
      </c>
      <c r="X426" s="516"/>
    </row>
    <row r="427" spans="1:24" s="497" customFormat="1" ht="25.5" customHeight="1">
      <c r="A427" s="499" t="s">
        <v>255</v>
      </c>
      <c r="B427" s="290" t="s">
        <v>783</v>
      </c>
      <c r="C427" s="493"/>
      <c r="D427" s="494">
        <f t="shared" si="261"/>
        <v>0</v>
      </c>
      <c r="E427" s="495">
        <f t="shared" si="262"/>
        <v>0</v>
      </c>
      <c r="F427" s="495">
        <f t="shared" si="263"/>
        <v>0</v>
      </c>
      <c r="G427" s="495"/>
      <c r="H427" s="495"/>
      <c r="I427" s="495"/>
      <c r="J427" s="495"/>
      <c r="K427" s="495"/>
      <c r="L427" s="495"/>
      <c r="M427" s="495"/>
      <c r="N427" s="495"/>
      <c r="O427" s="495"/>
      <c r="P427" s="495"/>
      <c r="Q427" s="495"/>
      <c r="R427" s="495"/>
      <c r="S427" s="495"/>
      <c r="T427" s="495">
        <v>6.12</v>
      </c>
      <c r="U427" s="495"/>
      <c r="V427" s="495"/>
      <c r="W427" s="495">
        <f t="shared" si="264"/>
        <v>6.12</v>
      </c>
      <c r="X427" s="496"/>
    </row>
    <row r="428" spans="1:24" s="497" customFormat="1" ht="25.5" customHeight="1">
      <c r="A428" s="499" t="s">
        <v>255</v>
      </c>
      <c r="B428" s="498" t="s">
        <v>673</v>
      </c>
      <c r="C428" s="493"/>
      <c r="D428" s="494">
        <f t="shared" si="261"/>
        <v>0</v>
      </c>
      <c r="E428" s="495">
        <f t="shared" si="262"/>
        <v>0</v>
      </c>
      <c r="F428" s="495">
        <f t="shared" si="263"/>
        <v>0</v>
      </c>
      <c r="G428" s="495"/>
      <c r="H428" s="495"/>
      <c r="I428" s="495"/>
      <c r="J428" s="495"/>
      <c r="K428" s="495"/>
      <c r="L428" s="495"/>
      <c r="M428" s="495"/>
      <c r="N428" s="495"/>
      <c r="O428" s="495"/>
      <c r="P428" s="495"/>
      <c r="Q428" s="495"/>
      <c r="R428" s="495"/>
      <c r="S428" s="495"/>
      <c r="T428" s="495"/>
      <c r="U428" s="495"/>
      <c r="V428" s="495"/>
      <c r="W428" s="495">
        <f t="shared" si="264"/>
        <v>0</v>
      </c>
      <c r="X428" s="496"/>
    </row>
    <row r="429" spans="1:24" s="497" customFormat="1" ht="17.25" customHeight="1">
      <c r="A429" s="491" t="s">
        <v>206</v>
      </c>
      <c r="B429" s="498" t="s">
        <v>475</v>
      </c>
      <c r="C429" s="515" t="s">
        <v>476</v>
      </c>
      <c r="D429" s="494">
        <f>SUM(D430:D432)</f>
        <v>1790</v>
      </c>
      <c r="E429" s="495">
        <f t="shared" ref="E429:W429" si="265">SUM(E430:E432)</f>
        <v>1790</v>
      </c>
      <c r="F429" s="495">
        <f t="shared" si="265"/>
        <v>1790</v>
      </c>
      <c r="G429" s="495">
        <f t="shared" si="265"/>
        <v>0</v>
      </c>
      <c r="H429" s="495">
        <f t="shared" si="265"/>
        <v>0</v>
      </c>
      <c r="I429" s="495">
        <f t="shared" si="265"/>
        <v>0</v>
      </c>
      <c r="J429" s="495"/>
      <c r="K429" s="495">
        <f t="shared" si="265"/>
        <v>1790</v>
      </c>
      <c r="L429" s="495">
        <f t="shared" si="265"/>
        <v>0</v>
      </c>
      <c r="M429" s="495">
        <f>SUM(M430:M432)</f>
        <v>1790</v>
      </c>
      <c r="N429" s="495">
        <f t="shared" si="265"/>
        <v>0</v>
      </c>
      <c r="O429" s="495">
        <f t="shared" si="265"/>
        <v>0</v>
      </c>
      <c r="P429" s="495">
        <f t="shared" si="265"/>
        <v>0</v>
      </c>
      <c r="Q429" s="495">
        <f t="shared" si="265"/>
        <v>0</v>
      </c>
      <c r="R429" s="495">
        <f t="shared" si="265"/>
        <v>55</v>
      </c>
      <c r="S429" s="495">
        <f t="shared" si="265"/>
        <v>0</v>
      </c>
      <c r="T429" s="495">
        <f t="shared" si="265"/>
        <v>0</v>
      </c>
      <c r="U429" s="495">
        <f t="shared" si="265"/>
        <v>225</v>
      </c>
      <c r="V429" s="495">
        <f t="shared" si="265"/>
        <v>225</v>
      </c>
      <c r="W429" s="495">
        <f t="shared" si="265"/>
        <v>1735</v>
      </c>
      <c r="X429" s="496"/>
    </row>
    <row r="430" spans="1:24" s="497" customFormat="1" ht="51" customHeight="1">
      <c r="A430" s="499" t="s">
        <v>255</v>
      </c>
      <c r="B430" s="498" t="s">
        <v>989</v>
      </c>
      <c r="C430" s="493"/>
      <c r="D430" s="494">
        <f>E430+P430</f>
        <v>1240</v>
      </c>
      <c r="E430" s="495">
        <f>F430+N430+O430</f>
        <v>1240</v>
      </c>
      <c r="F430" s="495">
        <f>H430+K430</f>
        <v>1240</v>
      </c>
      <c r="G430" s="495"/>
      <c r="H430" s="495">
        <f t="shared" si="241"/>
        <v>0</v>
      </c>
      <c r="I430" s="495"/>
      <c r="J430" s="495"/>
      <c r="K430" s="495">
        <f t="shared" si="227"/>
        <v>1240</v>
      </c>
      <c r="L430" s="495"/>
      <c r="M430" s="495">
        <v>1240</v>
      </c>
      <c r="N430" s="495"/>
      <c r="O430" s="495"/>
      <c r="P430" s="495"/>
      <c r="Q430" s="495"/>
      <c r="R430" s="495"/>
      <c r="S430" s="495"/>
      <c r="T430" s="495"/>
      <c r="U430" s="495"/>
      <c r="V430" s="495">
        <v>225</v>
      </c>
      <c r="W430" s="495">
        <f>D430-Q430-R430-S430-U430+(T430+V430)</f>
        <v>1465</v>
      </c>
      <c r="X430" s="496" t="s">
        <v>477</v>
      </c>
    </row>
    <row r="431" spans="1:24" s="497" customFormat="1" ht="16.5" customHeight="1">
      <c r="A431" s="499" t="s">
        <v>255</v>
      </c>
      <c r="B431" s="498" t="s">
        <v>674</v>
      </c>
      <c r="C431" s="493"/>
      <c r="D431" s="494">
        <f>E431+P431</f>
        <v>250</v>
      </c>
      <c r="E431" s="495">
        <f>F431+N431+O431</f>
        <v>250</v>
      </c>
      <c r="F431" s="495">
        <f>H431+K431</f>
        <v>250</v>
      </c>
      <c r="G431" s="495"/>
      <c r="H431" s="495">
        <f t="shared" si="241"/>
        <v>0</v>
      </c>
      <c r="I431" s="495"/>
      <c r="J431" s="495"/>
      <c r="K431" s="495">
        <f t="shared" si="227"/>
        <v>250</v>
      </c>
      <c r="L431" s="495"/>
      <c r="M431" s="495">
        <v>250</v>
      </c>
      <c r="N431" s="495"/>
      <c r="O431" s="495"/>
      <c r="P431" s="495"/>
      <c r="Q431" s="495"/>
      <c r="R431" s="495">
        <f>D431*0.1</f>
        <v>25</v>
      </c>
      <c r="S431" s="495"/>
      <c r="T431" s="495"/>
      <c r="U431" s="495">
        <v>225</v>
      </c>
      <c r="V431" s="495"/>
      <c r="W431" s="495">
        <f>D431-Q431-R431-S431-U431+(T431+V431)</f>
        <v>0</v>
      </c>
      <c r="X431" s="496" t="s">
        <v>478</v>
      </c>
    </row>
    <row r="432" spans="1:24" s="497" customFormat="1" ht="44.25" customHeight="1">
      <c r="A432" s="499" t="s">
        <v>255</v>
      </c>
      <c r="B432" s="498" t="s">
        <v>678</v>
      </c>
      <c r="C432" s="493"/>
      <c r="D432" s="494">
        <f>E432+P432</f>
        <v>300</v>
      </c>
      <c r="E432" s="495">
        <f>F432+N432+O432</f>
        <v>300</v>
      </c>
      <c r="F432" s="495">
        <f>H432+K432</f>
        <v>300</v>
      </c>
      <c r="G432" s="495"/>
      <c r="H432" s="495">
        <f t="shared" si="241"/>
        <v>0</v>
      </c>
      <c r="I432" s="495"/>
      <c r="J432" s="495"/>
      <c r="K432" s="495">
        <f t="shared" si="227"/>
        <v>300</v>
      </c>
      <c r="L432" s="495"/>
      <c r="M432" s="495">
        <v>300</v>
      </c>
      <c r="N432" s="495"/>
      <c r="O432" s="495"/>
      <c r="P432" s="495"/>
      <c r="Q432" s="495"/>
      <c r="R432" s="495">
        <f>D432*0.1</f>
        <v>30</v>
      </c>
      <c r="S432" s="495"/>
      <c r="T432" s="495"/>
      <c r="U432" s="495"/>
      <c r="V432" s="495"/>
      <c r="W432" s="495">
        <f>D432-Q432-R432-S432-U432+(T432+V432)</f>
        <v>270</v>
      </c>
      <c r="X432" s="496" t="s">
        <v>478</v>
      </c>
    </row>
    <row r="433" spans="1:24" s="497" customFormat="1" ht="17.25" customHeight="1">
      <c r="A433" s="491" t="s">
        <v>479</v>
      </c>
      <c r="B433" s="498" t="s">
        <v>480</v>
      </c>
      <c r="C433" s="493">
        <v>428</v>
      </c>
      <c r="D433" s="494">
        <f t="shared" ref="D433:I433" si="266">SUM(D435:D445)</f>
        <v>2716</v>
      </c>
      <c r="E433" s="495">
        <f t="shared" si="266"/>
        <v>2716</v>
      </c>
      <c r="F433" s="495">
        <f t="shared" si="266"/>
        <v>2716</v>
      </c>
      <c r="G433" s="495">
        <f t="shared" si="266"/>
        <v>0</v>
      </c>
      <c r="H433" s="495">
        <f t="shared" si="266"/>
        <v>0</v>
      </c>
      <c r="I433" s="495">
        <f t="shared" si="266"/>
        <v>0</v>
      </c>
      <c r="J433" s="495"/>
      <c r="K433" s="495">
        <f t="shared" ref="K433:V433" si="267">SUM(K435:K445)</f>
        <v>2716</v>
      </c>
      <c r="L433" s="495">
        <f t="shared" si="267"/>
        <v>0</v>
      </c>
      <c r="M433" s="495">
        <f t="shared" si="267"/>
        <v>2716</v>
      </c>
      <c r="N433" s="495">
        <f t="shared" si="267"/>
        <v>0</v>
      </c>
      <c r="O433" s="495">
        <f t="shared" si="267"/>
        <v>0</v>
      </c>
      <c r="P433" s="495">
        <f t="shared" si="267"/>
        <v>0</v>
      </c>
      <c r="Q433" s="495">
        <f t="shared" si="267"/>
        <v>0</v>
      </c>
      <c r="R433" s="495">
        <f t="shared" si="267"/>
        <v>55</v>
      </c>
      <c r="S433" s="495">
        <f t="shared" si="267"/>
        <v>0</v>
      </c>
      <c r="T433" s="495">
        <f t="shared" si="267"/>
        <v>0</v>
      </c>
      <c r="U433" s="495">
        <f t="shared" si="267"/>
        <v>1600</v>
      </c>
      <c r="V433" s="495">
        <f t="shared" si="267"/>
        <v>0</v>
      </c>
      <c r="W433" s="495">
        <f>SUM(W435:W445)</f>
        <v>1061</v>
      </c>
      <c r="X433" s="496"/>
    </row>
    <row r="434" spans="1:24" s="497" customFormat="1" ht="21">
      <c r="A434" s="499" t="s">
        <v>255</v>
      </c>
      <c r="B434" s="498" t="s">
        <v>481</v>
      </c>
      <c r="C434" s="493"/>
      <c r="D434" s="494">
        <f>SUM(D435:D436)</f>
        <v>50</v>
      </c>
      <c r="E434" s="495">
        <f t="shared" ref="E434:W434" si="268">SUM(E435:E436)</f>
        <v>50</v>
      </c>
      <c r="F434" s="495">
        <f t="shared" si="268"/>
        <v>50</v>
      </c>
      <c r="G434" s="495">
        <f t="shared" si="268"/>
        <v>0</v>
      </c>
      <c r="H434" s="495">
        <f t="shared" si="241"/>
        <v>0</v>
      </c>
      <c r="I434" s="495">
        <f t="shared" si="268"/>
        <v>0</v>
      </c>
      <c r="J434" s="495"/>
      <c r="K434" s="495">
        <f t="shared" si="268"/>
        <v>50</v>
      </c>
      <c r="L434" s="495">
        <f t="shared" si="268"/>
        <v>0</v>
      </c>
      <c r="M434" s="495">
        <f t="shared" si="268"/>
        <v>50</v>
      </c>
      <c r="N434" s="495">
        <f t="shared" si="268"/>
        <v>0</v>
      </c>
      <c r="O434" s="495">
        <f t="shared" si="268"/>
        <v>0</v>
      </c>
      <c r="P434" s="495">
        <f t="shared" si="268"/>
        <v>0</v>
      </c>
      <c r="Q434" s="495">
        <f t="shared" si="268"/>
        <v>0</v>
      </c>
      <c r="R434" s="495">
        <f t="shared" si="268"/>
        <v>0</v>
      </c>
      <c r="S434" s="495">
        <f t="shared" si="268"/>
        <v>0</v>
      </c>
      <c r="T434" s="495">
        <f t="shared" si="268"/>
        <v>0</v>
      </c>
      <c r="U434" s="495">
        <f t="shared" si="268"/>
        <v>0</v>
      </c>
      <c r="V434" s="495">
        <f t="shared" si="268"/>
        <v>0</v>
      </c>
      <c r="W434" s="495">
        <f t="shared" si="268"/>
        <v>50</v>
      </c>
      <c r="X434" s="496" t="s">
        <v>482</v>
      </c>
    </row>
    <row r="435" spans="1:24" s="497" customFormat="1" ht="16.5" customHeight="1">
      <c r="A435" s="499" t="s">
        <v>111</v>
      </c>
      <c r="B435" s="498" t="s">
        <v>483</v>
      </c>
      <c r="C435" s="493"/>
      <c r="D435" s="494">
        <f t="shared" ref="D435:D445" si="269">E435+P435</f>
        <v>30</v>
      </c>
      <c r="E435" s="495">
        <f t="shared" ref="E435:E450" si="270">F435+N435+O435</f>
        <v>30</v>
      </c>
      <c r="F435" s="495">
        <f t="shared" ref="F435:F450" si="271">H435+K435</f>
        <v>30</v>
      </c>
      <c r="G435" s="495"/>
      <c r="H435" s="495">
        <f t="shared" si="241"/>
        <v>0</v>
      </c>
      <c r="I435" s="495"/>
      <c r="J435" s="495"/>
      <c r="K435" s="495">
        <f t="shared" si="227"/>
        <v>30</v>
      </c>
      <c r="L435" s="495"/>
      <c r="M435" s="495">
        <v>30</v>
      </c>
      <c r="N435" s="495"/>
      <c r="O435" s="495"/>
      <c r="P435" s="495"/>
      <c r="Q435" s="495"/>
      <c r="R435" s="495"/>
      <c r="S435" s="495"/>
      <c r="T435" s="495"/>
      <c r="U435" s="495"/>
      <c r="V435" s="495"/>
      <c r="W435" s="495">
        <f t="shared" ref="W435:W445" si="272">D435-Q435-R435-S435-U435+(T435+V435)</f>
        <v>30</v>
      </c>
      <c r="X435" s="496"/>
    </row>
    <row r="436" spans="1:24" s="497" customFormat="1" ht="21">
      <c r="A436" s="499" t="s">
        <v>111</v>
      </c>
      <c r="B436" s="498" t="s">
        <v>484</v>
      </c>
      <c r="C436" s="493"/>
      <c r="D436" s="494">
        <f t="shared" si="269"/>
        <v>20</v>
      </c>
      <c r="E436" s="495">
        <f t="shared" si="270"/>
        <v>20</v>
      </c>
      <c r="F436" s="495">
        <f t="shared" si="271"/>
        <v>20</v>
      </c>
      <c r="G436" s="495"/>
      <c r="H436" s="495">
        <f t="shared" si="241"/>
        <v>0</v>
      </c>
      <c r="I436" s="495"/>
      <c r="J436" s="495"/>
      <c r="K436" s="495">
        <f t="shared" si="227"/>
        <v>20</v>
      </c>
      <c r="L436" s="495"/>
      <c r="M436" s="495">
        <v>20</v>
      </c>
      <c r="N436" s="495"/>
      <c r="O436" s="495"/>
      <c r="P436" s="495"/>
      <c r="Q436" s="495"/>
      <c r="R436" s="495"/>
      <c r="S436" s="495"/>
      <c r="T436" s="495"/>
      <c r="U436" s="495"/>
      <c r="V436" s="495"/>
      <c r="W436" s="495">
        <f t="shared" si="272"/>
        <v>20</v>
      </c>
      <c r="X436" s="496"/>
    </row>
    <row r="437" spans="1:24" s="497" customFormat="1" ht="30" customHeight="1">
      <c r="A437" s="499" t="s">
        <v>255</v>
      </c>
      <c r="B437" s="498" t="s">
        <v>516</v>
      </c>
      <c r="C437" s="493"/>
      <c r="D437" s="494">
        <f t="shared" si="269"/>
        <v>30</v>
      </c>
      <c r="E437" s="495">
        <f t="shared" si="270"/>
        <v>30</v>
      </c>
      <c r="F437" s="495">
        <f t="shared" si="271"/>
        <v>30</v>
      </c>
      <c r="G437" s="495"/>
      <c r="H437" s="495">
        <f t="shared" si="241"/>
        <v>0</v>
      </c>
      <c r="I437" s="495"/>
      <c r="J437" s="495"/>
      <c r="K437" s="495">
        <f t="shared" si="227"/>
        <v>30</v>
      </c>
      <c r="L437" s="495"/>
      <c r="M437" s="495">
        <v>30</v>
      </c>
      <c r="N437" s="495"/>
      <c r="O437" s="495"/>
      <c r="P437" s="495"/>
      <c r="Q437" s="495"/>
      <c r="R437" s="495"/>
      <c r="S437" s="495"/>
      <c r="T437" s="495"/>
      <c r="U437" s="495"/>
      <c r="V437" s="495"/>
      <c r="W437" s="495">
        <f t="shared" si="272"/>
        <v>30</v>
      </c>
      <c r="X437" s="496" t="s">
        <v>485</v>
      </c>
    </row>
    <row r="438" spans="1:24" s="497" customFormat="1" ht="16.5" customHeight="1">
      <c r="A438" s="499" t="s">
        <v>255</v>
      </c>
      <c r="B438" s="498" t="s">
        <v>515</v>
      </c>
      <c r="C438" s="493"/>
      <c r="D438" s="494">
        <f t="shared" si="269"/>
        <v>370</v>
      </c>
      <c r="E438" s="495">
        <f t="shared" si="270"/>
        <v>370</v>
      </c>
      <c r="F438" s="495">
        <f t="shared" si="271"/>
        <v>370</v>
      </c>
      <c r="G438" s="495"/>
      <c r="H438" s="495">
        <f t="shared" si="241"/>
        <v>0</v>
      </c>
      <c r="I438" s="495"/>
      <c r="J438" s="495"/>
      <c r="K438" s="495">
        <f t="shared" si="227"/>
        <v>370</v>
      </c>
      <c r="L438" s="495"/>
      <c r="M438" s="495">
        <v>370</v>
      </c>
      <c r="N438" s="495"/>
      <c r="O438" s="495"/>
      <c r="P438" s="495"/>
      <c r="Q438" s="495"/>
      <c r="R438" s="495"/>
      <c r="S438" s="495"/>
      <c r="T438" s="495"/>
      <c r="U438" s="495"/>
      <c r="V438" s="495"/>
      <c r="W438" s="495">
        <f t="shared" si="272"/>
        <v>370</v>
      </c>
      <c r="X438" s="496" t="s">
        <v>486</v>
      </c>
    </row>
    <row r="439" spans="1:24" s="497" customFormat="1" ht="16.5" customHeight="1">
      <c r="A439" s="499" t="s">
        <v>255</v>
      </c>
      <c r="B439" s="498" t="s">
        <v>514</v>
      </c>
      <c r="C439" s="493"/>
      <c r="D439" s="494">
        <f t="shared" si="269"/>
        <v>50</v>
      </c>
      <c r="E439" s="495">
        <f t="shared" si="270"/>
        <v>50</v>
      </c>
      <c r="F439" s="495">
        <f t="shared" si="271"/>
        <v>50</v>
      </c>
      <c r="G439" s="495"/>
      <c r="H439" s="495">
        <f t="shared" si="241"/>
        <v>0</v>
      </c>
      <c r="I439" s="495"/>
      <c r="J439" s="495"/>
      <c r="K439" s="495">
        <f t="shared" si="227"/>
        <v>50</v>
      </c>
      <c r="L439" s="495"/>
      <c r="M439" s="495">
        <v>50</v>
      </c>
      <c r="N439" s="495"/>
      <c r="O439" s="495"/>
      <c r="P439" s="495"/>
      <c r="Q439" s="495"/>
      <c r="R439" s="495"/>
      <c r="S439" s="495"/>
      <c r="T439" s="495"/>
      <c r="U439" s="495"/>
      <c r="V439" s="495"/>
      <c r="W439" s="495">
        <f t="shared" si="272"/>
        <v>50</v>
      </c>
      <c r="X439" s="496" t="s">
        <v>487</v>
      </c>
    </row>
    <row r="440" spans="1:24" s="497" customFormat="1" ht="18" customHeight="1">
      <c r="A440" s="499" t="s">
        <v>255</v>
      </c>
      <c r="B440" s="498" t="s">
        <v>513</v>
      </c>
      <c r="C440" s="493"/>
      <c r="D440" s="494">
        <f t="shared" si="269"/>
        <v>550</v>
      </c>
      <c r="E440" s="495">
        <f t="shared" si="270"/>
        <v>550</v>
      </c>
      <c r="F440" s="495">
        <f t="shared" si="271"/>
        <v>550</v>
      </c>
      <c r="G440" s="495"/>
      <c r="H440" s="495">
        <f t="shared" si="241"/>
        <v>0</v>
      </c>
      <c r="I440" s="495"/>
      <c r="J440" s="495"/>
      <c r="K440" s="495">
        <f t="shared" si="227"/>
        <v>550</v>
      </c>
      <c r="L440" s="495"/>
      <c r="M440" s="495">
        <v>550</v>
      </c>
      <c r="N440" s="495"/>
      <c r="O440" s="495"/>
      <c r="P440" s="495"/>
      <c r="Q440" s="495"/>
      <c r="R440" s="495">
        <f>D440*0.1</f>
        <v>55</v>
      </c>
      <c r="S440" s="495"/>
      <c r="T440" s="495"/>
      <c r="U440" s="495"/>
      <c r="V440" s="495"/>
      <c r="W440" s="495">
        <f t="shared" si="272"/>
        <v>495</v>
      </c>
      <c r="X440" s="496" t="s">
        <v>362</v>
      </c>
    </row>
    <row r="441" spans="1:24" s="497" customFormat="1" ht="30.75" customHeight="1">
      <c r="A441" s="499" t="s">
        <v>255</v>
      </c>
      <c r="B441" s="498" t="s">
        <v>512</v>
      </c>
      <c r="C441" s="493"/>
      <c r="D441" s="494">
        <f t="shared" si="269"/>
        <v>1500</v>
      </c>
      <c r="E441" s="495">
        <f>F441+N441+O441</f>
        <v>1500</v>
      </c>
      <c r="F441" s="495">
        <f>H441+K441</f>
        <v>1500</v>
      </c>
      <c r="G441" s="495"/>
      <c r="H441" s="495">
        <f>I441+J441</f>
        <v>0</v>
      </c>
      <c r="I441" s="495"/>
      <c r="J441" s="495"/>
      <c r="K441" s="495">
        <f t="shared" ref="K441:K445" si="273">L441+M441</f>
        <v>1500</v>
      </c>
      <c r="L441" s="495"/>
      <c r="M441" s="495">
        <v>1500</v>
      </c>
      <c r="N441" s="495"/>
      <c r="O441" s="495"/>
      <c r="P441" s="495"/>
      <c r="Q441" s="495"/>
      <c r="R441" s="495"/>
      <c r="S441" s="495"/>
      <c r="T441" s="495"/>
      <c r="U441" s="495">
        <v>1500</v>
      </c>
      <c r="V441" s="495"/>
      <c r="W441" s="495">
        <f t="shared" si="272"/>
        <v>0</v>
      </c>
      <c r="X441" s="496" t="s">
        <v>488</v>
      </c>
    </row>
    <row r="442" spans="1:24" s="497" customFormat="1" ht="30.75" customHeight="1">
      <c r="A442" s="499" t="s">
        <v>255</v>
      </c>
      <c r="B442" s="498" t="s">
        <v>990</v>
      </c>
      <c r="C442" s="493"/>
      <c r="D442" s="494">
        <f t="shared" si="269"/>
        <v>100</v>
      </c>
      <c r="E442" s="495">
        <f t="shared" si="270"/>
        <v>100</v>
      </c>
      <c r="F442" s="495">
        <f t="shared" si="271"/>
        <v>100</v>
      </c>
      <c r="G442" s="495"/>
      <c r="H442" s="495">
        <f t="shared" si="241"/>
        <v>0</v>
      </c>
      <c r="I442" s="495"/>
      <c r="J442" s="495"/>
      <c r="K442" s="495">
        <f t="shared" si="273"/>
        <v>100</v>
      </c>
      <c r="L442" s="495"/>
      <c r="M442" s="495">
        <v>100</v>
      </c>
      <c r="N442" s="495"/>
      <c r="O442" s="495"/>
      <c r="P442" s="495"/>
      <c r="Q442" s="495"/>
      <c r="R442" s="495"/>
      <c r="S442" s="495"/>
      <c r="T442" s="495"/>
      <c r="U442" s="495">
        <v>100</v>
      </c>
      <c r="V442" s="495"/>
      <c r="W442" s="495">
        <f t="shared" si="272"/>
        <v>0</v>
      </c>
      <c r="X442" s="496" t="s">
        <v>490</v>
      </c>
    </row>
    <row r="443" spans="1:24" s="497" customFormat="1" ht="30" customHeight="1">
      <c r="A443" s="499" t="s">
        <v>255</v>
      </c>
      <c r="B443" s="498" t="s">
        <v>511</v>
      </c>
      <c r="C443" s="493"/>
      <c r="D443" s="494">
        <f t="shared" si="269"/>
        <v>16</v>
      </c>
      <c r="E443" s="495">
        <f t="shared" si="270"/>
        <v>16</v>
      </c>
      <c r="F443" s="495">
        <f t="shared" si="271"/>
        <v>16</v>
      </c>
      <c r="G443" s="495"/>
      <c r="H443" s="495">
        <f t="shared" si="241"/>
        <v>0</v>
      </c>
      <c r="I443" s="495"/>
      <c r="J443" s="495"/>
      <c r="K443" s="495">
        <f t="shared" si="273"/>
        <v>16</v>
      </c>
      <c r="L443" s="495"/>
      <c r="M443" s="495">
        <v>16</v>
      </c>
      <c r="N443" s="495"/>
      <c r="O443" s="495"/>
      <c r="P443" s="495"/>
      <c r="Q443" s="495"/>
      <c r="R443" s="495"/>
      <c r="S443" s="495"/>
      <c r="T443" s="495"/>
      <c r="U443" s="495"/>
      <c r="V443" s="495"/>
      <c r="W443" s="495">
        <f t="shared" si="272"/>
        <v>16</v>
      </c>
      <c r="X443" s="496" t="s">
        <v>491</v>
      </c>
    </row>
    <row r="444" spans="1:24" s="497" customFormat="1" ht="54" customHeight="1">
      <c r="A444" s="499" t="s">
        <v>255</v>
      </c>
      <c r="B444" s="498" t="s">
        <v>600</v>
      </c>
      <c r="C444" s="493"/>
      <c r="D444" s="494">
        <f t="shared" si="269"/>
        <v>30</v>
      </c>
      <c r="E444" s="495">
        <f>F444+N444+O444</f>
        <v>30</v>
      </c>
      <c r="F444" s="495">
        <f>H444+K444</f>
        <v>30</v>
      </c>
      <c r="G444" s="495"/>
      <c r="H444" s="495">
        <f>I444+J444</f>
        <v>0</v>
      </c>
      <c r="I444" s="495"/>
      <c r="J444" s="495"/>
      <c r="K444" s="495">
        <f>L444+M444</f>
        <v>30</v>
      </c>
      <c r="L444" s="495"/>
      <c r="M444" s="495">
        <v>30</v>
      </c>
      <c r="N444" s="495"/>
      <c r="O444" s="495"/>
      <c r="P444" s="495"/>
      <c r="Q444" s="495"/>
      <c r="R444" s="495"/>
      <c r="S444" s="495"/>
      <c r="T444" s="495"/>
      <c r="U444" s="495"/>
      <c r="V444" s="495"/>
      <c r="W444" s="495">
        <f t="shared" si="272"/>
        <v>30</v>
      </c>
      <c r="X444" s="496" t="s">
        <v>785</v>
      </c>
    </row>
    <row r="445" spans="1:24" s="497" customFormat="1" ht="17.25" customHeight="1">
      <c r="A445" s="499" t="s">
        <v>255</v>
      </c>
      <c r="B445" s="498" t="s">
        <v>492</v>
      </c>
      <c r="C445" s="493"/>
      <c r="D445" s="494">
        <f t="shared" si="269"/>
        <v>20</v>
      </c>
      <c r="E445" s="495">
        <f t="shared" si="270"/>
        <v>20</v>
      </c>
      <c r="F445" s="495">
        <f t="shared" si="271"/>
        <v>20</v>
      </c>
      <c r="G445" s="495"/>
      <c r="H445" s="495">
        <f t="shared" si="241"/>
        <v>0</v>
      </c>
      <c r="I445" s="495"/>
      <c r="J445" s="495"/>
      <c r="K445" s="495">
        <f t="shared" si="273"/>
        <v>20</v>
      </c>
      <c r="L445" s="495"/>
      <c r="M445" s="495">
        <v>20</v>
      </c>
      <c r="N445" s="495"/>
      <c r="O445" s="495"/>
      <c r="P445" s="495"/>
      <c r="Q445" s="495"/>
      <c r="R445" s="495"/>
      <c r="S445" s="495"/>
      <c r="T445" s="495"/>
      <c r="U445" s="495"/>
      <c r="V445" s="495"/>
      <c r="W445" s="495">
        <f t="shared" si="272"/>
        <v>20</v>
      </c>
      <c r="X445" s="496" t="s">
        <v>422</v>
      </c>
    </row>
    <row r="446" spans="1:24" s="497" customFormat="1" ht="26.25" customHeight="1">
      <c r="A446" s="499" t="s">
        <v>94</v>
      </c>
      <c r="B446" s="498" t="s">
        <v>137</v>
      </c>
      <c r="C446" s="494">
        <f t="shared" ref="C446:W446" si="274">SUM(C447:C449)</f>
        <v>0</v>
      </c>
      <c r="D446" s="494">
        <f t="shared" si="274"/>
        <v>5355</v>
      </c>
      <c r="E446" s="494">
        <f t="shared" si="274"/>
        <v>5355</v>
      </c>
      <c r="F446" s="494">
        <f t="shared" si="274"/>
        <v>5355</v>
      </c>
      <c r="G446" s="494">
        <f t="shared" si="274"/>
        <v>0</v>
      </c>
      <c r="H446" s="494">
        <f t="shared" si="274"/>
        <v>5355</v>
      </c>
      <c r="I446" s="494">
        <f t="shared" si="274"/>
        <v>0</v>
      </c>
      <c r="J446" s="494">
        <f t="shared" si="274"/>
        <v>0</v>
      </c>
      <c r="K446" s="494">
        <f t="shared" si="274"/>
        <v>0</v>
      </c>
      <c r="L446" s="494">
        <f t="shared" si="274"/>
        <v>0</v>
      </c>
      <c r="M446" s="494">
        <f t="shared" si="274"/>
        <v>0</v>
      </c>
      <c r="N446" s="494">
        <f t="shared" si="274"/>
        <v>0</v>
      </c>
      <c r="O446" s="494">
        <f t="shared" si="274"/>
        <v>0</v>
      </c>
      <c r="P446" s="494">
        <f t="shared" si="274"/>
        <v>0</v>
      </c>
      <c r="Q446" s="494">
        <f t="shared" si="274"/>
        <v>0</v>
      </c>
      <c r="R446" s="494">
        <f t="shared" si="274"/>
        <v>-4906.5</v>
      </c>
      <c r="S446" s="494">
        <f t="shared" si="274"/>
        <v>0</v>
      </c>
      <c r="T446" s="494">
        <f t="shared" si="274"/>
        <v>0</v>
      </c>
      <c r="U446" s="494">
        <f t="shared" si="274"/>
        <v>0</v>
      </c>
      <c r="V446" s="494">
        <f t="shared" si="274"/>
        <v>0</v>
      </c>
      <c r="W446" s="494">
        <f t="shared" si="274"/>
        <v>10261.5</v>
      </c>
      <c r="X446" s="496"/>
    </row>
    <row r="447" spans="1:24" s="497" customFormat="1" ht="21" customHeight="1">
      <c r="A447" s="499" t="s">
        <v>255</v>
      </c>
      <c r="B447" s="498" t="s">
        <v>493</v>
      </c>
      <c r="C447" s="493"/>
      <c r="D447" s="494">
        <f>E447+P447</f>
        <v>5355</v>
      </c>
      <c r="E447" s="495">
        <f>F447+N447+O447</f>
        <v>5355</v>
      </c>
      <c r="F447" s="495">
        <f>H447+K447</f>
        <v>5355</v>
      </c>
      <c r="G447" s="495"/>
      <c r="H447" s="495">
        <f>4165+1190</f>
        <v>5355</v>
      </c>
      <c r="I447" s="495"/>
      <c r="J447" s="495"/>
      <c r="K447" s="495">
        <f>L447+M447</f>
        <v>0</v>
      </c>
      <c r="L447" s="495"/>
      <c r="M447" s="495"/>
      <c r="N447" s="495"/>
      <c r="O447" s="495"/>
      <c r="P447" s="495"/>
      <c r="Q447" s="495"/>
      <c r="R447" s="495"/>
      <c r="S447" s="495"/>
      <c r="T447" s="495"/>
      <c r="U447" s="495"/>
      <c r="V447" s="495"/>
      <c r="W447" s="495">
        <f>D447-Q447-R447-S447-U447+(T447+V447)</f>
        <v>5355</v>
      </c>
      <c r="X447" s="496"/>
    </row>
    <row r="448" spans="1:24" s="497" customFormat="1" ht="27.75" customHeight="1">
      <c r="A448" s="499" t="s">
        <v>255</v>
      </c>
      <c r="B448" s="498" t="s">
        <v>494</v>
      </c>
      <c r="C448" s="493"/>
      <c r="D448" s="494">
        <f>E448</f>
        <v>0</v>
      </c>
      <c r="E448" s="495">
        <f>F448+N448+O448</f>
        <v>0</v>
      </c>
      <c r="F448" s="495">
        <f>H448+K448</f>
        <v>0</v>
      </c>
      <c r="G448" s="495"/>
      <c r="H448" s="495">
        <f>I448+J448</f>
        <v>0</v>
      </c>
      <c r="I448" s="495"/>
      <c r="J448" s="495"/>
      <c r="K448" s="495">
        <f>L448+M448</f>
        <v>0</v>
      </c>
      <c r="L448" s="495"/>
      <c r="M448" s="495"/>
      <c r="N448" s="495"/>
      <c r="O448" s="495"/>
      <c r="P448" s="495"/>
      <c r="Q448" s="495"/>
      <c r="R448" s="495"/>
      <c r="S448" s="495"/>
      <c r="T448" s="495"/>
      <c r="U448" s="495"/>
      <c r="V448" s="495"/>
      <c r="W448" s="495">
        <f>D448-Q448-R448-S448-U448+(T448+V448)</f>
        <v>0</v>
      </c>
      <c r="X448" s="496"/>
    </row>
    <row r="449" spans="1:25" s="497" customFormat="1" ht="27.75" customHeight="1">
      <c r="A449" s="499" t="s">
        <v>255</v>
      </c>
      <c r="B449" s="290" t="s">
        <v>784</v>
      </c>
      <c r="C449" s="493"/>
      <c r="D449" s="494">
        <f>E449</f>
        <v>0</v>
      </c>
      <c r="E449" s="495">
        <f>F449+N449+O449</f>
        <v>0</v>
      </c>
      <c r="F449" s="495">
        <f>H449+K449</f>
        <v>0</v>
      </c>
      <c r="G449" s="495"/>
      <c r="H449" s="495">
        <f>I449+J449</f>
        <v>0</v>
      </c>
      <c r="I449" s="495"/>
      <c r="J449" s="495"/>
      <c r="K449" s="495">
        <f>L449+M449</f>
        <v>0</v>
      </c>
      <c r="L449" s="495"/>
      <c r="M449" s="495"/>
      <c r="N449" s="495"/>
      <c r="O449" s="495"/>
      <c r="P449" s="495"/>
      <c r="Q449" s="495"/>
      <c r="R449" s="495">
        <f>-4906.5</f>
        <v>-4906.5</v>
      </c>
      <c r="S449" s="495"/>
      <c r="T449" s="495"/>
      <c r="U449" s="495"/>
      <c r="V449" s="495"/>
      <c r="W449" s="495">
        <f>D449-Q449-R449-S449-U449+(T449+V449)</f>
        <v>4906.5</v>
      </c>
      <c r="X449" s="496"/>
    </row>
    <row r="450" spans="1:25" s="517" customFormat="1" ht="17.25" customHeight="1">
      <c r="A450" s="491" t="s">
        <v>98</v>
      </c>
      <c r="B450" s="498" t="s">
        <v>495</v>
      </c>
      <c r="C450" s="493"/>
      <c r="D450" s="494">
        <f>E450+P450</f>
        <v>5849</v>
      </c>
      <c r="E450" s="495">
        <f t="shared" si="270"/>
        <v>5849</v>
      </c>
      <c r="F450" s="495">
        <f t="shared" si="271"/>
        <v>5849</v>
      </c>
      <c r="G450" s="495"/>
      <c r="H450" s="495">
        <f>I450+J450</f>
        <v>0</v>
      </c>
      <c r="I450" s="495"/>
      <c r="J450" s="495"/>
      <c r="K450" s="495">
        <f>L450+M450</f>
        <v>5849</v>
      </c>
      <c r="L450" s="495"/>
      <c r="M450" s="495">
        <f>7063-[8]XA!D158</f>
        <v>5849</v>
      </c>
      <c r="N450" s="495"/>
      <c r="O450" s="495"/>
      <c r="P450" s="495"/>
      <c r="Q450" s="495"/>
      <c r="R450" s="495"/>
      <c r="S450" s="495"/>
      <c r="T450" s="495"/>
      <c r="U450" s="495"/>
      <c r="V450" s="495">
        <v>153.44999999999999</v>
      </c>
      <c r="W450" s="495">
        <f>D450-Q450-R450-S450-U450+(T450+V450)</f>
        <v>6002.45</v>
      </c>
      <c r="X450" s="496"/>
    </row>
    <row r="451" spans="1:25" s="497" customFormat="1" ht="17.25" customHeight="1">
      <c r="A451" s="518"/>
      <c r="B451" s="519" t="s">
        <v>496</v>
      </c>
      <c r="C451" s="520"/>
      <c r="D451" s="519">
        <f>+D10</f>
        <v>378521.97002000001</v>
      </c>
      <c r="E451" s="519">
        <f t="shared" ref="E451:W451" si="275">+E10</f>
        <v>370474.97002000001</v>
      </c>
      <c r="F451" s="519">
        <f t="shared" si="275"/>
        <v>222591.80002</v>
      </c>
      <c r="G451" s="519">
        <f t="shared" si="275"/>
        <v>1179</v>
      </c>
      <c r="H451" s="519">
        <f t="shared" si="275"/>
        <v>173814.96702000001</v>
      </c>
      <c r="I451" s="519">
        <f t="shared" si="275"/>
        <v>0</v>
      </c>
      <c r="J451" s="519">
        <f t="shared" si="275"/>
        <v>0</v>
      </c>
      <c r="K451" s="519">
        <f t="shared" si="275"/>
        <v>48776.832999999999</v>
      </c>
      <c r="L451" s="519">
        <f t="shared" si="275"/>
        <v>29265.440000000002</v>
      </c>
      <c r="M451" s="519">
        <f t="shared" si="275"/>
        <v>19511.393</v>
      </c>
      <c r="N451" s="519">
        <f t="shared" si="275"/>
        <v>59459.17</v>
      </c>
      <c r="O451" s="519">
        <f t="shared" si="275"/>
        <v>88424</v>
      </c>
      <c r="P451" s="519">
        <f t="shared" si="275"/>
        <v>8047</v>
      </c>
      <c r="Q451" s="519">
        <f t="shared" si="275"/>
        <v>0</v>
      </c>
      <c r="R451" s="519">
        <f t="shared" si="275"/>
        <v>0</v>
      </c>
      <c r="S451" s="519">
        <f t="shared" si="275"/>
        <v>1939.05</v>
      </c>
      <c r="T451" s="519">
        <f t="shared" si="275"/>
        <v>1714.09</v>
      </c>
      <c r="U451" s="519">
        <f t="shared" si="275"/>
        <v>73153.16</v>
      </c>
      <c r="V451" s="519">
        <f t="shared" si="275"/>
        <v>3958.1709999999998</v>
      </c>
      <c r="W451" s="519">
        <f t="shared" si="275"/>
        <v>309102.02102000004</v>
      </c>
      <c r="X451" s="521"/>
    </row>
    <row r="452" spans="1:25" s="469" customFormat="1" ht="21.75" customHeight="1">
      <c r="A452" s="522"/>
      <c r="C452" s="522"/>
      <c r="D452" s="523"/>
      <c r="E452" s="497"/>
      <c r="G452" s="522"/>
      <c r="X452" s="467"/>
    </row>
    <row r="453" spans="1:25" s="469" customFormat="1" ht="21.75" customHeight="1">
      <c r="A453" s="522"/>
      <c r="C453" s="522"/>
      <c r="D453" s="523"/>
      <c r="E453" s="497"/>
      <c r="G453" s="522"/>
      <c r="X453" s="467"/>
    </row>
    <row r="454" spans="1:25" s="469" customFormat="1" ht="21.75" customHeight="1">
      <c r="A454" s="522"/>
      <c r="C454" s="522"/>
      <c r="D454" s="523"/>
      <c r="E454" s="497"/>
      <c r="G454" s="522"/>
      <c r="X454" s="467"/>
    </row>
    <row r="455" spans="1:25" s="469" customFormat="1" ht="21.75" customHeight="1">
      <c r="A455" s="522"/>
      <c r="C455" s="522"/>
      <c r="D455" s="523"/>
      <c r="E455" s="497"/>
      <c r="G455" s="522"/>
      <c r="X455" s="467"/>
    </row>
    <row r="456" spans="1:25" s="469" customFormat="1" ht="21.75" customHeight="1">
      <c r="A456" s="522"/>
      <c r="C456" s="522"/>
      <c r="D456" s="523"/>
      <c r="E456" s="497"/>
      <c r="G456" s="522"/>
      <c r="X456" s="467"/>
    </row>
    <row r="457" spans="1:25" s="497" customFormat="1" ht="21.75" customHeight="1">
      <c r="A457" s="466"/>
      <c r="C457" s="522"/>
      <c r="D457" s="523"/>
      <c r="F457" s="469"/>
      <c r="G457" s="522"/>
      <c r="H457" s="469"/>
      <c r="I457" s="469"/>
      <c r="J457" s="469"/>
      <c r="K457" s="469"/>
      <c r="L457" s="469"/>
      <c r="M457" s="469"/>
      <c r="N457" s="469"/>
      <c r="O457" s="469"/>
      <c r="P457" s="469"/>
      <c r="Q457" s="469"/>
      <c r="R457" s="469"/>
      <c r="S457" s="469"/>
      <c r="T457" s="469"/>
      <c r="U457" s="469"/>
      <c r="V457" s="469"/>
      <c r="W457" s="469"/>
      <c r="X457" s="467"/>
      <c r="Y457" s="469"/>
    </row>
    <row r="458" spans="1:25" ht="21.75" customHeight="1"/>
  </sheetData>
  <autoFilter ref="A8:Y451"/>
  <mergeCells count="38">
    <mergeCell ref="X142:X148"/>
    <mergeCell ref="X149:X150"/>
    <mergeCell ref="J7:J8"/>
    <mergeCell ref="L7:L8"/>
    <mergeCell ref="M7:M8"/>
    <mergeCell ref="X42:X44"/>
    <mergeCell ref="X61:X69"/>
    <mergeCell ref="X98:X108"/>
    <mergeCell ref="Q4:Q8"/>
    <mergeCell ref="R4:R8"/>
    <mergeCell ref="S4:T5"/>
    <mergeCell ref="U4:V5"/>
    <mergeCell ref="W4:W8"/>
    <mergeCell ref="X4:X8"/>
    <mergeCell ref="S6:S8"/>
    <mergeCell ref="T6:T8"/>
    <mergeCell ref="G6:G8"/>
    <mergeCell ref="H6:H8"/>
    <mergeCell ref="I6:J6"/>
    <mergeCell ref="K6:K8"/>
    <mergeCell ref="L6:M6"/>
    <mergeCell ref="I7:I8"/>
    <mergeCell ref="U6:U8"/>
    <mergeCell ref="V6:V8"/>
    <mergeCell ref="A1:B1"/>
    <mergeCell ref="E1:F1"/>
    <mergeCell ref="A2:X2"/>
    <mergeCell ref="A4:A8"/>
    <mergeCell ref="B4:B8"/>
    <mergeCell ref="C4:C8"/>
    <mergeCell ref="D4:D8"/>
    <mergeCell ref="E4:E8"/>
    <mergeCell ref="F4:O4"/>
    <mergeCell ref="P4:P8"/>
    <mergeCell ref="F5:F8"/>
    <mergeCell ref="G5:M5"/>
    <mergeCell ref="N5:N8"/>
    <mergeCell ref="O5:O8"/>
  </mergeCells>
  <printOptions horizontalCentered="1"/>
  <pageMargins left="0.2" right="0.2" top="0.5" bottom="0.2" header="0.31496062992126" footer="0.31496062992126"/>
  <pageSetup paperSize="9" scale="6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15</vt:i4>
      </vt:variant>
    </vt:vector>
  </HeadingPairs>
  <TitlesOfParts>
    <vt:vector size="27" baseType="lpstr">
      <vt:lpstr>b01</vt:lpstr>
      <vt:lpstr>b02</vt:lpstr>
      <vt:lpstr>29.1</vt:lpstr>
      <vt:lpstr>b31</vt:lpstr>
      <vt:lpstr>32</vt:lpstr>
      <vt:lpstr>01</vt:lpstr>
      <vt:lpstr>02</vt:lpstr>
      <vt:lpstr>Sheet1</vt:lpstr>
      <vt:lpstr>05 UB</vt:lpstr>
      <vt:lpstr>05 xa</vt:lpstr>
      <vt:lpstr>07 THU NSX</vt:lpstr>
      <vt:lpstr>GDUC</vt:lpstr>
      <vt:lpstr>'05 UB'!Print_Area</vt:lpstr>
      <vt:lpstr>'05 xa'!Print_Area</vt:lpstr>
      <vt:lpstr>'07 THU NSX'!Print_Area</vt:lpstr>
      <vt:lpstr>'29.1'!Print_Area</vt:lpstr>
      <vt:lpstr>'32'!Print_Area</vt:lpstr>
      <vt:lpstr>'b01'!Print_Area</vt:lpstr>
      <vt:lpstr>'b02'!Print_Area</vt:lpstr>
      <vt:lpstr>'b31'!Print_Area</vt:lpstr>
      <vt:lpstr>GDUC!Print_Area</vt:lpstr>
      <vt:lpstr>'05 UB'!Print_Titles</vt:lpstr>
      <vt:lpstr>'05 xa'!Print_Titles</vt:lpstr>
      <vt:lpstr>'32'!Print_Titles</vt:lpstr>
      <vt:lpstr>'b01'!Print_Titles</vt:lpstr>
      <vt:lpstr>'b31'!Print_Titles</vt:lpstr>
      <vt:lpstr>GDUC!Print_Titles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HTC</dc:creator>
  <cp:lastModifiedBy>HTC</cp:lastModifiedBy>
  <cp:lastPrinted>2022-11-12T16:05:27Z</cp:lastPrinted>
  <dcterms:created xsi:type="dcterms:W3CDTF">2021-08-10T06:01:41Z</dcterms:created>
  <dcterms:modified xsi:type="dcterms:W3CDTF">2022-11-14T04:09:29Z</dcterms:modified>
</cp:coreProperties>
</file>